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tables/table1.xml" ContentType="application/vnd.openxmlformats-officedocument.spreadsheetml.table+xml"/>
  <Override PartName="/xl/comments7.xml" ContentType="application/vnd.openxmlformats-officedocument.spreadsheetml.comments+xml"/>
  <Override PartName="/xl/tables/table2.xml" ContentType="application/vnd.openxmlformats-officedocument.spreadsheetml.table+xml"/>
  <Override PartName="/xl/comments8.xml" ContentType="application/vnd.openxmlformats-officedocument.spreadsheetml.comments+xml"/>
  <Override PartName="/xl/tables/table3.xml" ContentType="application/vnd.openxmlformats-officedocument.spreadsheetml.table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DELL LATITUDE E7470\Downloads\"/>
    </mc:Choice>
  </mc:AlternateContent>
  <xr:revisionPtr revIDLastSave="0" documentId="13_ncr:1_{19CD4696-2BA4-4529-9F86-66BAE6A34F79}" xr6:coauthVersionLast="46" xr6:coauthVersionMax="46" xr10:uidLastSave="{00000000-0000-0000-0000-000000000000}"/>
  <bookViews>
    <workbookView xWindow="-98" yWindow="-98" windowWidth="19396" windowHeight="10546" activeTab="1" xr2:uid="{00000000-000D-0000-FFFF-FFFF00000000}"/>
  </bookViews>
  <sheets>
    <sheet name="Rooms Master" sheetId="1" r:id="rId1"/>
    <sheet name="Jan 4 - Jan 10" sheetId="2" r:id="rId2"/>
    <sheet name="Dec 28 - Jan 3" sheetId="3" r:id="rId3"/>
    <sheet name="Growth 21-27 vs 28-3" sheetId="4" r:id="rId4"/>
    <sheet name="Dec 21 - Dec 27" sheetId="5" r:id="rId5"/>
    <sheet name="Dec 14 - Dec 20" sheetId="6" r:id="rId6"/>
    <sheet name="Growth 7-13 vs 14-20" sheetId="7" r:id="rId7"/>
    <sheet name="Growth 30-6 vs 7-13" sheetId="8" r:id="rId8"/>
    <sheet name="Dec 7 - Dec 13" sheetId="9" r:id="rId9"/>
    <sheet name="Growth 23-29 vs 30-6" sheetId="10" r:id="rId10"/>
    <sheet name="Nov 30 - Dec 6" sheetId="11" r:id="rId11"/>
    <sheet name="Unit Pageviews Summary" sheetId="12" r:id="rId12"/>
    <sheet name="Growth 16-22 vs 23-29" sheetId="13" r:id="rId13"/>
    <sheet name="Nov 23-29" sheetId="14" r:id="rId14"/>
    <sheet name="Nov 23-29 Conversion" sheetId="15" r:id="rId15"/>
    <sheet name="Nov 16-22" sheetId="16" r:id="rId16"/>
    <sheet name="Nov 16-22 Conversion" sheetId="17" r:id="rId17"/>
    <sheet name="Nov 9-15 Conversion" sheetId="18" r:id="rId18"/>
    <sheet name="Nov 9-15" sheetId="19" r:id="rId19"/>
    <sheet name="Nov 2-8" sheetId="20" r:id="rId20"/>
    <sheet name="Nov 2-8 Conversion" sheetId="21" r:id="rId21"/>
  </sheets>
  <definedNames>
    <definedName name="_xlnm._FilterDatabase" localSheetId="5" hidden="1">'Dec 14 - Dec 20'!$A$1:$R$115</definedName>
    <definedName name="_xlnm._FilterDatabase" localSheetId="4" hidden="1">'Dec 21 - Dec 27'!$A$1:$R$115</definedName>
    <definedName name="_xlnm._FilterDatabase" localSheetId="2" hidden="1">'Dec 28 - Jan 3'!$A$1:$R$116</definedName>
    <definedName name="_xlnm._FilterDatabase" localSheetId="8" hidden="1">'Dec 7 - Dec 13'!$A$1:$R$113</definedName>
    <definedName name="_xlnm._FilterDatabase" localSheetId="12" hidden="1">'Growth 16-22 vs 23-29'!$B$2:$K$111</definedName>
    <definedName name="_xlnm._FilterDatabase" localSheetId="3" hidden="1">'Growth 21-27 vs 28-3'!$B$1:$K$116</definedName>
    <definedName name="_xlnm._FilterDatabase" localSheetId="9" hidden="1">'Growth 23-29 vs 30-6'!$B$1:$K$111</definedName>
    <definedName name="_xlnm._FilterDatabase" localSheetId="7" hidden="1">'Growth 30-6 vs 7-13'!$B$1:$K$113</definedName>
    <definedName name="_xlnm._FilterDatabase" localSheetId="6" hidden="1">'Growth 7-13 vs 14-20'!$B$1:$K$113</definedName>
    <definedName name="_xlnm._FilterDatabase" localSheetId="1" hidden="1">'Jan 4 - Jan 10'!$A$1:$R$116</definedName>
    <definedName name="_xlnm._FilterDatabase" localSheetId="15" hidden="1">'Nov 16-22'!$B$2:$O$111</definedName>
    <definedName name="_xlnm._FilterDatabase" localSheetId="16" hidden="1">'Nov 16-22 Conversion'!$B$2:$T$111</definedName>
    <definedName name="_xlnm._FilterDatabase" localSheetId="13" hidden="1">'Nov 23-29'!$B$2:$O$111</definedName>
    <definedName name="_xlnm._FilterDatabase" localSheetId="14" hidden="1">'Nov 23-29 Conversion'!$B$2:$T$111</definedName>
    <definedName name="_xlnm._FilterDatabase" localSheetId="19" hidden="1">'Nov 2-8'!$B$2:$J$111</definedName>
    <definedName name="_xlnm._FilterDatabase" localSheetId="20" hidden="1">'Nov 2-8 Conversion'!$B$2:$L$111</definedName>
    <definedName name="_xlnm._FilterDatabase" localSheetId="10" hidden="1">'Nov 30 - Dec 6'!$A$1:$R$111</definedName>
    <definedName name="_xlnm._FilterDatabase" localSheetId="18" hidden="1">'Nov 9-15'!$B$2:$N$111</definedName>
    <definedName name="_xlnm._FilterDatabase" localSheetId="17" hidden="1">'Nov 9-15 Conversion'!$A$1:$AD$1000</definedName>
    <definedName name="_xlnm._FilterDatabase" localSheetId="11" hidden="1">'Unit Pageviews Summary'!$B$2:$L$111</definedName>
    <definedName name="Z_B30A5A85_2259_4488_9974_4EF5D1638E28_.wvu.FilterData" localSheetId="1" hidden="1">'Jan 4 - Jan 10'!$A$1:$R$116</definedName>
    <definedName name="Z_D4D06763_5632_4CAF_A0BD_7BAD6B3784B6_.wvu.FilterData" localSheetId="5" hidden="1">'Dec 14 - Dec 20'!$B$1:$L$116</definedName>
    <definedName name="Z_D4D06763_5632_4CAF_A0BD_7BAD6B3784B6_.wvu.FilterData" localSheetId="4" hidden="1">'Dec 21 - Dec 27'!$B$1:$L$116</definedName>
    <definedName name="Z_D4D06763_5632_4CAF_A0BD_7BAD6B3784B6_.wvu.FilterData" localSheetId="2" hidden="1">'Dec 28 - Jan 3'!$B$1:$L$117</definedName>
    <definedName name="Z_D4D06763_5632_4CAF_A0BD_7BAD6B3784B6_.wvu.FilterData" localSheetId="8" hidden="1">'Dec 7 - Dec 13'!$B$1:$L$114</definedName>
    <definedName name="Z_D4D06763_5632_4CAF_A0BD_7BAD6B3784B6_.wvu.FilterData" localSheetId="1" hidden="1">'Jan 4 - Jan 10'!$B$1:$L$117</definedName>
    <definedName name="Z_D4D06763_5632_4CAF_A0BD_7BAD6B3784B6_.wvu.FilterData" localSheetId="15" hidden="1">'Nov 16-22'!$B$2:$K$112</definedName>
    <definedName name="Z_D4D06763_5632_4CAF_A0BD_7BAD6B3784B6_.wvu.FilterData" localSheetId="13" hidden="1">'Nov 23-29'!$B$2:$K$112</definedName>
    <definedName name="Z_D4D06763_5632_4CAF_A0BD_7BAD6B3784B6_.wvu.FilterData" localSheetId="19" hidden="1">'Nov 2-8'!$B$2:$J$112</definedName>
    <definedName name="Z_D4D06763_5632_4CAF_A0BD_7BAD6B3784B6_.wvu.FilterData" localSheetId="10" hidden="1">'Nov 30 - Dec 6'!$B$1:$L$112</definedName>
    <definedName name="Z_D4D06763_5632_4CAF_A0BD_7BAD6B3784B6_.wvu.FilterData" localSheetId="18" hidden="1">'Nov 9-15'!$B$2:$J$112</definedName>
    <definedName name="Z_F84F801C_695D_48CE_B142_0B7895FE071F_.wvu.FilterData" localSheetId="5" hidden="1">'Dec 14 - Dec 20'!$A$1:$R$115</definedName>
    <definedName name="Z_F84F801C_695D_48CE_B142_0B7895FE071F_.wvu.FilterData" localSheetId="4" hidden="1">'Dec 21 - Dec 27'!$A$1:$R$115</definedName>
    <definedName name="Z_F84F801C_695D_48CE_B142_0B7895FE071F_.wvu.FilterData" localSheetId="2" hidden="1">'Dec 28 - Jan 3'!$A$1:$R$116</definedName>
    <definedName name="Z_F84F801C_695D_48CE_B142_0B7895FE071F_.wvu.FilterData" localSheetId="1" hidden="1">'Jan 4 - Jan 10'!$A$1:$R$116</definedName>
  </definedNames>
  <calcPr calcId="181029"/>
  <customWorkbookViews>
    <customWorkbookView name="Cam" guid="{F84F801C-695D-48CE-B142-0B7895FE071F}" maximized="1" windowWidth="0" windowHeight="0" activeSheetId="0"/>
    <customWorkbookView name="Unique Pageviews" guid="{D4D06763-5632-4CAF-A0BD-7BAD6B3784B6}" maximized="1" windowWidth="0" windowHeight="0" activeSheetId="0"/>
    <customWorkbookView name="Filter 1" guid="{B30A5A85-2259-4488-9974-4EF5D1638E28}" maximized="1" windowWidth="0" windowHeight="0" activeSheetId="0"/>
  </customWorkbookViews>
</workbook>
</file>

<file path=xl/calcChain.xml><?xml version="1.0" encoding="utf-8"?>
<calcChain xmlns="http://schemas.openxmlformats.org/spreadsheetml/2006/main">
  <c r="B114" i="21" l="1"/>
  <c r="G113" i="21"/>
  <c r="B113" i="21"/>
  <c r="L112" i="21"/>
  <c r="K112" i="21"/>
  <c r="J112" i="21"/>
  <c r="I112" i="21"/>
  <c r="H112" i="21"/>
  <c r="G112" i="21"/>
  <c r="F112" i="21"/>
  <c r="E112" i="21"/>
  <c r="B112" i="21"/>
  <c r="L111" i="21"/>
  <c r="K111" i="21"/>
  <c r="J111" i="21"/>
  <c r="I111" i="21"/>
  <c r="H111" i="21"/>
  <c r="G111" i="21"/>
  <c r="F111" i="21"/>
  <c r="E111" i="21"/>
  <c r="D111" i="21"/>
  <c r="C111" i="21"/>
  <c r="B111" i="21"/>
  <c r="L110" i="21"/>
  <c r="K110" i="21"/>
  <c r="J110" i="21"/>
  <c r="I110" i="21"/>
  <c r="H110" i="21"/>
  <c r="G110" i="21"/>
  <c r="F110" i="21"/>
  <c r="E110" i="21"/>
  <c r="D110" i="21"/>
  <c r="C110" i="21"/>
  <c r="B110" i="21"/>
  <c r="L109" i="21"/>
  <c r="K109" i="21"/>
  <c r="J109" i="21"/>
  <c r="I109" i="21"/>
  <c r="H109" i="21"/>
  <c r="G109" i="21"/>
  <c r="F109" i="21"/>
  <c r="E109" i="21"/>
  <c r="D109" i="21"/>
  <c r="C109" i="21"/>
  <c r="B109" i="21"/>
  <c r="L108" i="21"/>
  <c r="K108" i="21"/>
  <c r="J108" i="21"/>
  <c r="I108" i="21"/>
  <c r="H108" i="21"/>
  <c r="G108" i="21"/>
  <c r="F108" i="21"/>
  <c r="E108" i="21"/>
  <c r="D108" i="21"/>
  <c r="C108" i="21"/>
  <c r="B108" i="21"/>
  <c r="L107" i="21"/>
  <c r="K107" i="21"/>
  <c r="J107" i="21"/>
  <c r="I107" i="21"/>
  <c r="H107" i="21"/>
  <c r="G107" i="21"/>
  <c r="F107" i="21"/>
  <c r="E107" i="21"/>
  <c r="D107" i="21"/>
  <c r="C107" i="21"/>
  <c r="B107" i="21"/>
  <c r="L106" i="21"/>
  <c r="K106" i="21"/>
  <c r="J106" i="21"/>
  <c r="I106" i="21"/>
  <c r="H106" i="21"/>
  <c r="G106" i="21"/>
  <c r="F106" i="21"/>
  <c r="E106" i="21"/>
  <c r="D106" i="21"/>
  <c r="C106" i="21"/>
  <c r="B106" i="21"/>
  <c r="L105" i="21"/>
  <c r="K105" i="21"/>
  <c r="J105" i="21"/>
  <c r="I105" i="21"/>
  <c r="H105" i="21"/>
  <c r="G105" i="21"/>
  <c r="F105" i="21"/>
  <c r="E105" i="21"/>
  <c r="D105" i="21"/>
  <c r="C105" i="21"/>
  <c r="B105" i="21"/>
  <c r="L104" i="21"/>
  <c r="K104" i="21"/>
  <c r="J104" i="21"/>
  <c r="I104" i="21"/>
  <c r="H104" i="21"/>
  <c r="G104" i="21"/>
  <c r="F104" i="21"/>
  <c r="E104" i="21"/>
  <c r="D104" i="21"/>
  <c r="C104" i="21"/>
  <c r="B104" i="21"/>
  <c r="L103" i="21"/>
  <c r="K103" i="21"/>
  <c r="J103" i="21"/>
  <c r="I103" i="21"/>
  <c r="H103" i="21"/>
  <c r="G103" i="21"/>
  <c r="F103" i="21"/>
  <c r="E103" i="21"/>
  <c r="D103" i="21"/>
  <c r="C103" i="21"/>
  <c r="B103" i="21"/>
  <c r="L102" i="21"/>
  <c r="K102" i="21"/>
  <c r="J102" i="21"/>
  <c r="I102" i="21"/>
  <c r="H102" i="21"/>
  <c r="G102" i="21"/>
  <c r="F102" i="21"/>
  <c r="E102" i="21"/>
  <c r="D102" i="21"/>
  <c r="C102" i="21"/>
  <c r="B102" i="21"/>
  <c r="L101" i="21"/>
  <c r="K101" i="21"/>
  <c r="J101" i="21"/>
  <c r="I101" i="21"/>
  <c r="H101" i="21"/>
  <c r="G101" i="21"/>
  <c r="F101" i="21"/>
  <c r="E101" i="21"/>
  <c r="D101" i="21"/>
  <c r="C101" i="21"/>
  <c r="B101" i="21"/>
  <c r="L100" i="21"/>
  <c r="K100" i="21"/>
  <c r="J100" i="21"/>
  <c r="I100" i="21"/>
  <c r="H100" i="21"/>
  <c r="G100" i="21"/>
  <c r="F100" i="21"/>
  <c r="E100" i="21"/>
  <c r="D100" i="21"/>
  <c r="C100" i="21"/>
  <c r="B100" i="21"/>
  <c r="L99" i="21"/>
  <c r="K99" i="21"/>
  <c r="J99" i="21"/>
  <c r="I99" i="21"/>
  <c r="H99" i="21"/>
  <c r="G99" i="21"/>
  <c r="F99" i="21"/>
  <c r="E99" i="21"/>
  <c r="D99" i="21"/>
  <c r="C99" i="21"/>
  <c r="B99" i="21"/>
  <c r="L98" i="21"/>
  <c r="K98" i="21"/>
  <c r="J98" i="21"/>
  <c r="I98" i="21"/>
  <c r="H98" i="21"/>
  <c r="G98" i="21"/>
  <c r="F98" i="21"/>
  <c r="E98" i="21"/>
  <c r="D98" i="21"/>
  <c r="C98" i="21"/>
  <c r="B98" i="21"/>
  <c r="L97" i="21"/>
  <c r="K97" i="21"/>
  <c r="J97" i="21"/>
  <c r="I97" i="21"/>
  <c r="H97" i="21"/>
  <c r="G97" i="21"/>
  <c r="F97" i="21"/>
  <c r="E97" i="21"/>
  <c r="D97" i="21"/>
  <c r="C97" i="21"/>
  <c r="B97" i="21"/>
  <c r="L96" i="21"/>
  <c r="K96" i="21"/>
  <c r="J96" i="21"/>
  <c r="I96" i="21"/>
  <c r="H96" i="21"/>
  <c r="G96" i="21"/>
  <c r="F96" i="21"/>
  <c r="E96" i="21"/>
  <c r="D96" i="21"/>
  <c r="C96" i="21"/>
  <c r="B96" i="21"/>
  <c r="L95" i="21"/>
  <c r="K95" i="21"/>
  <c r="J95" i="21"/>
  <c r="I95" i="21"/>
  <c r="H95" i="21"/>
  <c r="G95" i="21"/>
  <c r="F95" i="21"/>
  <c r="E95" i="21"/>
  <c r="D95" i="21"/>
  <c r="C95" i="21"/>
  <c r="B95" i="21"/>
  <c r="L94" i="21"/>
  <c r="K94" i="21"/>
  <c r="J94" i="21"/>
  <c r="I94" i="21"/>
  <c r="H94" i="21"/>
  <c r="G94" i="21"/>
  <c r="F94" i="21"/>
  <c r="E94" i="21"/>
  <c r="D94" i="21"/>
  <c r="C94" i="21"/>
  <c r="B94" i="21"/>
  <c r="L93" i="21"/>
  <c r="K93" i="21"/>
  <c r="J93" i="21"/>
  <c r="I93" i="21"/>
  <c r="H93" i="21"/>
  <c r="G93" i="21"/>
  <c r="F93" i="21"/>
  <c r="E93" i="21"/>
  <c r="D93" i="21"/>
  <c r="C93" i="21"/>
  <c r="B93" i="21"/>
  <c r="L92" i="21"/>
  <c r="K92" i="21"/>
  <c r="J92" i="21"/>
  <c r="I92" i="21"/>
  <c r="H92" i="21"/>
  <c r="G92" i="21"/>
  <c r="F92" i="21"/>
  <c r="E92" i="21"/>
  <c r="D92" i="21"/>
  <c r="C92" i="21"/>
  <c r="B92" i="21"/>
  <c r="L91" i="21"/>
  <c r="K91" i="21"/>
  <c r="J91" i="21"/>
  <c r="I91" i="21"/>
  <c r="H91" i="21"/>
  <c r="G91" i="21"/>
  <c r="F91" i="21"/>
  <c r="E91" i="21"/>
  <c r="D91" i="21"/>
  <c r="C91" i="21"/>
  <c r="B91" i="21"/>
  <c r="L90" i="21"/>
  <c r="K90" i="21"/>
  <c r="J90" i="21"/>
  <c r="I90" i="21"/>
  <c r="H90" i="21"/>
  <c r="G90" i="21"/>
  <c r="F90" i="21"/>
  <c r="E90" i="21"/>
  <c r="D90" i="21"/>
  <c r="C90" i="21"/>
  <c r="B90" i="21"/>
  <c r="L89" i="21"/>
  <c r="K89" i="21"/>
  <c r="J89" i="21"/>
  <c r="I89" i="21"/>
  <c r="H89" i="21"/>
  <c r="G89" i="21"/>
  <c r="F89" i="21"/>
  <c r="E89" i="21"/>
  <c r="D89" i="21"/>
  <c r="C89" i="21"/>
  <c r="B89" i="21"/>
  <c r="L88" i="21"/>
  <c r="K88" i="21"/>
  <c r="J88" i="21"/>
  <c r="I88" i="21"/>
  <c r="H88" i="21"/>
  <c r="G88" i="21"/>
  <c r="F88" i="21"/>
  <c r="E88" i="21"/>
  <c r="D88" i="21"/>
  <c r="C88" i="21"/>
  <c r="B88" i="21"/>
  <c r="L87" i="21"/>
  <c r="K87" i="21"/>
  <c r="J87" i="21"/>
  <c r="I87" i="21"/>
  <c r="H87" i="21"/>
  <c r="G87" i="21"/>
  <c r="F87" i="21"/>
  <c r="E87" i="21"/>
  <c r="D87" i="21"/>
  <c r="C87" i="21"/>
  <c r="B87" i="21"/>
  <c r="L86" i="21"/>
  <c r="K86" i="21"/>
  <c r="J86" i="21"/>
  <c r="I86" i="21"/>
  <c r="H86" i="21"/>
  <c r="G86" i="21"/>
  <c r="F86" i="21"/>
  <c r="E86" i="21"/>
  <c r="D86" i="21"/>
  <c r="C86" i="21"/>
  <c r="B86" i="21"/>
  <c r="L85" i="21"/>
  <c r="K85" i="21"/>
  <c r="J85" i="21"/>
  <c r="I85" i="21"/>
  <c r="H85" i="21"/>
  <c r="G85" i="21"/>
  <c r="F85" i="21"/>
  <c r="E85" i="21"/>
  <c r="D85" i="21"/>
  <c r="C85" i="21"/>
  <c r="B85" i="21"/>
  <c r="L84" i="21"/>
  <c r="K84" i="21"/>
  <c r="J84" i="21"/>
  <c r="I84" i="21"/>
  <c r="H84" i="21"/>
  <c r="G84" i="21"/>
  <c r="F84" i="21"/>
  <c r="E84" i="21"/>
  <c r="D84" i="21"/>
  <c r="C84" i="21"/>
  <c r="B84" i="21"/>
  <c r="L83" i="21"/>
  <c r="K83" i="21"/>
  <c r="J83" i="21"/>
  <c r="I83" i="21"/>
  <c r="H83" i="21"/>
  <c r="G83" i="21"/>
  <c r="F83" i="21"/>
  <c r="E83" i="21"/>
  <c r="D83" i="21"/>
  <c r="C83" i="21"/>
  <c r="B83" i="21"/>
  <c r="L82" i="21"/>
  <c r="K82" i="21"/>
  <c r="J82" i="21"/>
  <c r="I82" i="21"/>
  <c r="H82" i="21"/>
  <c r="G82" i="21"/>
  <c r="F82" i="21"/>
  <c r="E82" i="21"/>
  <c r="D82" i="21"/>
  <c r="C82" i="21"/>
  <c r="B82" i="21"/>
  <c r="L81" i="21"/>
  <c r="K81" i="21"/>
  <c r="J81" i="21"/>
  <c r="I81" i="21"/>
  <c r="H81" i="21"/>
  <c r="G81" i="21"/>
  <c r="F81" i="21"/>
  <c r="E81" i="21"/>
  <c r="D81" i="21"/>
  <c r="C81" i="21"/>
  <c r="B81" i="21"/>
  <c r="L80" i="21"/>
  <c r="K80" i="21"/>
  <c r="J80" i="21"/>
  <c r="I80" i="21"/>
  <c r="H80" i="21"/>
  <c r="G80" i="21"/>
  <c r="F80" i="21"/>
  <c r="E80" i="21"/>
  <c r="D80" i="21"/>
  <c r="C80" i="21"/>
  <c r="B80" i="21"/>
  <c r="L79" i="21"/>
  <c r="K79" i="21"/>
  <c r="J79" i="21"/>
  <c r="I79" i="21"/>
  <c r="H79" i="21"/>
  <c r="G79" i="21"/>
  <c r="F79" i="21"/>
  <c r="E79" i="21"/>
  <c r="D79" i="21"/>
  <c r="C79" i="21"/>
  <c r="B79" i="21"/>
  <c r="L78" i="21"/>
  <c r="K78" i="21"/>
  <c r="J78" i="21"/>
  <c r="I78" i="21"/>
  <c r="H78" i="21"/>
  <c r="G78" i="21"/>
  <c r="F78" i="21"/>
  <c r="E78" i="21"/>
  <c r="D78" i="21"/>
  <c r="C78" i="21"/>
  <c r="B78" i="21"/>
  <c r="L77" i="21"/>
  <c r="K77" i="21"/>
  <c r="J77" i="21"/>
  <c r="I77" i="21"/>
  <c r="H77" i="21"/>
  <c r="G77" i="21"/>
  <c r="F77" i="21"/>
  <c r="E77" i="21"/>
  <c r="D77" i="21"/>
  <c r="C77" i="21"/>
  <c r="B77" i="21"/>
  <c r="L76" i="21"/>
  <c r="K76" i="21"/>
  <c r="J76" i="21"/>
  <c r="I76" i="21"/>
  <c r="H76" i="21"/>
  <c r="G76" i="21"/>
  <c r="F76" i="21"/>
  <c r="E76" i="21"/>
  <c r="D76" i="21"/>
  <c r="C76" i="21"/>
  <c r="B76" i="21"/>
  <c r="L75" i="21"/>
  <c r="K75" i="21"/>
  <c r="J75" i="21"/>
  <c r="I75" i="21"/>
  <c r="H75" i="21"/>
  <c r="G75" i="21"/>
  <c r="F75" i="21"/>
  <c r="E75" i="21"/>
  <c r="D75" i="21"/>
  <c r="C75" i="21"/>
  <c r="B75" i="21"/>
  <c r="L74" i="21"/>
  <c r="K74" i="21"/>
  <c r="J74" i="21"/>
  <c r="I74" i="21"/>
  <c r="H74" i="21"/>
  <c r="G74" i="21"/>
  <c r="F74" i="21"/>
  <c r="E74" i="21"/>
  <c r="D74" i="21"/>
  <c r="C74" i="21"/>
  <c r="B74" i="21"/>
  <c r="L73" i="21"/>
  <c r="K73" i="21"/>
  <c r="J73" i="21"/>
  <c r="I73" i="21"/>
  <c r="H73" i="21"/>
  <c r="G73" i="21"/>
  <c r="F73" i="21"/>
  <c r="E73" i="21"/>
  <c r="D73" i="21"/>
  <c r="C73" i="21"/>
  <c r="B73" i="21"/>
  <c r="L72" i="21"/>
  <c r="K72" i="21"/>
  <c r="J72" i="21"/>
  <c r="I72" i="21"/>
  <c r="H72" i="21"/>
  <c r="G72" i="21"/>
  <c r="F72" i="21"/>
  <c r="E72" i="21"/>
  <c r="D72" i="21"/>
  <c r="C72" i="21"/>
  <c r="B72" i="21"/>
  <c r="L71" i="21"/>
  <c r="K71" i="21"/>
  <c r="J71" i="21"/>
  <c r="I71" i="21"/>
  <c r="H71" i="21"/>
  <c r="G71" i="21"/>
  <c r="F71" i="21"/>
  <c r="E71" i="21"/>
  <c r="D71" i="21"/>
  <c r="C71" i="21"/>
  <c r="B71" i="21"/>
  <c r="L70" i="21"/>
  <c r="K70" i="21"/>
  <c r="J70" i="21"/>
  <c r="I70" i="21"/>
  <c r="H70" i="21"/>
  <c r="G70" i="21"/>
  <c r="F70" i="21"/>
  <c r="E70" i="21"/>
  <c r="D70" i="21"/>
  <c r="C70" i="21"/>
  <c r="B70" i="21"/>
  <c r="L69" i="21"/>
  <c r="K69" i="21"/>
  <c r="J69" i="21"/>
  <c r="I69" i="21"/>
  <c r="H69" i="21"/>
  <c r="G69" i="21"/>
  <c r="F69" i="21"/>
  <c r="E69" i="21"/>
  <c r="D69" i="21"/>
  <c r="C69" i="21"/>
  <c r="B69" i="21"/>
  <c r="L68" i="21"/>
  <c r="K68" i="21"/>
  <c r="J68" i="21"/>
  <c r="I68" i="21"/>
  <c r="H68" i="21"/>
  <c r="G68" i="21"/>
  <c r="F68" i="21"/>
  <c r="E68" i="21"/>
  <c r="D68" i="21"/>
  <c r="C68" i="21"/>
  <c r="B68" i="21"/>
  <c r="L67" i="21"/>
  <c r="K67" i="21"/>
  <c r="J67" i="21"/>
  <c r="I67" i="21"/>
  <c r="H67" i="21"/>
  <c r="G67" i="21"/>
  <c r="F67" i="21"/>
  <c r="E67" i="21"/>
  <c r="D67" i="21"/>
  <c r="C67" i="21"/>
  <c r="B67" i="21"/>
  <c r="L66" i="21"/>
  <c r="K66" i="21"/>
  <c r="J66" i="21"/>
  <c r="I66" i="21"/>
  <c r="H66" i="21"/>
  <c r="G66" i="21"/>
  <c r="F66" i="21"/>
  <c r="E66" i="21"/>
  <c r="D66" i="21"/>
  <c r="C66" i="21"/>
  <c r="B66" i="21"/>
  <c r="L65" i="21"/>
  <c r="K65" i="21"/>
  <c r="J65" i="21"/>
  <c r="I65" i="21"/>
  <c r="H65" i="21"/>
  <c r="G65" i="21"/>
  <c r="F65" i="21"/>
  <c r="E65" i="21"/>
  <c r="D65" i="21"/>
  <c r="C65" i="21"/>
  <c r="B65" i="21"/>
  <c r="L64" i="21"/>
  <c r="K64" i="21"/>
  <c r="J64" i="21"/>
  <c r="I64" i="21"/>
  <c r="H64" i="21"/>
  <c r="G64" i="21"/>
  <c r="F64" i="21"/>
  <c r="E64" i="21"/>
  <c r="D64" i="21"/>
  <c r="C64" i="21"/>
  <c r="B64" i="21"/>
  <c r="L63" i="21"/>
  <c r="K63" i="21"/>
  <c r="J63" i="21"/>
  <c r="I63" i="21"/>
  <c r="H63" i="21"/>
  <c r="G63" i="21"/>
  <c r="F63" i="21"/>
  <c r="E63" i="21"/>
  <c r="D63" i="21"/>
  <c r="C63" i="21"/>
  <c r="B63" i="21"/>
  <c r="L62" i="21"/>
  <c r="K62" i="21"/>
  <c r="J62" i="21"/>
  <c r="I62" i="21"/>
  <c r="H62" i="21"/>
  <c r="G62" i="21"/>
  <c r="F62" i="21"/>
  <c r="E62" i="21"/>
  <c r="D62" i="21"/>
  <c r="C62" i="21"/>
  <c r="B62" i="21"/>
  <c r="L61" i="21"/>
  <c r="K61" i="21"/>
  <c r="J61" i="21"/>
  <c r="I61" i="21"/>
  <c r="H61" i="21"/>
  <c r="G61" i="21"/>
  <c r="F61" i="21"/>
  <c r="E61" i="21"/>
  <c r="D61" i="21"/>
  <c r="C61" i="21"/>
  <c r="B61" i="21"/>
  <c r="L60" i="21"/>
  <c r="K60" i="21"/>
  <c r="J60" i="21"/>
  <c r="I60" i="21"/>
  <c r="H60" i="21"/>
  <c r="G60" i="21"/>
  <c r="F60" i="21"/>
  <c r="E60" i="21"/>
  <c r="D60" i="21"/>
  <c r="C60" i="21"/>
  <c r="B60" i="21"/>
  <c r="L59" i="21"/>
  <c r="K59" i="21"/>
  <c r="J59" i="21"/>
  <c r="I59" i="21"/>
  <c r="H59" i="21"/>
  <c r="G59" i="21"/>
  <c r="F59" i="21"/>
  <c r="E59" i="21"/>
  <c r="D59" i="21"/>
  <c r="C59" i="21"/>
  <c r="B59" i="21"/>
  <c r="L58" i="21"/>
  <c r="K58" i="21"/>
  <c r="J58" i="21"/>
  <c r="I58" i="21"/>
  <c r="H58" i="21"/>
  <c r="G58" i="21"/>
  <c r="F58" i="21"/>
  <c r="E58" i="21"/>
  <c r="D58" i="21"/>
  <c r="C58" i="21"/>
  <c r="B58" i="21"/>
  <c r="L57" i="21"/>
  <c r="K57" i="21"/>
  <c r="J57" i="21"/>
  <c r="I57" i="21"/>
  <c r="H57" i="21"/>
  <c r="G57" i="21"/>
  <c r="F57" i="21"/>
  <c r="E57" i="21"/>
  <c r="D57" i="21"/>
  <c r="C57" i="21"/>
  <c r="B57" i="21"/>
  <c r="L56" i="21"/>
  <c r="K56" i="21"/>
  <c r="J56" i="21"/>
  <c r="I56" i="21"/>
  <c r="H56" i="21"/>
  <c r="G56" i="21"/>
  <c r="F56" i="21"/>
  <c r="E56" i="21"/>
  <c r="D56" i="21"/>
  <c r="C56" i="21"/>
  <c r="B56" i="21"/>
  <c r="L55" i="21"/>
  <c r="K55" i="21"/>
  <c r="J55" i="21"/>
  <c r="I55" i="21"/>
  <c r="H55" i="21"/>
  <c r="G55" i="21"/>
  <c r="F55" i="21"/>
  <c r="E55" i="21"/>
  <c r="D55" i="21"/>
  <c r="C55" i="21"/>
  <c r="B55" i="21"/>
  <c r="L54" i="21"/>
  <c r="K54" i="21"/>
  <c r="J54" i="21"/>
  <c r="I54" i="21"/>
  <c r="H54" i="21"/>
  <c r="G54" i="21"/>
  <c r="F54" i="21"/>
  <c r="E54" i="21"/>
  <c r="D54" i="21"/>
  <c r="C54" i="21"/>
  <c r="B54" i="21"/>
  <c r="L53" i="21"/>
  <c r="K53" i="21"/>
  <c r="J53" i="21"/>
  <c r="I53" i="21"/>
  <c r="H53" i="21"/>
  <c r="G53" i="21"/>
  <c r="F53" i="21"/>
  <c r="E53" i="21"/>
  <c r="D53" i="21"/>
  <c r="C53" i="21"/>
  <c r="B53" i="21"/>
  <c r="L52" i="21"/>
  <c r="K52" i="21"/>
  <c r="J52" i="21"/>
  <c r="I52" i="21"/>
  <c r="H52" i="21"/>
  <c r="G52" i="21"/>
  <c r="F52" i="21"/>
  <c r="E52" i="21"/>
  <c r="D52" i="21"/>
  <c r="C52" i="21"/>
  <c r="B52" i="21"/>
  <c r="L51" i="21"/>
  <c r="K51" i="21"/>
  <c r="J51" i="21"/>
  <c r="I51" i="21"/>
  <c r="H51" i="21"/>
  <c r="G51" i="21"/>
  <c r="F51" i="21"/>
  <c r="E51" i="21"/>
  <c r="D51" i="21"/>
  <c r="C51" i="21"/>
  <c r="B51" i="21"/>
  <c r="L50" i="21"/>
  <c r="K50" i="21"/>
  <c r="J50" i="21"/>
  <c r="I50" i="21"/>
  <c r="H50" i="21"/>
  <c r="G50" i="21"/>
  <c r="F50" i="21"/>
  <c r="E50" i="21"/>
  <c r="D50" i="21"/>
  <c r="C50" i="21"/>
  <c r="B50" i="21"/>
  <c r="L49" i="21"/>
  <c r="K49" i="21"/>
  <c r="J49" i="21"/>
  <c r="I49" i="21"/>
  <c r="H49" i="21"/>
  <c r="G49" i="21"/>
  <c r="F49" i="21"/>
  <c r="E49" i="21"/>
  <c r="D49" i="21"/>
  <c r="C49" i="21"/>
  <c r="B49" i="21"/>
  <c r="L48" i="21"/>
  <c r="K48" i="21"/>
  <c r="J48" i="21"/>
  <c r="I48" i="21"/>
  <c r="H48" i="21"/>
  <c r="G48" i="21"/>
  <c r="F48" i="21"/>
  <c r="E48" i="21"/>
  <c r="D48" i="21"/>
  <c r="C48" i="21"/>
  <c r="B48" i="21"/>
  <c r="L47" i="21"/>
  <c r="K47" i="21"/>
  <c r="J47" i="21"/>
  <c r="I47" i="21"/>
  <c r="H47" i="21"/>
  <c r="G47" i="21"/>
  <c r="F47" i="21"/>
  <c r="E47" i="21"/>
  <c r="D47" i="21"/>
  <c r="C47" i="21"/>
  <c r="B47" i="21"/>
  <c r="L46" i="21"/>
  <c r="K46" i="21"/>
  <c r="J46" i="21"/>
  <c r="I46" i="21"/>
  <c r="H46" i="21"/>
  <c r="G46" i="21"/>
  <c r="F46" i="21"/>
  <c r="E46" i="21"/>
  <c r="D46" i="21"/>
  <c r="C46" i="21"/>
  <c r="B46" i="21"/>
  <c r="L45" i="21"/>
  <c r="K45" i="21"/>
  <c r="J45" i="21"/>
  <c r="I45" i="21"/>
  <c r="H45" i="21"/>
  <c r="G45" i="21"/>
  <c r="F45" i="21"/>
  <c r="E45" i="21"/>
  <c r="D45" i="21"/>
  <c r="C45" i="21"/>
  <c r="B45" i="21"/>
  <c r="L44" i="21"/>
  <c r="K44" i="21"/>
  <c r="J44" i="21"/>
  <c r="I44" i="21"/>
  <c r="H44" i="21"/>
  <c r="G44" i="21"/>
  <c r="F44" i="21"/>
  <c r="E44" i="21"/>
  <c r="D44" i="21"/>
  <c r="C44" i="21"/>
  <c r="B44" i="21"/>
  <c r="L43" i="21"/>
  <c r="K43" i="21"/>
  <c r="J43" i="21"/>
  <c r="I43" i="21"/>
  <c r="H43" i="21"/>
  <c r="G43" i="21"/>
  <c r="F43" i="21"/>
  <c r="E43" i="21"/>
  <c r="D43" i="21"/>
  <c r="C43" i="21"/>
  <c r="B43" i="21"/>
  <c r="L42" i="21"/>
  <c r="K42" i="21"/>
  <c r="J42" i="21"/>
  <c r="I42" i="21"/>
  <c r="H42" i="21"/>
  <c r="G42" i="21"/>
  <c r="F42" i="21"/>
  <c r="E42" i="21"/>
  <c r="D42" i="21"/>
  <c r="C42" i="21"/>
  <c r="B42" i="21"/>
  <c r="L41" i="21"/>
  <c r="K41" i="21"/>
  <c r="J41" i="21"/>
  <c r="I41" i="21"/>
  <c r="H41" i="21"/>
  <c r="G41" i="21"/>
  <c r="F41" i="21"/>
  <c r="E41" i="21"/>
  <c r="D41" i="21"/>
  <c r="C41" i="21"/>
  <c r="B41" i="21"/>
  <c r="L40" i="21"/>
  <c r="K40" i="21"/>
  <c r="J40" i="21"/>
  <c r="I40" i="21"/>
  <c r="H40" i="21"/>
  <c r="G40" i="21"/>
  <c r="F40" i="21"/>
  <c r="E40" i="21"/>
  <c r="D40" i="21"/>
  <c r="C40" i="21"/>
  <c r="B40" i="21"/>
  <c r="L39" i="21"/>
  <c r="K39" i="21"/>
  <c r="J39" i="21"/>
  <c r="I39" i="21"/>
  <c r="H39" i="21"/>
  <c r="G39" i="21"/>
  <c r="F39" i="21"/>
  <c r="E39" i="21"/>
  <c r="D39" i="21"/>
  <c r="C39" i="21"/>
  <c r="B39" i="21"/>
  <c r="L38" i="21"/>
  <c r="K38" i="21"/>
  <c r="J38" i="21"/>
  <c r="I38" i="21"/>
  <c r="H38" i="21"/>
  <c r="G38" i="21"/>
  <c r="F38" i="21"/>
  <c r="E38" i="21"/>
  <c r="D38" i="21"/>
  <c r="C38" i="21"/>
  <c r="B38" i="21"/>
  <c r="L37" i="21"/>
  <c r="K37" i="21"/>
  <c r="J37" i="21"/>
  <c r="I37" i="21"/>
  <c r="H37" i="21"/>
  <c r="G37" i="21"/>
  <c r="F37" i="21"/>
  <c r="E37" i="21"/>
  <c r="D37" i="21"/>
  <c r="C37" i="21"/>
  <c r="B37" i="21"/>
  <c r="L36" i="21"/>
  <c r="K36" i="21"/>
  <c r="J36" i="21"/>
  <c r="I36" i="21"/>
  <c r="H36" i="21"/>
  <c r="G36" i="21"/>
  <c r="F36" i="21"/>
  <c r="E36" i="21"/>
  <c r="D36" i="21"/>
  <c r="C36" i="21"/>
  <c r="B36" i="21"/>
  <c r="L35" i="21"/>
  <c r="K35" i="21"/>
  <c r="J35" i="21"/>
  <c r="I35" i="21"/>
  <c r="H35" i="21"/>
  <c r="G35" i="21"/>
  <c r="F35" i="21"/>
  <c r="E35" i="21"/>
  <c r="D35" i="21"/>
  <c r="C35" i="21"/>
  <c r="B35" i="21"/>
  <c r="L34" i="21"/>
  <c r="K34" i="21"/>
  <c r="J34" i="21"/>
  <c r="I34" i="21"/>
  <c r="H34" i="21"/>
  <c r="G34" i="21"/>
  <c r="F34" i="21"/>
  <c r="E34" i="21"/>
  <c r="D34" i="21"/>
  <c r="C34" i="21"/>
  <c r="B34" i="21"/>
  <c r="L33" i="21"/>
  <c r="K33" i="21"/>
  <c r="J33" i="21"/>
  <c r="I33" i="21"/>
  <c r="H33" i="21"/>
  <c r="G33" i="21"/>
  <c r="F33" i="21"/>
  <c r="E33" i="21"/>
  <c r="D33" i="21"/>
  <c r="C33" i="21"/>
  <c r="B33" i="21"/>
  <c r="L32" i="21"/>
  <c r="K32" i="21"/>
  <c r="J32" i="21"/>
  <c r="I32" i="21"/>
  <c r="H32" i="21"/>
  <c r="G32" i="21"/>
  <c r="F32" i="21"/>
  <c r="E32" i="21"/>
  <c r="D32" i="21"/>
  <c r="C32" i="21"/>
  <c r="B32" i="21"/>
  <c r="L31" i="21"/>
  <c r="K31" i="21"/>
  <c r="J31" i="21"/>
  <c r="I31" i="21"/>
  <c r="H31" i="21"/>
  <c r="G31" i="21"/>
  <c r="F31" i="21"/>
  <c r="E31" i="21"/>
  <c r="D31" i="21"/>
  <c r="C31" i="21"/>
  <c r="B31" i="21"/>
  <c r="L30" i="21"/>
  <c r="K30" i="21"/>
  <c r="J30" i="21"/>
  <c r="I30" i="21"/>
  <c r="H30" i="21"/>
  <c r="G30" i="21"/>
  <c r="F30" i="21"/>
  <c r="E30" i="21"/>
  <c r="D30" i="21"/>
  <c r="C30" i="21"/>
  <c r="B30" i="21"/>
  <c r="L29" i="21"/>
  <c r="K29" i="21"/>
  <c r="J29" i="21"/>
  <c r="I29" i="21"/>
  <c r="H29" i="21"/>
  <c r="G29" i="21"/>
  <c r="F29" i="21"/>
  <c r="E29" i="21"/>
  <c r="D29" i="21"/>
  <c r="C29" i="21"/>
  <c r="B29" i="21"/>
  <c r="L28" i="21"/>
  <c r="K28" i="21"/>
  <c r="J28" i="21"/>
  <c r="I28" i="21"/>
  <c r="H28" i="21"/>
  <c r="G28" i="21"/>
  <c r="F28" i="21"/>
  <c r="E28" i="21"/>
  <c r="D28" i="21"/>
  <c r="C28" i="21"/>
  <c r="B28" i="21"/>
  <c r="L27" i="21"/>
  <c r="K27" i="21"/>
  <c r="J27" i="21"/>
  <c r="I27" i="21"/>
  <c r="H27" i="21"/>
  <c r="G27" i="21"/>
  <c r="F27" i="21"/>
  <c r="E27" i="21"/>
  <c r="D27" i="21"/>
  <c r="C27" i="21"/>
  <c r="B27" i="21"/>
  <c r="L26" i="21"/>
  <c r="K26" i="21"/>
  <c r="J26" i="21"/>
  <c r="I26" i="21"/>
  <c r="H26" i="21"/>
  <c r="G26" i="21"/>
  <c r="F26" i="21"/>
  <c r="E26" i="21"/>
  <c r="D26" i="21"/>
  <c r="C26" i="21"/>
  <c r="B26" i="21"/>
  <c r="L25" i="21"/>
  <c r="K25" i="21"/>
  <c r="J25" i="21"/>
  <c r="I25" i="21"/>
  <c r="H25" i="21"/>
  <c r="G25" i="21"/>
  <c r="F25" i="21"/>
  <c r="E25" i="21"/>
  <c r="D25" i="21"/>
  <c r="C25" i="21"/>
  <c r="B25" i="21"/>
  <c r="L24" i="21"/>
  <c r="K24" i="21"/>
  <c r="J24" i="21"/>
  <c r="I24" i="21"/>
  <c r="H24" i="21"/>
  <c r="G24" i="21"/>
  <c r="F24" i="21"/>
  <c r="E24" i="21"/>
  <c r="D24" i="21"/>
  <c r="C24" i="21"/>
  <c r="B24" i="21"/>
  <c r="L23" i="21"/>
  <c r="K23" i="21"/>
  <c r="J23" i="21"/>
  <c r="I23" i="21"/>
  <c r="H23" i="21"/>
  <c r="G23" i="21"/>
  <c r="F23" i="21"/>
  <c r="E23" i="21"/>
  <c r="D23" i="21"/>
  <c r="C23" i="21"/>
  <c r="B23" i="21"/>
  <c r="L22" i="21"/>
  <c r="K22" i="21"/>
  <c r="J22" i="21"/>
  <c r="I22" i="21"/>
  <c r="H22" i="21"/>
  <c r="G22" i="21"/>
  <c r="F22" i="21"/>
  <c r="E22" i="21"/>
  <c r="D22" i="21"/>
  <c r="C22" i="21"/>
  <c r="B22" i="21"/>
  <c r="L21" i="21"/>
  <c r="K21" i="21"/>
  <c r="J21" i="21"/>
  <c r="I21" i="21"/>
  <c r="H21" i="21"/>
  <c r="G21" i="21"/>
  <c r="F21" i="21"/>
  <c r="E21" i="21"/>
  <c r="D21" i="21"/>
  <c r="C21" i="21"/>
  <c r="B21" i="21"/>
  <c r="L20" i="21"/>
  <c r="K20" i="21"/>
  <c r="J20" i="21"/>
  <c r="I20" i="21"/>
  <c r="H20" i="21"/>
  <c r="G20" i="21"/>
  <c r="F20" i="21"/>
  <c r="E20" i="21"/>
  <c r="D20" i="21"/>
  <c r="C20" i="21"/>
  <c r="B20" i="21"/>
  <c r="L19" i="21"/>
  <c r="K19" i="21"/>
  <c r="J19" i="21"/>
  <c r="I19" i="21"/>
  <c r="H19" i="21"/>
  <c r="G19" i="21"/>
  <c r="F19" i="21"/>
  <c r="E19" i="21"/>
  <c r="D19" i="21"/>
  <c r="C19" i="21"/>
  <c r="B19" i="21"/>
  <c r="L18" i="21"/>
  <c r="K18" i="21"/>
  <c r="J18" i="21"/>
  <c r="I18" i="21"/>
  <c r="H18" i="21"/>
  <c r="G18" i="21"/>
  <c r="F18" i="21"/>
  <c r="E18" i="21"/>
  <c r="D18" i="21"/>
  <c r="C18" i="21"/>
  <c r="B18" i="21"/>
  <c r="L17" i="21"/>
  <c r="K17" i="21"/>
  <c r="J17" i="21"/>
  <c r="I17" i="21"/>
  <c r="H17" i="21"/>
  <c r="G17" i="21"/>
  <c r="F17" i="21"/>
  <c r="E17" i="21"/>
  <c r="D17" i="21"/>
  <c r="C17" i="21"/>
  <c r="B17" i="21"/>
  <c r="L16" i="21"/>
  <c r="K16" i="21"/>
  <c r="J16" i="21"/>
  <c r="I16" i="21"/>
  <c r="H16" i="21"/>
  <c r="G16" i="21"/>
  <c r="F16" i="21"/>
  <c r="E16" i="21"/>
  <c r="D16" i="21"/>
  <c r="C16" i="21"/>
  <c r="B16" i="21"/>
  <c r="L15" i="21"/>
  <c r="K15" i="21"/>
  <c r="J15" i="21"/>
  <c r="I15" i="21"/>
  <c r="H15" i="21"/>
  <c r="G15" i="21"/>
  <c r="F15" i="21"/>
  <c r="E15" i="21"/>
  <c r="D15" i="21"/>
  <c r="C15" i="21"/>
  <c r="B15" i="21"/>
  <c r="L14" i="21"/>
  <c r="K14" i="21"/>
  <c r="J14" i="21"/>
  <c r="I14" i="21"/>
  <c r="H14" i="21"/>
  <c r="G14" i="21"/>
  <c r="F14" i="21"/>
  <c r="E14" i="21"/>
  <c r="D14" i="21"/>
  <c r="C14" i="21"/>
  <c r="B14" i="21"/>
  <c r="L13" i="21"/>
  <c r="K13" i="21"/>
  <c r="J13" i="21"/>
  <c r="I13" i="21"/>
  <c r="H13" i="21"/>
  <c r="G13" i="21"/>
  <c r="F13" i="21"/>
  <c r="E13" i="21"/>
  <c r="D13" i="21"/>
  <c r="C13" i="21"/>
  <c r="B13" i="21"/>
  <c r="L12" i="21"/>
  <c r="K12" i="21"/>
  <c r="J12" i="21"/>
  <c r="I12" i="21"/>
  <c r="H12" i="21"/>
  <c r="G12" i="21"/>
  <c r="F12" i="21"/>
  <c r="E12" i="21"/>
  <c r="D12" i="21"/>
  <c r="C12" i="21"/>
  <c r="B12" i="21"/>
  <c r="L11" i="21"/>
  <c r="K11" i="21"/>
  <c r="J11" i="21"/>
  <c r="I11" i="21"/>
  <c r="H11" i="21"/>
  <c r="G11" i="21"/>
  <c r="F11" i="21"/>
  <c r="E11" i="21"/>
  <c r="D11" i="21"/>
  <c r="C11" i="21"/>
  <c r="B11" i="21"/>
  <c r="L10" i="21"/>
  <c r="K10" i="21"/>
  <c r="J10" i="21"/>
  <c r="I10" i="21"/>
  <c r="H10" i="21"/>
  <c r="G10" i="21"/>
  <c r="F10" i="21"/>
  <c r="E10" i="21"/>
  <c r="D10" i="21"/>
  <c r="C10" i="21"/>
  <c r="B10" i="21"/>
  <c r="L9" i="21"/>
  <c r="K9" i="21"/>
  <c r="J9" i="21"/>
  <c r="I9" i="21"/>
  <c r="H9" i="21"/>
  <c r="G9" i="21"/>
  <c r="F9" i="21"/>
  <c r="E9" i="21"/>
  <c r="D9" i="21"/>
  <c r="C9" i="21"/>
  <c r="B9" i="21"/>
  <c r="L8" i="21"/>
  <c r="K8" i="21"/>
  <c r="J8" i="21"/>
  <c r="I8" i="21"/>
  <c r="H8" i="21"/>
  <c r="G8" i="21"/>
  <c r="F8" i="21"/>
  <c r="E8" i="21"/>
  <c r="D8" i="21"/>
  <c r="C8" i="21"/>
  <c r="B8" i="21"/>
  <c r="L7" i="21"/>
  <c r="K7" i="21"/>
  <c r="J7" i="21"/>
  <c r="I7" i="21"/>
  <c r="H7" i="21"/>
  <c r="G7" i="21"/>
  <c r="F7" i="21"/>
  <c r="E7" i="21"/>
  <c r="D7" i="21"/>
  <c r="C7" i="21"/>
  <c r="B7" i="21"/>
  <c r="L6" i="21"/>
  <c r="K6" i="21"/>
  <c r="J6" i="21"/>
  <c r="I6" i="21"/>
  <c r="H6" i="21"/>
  <c r="G6" i="21"/>
  <c r="F6" i="21"/>
  <c r="E6" i="21"/>
  <c r="D6" i="21"/>
  <c r="C6" i="21"/>
  <c r="B6" i="21"/>
  <c r="L5" i="21"/>
  <c r="K5" i="21"/>
  <c r="J5" i="21"/>
  <c r="I5" i="21"/>
  <c r="H5" i="21"/>
  <c r="G5" i="21"/>
  <c r="F5" i="21"/>
  <c r="E5" i="21"/>
  <c r="D5" i="21"/>
  <c r="C5" i="21"/>
  <c r="B5" i="21"/>
  <c r="L4" i="21"/>
  <c r="K4" i="21"/>
  <c r="J4" i="21"/>
  <c r="I4" i="21"/>
  <c r="H4" i="21"/>
  <c r="G4" i="21"/>
  <c r="F4" i="21"/>
  <c r="E4" i="21"/>
  <c r="D4" i="21"/>
  <c r="C4" i="21"/>
  <c r="B4" i="21"/>
  <c r="A4" i="21"/>
  <c r="A5" i="21" s="1"/>
  <c r="A6" i="21" s="1"/>
  <c r="A7" i="21" s="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A21" i="21" s="1"/>
  <c r="A22" i="21" s="1"/>
  <c r="A23" i="21" s="1"/>
  <c r="A24" i="21" s="1"/>
  <c r="A25" i="21" s="1"/>
  <c r="A26" i="21" s="1"/>
  <c r="A27" i="21" s="1"/>
  <c r="A28" i="21" s="1"/>
  <c r="A29" i="21" s="1"/>
  <c r="A30" i="21" s="1"/>
  <c r="A31" i="21" s="1"/>
  <c r="A32" i="21" s="1"/>
  <c r="A33" i="21" s="1"/>
  <c r="A34" i="21" s="1"/>
  <c r="A35" i="21" s="1"/>
  <c r="A36" i="21" s="1"/>
  <c r="A37" i="21" s="1"/>
  <c r="A38" i="21" s="1"/>
  <c r="A39" i="21" s="1"/>
  <c r="A40" i="21" s="1"/>
  <c r="A41" i="21" s="1"/>
  <c r="A42" i="21" s="1"/>
  <c r="A43" i="21" s="1"/>
  <c r="A44" i="21" s="1"/>
  <c r="A45" i="21" s="1"/>
  <c r="A46" i="21" s="1"/>
  <c r="A47" i="21" s="1"/>
  <c r="A48" i="21" s="1"/>
  <c r="A49" i="21" s="1"/>
  <c r="A50" i="21" s="1"/>
  <c r="A51" i="21" s="1"/>
  <c r="A52" i="21" s="1"/>
  <c r="A53" i="21" s="1"/>
  <c r="A54" i="21" s="1"/>
  <c r="A55" i="21" s="1"/>
  <c r="A56" i="21" s="1"/>
  <c r="A57" i="21" s="1"/>
  <c r="A58" i="21" s="1"/>
  <c r="A59" i="21" s="1"/>
  <c r="A60" i="21" s="1"/>
  <c r="A61" i="21" s="1"/>
  <c r="A62" i="21" s="1"/>
  <c r="A63" i="21" s="1"/>
  <c r="A64" i="21" s="1"/>
  <c r="A65" i="21" s="1"/>
  <c r="A66" i="21" s="1"/>
  <c r="A67" i="21" s="1"/>
  <c r="A68" i="21" s="1"/>
  <c r="A69" i="21" s="1"/>
  <c r="A70" i="21" s="1"/>
  <c r="A71" i="21" s="1"/>
  <c r="A72" i="21" s="1"/>
  <c r="A73" i="21" s="1"/>
  <c r="A74" i="21" s="1"/>
  <c r="A75" i="21" s="1"/>
  <c r="A76" i="21" s="1"/>
  <c r="A77" i="21" s="1"/>
  <c r="A78" i="21" s="1"/>
  <c r="A79" i="21" s="1"/>
  <c r="A80" i="21" s="1"/>
  <c r="A81" i="21" s="1"/>
  <c r="A82" i="21" s="1"/>
  <c r="A83" i="21" s="1"/>
  <c r="A84" i="21" s="1"/>
  <c r="A85" i="21" s="1"/>
  <c r="A86" i="21" s="1"/>
  <c r="A87" i="21" s="1"/>
  <c r="A88" i="21" s="1"/>
  <c r="A89" i="21" s="1"/>
  <c r="A90" i="21" s="1"/>
  <c r="A91" i="21" s="1"/>
  <c r="A92" i="21" s="1"/>
  <c r="A93" i="21" s="1"/>
  <c r="A94" i="21" s="1"/>
  <c r="A95" i="21" s="1"/>
  <c r="A96" i="21" s="1"/>
  <c r="A97" i="21" s="1"/>
  <c r="A98" i="21" s="1"/>
  <c r="A99" i="21" s="1"/>
  <c r="A100" i="21" s="1"/>
  <c r="A101" i="21" s="1"/>
  <c r="A102" i="21" s="1"/>
  <c r="A103" i="21" s="1"/>
  <c r="A104" i="21" s="1"/>
  <c r="A105" i="21" s="1"/>
  <c r="A106" i="21" s="1"/>
  <c r="A107" i="21" s="1"/>
  <c r="A108" i="21" s="1"/>
  <c r="A109" i="21" s="1"/>
  <c r="A110" i="21" s="1"/>
  <c r="A111" i="21" s="1"/>
  <c r="L3" i="21"/>
  <c r="K3" i="21"/>
  <c r="J3" i="21"/>
  <c r="I3" i="21"/>
  <c r="H3" i="21"/>
  <c r="G3" i="21"/>
  <c r="F3" i="21"/>
  <c r="E3" i="21"/>
  <c r="D3" i="21"/>
  <c r="C3" i="21"/>
  <c r="B3" i="21"/>
  <c r="D2" i="21"/>
  <c r="C2" i="21"/>
  <c r="B2" i="21"/>
  <c r="H113" i="20"/>
  <c r="M113" i="21" s="1"/>
  <c r="G113" i="20"/>
  <c r="J113" i="21" s="1"/>
  <c r="F113" i="20"/>
  <c r="I113" i="21" s="1"/>
  <c r="E113" i="20"/>
  <c r="D113" i="20"/>
  <c r="C113" i="20"/>
  <c r="K113" i="21" s="1"/>
  <c r="F229" i="19"/>
  <c r="I228" i="19"/>
  <c r="H228" i="19"/>
  <c r="G228" i="19"/>
  <c r="F228" i="19"/>
  <c r="E228" i="19"/>
  <c r="I227" i="19"/>
  <c r="H227" i="19"/>
  <c r="G227" i="19"/>
  <c r="F227" i="19"/>
  <c r="E227" i="19"/>
  <c r="I226" i="19"/>
  <c r="H226" i="19"/>
  <c r="G226" i="19"/>
  <c r="F226" i="19"/>
  <c r="E226" i="19"/>
  <c r="I225" i="19"/>
  <c r="H225" i="19"/>
  <c r="G225" i="19"/>
  <c r="F225" i="19"/>
  <c r="E225" i="19"/>
  <c r="I224" i="19"/>
  <c r="H224" i="19"/>
  <c r="G224" i="19"/>
  <c r="F224" i="19"/>
  <c r="E224" i="19"/>
  <c r="I223" i="19"/>
  <c r="H223" i="19"/>
  <c r="G223" i="19"/>
  <c r="F223" i="19"/>
  <c r="E223" i="19"/>
  <c r="I222" i="19"/>
  <c r="H222" i="19"/>
  <c r="G222" i="19"/>
  <c r="F222" i="19"/>
  <c r="E222" i="19"/>
  <c r="I221" i="19"/>
  <c r="H221" i="19"/>
  <c r="G221" i="19"/>
  <c r="F221" i="19"/>
  <c r="E221" i="19"/>
  <c r="I220" i="19"/>
  <c r="H220" i="19"/>
  <c r="G220" i="19"/>
  <c r="F220" i="19"/>
  <c r="E220" i="19"/>
  <c r="I219" i="19"/>
  <c r="H219" i="19"/>
  <c r="G219" i="19"/>
  <c r="F219" i="19"/>
  <c r="E219" i="19"/>
  <c r="I218" i="19"/>
  <c r="H218" i="19"/>
  <c r="G218" i="19"/>
  <c r="F218" i="19"/>
  <c r="E218" i="19"/>
  <c r="I217" i="19"/>
  <c r="H217" i="19"/>
  <c r="G217" i="19"/>
  <c r="F217" i="19"/>
  <c r="E217" i="19"/>
  <c r="I216" i="19"/>
  <c r="H216" i="19"/>
  <c r="G216" i="19"/>
  <c r="F216" i="19"/>
  <c r="E216" i="19"/>
  <c r="I215" i="19"/>
  <c r="H215" i="19"/>
  <c r="G215" i="19"/>
  <c r="F215" i="19"/>
  <c r="E215" i="19"/>
  <c r="I214" i="19"/>
  <c r="H214" i="19"/>
  <c r="G214" i="19"/>
  <c r="F214" i="19"/>
  <c r="E214" i="19"/>
  <c r="I213" i="19"/>
  <c r="H213" i="19"/>
  <c r="G213" i="19"/>
  <c r="F213" i="19"/>
  <c r="E213" i="19"/>
  <c r="I212" i="19"/>
  <c r="H212" i="19"/>
  <c r="G212" i="19"/>
  <c r="F212" i="19"/>
  <c r="E212" i="19"/>
  <c r="I211" i="19"/>
  <c r="H211" i="19"/>
  <c r="G211" i="19"/>
  <c r="F211" i="19"/>
  <c r="E211" i="19"/>
  <c r="I210" i="19"/>
  <c r="H210" i="19"/>
  <c r="G210" i="19"/>
  <c r="F210" i="19"/>
  <c r="E210" i="19"/>
  <c r="I209" i="19"/>
  <c r="H209" i="19"/>
  <c r="G209" i="19"/>
  <c r="F209" i="19"/>
  <c r="E209" i="19"/>
  <c r="I208" i="19"/>
  <c r="H208" i="19"/>
  <c r="G208" i="19"/>
  <c r="F208" i="19"/>
  <c r="E208" i="19"/>
  <c r="I207" i="19"/>
  <c r="H207" i="19"/>
  <c r="G207" i="19"/>
  <c r="F207" i="19"/>
  <c r="E207" i="19"/>
  <c r="I206" i="19"/>
  <c r="H206" i="19"/>
  <c r="G206" i="19"/>
  <c r="F206" i="19"/>
  <c r="E206" i="19"/>
  <c r="I205" i="19"/>
  <c r="H205" i="19"/>
  <c r="G205" i="19"/>
  <c r="F205" i="19"/>
  <c r="E205" i="19"/>
  <c r="I204" i="19"/>
  <c r="H204" i="19"/>
  <c r="G204" i="19"/>
  <c r="F204" i="19"/>
  <c r="E204" i="19"/>
  <c r="I203" i="19"/>
  <c r="H203" i="19"/>
  <c r="G203" i="19"/>
  <c r="F203" i="19"/>
  <c r="E203" i="19"/>
  <c r="I202" i="19"/>
  <c r="H202" i="19"/>
  <c r="G202" i="19"/>
  <c r="F202" i="19"/>
  <c r="E202" i="19"/>
  <c r="I201" i="19"/>
  <c r="H201" i="19"/>
  <c r="G201" i="19"/>
  <c r="F201" i="19"/>
  <c r="E201" i="19"/>
  <c r="I200" i="19"/>
  <c r="H200" i="19"/>
  <c r="G200" i="19"/>
  <c r="F200" i="19"/>
  <c r="E200" i="19"/>
  <c r="I199" i="19"/>
  <c r="H199" i="19"/>
  <c r="G199" i="19"/>
  <c r="F199" i="19"/>
  <c r="E199" i="19"/>
  <c r="I198" i="19"/>
  <c r="H198" i="19"/>
  <c r="G198" i="19"/>
  <c r="F198" i="19"/>
  <c r="E198" i="19"/>
  <c r="I197" i="19"/>
  <c r="H197" i="19"/>
  <c r="G197" i="19"/>
  <c r="F197" i="19"/>
  <c r="E197" i="19"/>
  <c r="I196" i="19"/>
  <c r="H196" i="19"/>
  <c r="G196" i="19"/>
  <c r="F196" i="19"/>
  <c r="E196" i="19"/>
  <c r="I195" i="19"/>
  <c r="H195" i="19"/>
  <c r="G195" i="19"/>
  <c r="F195" i="19"/>
  <c r="E195" i="19"/>
  <c r="I194" i="19"/>
  <c r="H194" i="19"/>
  <c r="G194" i="19"/>
  <c r="F194" i="19"/>
  <c r="E194" i="19"/>
  <c r="I193" i="19"/>
  <c r="H193" i="19"/>
  <c r="G193" i="19"/>
  <c r="F193" i="19"/>
  <c r="E193" i="19"/>
  <c r="I192" i="19"/>
  <c r="H192" i="19"/>
  <c r="G192" i="19"/>
  <c r="F192" i="19"/>
  <c r="E192" i="19"/>
  <c r="I191" i="19"/>
  <c r="H191" i="19"/>
  <c r="G191" i="19"/>
  <c r="F191" i="19"/>
  <c r="E191" i="19"/>
  <c r="I190" i="19"/>
  <c r="H190" i="19"/>
  <c r="G190" i="19"/>
  <c r="F190" i="19"/>
  <c r="E190" i="19"/>
  <c r="I189" i="19"/>
  <c r="H189" i="19"/>
  <c r="G189" i="19"/>
  <c r="F189" i="19"/>
  <c r="E189" i="19"/>
  <c r="I188" i="19"/>
  <c r="H188" i="19"/>
  <c r="G188" i="19"/>
  <c r="F188" i="19"/>
  <c r="E188" i="19"/>
  <c r="I187" i="19"/>
  <c r="H187" i="19"/>
  <c r="G187" i="19"/>
  <c r="F187" i="19"/>
  <c r="E187" i="19"/>
  <c r="I186" i="19"/>
  <c r="H186" i="19"/>
  <c r="G186" i="19"/>
  <c r="F186" i="19"/>
  <c r="E186" i="19"/>
  <c r="I185" i="19"/>
  <c r="H185" i="19"/>
  <c r="G185" i="19"/>
  <c r="F185" i="19"/>
  <c r="E185" i="19"/>
  <c r="I184" i="19"/>
  <c r="H184" i="19"/>
  <c r="G184" i="19"/>
  <c r="F184" i="19"/>
  <c r="E184" i="19"/>
  <c r="I183" i="19"/>
  <c r="H183" i="19"/>
  <c r="G183" i="19"/>
  <c r="F183" i="19"/>
  <c r="E183" i="19"/>
  <c r="I182" i="19"/>
  <c r="H182" i="19"/>
  <c r="G182" i="19"/>
  <c r="F182" i="19"/>
  <c r="E182" i="19"/>
  <c r="I181" i="19"/>
  <c r="H181" i="19"/>
  <c r="G181" i="19"/>
  <c r="F181" i="19"/>
  <c r="E181" i="19"/>
  <c r="I180" i="19"/>
  <c r="H180" i="19"/>
  <c r="G180" i="19"/>
  <c r="F180" i="19"/>
  <c r="E180" i="19"/>
  <c r="I179" i="19"/>
  <c r="H179" i="19"/>
  <c r="G179" i="19"/>
  <c r="F179" i="19"/>
  <c r="E179" i="19"/>
  <c r="I178" i="19"/>
  <c r="H178" i="19"/>
  <c r="G178" i="19"/>
  <c r="F178" i="19"/>
  <c r="E178" i="19"/>
  <c r="I177" i="19"/>
  <c r="H177" i="19"/>
  <c r="G177" i="19"/>
  <c r="F177" i="19"/>
  <c r="E177" i="19"/>
  <c r="I176" i="19"/>
  <c r="H176" i="19"/>
  <c r="G176" i="19"/>
  <c r="F176" i="19"/>
  <c r="E176" i="19"/>
  <c r="I175" i="19"/>
  <c r="H175" i="19"/>
  <c r="G175" i="19"/>
  <c r="F175" i="19"/>
  <c r="E175" i="19"/>
  <c r="I174" i="19"/>
  <c r="H174" i="19"/>
  <c r="G174" i="19"/>
  <c r="F174" i="19"/>
  <c r="E174" i="19"/>
  <c r="I173" i="19"/>
  <c r="H173" i="19"/>
  <c r="G173" i="19"/>
  <c r="F173" i="19"/>
  <c r="E173" i="19"/>
  <c r="I172" i="19"/>
  <c r="H172" i="19"/>
  <c r="G172" i="19"/>
  <c r="F172" i="19"/>
  <c r="E172" i="19"/>
  <c r="I171" i="19"/>
  <c r="H171" i="19"/>
  <c r="G171" i="19"/>
  <c r="F171" i="19"/>
  <c r="E171" i="19"/>
  <c r="I170" i="19"/>
  <c r="H170" i="19"/>
  <c r="G170" i="19"/>
  <c r="F170" i="19"/>
  <c r="E170" i="19"/>
  <c r="I169" i="19"/>
  <c r="H169" i="19"/>
  <c r="G169" i="19"/>
  <c r="F169" i="19"/>
  <c r="E169" i="19"/>
  <c r="I168" i="19"/>
  <c r="H168" i="19"/>
  <c r="G168" i="19"/>
  <c r="F168" i="19"/>
  <c r="E168" i="19"/>
  <c r="I167" i="19"/>
  <c r="H167" i="19"/>
  <c r="G167" i="19"/>
  <c r="F167" i="19"/>
  <c r="E167" i="19"/>
  <c r="I166" i="19"/>
  <c r="H166" i="19"/>
  <c r="G166" i="19"/>
  <c r="F166" i="19"/>
  <c r="E166" i="19"/>
  <c r="I165" i="19"/>
  <c r="H165" i="19"/>
  <c r="G165" i="19"/>
  <c r="F165" i="19"/>
  <c r="E165" i="19"/>
  <c r="I164" i="19"/>
  <c r="H164" i="19"/>
  <c r="G164" i="19"/>
  <c r="F164" i="19"/>
  <c r="E164" i="19"/>
  <c r="I163" i="19"/>
  <c r="H163" i="19"/>
  <c r="G163" i="19"/>
  <c r="F163" i="19"/>
  <c r="E163" i="19"/>
  <c r="I162" i="19"/>
  <c r="H162" i="19"/>
  <c r="G162" i="19"/>
  <c r="F162" i="19"/>
  <c r="E162" i="19"/>
  <c r="I161" i="19"/>
  <c r="H161" i="19"/>
  <c r="G161" i="19"/>
  <c r="F161" i="19"/>
  <c r="E161" i="19"/>
  <c r="I160" i="19"/>
  <c r="H160" i="19"/>
  <c r="G160" i="19"/>
  <c r="F160" i="19"/>
  <c r="E160" i="19"/>
  <c r="I159" i="19"/>
  <c r="H159" i="19"/>
  <c r="G159" i="19"/>
  <c r="F159" i="19"/>
  <c r="E159" i="19"/>
  <c r="I158" i="19"/>
  <c r="H158" i="19"/>
  <c r="G158" i="19"/>
  <c r="F158" i="19"/>
  <c r="E158" i="19"/>
  <c r="I157" i="19"/>
  <c r="H157" i="19"/>
  <c r="G157" i="19"/>
  <c r="F157" i="19"/>
  <c r="E157" i="19"/>
  <c r="I156" i="19"/>
  <c r="H156" i="19"/>
  <c r="G156" i="19"/>
  <c r="F156" i="19"/>
  <c r="E156" i="19"/>
  <c r="I155" i="19"/>
  <c r="H155" i="19"/>
  <c r="G155" i="19"/>
  <c r="F155" i="19"/>
  <c r="E155" i="19"/>
  <c r="I154" i="19"/>
  <c r="H154" i="19"/>
  <c r="G154" i="19"/>
  <c r="F154" i="19"/>
  <c r="E154" i="19"/>
  <c r="I153" i="19"/>
  <c r="H153" i="19"/>
  <c r="G153" i="19"/>
  <c r="F153" i="19"/>
  <c r="E153" i="19"/>
  <c r="I152" i="19"/>
  <c r="H152" i="19"/>
  <c r="G152" i="19"/>
  <c r="F152" i="19"/>
  <c r="E152" i="19"/>
  <c r="I151" i="19"/>
  <c r="H151" i="19"/>
  <c r="G151" i="19"/>
  <c r="F151" i="19"/>
  <c r="E151" i="19"/>
  <c r="I150" i="19"/>
  <c r="H150" i="19"/>
  <c r="G150" i="19"/>
  <c r="F150" i="19"/>
  <c r="E150" i="19"/>
  <c r="I149" i="19"/>
  <c r="H149" i="19"/>
  <c r="G149" i="19"/>
  <c r="F149" i="19"/>
  <c r="E149" i="19"/>
  <c r="I148" i="19"/>
  <c r="H148" i="19"/>
  <c r="G148" i="19"/>
  <c r="F148" i="19"/>
  <c r="E148" i="19"/>
  <c r="I147" i="19"/>
  <c r="H147" i="19"/>
  <c r="G147" i="19"/>
  <c r="F147" i="19"/>
  <c r="E147" i="19"/>
  <c r="I146" i="19"/>
  <c r="H146" i="19"/>
  <c r="G146" i="19"/>
  <c r="F146" i="19"/>
  <c r="E146" i="19"/>
  <c r="I145" i="19"/>
  <c r="H145" i="19"/>
  <c r="G145" i="19"/>
  <c r="F145" i="19"/>
  <c r="E145" i="19"/>
  <c r="I144" i="19"/>
  <c r="H144" i="19"/>
  <c r="G144" i="19"/>
  <c r="F144" i="19"/>
  <c r="E144" i="19"/>
  <c r="I143" i="19"/>
  <c r="H143" i="19"/>
  <c r="G143" i="19"/>
  <c r="F143" i="19"/>
  <c r="E143" i="19"/>
  <c r="I142" i="19"/>
  <c r="H142" i="19"/>
  <c r="G142" i="19"/>
  <c r="F142" i="19"/>
  <c r="E142" i="19"/>
  <c r="I141" i="19"/>
  <c r="H141" i="19"/>
  <c r="G141" i="19"/>
  <c r="F141" i="19"/>
  <c r="E141" i="19"/>
  <c r="I140" i="19"/>
  <c r="H140" i="19"/>
  <c r="G140" i="19"/>
  <c r="F140" i="19"/>
  <c r="E140" i="19"/>
  <c r="I139" i="19"/>
  <c r="H139" i="19"/>
  <c r="G139" i="19"/>
  <c r="F139" i="19"/>
  <c r="E139" i="19"/>
  <c r="I138" i="19"/>
  <c r="H138" i="19"/>
  <c r="G138" i="19"/>
  <c r="F138" i="19"/>
  <c r="E138" i="19"/>
  <c r="I137" i="19"/>
  <c r="H137" i="19"/>
  <c r="G137" i="19"/>
  <c r="F137" i="19"/>
  <c r="E137" i="19"/>
  <c r="I136" i="19"/>
  <c r="H136" i="19"/>
  <c r="G136" i="19"/>
  <c r="F136" i="19"/>
  <c r="E136" i="19"/>
  <c r="I135" i="19"/>
  <c r="H135" i="19"/>
  <c r="G135" i="19"/>
  <c r="F135" i="19"/>
  <c r="E135" i="19"/>
  <c r="I134" i="19"/>
  <c r="H134" i="19"/>
  <c r="G134" i="19"/>
  <c r="F134" i="19"/>
  <c r="E134" i="19"/>
  <c r="I133" i="19"/>
  <c r="H133" i="19"/>
  <c r="G133" i="19"/>
  <c r="F133" i="19"/>
  <c r="E133" i="19"/>
  <c r="I132" i="19"/>
  <c r="H132" i="19"/>
  <c r="G132" i="19"/>
  <c r="F132" i="19"/>
  <c r="E132" i="19"/>
  <c r="I131" i="19"/>
  <c r="H131" i="19"/>
  <c r="G131" i="19"/>
  <c r="F131" i="19"/>
  <c r="E131" i="19"/>
  <c r="I130" i="19"/>
  <c r="H130" i="19"/>
  <c r="G130" i="19"/>
  <c r="F130" i="19"/>
  <c r="E130" i="19"/>
  <c r="I129" i="19"/>
  <c r="H129" i="19"/>
  <c r="G129" i="19"/>
  <c r="F129" i="19"/>
  <c r="E129" i="19"/>
  <c r="I128" i="19"/>
  <c r="H128" i="19"/>
  <c r="G128" i="19"/>
  <c r="F128" i="19"/>
  <c r="E128" i="19"/>
  <c r="I127" i="19"/>
  <c r="H127" i="19"/>
  <c r="G127" i="19"/>
  <c r="F127" i="19"/>
  <c r="E127" i="19"/>
  <c r="I126" i="19"/>
  <c r="H126" i="19"/>
  <c r="G126" i="19"/>
  <c r="F126" i="19"/>
  <c r="E126" i="19"/>
  <c r="I125" i="19"/>
  <c r="H125" i="19"/>
  <c r="G125" i="19"/>
  <c r="F125" i="19"/>
  <c r="E125" i="19"/>
  <c r="I124" i="19"/>
  <c r="H124" i="19"/>
  <c r="G124" i="19"/>
  <c r="F124" i="19"/>
  <c r="E124" i="19"/>
  <c r="I123" i="19"/>
  <c r="H123" i="19"/>
  <c r="G123" i="19"/>
  <c r="F123" i="19"/>
  <c r="E123" i="19"/>
  <c r="I122" i="19"/>
  <c r="H122" i="19"/>
  <c r="G122" i="19"/>
  <c r="F122" i="19"/>
  <c r="E122" i="19"/>
  <c r="I121" i="19"/>
  <c r="H121" i="19"/>
  <c r="G121" i="19"/>
  <c r="F121" i="19"/>
  <c r="E121" i="19"/>
  <c r="I120" i="19"/>
  <c r="H120" i="19"/>
  <c r="G120" i="19"/>
  <c r="F120" i="19"/>
  <c r="E120" i="19"/>
  <c r="I119" i="19"/>
  <c r="H119" i="19"/>
  <c r="G119" i="19"/>
  <c r="F119" i="19"/>
  <c r="E119" i="19"/>
  <c r="P113" i="19"/>
  <c r="I113" i="19"/>
  <c r="I229" i="19" s="1"/>
  <c r="H113" i="19"/>
  <c r="M113" i="18" s="1"/>
  <c r="G113" i="19"/>
  <c r="F113" i="19"/>
  <c r="E113" i="19"/>
  <c r="E229" i="19" s="1"/>
  <c r="D113" i="19"/>
  <c r="L113" i="18" s="1"/>
  <c r="P112" i="19"/>
  <c r="K112" i="19"/>
  <c r="P111" i="19"/>
  <c r="N111" i="19"/>
  <c r="M111" i="19"/>
  <c r="L111" i="19"/>
  <c r="K111" i="19"/>
  <c r="P110" i="19"/>
  <c r="N110" i="19"/>
  <c r="M110" i="19"/>
  <c r="L110" i="19"/>
  <c r="K110" i="19"/>
  <c r="P109" i="19"/>
  <c r="N109" i="19"/>
  <c r="M109" i="19"/>
  <c r="L109" i="19"/>
  <c r="K109" i="19"/>
  <c r="P108" i="19"/>
  <c r="N108" i="19"/>
  <c r="M108" i="19"/>
  <c r="L108" i="19"/>
  <c r="K108" i="19"/>
  <c r="P107" i="19"/>
  <c r="N107" i="19"/>
  <c r="M107" i="19"/>
  <c r="L107" i="19"/>
  <c r="K107" i="19"/>
  <c r="P106" i="19"/>
  <c r="N106" i="19"/>
  <c r="M106" i="19"/>
  <c r="L106" i="19"/>
  <c r="K106" i="19"/>
  <c r="P105" i="19"/>
  <c r="N105" i="19"/>
  <c r="M105" i="19"/>
  <c r="L105" i="19"/>
  <c r="K105" i="19"/>
  <c r="P104" i="19"/>
  <c r="N104" i="19"/>
  <c r="M104" i="19"/>
  <c r="L104" i="19"/>
  <c r="K104" i="19"/>
  <c r="P103" i="19"/>
  <c r="N103" i="19"/>
  <c r="M103" i="19"/>
  <c r="L103" i="19"/>
  <c r="K103" i="19"/>
  <c r="P102" i="19"/>
  <c r="N102" i="19"/>
  <c r="M102" i="19"/>
  <c r="L102" i="19"/>
  <c r="K102" i="19"/>
  <c r="P101" i="19"/>
  <c r="N101" i="19"/>
  <c r="M101" i="19"/>
  <c r="L101" i="19"/>
  <c r="K101" i="19"/>
  <c r="P100" i="19"/>
  <c r="N100" i="19"/>
  <c r="M100" i="19"/>
  <c r="L100" i="19"/>
  <c r="K100" i="19"/>
  <c r="P99" i="19"/>
  <c r="N99" i="19"/>
  <c r="M99" i="19"/>
  <c r="L99" i="19"/>
  <c r="K99" i="19"/>
  <c r="P98" i="19"/>
  <c r="N98" i="19"/>
  <c r="M98" i="19"/>
  <c r="L98" i="19"/>
  <c r="K98" i="19"/>
  <c r="P97" i="19"/>
  <c r="N97" i="19"/>
  <c r="M97" i="19"/>
  <c r="L97" i="19"/>
  <c r="K97" i="19"/>
  <c r="P96" i="19"/>
  <c r="N96" i="19"/>
  <c r="M96" i="19"/>
  <c r="L96" i="19"/>
  <c r="K96" i="19"/>
  <c r="P95" i="19"/>
  <c r="N95" i="19"/>
  <c r="M95" i="19"/>
  <c r="L95" i="19"/>
  <c r="K95" i="19"/>
  <c r="P94" i="19"/>
  <c r="N94" i="19"/>
  <c r="M94" i="19"/>
  <c r="L94" i="19"/>
  <c r="K94" i="19"/>
  <c r="P93" i="19"/>
  <c r="N93" i="19"/>
  <c r="M93" i="19"/>
  <c r="L93" i="19"/>
  <c r="K93" i="19"/>
  <c r="P92" i="19"/>
  <c r="N92" i="19"/>
  <c r="M92" i="19"/>
  <c r="L92" i="19"/>
  <c r="K92" i="19"/>
  <c r="P91" i="19"/>
  <c r="N91" i="19"/>
  <c r="M91" i="19"/>
  <c r="L91" i="19"/>
  <c r="K91" i="19"/>
  <c r="P90" i="19"/>
  <c r="N90" i="19"/>
  <c r="M90" i="19"/>
  <c r="L90" i="19"/>
  <c r="K90" i="19"/>
  <c r="P89" i="19"/>
  <c r="N89" i="19"/>
  <c r="M89" i="19"/>
  <c r="L89" i="19"/>
  <c r="K89" i="19"/>
  <c r="P88" i="19"/>
  <c r="N88" i="19"/>
  <c r="M88" i="19"/>
  <c r="L88" i="19"/>
  <c r="K88" i="19"/>
  <c r="P87" i="19"/>
  <c r="N87" i="19"/>
  <c r="M87" i="19"/>
  <c r="L87" i="19"/>
  <c r="K87" i="19"/>
  <c r="P86" i="19"/>
  <c r="N86" i="19"/>
  <c r="M86" i="19"/>
  <c r="L86" i="19"/>
  <c r="K86" i="19"/>
  <c r="P85" i="19"/>
  <c r="N85" i="19"/>
  <c r="M85" i="19"/>
  <c r="L85" i="19"/>
  <c r="K85" i="19"/>
  <c r="P84" i="19"/>
  <c r="N84" i="19"/>
  <c r="M84" i="19"/>
  <c r="L84" i="19"/>
  <c r="K84" i="19"/>
  <c r="P83" i="19"/>
  <c r="N83" i="19"/>
  <c r="M83" i="19"/>
  <c r="L83" i="19"/>
  <c r="K83" i="19"/>
  <c r="P82" i="19"/>
  <c r="N82" i="19"/>
  <c r="M82" i="19"/>
  <c r="L82" i="19"/>
  <c r="K82" i="19"/>
  <c r="P81" i="19"/>
  <c r="N81" i="19"/>
  <c r="M81" i="19"/>
  <c r="L81" i="19"/>
  <c r="K81" i="19"/>
  <c r="P80" i="19"/>
  <c r="N80" i="19"/>
  <c r="M80" i="19"/>
  <c r="L80" i="19"/>
  <c r="K80" i="19"/>
  <c r="P79" i="19"/>
  <c r="N79" i="19"/>
  <c r="M79" i="19"/>
  <c r="L79" i="19"/>
  <c r="K79" i="19"/>
  <c r="P78" i="19"/>
  <c r="N78" i="19"/>
  <c r="M78" i="19"/>
  <c r="L78" i="19"/>
  <c r="K78" i="19"/>
  <c r="P77" i="19"/>
  <c r="N77" i="19"/>
  <c r="M77" i="19"/>
  <c r="L77" i="19"/>
  <c r="K77" i="19"/>
  <c r="P76" i="19"/>
  <c r="N76" i="19"/>
  <c r="M76" i="19"/>
  <c r="L76" i="19"/>
  <c r="K76" i="19"/>
  <c r="P75" i="19"/>
  <c r="N75" i="19"/>
  <c r="M75" i="19"/>
  <c r="L75" i="19"/>
  <c r="K75" i="19"/>
  <c r="P74" i="19"/>
  <c r="N74" i="19"/>
  <c r="M74" i="19"/>
  <c r="L74" i="19"/>
  <c r="K74" i="19"/>
  <c r="P73" i="19"/>
  <c r="N73" i="19"/>
  <c r="M73" i="19"/>
  <c r="L73" i="19"/>
  <c r="K73" i="19"/>
  <c r="P72" i="19"/>
  <c r="N72" i="19"/>
  <c r="M72" i="19"/>
  <c r="L72" i="19"/>
  <c r="K72" i="19"/>
  <c r="P71" i="19"/>
  <c r="N71" i="19"/>
  <c r="M71" i="19"/>
  <c r="L71" i="19"/>
  <c r="K71" i="19"/>
  <c r="P70" i="19"/>
  <c r="N70" i="19"/>
  <c r="M70" i="19"/>
  <c r="L70" i="19"/>
  <c r="K70" i="19"/>
  <c r="P69" i="19"/>
  <c r="N69" i="19"/>
  <c r="M69" i="19"/>
  <c r="L69" i="19"/>
  <c r="K69" i="19"/>
  <c r="P68" i="19"/>
  <c r="N68" i="19"/>
  <c r="M68" i="19"/>
  <c r="L68" i="19"/>
  <c r="K68" i="19"/>
  <c r="P67" i="19"/>
  <c r="N67" i="19"/>
  <c r="M67" i="19"/>
  <c r="L67" i="19"/>
  <c r="K67" i="19"/>
  <c r="P66" i="19"/>
  <c r="N66" i="19"/>
  <c r="M66" i="19"/>
  <c r="L66" i="19"/>
  <c r="K66" i="19"/>
  <c r="P65" i="19"/>
  <c r="N65" i="19"/>
  <c r="M65" i="19"/>
  <c r="L65" i="19"/>
  <c r="K65" i="19"/>
  <c r="P64" i="19"/>
  <c r="N64" i="19"/>
  <c r="M64" i="19"/>
  <c r="L64" i="19"/>
  <c r="K64" i="19"/>
  <c r="P63" i="19"/>
  <c r="N63" i="19"/>
  <c r="M63" i="19"/>
  <c r="L63" i="19"/>
  <c r="K63" i="19"/>
  <c r="P62" i="19"/>
  <c r="N62" i="19"/>
  <c r="M62" i="19"/>
  <c r="L62" i="19"/>
  <c r="K62" i="19"/>
  <c r="P61" i="19"/>
  <c r="N61" i="19"/>
  <c r="M61" i="19"/>
  <c r="L61" i="19"/>
  <c r="K61" i="19"/>
  <c r="P60" i="19"/>
  <c r="N60" i="19"/>
  <c r="M60" i="19"/>
  <c r="L60" i="19"/>
  <c r="K60" i="19"/>
  <c r="P59" i="19"/>
  <c r="N59" i="19"/>
  <c r="M59" i="19"/>
  <c r="L59" i="19"/>
  <c r="K59" i="19"/>
  <c r="P58" i="19"/>
  <c r="N58" i="19"/>
  <c r="M58" i="19"/>
  <c r="L58" i="19"/>
  <c r="K58" i="19"/>
  <c r="P57" i="19"/>
  <c r="N57" i="19"/>
  <c r="M57" i="19"/>
  <c r="L57" i="19"/>
  <c r="K57" i="19"/>
  <c r="P56" i="19"/>
  <c r="N56" i="19"/>
  <c r="M56" i="19"/>
  <c r="L56" i="19"/>
  <c r="K56" i="19"/>
  <c r="P55" i="19"/>
  <c r="N55" i="19"/>
  <c r="M55" i="19"/>
  <c r="L55" i="19"/>
  <c r="K55" i="19"/>
  <c r="P54" i="19"/>
  <c r="N54" i="19"/>
  <c r="M54" i="19"/>
  <c r="L54" i="19"/>
  <c r="K54" i="19"/>
  <c r="P53" i="19"/>
  <c r="N53" i="19"/>
  <c r="M53" i="19"/>
  <c r="L53" i="19"/>
  <c r="K53" i="19"/>
  <c r="P52" i="19"/>
  <c r="N52" i="19"/>
  <c r="M52" i="19"/>
  <c r="L52" i="19"/>
  <c r="K52" i="19"/>
  <c r="P51" i="19"/>
  <c r="N51" i="19"/>
  <c r="M51" i="19"/>
  <c r="L51" i="19"/>
  <c r="K51" i="19"/>
  <c r="P50" i="19"/>
  <c r="N50" i="19"/>
  <c r="M50" i="19"/>
  <c r="L50" i="19"/>
  <c r="K50" i="19"/>
  <c r="P49" i="19"/>
  <c r="N49" i="19"/>
  <c r="M49" i="19"/>
  <c r="L49" i="19"/>
  <c r="K49" i="19"/>
  <c r="P48" i="19"/>
  <c r="N48" i="19"/>
  <c r="M48" i="19"/>
  <c r="L48" i="19"/>
  <c r="K48" i="19"/>
  <c r="P47" i="19"/>
  <c r="N47" i="19"/>
  <c r="M47" i="19"/>
  <c r="L47" i="19"/>
  <c r="K47" i="19"/>
  <c r="P46" i="19"/>
  <c r="N46" i="19"/>
  <c r="M46" i="19"/>
  <c r="L46" i="19"/>
  <c r="K46" i="19"/>
  <c r="P45" i="19"/>
  <c r="N45" i="19"/>
  <c r="M45" i="19"/>
  <c r="L45" i="19"/>
  <c r="K45" i="19"/>
  <c r="P44" i="19"/>
  <c r="N44" i="19"/>
  <c r="M44" i="19"/>
  <c r="L44" i="19"/>
  <c r="K44" i="19"/>
  <c r="P43" i="19"/>
  <c r="N43" i="19"/>
  <c r="M43" i="19"/>
  <c r="L43" i="19"/>
  <c r="K43" i="19"/>
  <c r="P42" i="19"/>
  <c r="N42" i="19"/>
  <c r="M42" i="19"/>
  <c r="L42" i="19"/>
  <c r="K42" i="19"/>
  <c r="P41" i="19"/>
  <c r="N41" i="19"/>
  <c r="M41" i="19"/>
  <c r="L41" i="19"/>
  <c r="K41" i="19"/>
  <c r="P40" i="19"/>
  <c r="N40" i="19"/>
  <c r="M40" i="19"/>
  <c r="L40" i="19"/>
  <c r="K40" i="19"/>
  <c r="P39" i="19"/>
  <c r="N39" i="19"/>
  <c r="M39" i="19"/>
  <c r="L39" i="19"/>
  <c r="K39" i="19"/>
  <c r="P38" i="19"/>
  <c r="N38" i="19"/>
  <c r="M38" i="19"/>
  <c r="L38" i="19"/>
  <c r="K38" i="19"/>
  <c r="P37" i="19"/>
  <c r="N37" i="19"/>
  <c r="M37" i="19"/>
  <c r="L37" i="19"/>
  <c r="K37" i="19"/>
  <c r="P36" i="19"/>
  <c r="N36" i="19"/>
  <c r="M36" i="19"/>
  <c r="L36" i="19"/>
  <c r="K36" i="19"/>
  <c r="P35" i="19"/>
  <c r="N35" i="19"/>
  <c r="M35" i="19"/>
  <c r="L35" i="19"/>
  <c r="K35" i="19"/>
  <c r="P34" i="19"/>
  <c r="N34" i="19"/>
  <c r="M34" i="19"/>
  <c r="L34" i="19"/>
  <c r="K34" i="19"/>
  <c r="P33" i="19"/>
  <c r="N33" i="19"/>
  <c r="M33" i="19"/>
  <c r="L33" i="19"/>
  <c r="K33" i="19"/>
  <c r="P32" i="19"/>
  <c r="N32" i="19"/>
  <c r="M32" i="19"/>
  <c r="L32" i="19"/>
  <c r="K32" i="19"/>
  <c r="P31" i="19"/>
  <c r="N31" i="19"/>
  <c r="M31" i="19"/>
  <c r="L31" i="19"/>
  <c r="K31" i="19"/>
  <c r="W30" i="19"/>
  <c r="P30" i="19"/>
  <c r="N30" i="19"/>
  <c r="M30" i="19"/>
  <c r="L30" i="19"/>
  <c r="K30" i="19"/>
  <c r="W29" i="19"/>
  <c r="P29" i="19"/>
  <c r="N29" i="19"/>
  <c r="M29" i="19"/>
  <c r="L29" i="19"/>
  <c r="K29" i="19"/>
  <c r="W28" i="19"/>
  <c r="P28" i="19"/>
  <c r="N28" i="19"/>
  <c r="M28" i="19"/>
  <c r="L28" i="19"/>
  <c r="K28" i="19"/>
  <c r="W27" i="19"/>
  <c r="P27" i="19"/>
  <c r="N27" i="19"/>
  <c r="M27" i="19"/>
  <c r="L27" i="19"/>
  <c r="K27" i="19"/>
  <c r="W26" i="19"/>
  <c r="P26" i="19"/>
  <c r="N26" i="19"/>
  <c r="M26" i="19"/>
  <c r="L26" i="19"/>
  <c r="K26" i="19"/>
  <c r="W25" i="19"/>
  <c r="P25" i="19"/>
  <c r="N25" i="19"/>
  <c r="M25" i="19"/>
  <c r="L25" i="19"/>
  <c r="K25" i="19"/>
  <c r="W24" i="19"/>
  <c r="P24" i="19"/>
  <c r="N24" i="19"/>
  <c r="M24" i="19"/>
  <c r="L24" i="19"/>
  <c r="K24" i="19"/>
  <c r="W23" i="19"/>
  <c r="P23" i="19"/>
  <c r="N23" i="19"/>
  <c r="M23" i="19"/>
  <c r="L23" i="19"/>
  <c r="K23" i="19"/>
  <c r="W22" i="19"/>
  <c r="P22" i="19"/>
  <c r="N22" i="19"/>
  <c r="M22" i="19"/>
  <c r="L22" i="19"/>
  <c r="K22" i="19"/>
  <c r="W21" i="19"/>
  <c r="P21" i="19"/>
  <c r="N21" i="19"/>
  <c r="M21" i="19"/>
  <c r="L21" i="19"/>
  <c r="K21" i="19"/>
  <c r="W20" i="19"/>
  <c r="P20" i="19"/>
  <c r="N20" i="19"/>
  <c r="M20" i="19"/>
  <c r="L20" i="19"/>
  <c r="K20" i="19"/>
  <c r="P19" i="19"/>
  <c r="N19" i="19"/>
  <c r="M19" i="19"/>
  <c r="L19" i="19"/>
  <c r="K19" i="19"/>
  <c r="P18" i="19"/>
  <c r="N18" i="19"/>
  <c r="M18" i="19"/>
  <c r="L18" i="19"/>
  <c r="K18" i="19"/>
  <c r="P17" i="19"/>
  <c r="N17" i="19"/>
  <c r="M17" i="19"/>
  <c r="L17" i="19"/>
  <c r="K17" i="19"/>
  <c r="P16" i="19"/>
  <c r="N16" i="19"/>
  <c r="M16" i="19"/>
  <c r="L16" i="19"/>
  <c r="K16" i="19"/>
  <c r="P15" i="19"/>
  <c r="N15" i="19"/>
  <c r="M15" i="19"/>
  <c r="L15" i="19"/>
  <c r="K15" i="19"/>
  <c r="W14" i="19"/>
  <c r="P14" i="19"/>
  <c r="N14" i="19"/>
  <c r="M14" i="19"/>
  <c r="L14" i="19"/>
  <c r="K14" i="19"/>
  <c r="W13" i="19"/>
  <c r="P13" i="19"/>
  <c r="N13" i="19"/>
  <c r="M13" i="19"/>
  <c r="L13" i="19"/>
  <c r="K13" i="19"/>
  <c r="W12" i="19"/>
  <c r="P12" i="19"/>
  <c r="N12" i="19"/>
  <c r="M12" i="19"/>
  <c r="L12" i="19"/>
  <c r="K12" i="19"/>
  <c r="W11" i="19"/>
  <c r="P11" i="19"/>
  <c r="N11" i="19"/>
  <c r="M11" i="19"/>
  <c r="L11" i="19"/>
  <c r="K11" i="19"/>
  <c r="W10" i="19"/>
  <c r="P10" i="19"/>
  <c r="N10" i="19"/>
  <c r="M10" i="19"/>
  <c r="L10" i="19"/>
  <c r="K10" i="19"/>
  <c r="W9" i="19"/>
  <c r="P9" i="19"/>
  <c r="N9" i="19"/>
  <c r="M9" i="19"/>
  <c r="L9" i="19"/>
  <c r="K9" i="19"/>
  <c r="W8" i="19"/>
  <c r="P8" i="19"/>
  <c r="N8" i="19"/>
  <c r="M8" i="19"/>
  <c r="L8" i="19"/>
  <c r="K8" i="19"/>
  <c r="W7" i="19"/>
  <c r="P7" i="19"/>
  <c r="N7" i="19"/>
  <c r="M7" i="19"/>
  <c r="L7" i="19"/>
  <c r="K7" i="19"/>
  <c r="W6" i="19"/>
  <c r="P6" i="19"/>
  <c r="N6" i="19"/>
  <c r="M6" i="19"/>
  <c r="L6" i="19"/>
  <c r="K6" i="19"/>
  <c r="W5" i="19"/>
  <c r="P5" i="19"/>
  <c r="N5" i="19"/>
  <c r="M5" i="19"/>
  <c r="L5" i="19"/>
  <c r="K5" i="19"/>
  <c r="P4" i="19"/>
  <c r="N4" i="19"/>
  <c r="M4" i="19"/>
  <c r="L4" i="19"/>
  <c r="K4" i="19"/>
  <c r="P3" i="19"/>
  <c r="N3" i="19"/>
  <c r="M3" i="19"/>
  <c r="L3" i="19"/>
  <c r="K3" i="19"/>
  <c r="B114" i="18"/>
  <c r="K113" i="18"/>
  <c r="H113" i="18"/>
  <c r="G113" i="18"/>
  <c r="F113" i="18"/>
  <c r="B113" i="18"/>
  <c r="M112" i="18"/>
  <c r="L112" i="18"/>
  <c r="K112" i="18"/>
  <c r="J112" i="18"/>
  <c r="I112" i="18"/>
  <c r="H112" i="18"/>
  <c r="G112" i="18"/>
  <c r="F112" i="18"/>
  <c r="B112" i="18"/>
  <c r="M111" i="18"/>
  <c r="L111" i="18"/>
  <c r="K111" i="18"/>
  <c r="J111" i="18"/>
  <c r="I111" i="18"/>
  <c r="H111" i="18"/>
  <c r="G111" i="18"/>
  <c r="F111" i="18"/>
  <c r="D111" i="18"/>
  <c r="C111" i="18"/>
  <c r="B111" i="18"/>
  <c r="M110" i="18"/>
  <c r="L110" i="18"/>
  <c r="K110" i="18"/>
  <c r="J110" i="18"/>
  <c r="I110" i="18"/>
  <c r="H110" i="18"/>
  <c r="G110" i="18"/>
  <c r="F110" i="18"/>
  <c r="D110" i="18"/>
  <c r="C110" i="18"/>
  <c r="B110" i="18"/>
  <c r="M109" i="18"/>
  <c r="L109" i="18"/>
  <c r="K109" i="18"/>
  <c r="J109" i="18"/>
  <c r="I109" i="18"/>
  <c r="H109" i="18"/>
  <c r="G109" i="18"/>
  <c r="F109" i="18"/>
  <c r="D109" i="18"/>
  <c r="C109" i="18"/>
  <c r="B109" i="18"/>
  <c r="M108" i="18"/>
  <c r="L108" i="18"/>
  <c r="K108" i="18"/>
  <c r="J108" i="18"/>
  <c r="I108" i="18"/>
  <c r="H108" i="18"/>
  <c r="G108" i="18"/>
  <c r="F108" i="18"/>
  <c r="D108" i="18"/>
  <c r="E108" i="18" s="1"/>
  <c r="C108" i="18"/>
  <c r="B108" i="18"/>
  <c r="M107" i="18"/>
  <c r="L107" i="18"/>
  <c r="K107" i="18"/>
  <c r="J107" i="18"/>
  <c r="I107" i="18"/>
  <c r="H107" i="18"/>
  <c r="G107" i="18"/>
  <c r="F107" i="18"/>
  <c r="D107" i="18"/>
  <c r="C107" i="18"/>
  <c r="B107" i="18"/>
  <c r="M106" i="18"/>
  <c r="L106" i="18"/>
  <c r="K106" i="18"/>
  <c r="J106" i="18"/>
  <c r="I106" i="18"/>
  <c r="H106" i="18"/>
  <c r="G106" i="18"/>
  <c r="F106" i="18"/>
  <c r="D106" i="18"/>
  <c r="C106" i="18"/>
  <c r="B106" i="18"/>
  <c r="M105" i="18"/>
  <c r="L105" i="18"/>
  <c r="K105" i="18"/>
  <c r="J105" i="18"/>
  <c r="I105" i="18"/>
  <c r="H105" i="18"/>
  <c r="G105" i="18"/>
  <c r="F105" i="18"/>
  <c r="D105" i="18"/>
  <c r="C105" i="18"/>
  <c r="B105" i="18"/>
  <c r="M104" i="18"/>
  <c r="L104" i="18"/>
  <c r="K104" i="18"/>
  <c r="J104" i="18"/>
  <c r="I104" i="18"/>
  <c r="H104" i="18"/>
  <c r="G104" i="18"/>
  <c r="F104" i="18"/>
  <c r="D104" i="18"/>
  <c r="E104" i="18" s="1"/>
  <c r="C104" i="18"/>
  <c r="B104" i="18"/>
  <c r="M103" i="18"/>
  <c r="L103" i="18"/>
  <c r="K103" i="18"/>
  <c r="J103" i="18"/>
  <c r="I103" i="18"/>
  <c r="H103" i="18"/>
  <c r="G103" i="18"/>
  <c r="F103" i="18"/>
  <c r="D103" i="18"/>
  <c r="C103" i="18"/>
  <c r="B103" i="18"/>
  <c r="M102" i="18"/>
  <c r="L102" i="18"/>
  <c r="K102" i="18"/>
  <c r="J102" i="18"/>
  <c r="I102" i="18"/>
  <c r="H102" i="18"/>
  <c r="G102" i="18"/>
  <c r="F102" i="18"/>
  <c r="D102" i="18"/>
  <c r="C102" i="18"/>
  <c r="B102" i="18"/>
  <c r="M101" i="18"/>
  <c r="L101" i="18"/>
  <c r="K101" i="18"/>
  <c r="J101" i="18"/>
  <c r="I101" i="18"/>
  <c r="H101" i="18"/>
  <c r="G101" i="18"/>
  <c r="F101" i="18"/>
  <c r="D101" i="18"/>
  <c r="C101" i="18"/>
  <c r="B101" i="18"/>
  <c r="M100" i="18"/>
  <c r="L100" i="18"/>
  <c r="K100" i="18"/>
  <c r="J100" i="18"/>
  <c r="I100" i="18"/>
  <c r="H100" i="18"/>
  <c r="G100" i="18"/>
  <c r="F100" i="18"/>
  <c r="D100" i="18"/>
  <c r="E100" i="18" s="1"/>
  <c r="C100" i="18"/>
  <c r="B100" i="18"/>
  <c r="M99" i="18"/>
  <c r="L99" i="18"/>
  <c r="K99" i="18"/>
  <c r="J99" i="18"/>
  <c r="I99" i="18"/>
  <c r="H99" i="18"/>
  <c r="G99" i="18"/>
  <c r="F99" i="18"/>
  <c r="D99" i="18"/>
  <c r="C99" i="18"/>
  <c r="B99" i="18"/>
  <c r="M98" i="18"/>
  <c r="L98" i="18"/>
  <c r="K98" i="18"/>
  <c r="J98" i="18"/>
  <c r="I98" i="18"/>
  <c r="H98" i="18"/>
  <c r="G98" i="18"/>
  <c r="F98" i="18"/>
  <c r="D98" i="18"/>
  <c r="C98" i="18"/>
  <c r="B98" i="18"/>
  <c r="M97" i="18"/>
  <c r="L97" i="18"/>
  <c r="K97" i="18"/>
  <c r="J97" i="18"/>
  <c r="I97" i="18"/>
  <c r="H97" i="18"/>
  <c r="G97" i="18"/>
  <c r="F97" i="18"/>
  <c r="D97" i="18"/>
  <c r="C97" i="18"/>
  <c r="B97" i="18"/>
  <c r="M96" i="18"/>
  <c r="L96" i="18"/>
  <c r="K96" i="18"/>
  <c r="J96" i="18"/>
  <c r="I96" i="18"/>
  <c r="H96" i="18"/>
  <c r="G96" i="18"/>
  <c r="F96" i="18"/>
  <c r="D96" i="18"/>
  <c r="E96" i="18" s="1"/>
  <c r="C96" i="18"/>
  <c r="B96" i="18"/>
  <c r="M95" i="18"/>
  <c r="L95" i="18"/>
  <c r="K95" i="18"/>
  <c r="J95" i="18"/>
  <c r="I95" i="18"/>
  <c r="H95" i="18"/>
  <c r="G95" i="18"/>
  <c r="F95" i="18"/>
  <c r="D95" i="18"/>
  <c r="C95" i="18"/>
  <c r="B95" i="18"/>
  <c r="M94" i="18"/>
  <c r="L94" i="18"/>
  <c r="K94" i="18"/>
  <c r="J94" i="18"/>
  <c r="I94" i="18"/>
  <c r="H94" i="18"/>
  <c r="G94" i="18"/>
  <c r="F94" i="18"/>
  <c r="D94" i="18"/>
  <c r="C94" i="18"/>
  <c r="B94" i="18"/>
  <c r="M93" i="18"/>
  <c r="L93" i="18"/>
  <c r="K93" i="18"/>
  <c r="J93" i="18"/>
  <c r="I93" i="18"/>
  <c r="H93" i="18"/>
  <c r="G93" i="18"/>
  <c r="F93" i="18"/>
  <c r="D93" i="18"/>
  <c r="C93" i="18"/>
  <c r="B93" i="18"/>
  <c r="M92" i="18"/>
  <c r="L92" i="18"/>
  <c r="K92" i="18"/>
  <c r="J92" i="18"/>
  <c r="I92" i="18"/>
  <c r="H92" i="18"/>
  <c r="G92" i="18"/>
  <c r="F92" i="18"/>
  <c r="D92" i="18"/>
  <c r="E92" i="18" s="1"/>
  <c r="C92" i="18"/>
  <c r="B92" i="18"/>
  <c r="M91" i="18"/>
  <c r="L91" i="18"/>
  <c r="K91" i="18"/>
  <c r="J91" i="18"/>
  <c r="I91" i="18"/>
  <c r="H91" i="18"/>
  <c r="G91" i="18"/>
  <c r="F91" i="18"/>
  <c r="D91" i="18"/>
  <c r="C91" i="18"/>
  <c r="B91" i="18"/>
  <c r="M90" i="18"/>
  <c r="L90" i="18"/>
  <c r="K90" i="18"/>
  <c r="J90" i="18"/>
  <c r="I90" i="18"/>
  <c r="H90" i="18"/>
  <c r="G90" i="18"/>
  <c r="F90" i="18"/>
  <c r="D90" i="18"/>
  <c r="C90" i="18"/>
  <c r="B90" i="18"/>
  <c r="M89" i="18"/>
  <c r="L89" i="18"/>
  <c r="K89" i="18"/>
  <c r="J89" i="18"/>
  <c r="I89" i="18"/>
  <c r="H89" i="18"/>
  <c r="G89" i="18"/>
  <c r="F89" i="18"/>
  <c r="D89" i="18"/>
  <c r="C89" i="18"/>
  <c r="B89" i="18"/>
  <c r="M88" i="18"/>
  <c r="L88" i="18"/>
  <c r="K88" i="18"/>
  <c r="J88" i="18"/>
  <c r="I88" i="18"/>
  <c r="H88" i="18"/>
  <c r="G88" i="18"/>
  <c r="F88" i="18"/>
  <c r="D88" i="18"/>
  <c r="E88" i="18" s="1"/>
  <c r="C88" i="18"/>
  <c r="B88" i="18"/>
  <c r="M87" i="18"/>
  <c r="L87" i="18"/>
  <c r="K87" i="18"/>
  <c r="J87" i="18"/>
  <c r="I87" i="18"/>
  <c r="H87" i="18"/>
  <c r="G87" i="18"/>
  <c r="F87" i="18"/>
  <c r="D87" i="18"/>
  <c r="C87" i="18"/>
  <c r="B87" i="18"/>
  <c r="M86" i="18"/>
  <c r="L86" i="18"/>
  <c r="K86" i="18"/>
  <c r="J86" i="18"/>
  <c r="I86" i="18"/>
  <c r="H86" i="18"/>
  <c r="G86" i="18"/>
  <c r="F86" i="18"/>
  <c r="D86" i="18"/>
  <c r="C86" i="18"/>
  <c r="B86" i="18"/>
  <c r="M85" i="18"/>
  <c r="L85" i="18"/>
  <c r="K85" i="18"/>
  <c r="J85" i="18"/>
  <c r="I85" i="18"/>
  <c r="H85" i="18"/>
  <c r="G85" i="18"/>
  <c r="F85" i="18"/>
  <c r="D85" i="18"/>
  <c r="C85" i="18"/>
  <c r="B85" i="18"/>
  <c r="M84" i="18"/>
  <c r="L84" i="18"/>
  <c r="K84" i="18"/>
  <c r="J84" i="18"/>
  <c r="I84" i="18"/>
  <c r="H84" i="18"/>
  <c r="G84" i="18"/>
  <c r="F84" i="18"/>
  <c r="D84" i="18"/>
  <c r="E84" i="18" s="1"/>
  <c r="C84" i="18"/>
  <c r="B84" i="18"/>
  <c r="M83" i="18"/>
  <c r="L83" i="18"/>
  <c r="K83" i="18"/>
  <c r="J83" i="18"/>
  <c r="I83" i="18"/>
  <c r="H83" i="18"/>
  <c r="G83" i="18"/>
  <c r="F83" i="18"/>
  <c r="D83" i="18"/>
  <c r="C83" i="18"/>
  <c r="B83" i="18"/>
  <c r="M82" i="18"/>
  <c r="L82" i="18"/>
  <c r="K82" i="18"/>
  <c r="J82" i="18"/>
  <c r="I82" i="18"/>
  <c r="H82" i="18"/>
  <c r="G82" i="18"/>
  <c r="F82" i="18"/>
  <c r="D82" i="18"/>
  <c r="C82" i="18"/>
  <c r="B82" i="18"/>
  <c r="M81" i="18"/>
  <c r="L81" i="18"/>
  <c r="K81" i="18"/>
  <c r="J81" i="18"/>
  <c r="I81" i="18"/>
  <c r="H81" i="18"/>
  <c r="G81" i="18"/>
  <c r="F81" i="18"/>
  <c r="D81" i="18"/>
  <c r="C81" i="18"/>
  <c r="B81" i="18"/>
  <c r="M80" i="18"/>
  <c r="L80" i="18"/>
  <c r="K80" i="18"/>
  <c r="J80" i="18"/>
  <c r="I80" i="18"/>
  <c r="H80" i="18"/>
  <c r="G80" i="18"/>
  <c r="F80" i="18"/>
  <c r="D80" i="18"/>
  <c r="E80" i="18" s="1"/>
  <c r="C80" i="18"/>
  <c r="B80" i="18"/>
  <c r="M79" i="18"/>
  <c r="L79" i="18"/>
  <c r="K79" i="18"/>
  <c r="J79" i="18"/>
  <c r="I79" i="18"/>
  <c r="H79" i="18"/>
  <c r="G79" i="18"/>
  <c r="F79" i="18"/>
  <c r="D79" i="18"/>
  <c r="C79" i="18"/>
  <c r="B79" i="18"/>
  <c r="M78" i="18"/>
  <c r="L78" i="18"/>
  <c r="K78" i="18"/>
  <c r="J78" i="18"/>
  <c r="I78" i="18"/>
  <c r="H78" i="18"/>
  <c r="G78" i="18"/>
  <c r="F78" i="18"/>
  <c r="D78" i="18"/>
  <c r="C78" i="18"/>
  <c r="B78" i="18"/>
  <c r="M77" i="18"/>
  <c r="L77" i="18"/>
  <c r="K77" i="18"/>
  <c r="J77" i="18"/>
  <c r="I77" i="18"/>
  <c r="H77" i="18"/>
  <c r="G77" i="18"/>
  <c r="F77" i="18"/>
  <c r="D77" i="18"/>
  <c r="C77" i="18"/>
  <c r="B77" i="18"/>
  <c r="M76" i="18"/>
  <c r="L76" i="18"/>
  <c r="K76" i="18"/>
  <c r="J76" i="18"/>
  <c r="I76" i="18"/>
  <c r="H76" i="18"/>
  <c r="G76" i="18"/>
  <c r="F76" i="18"/>
  <c r="D76" i="18"/>
  <c r="E76" i="18" s="1"/>
  <c r="C76" i="18"/>
  <c r="B76" i="18"/>
  <c r="M75" i="18"/>
  <c r="L75" i="18"/>
  <c r="K75" i="18"/>
  <c r="J75" i="18"/>
  <c r="I75" i="18"/>
  <c r="H75" i="18"/>
  <c r="G75" i="18"/>
  <c r="F75" i="18"/>
  <c r="D75" i="18"/>
  <c r="C75" i="18"/>
  <c r="B75" i="18"/>
  <c r="M74" i="18"/>
  <c r="L74" i="18"/>
  <c r="K74" i="18"/>
  <c r="J74" i="18"/>
  <c r="I74" i="18"/>
  <c r="H74" i="18"/>
  <c r="G74" i="18"/>
  <c r="F74" i="18"/>
  <c r="D74" i="18"/>
  <c r="C74" i="18"/>
  <c r="B74" i="18"/>
  <c r="M73" i="18"/>
  <c r="L73" i="18"/>
  <c r="K73" i="18"/>
  <c r="J73" i="18"/>
  <c r="I73" i="18"/>
  <c r="H73" i="18"/>
  <c r="G73" i="18"/>
  <c r="F73" i="18"/>
  <c r="D73" i="18"/>
  <c r="C73" i="18"/>
  <c r="B73" i="18"/>
  <c r="M72" i="18"/>
  <c r="L72" i="18"/>
  <c r="K72" i="18"/>
  <c r="J72" i="18"/>
  <c r="I72" i="18"/>
  <c r="H72" i="18"/>
  <c r="G72" i="18"/>
  <c r="F72" i="18"/>
  <c r="D72" i="18"/>
  <c r="E72" i="18" s="1"/>
  <c r="C72" i="18"/>
  <c r="B72" i="18"/>
  <c r="M71" i="18"/>
  <c r="L71" i="18"/>
  <c r="K71" i="18"/>
  <c r="J71" i="18"/>
  <c r="I71" i="18"/>
  <c r="H71" i="18"/>
  <c r="G71" i="18"/>
  <c r="F71" i="18"/>
  <c r="D71" i="18"/>
  <c r="C71" i="18"/>
  <c r="B71" i="18"/>
  <c r="M70" i="18"/>
  <c r="L70" i="18"/>
  <c r="K70" i="18"/>
  <c r="J70" i="18"/>
  <c r="I70" i="18"/>
  <c r="H70" i="18"/>
  <c r="G70" i="18"/>
  <c r="F70" i="18"/>
  <c r="D70" i="18"/>
  <c r="C70" i="18"/>
  <c r="B70" i="18"/>
  <c r="M69" i="18"/>
  <c r="L69" i="18"/>
  <c r="K69" i="18"/>
  <c r="J69" i="18"/>
  <c r="I69" i="18"/>
  <c r="H69" i="18"/>
  <c r="G69" i="18"/>
  <c r="F69" i="18"/>
  <c r="D69" i="18"/>
  <c r="C69" i="18"/>
  <c r="B69" i="18"/>
  <c r="M68" i="18"/>
  <c r="L68" i="18"/>
  <c r="K68" i="18"/>
  <c r="J68" i="18"/>
  <c r="I68" i="18"/>
  <c r="H68" i="18"/>
  <c r="G68" i="18"/>
  <c r="F68" i="18"/>
  <c r="D68" i="18"/>
  <c r="E68" i="18" s="1"/>
  <c r="C68" i="18"/>
  <c r="B68" i="18"/>
  <c r="M67" i="18"/>
  <c r="L67" i="18"/>
  <c r="K67" i="18"/>
  <c r="J67" i="18"/>
  <c r="I67" i="18"/>
  <c r="H67" i="18"/>
  <c r="G67" i="18"/>
  <c r="F67" i="18"/>
  <c r="D67" i="18"/>
  <c r="C67" i="18"/>
  <c r="B67" i="18"/>
  <c r="M66" i="18"/>
  <c r="L66" i="18"/>
  <c r="K66" i="18"/>
  <c r="J66" i="18"/>
  <c r="I66" i="18"/>
  <c r="H66" i="18"/>
  <c r="G66" i="18"/>
  <c r="F66" i="18"/>
  <c r="D66" i="18"/>
  <c r="C66" i="18"/>
  <c r="B66" i="18"/>
  <c r="M65" i="18"/>
  <c r="L65" i="18"/>
  <c r="K65" i="18"/>
  <c r="J65" i="18"/>
  <c r="I65" i="18"/>
  <c r="H65" i="18"/>
  <c r="G65" i="18"/>
  <c r="F65" i="18"/>
  <c r="D65" i="18"/>
  <c r="C65" i="18"/>
  <c r="B65" i="18"/>
  <c r="M64" i="18"/>
  <c r="L64" i="18"/>
  <c r="K64" i="18"/>
  <c r="J64" i="18"/>
  <c r="I64" i="18"/>
  <c r="H64" i="18"/>
  <c r="G64" i="18"/>
  <c r="F64" i="18"/>
  <c r="D64" i="18"/>
  <c r="E64" i="18" s="1"/>
  <c r="C64" i="18"/>
  <c r="B64" i="18"/>
  <c r="M63" i="18"/>
  <c r="L63" i="18"/>
  <c r="K63" i="18"/>
  <c r="J63" i="18"/>
  <c r="I63" i="18"/>
  <c r="H63" i="18"/>
  <c r="G63" i="18"/>
  <c r="F63" i="18"/>
  <c r="D63" i="18"/>
  <c r="C63" i="18"/>
  <c r="B63" i="18"/>
  <c r="M62" i="18"/>
  <c r="L62" i="18"/>
  <c r="K62" i="18"/>
  <c r="J62" i="18"/>
  <c r="I62" i="18"/>
  <c r="H62" i="18"/>
  <c r="G62" i="18"/>
  <c r="F62" i="18"/>
  <c r="D62" i="18"/>
  <c r="C62" i="18"/>
  <c r="B62" i="18"/>
  <c r="M61" i="18"/>
  <c r="L61" i="18"/>
  <c r="K61" i="18"/>
  <c r="J61" i="18"/>
  <c r="I61" i="18"/>
  <c r="H61" i="18"/>
  <c r="G61" i="18"/>
  <c r="F61" i="18"/>
  <c r="D61" i="18"/>
  <c r="C61" i="18"/>
  <c r="B61" i="18"/>
  <c r="M60" i="18"/>
  <c r="L60" i="18"/>
  <c r="K60" i="18"/>
  <c r="J60" i="18"/>
  <c r="I60" i="18"/>
  <c r="H60" i="18"/>
  <c r="G60" i="18"/>
  <c r="F60" i="18"/>
  <c r="D60" i="18"/>
  <c r="E60" i="18" s="1"/>
  <c r="C60" i="18"/>
  <c r="B60" i="18"/>
  <c r="M59" i="18"/>
  <c r="L59" i="18"/>
  <c r="K59" i="18"/>
  <c r="J59" i="18"/>
  <c r="I59" i="18"/>
  <c r="H59" i="18"/>
  <c r="G59" i="18"/>
  <c r="F59" i="18"/>
  <c r="D59" i="18"/>
  <c r="C59" i="18"/>
  <c r="B59" i="18"/>
  <c r="M58" i="18"/>
  <c r="L58" i="18"/>
  <c r="K58" i="18"/>
  <c r="J58" i="18"/>
  <c r="I58" i="18"/>
  <c r="H58" i="18"/>
  <c r="G58" i="18"/>
  <c r="F58" i="18"/>
  <c r="D58" i="18"/>
  <c r="C58" i="18"/>
  <c r="B58" i="18"/>
  <c r="M57" i="18"/>
  <c r="L57" i="18"/>
  <c r="K57" i="18"/>
  <c r="J57" i="18"/>
  <c r="I57" i="18"/>
  <c r="H57" i="18"/>
  <c r="G57" i="18"/>
  <c r="F57" i="18"/>
  <c r="D57" i="18"/>
  <c r="C57" i="18"/>
  <c r="B57" i="18"/>
  <c r="M56" i="18"/>
  <c r="L56" i="18"/>
  <c r="K56" i="18"/>
  <c r="J56" i="18"/>
  <c r="I56" i="18"/>
  <c r="H56" i="18"/>
  <c r="G56" i="18"/>
  <c r="F56" i="18"/>
  <c r="D56" i="18"/>
  <c r="E56" i="18" s="1"/>
  <c r="C56" i="18"/>
  <c r="B56" i="18"/>
  <c r="M55" i="18"/>
  <c r="L55" i="18"/>
  <c r="K55" i="18"/>
  <c r="J55" i="18"/>
  <c r="I55" i="18"/>
  <c r="H55" i="18"/>
  <c r="G55" i="18"/>
  <c r="F55" i="18"/>
  <c r="D55" i="18"/>
  <c r="C55" i="18"/>
  <c r="B55" i="18"/>
  <c r="M54" i="18"/>
  <c r="L54" i="18"/>
  <c r="K54" i="18"/>
  <c r="J54" i="18"/>
  <c r="I54" i="18"/>
  <c r="H54" i="18"/>
  <c r="G54" i="18"/>
  <c r="F54" i="18"/>
  <c r="D54" i="18"/>
  <c r="C54" i="18"/>
  <c r="B54" i="18"/>
  <c r="M53" i="18"/>
  <c r="L53" i="18"/>
  <c r="K53" i="18"/>
  <c r="J53" i="18"/>
  <c r="I53" i="18"/>
  <c r="H53" i="18"/>
  <c r="G53" i="18"/>
  <c r="F53" i="18"/>
  <c r="D53" i="18"/>
  <c r="C53" i="18"/>
  <c r="B53" i="18"/>
  <c r="M52" i="18"/>
  <c r="L52" i="18"/>
  <c r="K52" i="18"/>
  <c r="J52" i="18"/>
  <c r="I52" i="18"/>
  <c r="H52" i="18"/>
  <c r="G52" i="18"/>
  <c r="F52" i="18"/>
  <c r="D52" i="18"/>
  <c r="E52" i="18" s="1"/>
  <c r="C52" i="18"/>
  <c r="B52" i="18"/>
  <c r="M51" i="18"/>
  <c r="L51" i="18"/>
  <c r="K51" i="18"/>
  <c r="J51" i="18"/>
  <c r="I51" i="18"/>
  <c r="H51" i="18"/>
  <c r="G51" i="18"/>
  <c r="F51" i="18"/>
  <c r="D51" i="18"/>
  <c r="C51" i="18"/>
  <c r="B51" i="18"/>
  <c r="M50" i="18"/>
  <c r="L50" i="18"/>
  <c r="K50" i="18"/>
  <c r="J50" i="18"/>
  <c r="I50" i="18"/>
  <c r="H50" i="18"/>
  <c r="G50" i="18"/>
  <c r="F50" i="18"/>
  <c r="D50" i="18"/>
  <c r="C50" i="18"/>
  <c r="B50" i="18"/>
  <c r="M49" i="18"/>
  <c r="L49" i="18"/>
  <c r="K49" i="18"/>
  <c r="J49" i="18"/>
  <c r="I49" i="18"/>
  <c r="H49" i="18"/>
  <c r="G49" i="18"/>
  <c r="F49" i="18"/>
  <c r="D49" i="18"/>
  <c r="C49" i="18"/>
  <c r="B49" i="18"/>
  <c r="M48" i="18"/>
  <c r="L48" i="18"/>
  <c r="K48" i="18"/>
  <c r="J48" i="18"/>
  <c r="I48" i="18"/>
  <c r="H48" i="18"/>
  <c r="G48" i="18"/>
  <c r="F48" i="18"/>
  <c r="D48" i="18"/>
  <c r="E48" i="18" s="1"/>
  <c r="C48" i="18"/>
  <c r="B48" i="18"/>
  <c r="M47" i="18"/>
  <c r="L47" i="18"/>
  <c r="K47" i="18"/>
  <c r="J47" i="18"/>
  <c r="I47" i="18"/>
  <c r="H47" i="18"/>
  <c r="G47" i="18"/>
  <c r="F47" i="18"/>
  <c r="D47" i="18"/>
  <c r="C47" i="18"/>
  <c r="B47" i="18"/>
  <c r="M46" i="18"/>
  <c r="L46" i="18"/>
  <c r="K46" i="18"/>
  <c r="J46" i="18"/>
  <c r="I46" i="18"/>
  <c r="H46" i="18"/>
  <c r="G46" i="18"/>
  <c r="F46" i="18"/>
  <c r="D46" i="18"/>
  <c r="C46" i="18"/>
  <c r="B46" i="18"/>
  <c r="M45" i="18"/>
  <c r="L45" i="18"/>
  <c r="K45" i="18"/>
  <c r="J45" i="18"/>
  <c r="I45" i="18"/>
  <c r="H45" i="18"/>
  <c r="G45" i="18"/>
  <c r="F45" i="18"/>
  <c r="D45" i="18"/>
  <c r="C45" i="18"/>
  <c r="B45" i="18"/>
  <c r="M44" i="18"/>
  <c r="L44" i="18"/>
  <c r="K44" i="18"/>
  <c r="J44" i="18"/>
  <c r="I44" i="18"/>
  <c r="H44" i="18"/>
  <c r="G44" i="18"/>
  <c r="F44" i="18"/>
  <c r="D44" i="18"/>
  <c r="E44" i="18" s="1"/>
  <c r="C44" i="18"/>
  <c r="B44" i="18"/>
  <c r="M43" i="18"/>
  <c r="L43" i="18"/>
  <c r="K43" i="18"/>
  <c r="J43" i="18"/>
  <c r="I43" i="18"/>
  <c r="H43" i="18"/>
  <c r="G43" i="18"/>
  <c r="F43" i="18"/>
  <c r="D43" i="18"/>
  <c r="C43" i="18"/>
  <c r="B43" i="18"/>
  <c r="M42" i="18"/>
  <c r="L42" i="18"/>
  <c r="K42" i="18"/>
  <c r="J42" i="18"/>
  <c r="I42" i="18"/>
  <c r="H42" i="18"/>
  <c r="G42" i="18"/>
  <c r="F42" i="18"/>
  <c r="D42" i="18"/>
  <c r="C42" i="18"/>
  <c r="B42" i="18"/>
  <c r="M41" i="18"/>
  <c r="L41" i="18"/>
  <c r="K41" i="18"/>
  <c r="J41" i="18"/>
  <c r="I41" i="18"/>
  <c r="H41" i="18"/>
  <c r="G41" i="18"/>
  <c r="F41" i="18"/>
  <c r="D41" i="18"/>
  <c r="C41" i="18"/>
  <c r="B41" i="18"/>
  <c r="M40" i="18"/>
  <c r="L40" i="18"/>
  <c r="K40" i="18"/>
  <c r="J40" i="18"/>
  <c r="I40" i="18"/>
  <c r="H40" i="18"/>
  <c r="G40" i="18"/>
  <c r="F40" i="18"/>
  <c r="D40" i="18"/>
  <c r="E40" i="18" s="1"/>
  <c r="C40" i="18"/>
  <c r="B40" i="18"/>
  <c r="M39" i="18"/>
  <c r="L39" i="18"/>
  <c r="K39" i="18"/>
  <c r="J39" i="18"/>
  <c r="I39" i="18"/>
  <c r="H39" i="18"/>
  <c r="G39" i="18"/>
  <c r="F39" i="18"/>
  <c r="D39" i="18"/>
  <c r="C39" i="18"/>
  <c r="B39" i="18"/>
  <c r="M38" i="18"/>
  <c r="L38" i="18"/>
  <c r="K38" i="18"/>
  <c r="J38" i="18"/>
  <c r="I38" i="18"/>
  <c r="H38" i="18"/>
  <c r="G38" i="18"/>
  <c r="F38" i="18"/>
  <c r="D38" i="18"/>
  <c r="C38" i="18"/>
  <c r="B38" i="18"/>
  <c r="M37" i="18"/>
  <c r="L37" i="18"/>
  <c r="K37" i="18"/>
  <c r="J37" i="18"/>
  <c r="I37" i="18"/>
  <c r="H37" i="18"/>
  <c r="G37" i="18"/>
  <c r="F37" i="18"/>
  <c r="D37" i="18"/>
  <c r="C37" i="18"/>
  <c r="B37" i="18"/>
  <c r="M36" i="18"/>
  <c r="L36" i="18"/>
  <c r="K36" i="18"/>
  <c r="J36" i="18"/>
  <c r="I36" i="18"/>
  <c r="H36" i="18"/>
  <c r="G36" i="18"/>
  <c r="F36" i="18"/>
  <c r="D36" i="18"/>
  <c r="E36" i="18" s="1"/>
  <c r="C36" i="18"/>
  <c r="B36" i="18"/>
  <c r="M35" i="18"/>
  <c r="L35" i="18"/>
  <c r="K35" i="18"/>
  <c r="J35" i="18"/>
  <c r="I35" i="18"/>
  <c r="H35" i="18"/>
  <c r="G35" i="18"/>
  <c r="F35" i="18"/>
  <c r="D35" i="18"/>
  <c r="C35" i="18"/>
  <c r="B35" i="18"/>
  <c r="M34" i="18"/>
  <c r="L34" i="18"/>
  <c r="K34" i="18"/>
  <c r="J34" i="18"/>
  <c r="I34" i="18"/>
  <c r="H34" i="18"/>
  <c r="G34" i="18"/>
  <c r="F34" i="18"/>
  <c r="D34" i="18"/>
  <c r="E34" i="18" s="1"/>
  <c r="C34" i="18"/>
  <c r="B34" i="18"/>
  <c r="M33" i="18"/>
  <c r="L33" i="18"/>
  <c r="K33" i="18"/>
  <c r="J33" i="18"/>
  <c r="I33" i="18"/>
  <c r="H33" i="18"/>
  <c r="G33" i="18"/>
  <c r="F33" i="18"/>
  <c r="D33" i="18"/>
  <c r="E33" i="18" s="1"/>
  <c r="C33" i="18"/>
  <c r="B33" i="18"/>
  <c r="M32" i="18"/>
  <c r="L32" i="18"/>
  <c r="K32" i="18"/>
  <c r="J32" i="18"/>
  <c r="I32" i="18"/>
  <c r="H32" i="18"/>
  <c r="G32" i="18"/>
  <c r="F32" i="18"/>
  <c r="D32" i="18"/>
  <c r="E32" i="18" s="1"/>
  <c r="C32" i="18"/>
  <c r="B32" i="18"/>
  <c r="M31" i="18"/>
  <c r="L31" i="18"/>
  <c r="K31" i="18"/>
  <c r="J31" i="18"/>
  <c r="I31" i="18"/>
  <c r="H31" i="18"/>
  <c r="G31" i="18"/>
  <c r="F31" i="18"/>
  <c r="D31" i="18"/>
  <c r="E31" i="18" s="1"/>
  <c r="C31" i="18"/>
  <c r="B31" i="18"/>
  <c r="M30" i="18"/>
  <c r="L30" i="18"/>
  <c r="K30" i="18"/>
  <c r="J30" i="18"/>
  <c r="I30" i="18"/>
  <c r="H30" i="18"/>
  <c r="G30" i="18"/>
  <c r="F30" i="18"/>
  <c r="D30" i="18"/>
  <c r="E30" i="18" s="1"/>
  <c r="C30" i="18"/>
  <c r="B30" i="18"/>
  <c r="M29" i="18"/>
  <c r="L29" i="18"/>
  <c r="K29" i="18"/>
  <c r="J29" i="18"/>
  <c r="I29" i="18"/>
  <c r="H29" i="18"/>
  <c r="G29" i="18"/>
  <c r="F29" i="18"/>
  <c r="D29" i="18"/>
  <c r="E29" i="18" s="1"/>
  <c r="C29" i="18"/>
  <c r="B29" i="18"/>
  <c r="M28" i="18"/>
  <c r="L28" i="18"/>
  <c r="K28" i="18"/>
  <c r="J28" i="18"/>
  <c r="I28" i="18"/>
  <c r="H28" i="18"/>
  <c r="G28" i="18"/>
  <c r="F28" i="18"/>
  <c r="D28" i="18"/>
  <c r="E28" i="18" s="1"/>
  <c r="C28" i="18"/>
  <c r="B28" i="18"/>
  <c r="M27" i="18"/>
  <c r="L27" i="18"/>
  <c r="K27" i="18"/>
  <c r="J27" i="18"/>
  <c r="I27" i="18"/>
  <c r="H27" i="18"/>
  <c r="G27" i="18"/>
  <c r="F27" i="18"/>
  <c r="D27" i="18"/>
  <c r="E27" i="18" s="1"/>
  <c r="C27" i="18"/>
  <c r="B27" i="18"/>
  <c r="M26" i="18"/>
  <c r="L26" i="18"/>
  <c r="K26" i="18"/>
  <c r="J26" i="18"/>
  <c r="I26" i="18"/>
  <c r="H26" i="18"/>
  <c r="G26" i="18"/>
  <c r="F26" i="18"/>
  <c r="D26" i="18"/>
  <c r="E26" i="18" s="1"/>
  <c r="C26" i="18"/>
  <c r="B26" i="18"/>
  <c r="M25" i="18"/>
  <c r="L25" i="18"/>
  <c r="K25" i="18"/>
  <c r="J25" i="18"/>
  <c r="I25" i="18"/>
  <c r="H25" i="18"/>
  <c r="G25" i="18"/>
  <c r="F25" i="18"/>
  <c r="D25" i="18"/>
  <c r="E25" i="18" s="1"/>
  <c r="C25" i="18"/>
  <c r="B25" i="18"/>
  <c r="M24" i="18"/>
  <c r="L24" i="18"/>
  <c r="K24" i="18"/>
  <c r="J24" i="18"/>
  <c r="I24" i="18"/>
  <c r="H24" i="18"/>
  <c r="G24" i="18"/>
  <c r="F24" i="18"/>
  <c r="D24" i="18"/>
  <c r="E24" i="18" s="1"/>
  <c r="C24" i="18"/>
  <c r="B24" i="18"/>
  <c r="M23" i="18"/>
  <c r="L23" i="18"/>
  <c r="K23" i="18"/>
  <c r="J23" i="18"/>
  <c r="I23" i="18"/>
  <c r="H23" i="18"/>
  <c r="G23" i="18"/>
  <c r="F23" i="18"/>
  <c r="D23" i="18"/>
  <c r="E23" i="18" s="1"/>
  <c r="C23" i="18"/>
  <c r="B23" i="18"/>
  <c r="M22" i="18"/>
  <c r="L22" i="18"/>
  <c r="K22" i="18"/>
  <c r="J22" i="18"/>
  <c r="I22" i="18"/>
  <c r="H22" i="18"/>
  <c r="G22" i="18"/>
  <c r="F22" i="18"/>
  <c r="D22" i="18"/>
  <c r="E22" i="18" s="1"/>
  <c r="C22" i="18"/>
  <c r="B22" i="18"/>
  <c r="M21" i="18"/>
  <c r="L21" i="18"/>
  <c r="K21" i="18"/>
  <c r="J21" i="18"/>
  <c r="I21" i="18"/>
  <c r="H21" i="18"/>
  <c r="G21" i="18"/>
  <c r="F21" i="18"/>
  <c r="D21" i="18"/>
  <c r="E21" i="18" s="1"/>
  <c r="C21" i="18"/>
  <c r="B21" i="18"/>
  <c r="M20" i="18"/>
  <c r="L20" i="18"/>
  <c r="K20" i="18"/>
  <c r="J20" i="18"/>
  <c r="I20" i="18"/>
  <c r="H20" i="18"/>
  <c r="G20" i="18"/>
  <c r="F20" i="18"/>
  <c r="D20" i="18"/>
  <c r="E20" i="18" s="1"/>
  <c r="C20" i="18"/>
  <c r="B20" i="18"/>
  <c r="M19" i="18"/>
  <c r="L19" i="18"/>
  <c r="K19" i="18"/>
  <c r="J19" i="18"/>
  <c r="I19" i="18"/>
  <c r="H19" i="18"/>
  <c r="G19" i="18"/>
  <c r="F19" i="18"/>
  <c r="D19" i="18"/>
  <c r="E19" i="18" s="1"/>
  <c r="C19" i="18"/>
  <c r="B19" i="18"/>
  <c r="M18" i="18"/>
  <c r="L18" i="18"/>
  <c r="K18" i="18"/>
  <c r="J18" i="18"/>
  <c r="I18" i="18"/>
  <c r="H18" i="18"/>
  <c r="G18" i="18"/>
  <c r="F18" i="18"/>
  <c r="D18" i="18"/>
  <c r="E18" i="18" s="1"/>
  <c r="C18" i="18"/>
  <c r="B18" i="18"/>
  <c r="M17" i="18"/>
  <c r="L17" i="18"/>
  <c r="K17" i="18"/>
  <c r="J17" i="18"/>
  <c r="I17" i="18"/>
  <c r="H17" i="18"/>
  <c r="G17" i="18"/>
  <c r="F17" i="18"/>
  <c r="D17" i="18"/>
  <c r="E17" i="18" s="1"/>
  <c r="C17" i="18"/>
  <c r="B17" i="18"/>
  <c r="M16" i="18"/>
  <c r="L16" i="18"/>
  <c r="K16" i="18"/>
  <c r="J16" i="18"/>
  <c r="I16" i="18"/>
  <c r="H16" i="18"/>
  <c r="G16" i="18"/>
  <c r="F16" i="18"/>
  <c r="D16" i="18"/>
  <c r="E16" i="18" s="1"/>
  <c r="C16" i="18"/>
  <c r="B16" i="18"/>
  <c r="M15" i="18"/>
  <c r="L15" i="18"/>
  <c r="K15" i="18"/>
  <c r="J15" i="18"/>
  <c r="I15" i="18"/>
  <c r="H15" i="18"/>
  <c r="G15" i="18"/>
  <c r="F15" i="18"/>
  <c r="D15" i="18"/>
  <c r="E15" i="18" s="1"/>
  <c r="C15" i="18"/>
  <c r="B15" i="18"/>
  <c r="M14" i="18"/>
  <c r="L14" i="18"/>
  <c r="K14" i="18"/>
  <c r="J14" i="18"/>
  <c r="I14" i="18"/>
  <c r="H14" i="18"/>
  <c r="G14" i="18"/>
  <c r="F14" i="18"/>
  <c r="D14" i="18"/>
  <c r="E14" i="18" s="1"/>
  <c r="C14" i="18"/>
  <c r="B14" i="18"/>
  <c r="M13" i="18"/>
  <c r="L13" i="18"/>
  <c r="K13" i="18"/>
  <c r="J13" i="18"/>
  <c r="I13" i="18"/>
  <c r="H13" i="18"/>
  <c r="G13" i="18"/>
  <c r="F13" i="18"/>
  <c r="D13" i="18"/>
  <c r="E13" i="18" s="1"/>
  <c r="C13" i="18"/>
  <c r="B13" i="18"/>
  <c r="M12" i="18"/>
  <c r="L12" i="18"/>
  <c r="K12" i="18"/>
  <c r="J12" i="18"/>
  <c r="I12" i="18"/>
  <c r="H12" i="18"/>
  <c r="G12" i="18"/>
  <c r="F12" i="18"/>
  <c r="D12" i="18"/>
  <c r="E12" i="18" s="1"/>
  <c r="C12" i="18"/>
  <c r="B12" i="18"/>
  <c r="M11" i="18"/>
  <c r="L11" i="18"/>
  <c r="K11" i="18"/>
  <c r="J11" i="18"/>
  <c r="I11" i="18"/>
  <c r="H11" i="18"/>
  <c r="G11" i="18"/>
  <c r="F11" i="18"/>
  <c r="D11" i="18"/>
  <c r="E11" i="18" s="1"/>
  <c r="C11" i="18"/>
  <c r="B11" i="18"/>
  <c r="M10" i="18"/>
  <c r="L10" i="18"/>
  <c r="K10" i="18"/>
  <c r="J10" i="18"/>
  <c r="I10" i="18"/>
  <c r="H10" i="18"/>
  <c r="G10" i="18"/>
  <c r="F10" i="18"/>
  <c r="D10" i="18"/>
  <c r="E10" i="18" s="1"/>
  <c r="C10" i="18"/>
  <c r="B10" i="18"/>
  <c r="M9" i="18"/>
  <c r="L9" i="18"/>
  <c r="K9" i="18"/>
  <c r="J9" i="18"/>
  <c r="I9" i="18"/>
  <c r="H9" i="18"/>
  <c r="G9" i="18"/>
  <c r="F9" i="18"/>
  <c r="D9" i="18"/>
  <c r="E9" i="18" s="1"/>
  <c r="C9" i="18"/>
  <c r="B9" i="18"/>
  <c r="M8" i="18"/>
  <c r="L8" i="18"/>
  <c r="K8" i="18"/>
  <c r="J8" i="18"/>
  <c r="I8" i="18"/>
  <c r="H8" i="18"/>
  <c r="G8" i="18"/>
  <c r="F8" i="18"/>
  <c r="D8" i="18"/>
  <c r="E8" i="18" s="1"/>
  <c r="C8" i="18"/>
  <c r="B8" i="18"/>
  <c r="M7" i="18"/>
  <c r="L7" i="18"/>
  <c r="K7" i="18"/>
  <c r="J7" i="18"/>
  <c r="I7" i="18"/>
  <c r="H7" i="18"/>
  <c r="G7" i="18"/>
  <c r="F7" i="18"/>
  <c r="D7" i="18"/>
  <c r="E7" i="18" s="1"/>
  <c r="C7" i="18"/>
  <c r="B7" i="18"/>
  <c r="M6" i="18"/>
  <c r="L6" i="18"/>
  <c r="K6" i="18"/>
  <c r="J6" i="18"/>
  <c r="I6" i="18"/>
  <c r="H6" i="18"/>
  <c r="G6" i="18"/>
  <c r="F6" i="18"/>
  <c r="D6" i="18"/>
  <c r="E6" i="18" s="1"/>
  <c r="C6" i="18"/>
  <c r="B6" i="18"/>
  <c r="M5" i="18"/>
  <c r="L5" i="18"/>
  <c r="K5" i="18"/>
  <c r="J5" i="18"/>
  <c r="I5" i="18"/>
  <c r="H5" i="18"/>
  <c r="G5" i="18"/>
  <c r="F5" i="18"/>
  <c r="D5" i="18"/>
  <c r="E5" i="18" s="1"/>
  <c r="C5" i="18"/>
  <c r="B5" i="18"/>
  <c r="M4" i="18"/>
  <c r="L4" i="18"/>
  <c r="K4" i="18"/>
  <c r="J4" i="18"/>
  <c r="I4" i="18"/>
  <c r="H4" i="18"/>
  <c r="G4" i="18"/>
  <c r="F4" i="18"/>
  <c r="D4" i="18"/>
  <c r="E4" i="18" s="1"/>
  <c r="C4" i="18"/>
  <c r="B4" i="18"/>
  <c r="M3" i="18"/>
  <c r="L3" i="18"/>
  <c r="K3" i="18"/>
  <c r="J3" i="18"/>
  <c r="I3" i="18"/>
  <c r="H3" i="18"/>
  <c r="G3" i="18"/>
  <c r="F3" i="18"/>
  <c r="D3" i="18"/>
  <c r="D113" i="18" s="1"/>
  <c r="E113" i="18" s="1"/>
  <c r="C3" i="18"/>
  <c r="B3" i="18"/>
  <c r="D2" i="18"/>
  <c r="C2" i="18"/>
  <c r="B2" i="18"/>
  <c r="D114" i="17"/>
  <c r="D113" i="17"/>
  <c r="B113" i="17"/>
  <c r="B112" i="17"/>
  <c r="H111" i="17" a="1"/>
  <c r="H111" i="17" s="1"/>
  <c r="D111" i="17" a="1"/>
  <c r="D111" i="17" s="1"/>
  <c r="B111" i="17"/>
  <c r="L111" i="17" s="1" a="1"/>
  <c r="L111" i="17" s="1"/>
  <c r="L110" i="17" a="1"/>
  <c r="L110" i="17"/>
  <c r="J110" i="17" a="1"/>
  <c r="J110" i="17" s="1"/>
  <c r="H110" i="17" a="1"/>
  <c r="H110" i="17"/>
  <c r="C110" i="17" a="1"/>
  <c r="C110" i="17" s="1"/>
  <c r="B110" i="17"/>
  <c r="K110" i="17" s="1" a="1"/>
  <c r="K110" i="17" s="1"/>
  <c r="I109" i="17" a="1"/>
  <c r="I109" i="17" s="1"/>
  <c r="B109" i="17"/>
  <c r="K109" i="17" s="1" a="1"/>
  <c r="K109" i="17" s="1"/>
  <c r="I108" i="17" a="1"/>
  <c r="I108" i="17" s="1"/>
  <c r="B108" i="17"/>
  <c r="D108" i="17" s="1" a="1"/>
  <c r="D108" i="17" s="1"/>
  <c r="L107" i="17" a="1"/>
  <c r="L107" i="17" s="1"/>
  <c r="I107" i="17" a="1"/>
  <c r="I107" i="17" s="1"/>
  <c r="C107" i="17" a="1"/>
  <c r="C107" i="17" s="1"/>
  <c r="B107" i="17"/>
  <c r="K107" i="17" s="1" a="1"/>
  <c r="K107" i="17" s="1"/>
  <c r="L106" i="17" a="1"/>
  <c r="L106" i="17" s="1"/>
  <c r="J106" i="17" a="1"/>
  <c r="J106" i="17"/>
  <c r="H106" i="17" a="1"/>
  <c r="H106" i="17" s="1"/>
  <c r="C106" i="17" a="1"/>
  <c r="C106" i="17" s="1"/>
  <c r="B106" i="17"/>
  <c r="K106" i="17" s="1" a="1"/>
  <c r="K106" i="17" s="1"/>
  <c r="R106" i="17" s="1"/>
  <c r="L105" i="17" a="1"/>
  <c r="L105" i="17" s="1"/>
  <c r="J105" i="17" a="1"/>
  <c r="J105" i="17" s="1"/>
  <c r="I105" i="17" a="1"/>
  <c r="I105" i="17" s="1"/>
  <c r="O105" i="17" s="1"/>
  <c r="G105" i="17" a="1"/>
  <c r="G105" i="17" s="1"/>
  <c r="D105" i="17" a="1"/>
  <c r="D105" i="17" s="1"/>
  <c r="N105" i="17" s="1"/>
  <c r="C105" i="17" a="1"/>
  <c r="C105" i="17" s="1"/>
  <c r="B105" i="17"/>
  <c r="K105" i="17" s="1" a="1"/>
  <c r="K105" i="17" s="1"/>
  <c r="I104" i="17" a="1"/>
  <c r="I104" i="17" s="1"/>
  <c r="G104" i="17" a="1"/>
  <c r="G104" i="17" s="1"/>
  <c r="D104" i="17" a="1"/>
  <c r="D104" i="17" s="1"/>
  <c r="B104" i="17"/>
  <c r="L103" i="17" a="1"/>
  <c r="L103" i="17" s="1"/>
  <c r="J103" i="17" a="1"/>
  <c r="J103" i="17" s="1"/>
  <c r="Q103" i="17" s="1"/>
  <c r="I103" i="17" a="1"/>
  <c r="I103" i="17" s="1"/>
  <c r="H103" i="17" a="1"/>
  <c r="H103" i="17" s="1"/>
  <c r="G103" i="17" a="1"/>
  <c r="G103" i="17" s="1"/>
  <c r="D103" i="17" a="1"/>
  <c r="D103" i="17" s="1"/>
  <c r="C103" i="17" a="1"/>
  <c r="C103" i="17" s="1"/>
  <c r="B103" i="17"/>
  <c r="K103" i="17" s="1" a="1"/>
  <c r="K103" i="17" s="1"/>
  <c r="L102" i="17" a="1"/>
  <c r="L102" i="17" s="1"/>
  <c r="K102" i="17"/>
  <c r="R102" i="17" s="1"/>
  <c r="J102" i="17" a="1"/>
  <c r="J102" i="17" s="1"/>
  <c r="H102" i="17" a="1"/>
  <c r="H102" i="17" s="1"/>
  <c r="C102" i="17" a="1"/>
  <c r="C102" i="17" s="1"/>
  <c r="B102" i="17"/>
  <c r="K102" i="17" s="1" a="1"/>
  <c r="K101" i="17" a="1"/>
  <c r="K101" i="17" s="1"/>
  <c r="I101" i="17" a="1"/>
  <c r="I101" i="17" s="1"/>
  <c r="H101" i="17" a="1"/>
  <c r="H101" i="17"/>
  <c r="D101" i="17" a="1"/>
  <c r="D101" i="17" s="1"/>
  <c r="B101" i="17"/>
  <c r="D100" i="17" a="1"/>
  <c r="D100" i="17" s="1"/>
  <c r="B100" i="17"/>
  <c r="K99" i="17" a="1"/>
  <c r="K99" i="17" s="1"/>
  <c r="I99" i="17" a="1"/>
  <c r="I99" i="17" s="1"/>
  <c r="H99" i="17" a="1"/>
  <c r="H99" i="17" s="1"/>
  <c r="C99" i="17" a="1"/>
  <c r="C99" i="17" s="1"/>
  <c r="B99" i="17"/>
  <c r="L98" i="17" a="1"/>
  <c r="L98" i="17" s="1"/>
  <c r="K98" i="17"/>
  <c r="R98" i="17" s="1"/>
  <c r="J98" i="17" a="1"/>
  <c r="J98" i="17"/>
  <c r="H98" i="17" a="1"/>
  <c r="H98" i="17" s="1"/>
  <c r="C98" i="17" a="1"/>
  <c r="C98" i="17" s="1"/>
  <c r="B98" i="17"/>
  <c r="K98" i="17" s="1" a="1"/>
  <c r="R97" i="17"/>
  <c r="N97" i="17"/>
  <c r="L97" i="17" a="1"/>
  <c r="L97" i="17"/>
  <c r="J97" i="17" a="1"/>
  <c r="J97" i="17"/>
  <c r="Q97" i="17" s="1"/>
  <c r="I97" i="17" a="1"/>
  <c r="I97" i="17" s="1"/>
  <c r="G97" i="17" a="1"/>
  <c r="G97" i="17" s="1"/>
  <c r="M97" i="17" s="1"/>
  <c r="D97" i="17" a="1"/>
  <c r="D97" i="17" s="1"/>
  <c r="C97" i="17" a="1"/>
  <c r="C97" i="17" s="1"/>
  <c r="B97" i="17"/>
  <c r="K97" i="17" s="1" a="1"/>
  <c r="K97" i="17" s="1"/>
  <c r="I96" i="17" a="1"/>
  <c r="I96" i="17" s="1"/>
  <c r="G96" i="17" a="1"/>
  <c r="G96" i="17"/>
  <c r="D96" i="17" a="1"/>
  <c r="D96" i="17"/>
  <c r="B96" i="17"/>
  <c r="R95" i="17"/>
  <c r="L95" i="17" a="1"/>
  <c r="L95" i="17" s="1"/>
  <c r="T95" i="17" s="1"/>
  <c r="J95" i="17" a="1"/>
  <c r="J95" i="17" s="1"/>
  <c r="I95" i="17" a="1"/>
  <c r="I95" i="17" s="1"/>
  <c r="H95" i="17" a="1"/>
  <c r="H95" i="17" s="1"/>
  <c r="G95" i="17" a="1"/>
  <c r="G95" i="17"/>
  <c r="D95" i="17" a="1"/>
  <c r="D95" i="17"/>
  <c r="C95" i="17" a="1"/>
  <c r="C95" i="17" s="1"/>
  <c r="B95" i="17"/>
  <c r="K95" i="17" s="1" a="1"/>
  <c r="K95" i="17" s="1"/>
  <c r="L94" i="17" a="1"/>
  <c r="L94" i="17" s="1"/>
  <c r="J94" i="17" a="1"/>
  <c r="J94" i="17"/>
  <c r="H94" i="17" a="1"/>
  <c r="H94" i="17" s="1"/>
  <c r="C94" i="17" a="1"/>
  <c r="C94" i="17" s="1"/>
  <c r="B94" i="17"/>
  <c r="K94" i="17" s="1" a="1"/>
  <c r="K94" i="17" s="1"/>
  <c r="T94" i="17" s="1"/>
  <c r="N93" i="17"/>
  <c r="I93" i="17" a="1"/>
  <c r="I93" i="17" s="1"/>
  <c r="H93" i="17" a="1"/>
  <c r="H93" i="17" s="1"/>
  <c r="D93" i="17" a="1"/>
  <c r="D93" i="17" s="1"/>
  <c r="B93" i="17"/>
  <c r="K92" i="17" a="1"/>
  <c r="K92" i="17" s="1"/>
  <c r="I92" i="17" a="1"/>
  <c r="I92" i="17"/>
  <c r="D92" i="17" a="1"/>
  <c r="D92" i="17" s="1"/>
  <c r="B92" i="17"/>
  <c r="C91" i="17" a="1"/>
  <c r="C91" i="17" s="1"/>
  <c r="B91" i="17"/>
  <c r="K91" i="17" s="1" a="1"/>
  <c r="K91" i="17" s="1"/>
  <c r="L90" i="17" a="1"/>
  <c r="L90" i="17"/>
  <c r="K90" i="17"/>
  <c r="R90" i="17" s="1"/>
  <c r="J90" i="17" a="1"/>
  <c r="J90" i="17"/>
  <c r="H90" i="17" a="1"/>
  <c r="H90" i="17" s="1"/>
  <c r="C90" i="17" a="1"/>
  <c r="C90" i="17"/>
  <c r="B90" i="17"/>
  <c r="K90" i="17" s="1" a="1"/>
  <c r="P89" i="17"/>
  <c r="L89" i="17" a="1"/>
  <c r="L89" i="17" s="1"/>
  <c r="J89" i="17" a="1"/>
  <c r="J89" i="17" s="1"/>
  <c r="I89" i="17" a="1"/>
  <c r="I89" i="17" s="1"/>
  <c r="G89" i="17" a="1"/>
  <c r="G89" i="17" s="1"/>
  <c r="M89" i="17" s="1"/>
  <c r="D89" i="17" a="1"/>
  <c r="D89" i="17" s="1"/>
  <c r="C89" i="17" a="1"/>
  <c r="C89" i="17"/>
  <c r="B89" i="17"/>
  <c r="K89" i="17" s="1" a="1"/>
  <c r="K89" i="17" s="1"/>
  <c r="I88" i="17" a="1"/>
  <c r="I88" i="17" s="1"/>
  <c r="G88" i="17" a="1"/>
  <c r="G88" i="17" s="1"/>
  <c r="D88" i="17" a="1"/>
  <c r="D88" i="17"/>
  <c r="B88" i="17"/>
  <c r="Q87" i="17"/>
  <c r="L87" i="17" a="1"/>
  <c r="L87" i="17" s="1"/>
  <c r="K87" i="17"/>
  <c r="R87" i="17" s="1"/>
  <c r="J87" i="17" a="1"/>
  <c r="J87" i="17" s="1"/>
  <c r="I87" i="17" a="1"/>
  <c r="I87" i="17" s="1"/>
  <c r="H87" i="17" a="1"/>
  <c r="H87" i="17" s="1"/>
  <c r="G87" i="17" a="1"/>
  <c r="G87" i="17" s="1"/>
  <c r="M87" i="17" s="1"/>
  <c r="D87" i="17" a="1"/>
  <c r="D87" i="17" s="1"/>
  <c r="C87" i="17" a="1"/>
  <c r="C87" i="17" s="1"/>
  <c r="B87" i="17"/>
  <c r="K87" i="17" s="1" a="1"/>
  <c r="L86" i="17" a="1"/>
  <c r="L86" i="17" s="1"/>
  <c r="H86" i="17" a="1"/>
  <c r="H86" i="17" s="1"/>
  <c r="C86" i="17" a="1"/>
  <c r="C86" i="17" s="1"/>
  <c r="B86" i="17"/>
  <c r="L85" i="17" a="1"/>
  <c r="L85" i="17" s="1"/>
  <c r="K85" i="17"/>
  <c r="J85" i="17" a="1"/>
  <c r="J85" i="17" s="1"/>
  <c r="H85" i="17" a="1"/>
  <c r="H85" i="17"/>
  <c r="C85" i="17" a="1"/>
  <c r="C85" i="17" s="1"/>
  <c r="B85" i="17"/>
  <c r="K85" i="17" s="1" a="1"/>
  <c r="K84" i="17" a="1"/>
  <c r="K84" i="17" s="1"/>
  <c r="J84" i="17" a="1"/>
  <c r="J84" i="17" s="1"/>
  <c r="D84" i="17" a="1"/>
  <c r="D84" i="17" s="1"/>
  <c r="B84" i="17"/>
  <c r="K83" i="17" a="1"/>
  <c r="K83" i="17"/>
  <c r="I83" i="17" a="1"/>
  <c r="I83" i="17" s="1"/>
  <c r="B83" i="17"/>
  <c r="B82" i="17"/>
  <c r="L81" i="17" a="1"/>
  <c r="L81" i="17" s="1"/>
  <c r="J81" i="17" a="1"/>
  <c r="J81" i="17"/>
  <c r="H81" i="17" a="1"/>
  <c r="H81" i="17" s="1"/>
  <c r="C81" i="17" a="1"/>
  <c r="C81" i="17"/>
  <c r="B81" i="17"/>
  <c r="K81" i="17" s="1" a="1"/>
  <c r="K81" i="17" s="1"/>
  <c r="R81" i="17" s="1"/>
  <c r="S80" i="17"/>
  <c r="L80" i="17" a="1"/>
  <c r="L80" i="17" s="1"/>
  <c r="J80" i="17" a="1"/>
  <c r="J80" i="17" s="1"/>
  <c r="I80" i="17" a="1"/>
  <c r="I80" i="17" s="1"/>
  <c r="G80" i="17" a="1"/>
  <c r="G80" i="17" s="1"/>
  <c r="M80" i="17" s="1"/>
  <c r="D80" i="17" a="1"/>
  <c r="D80" i="17" s="1"/>
  <c r="C80" i="17" a="1"/>
  <c r="C80" i="17"/>
  <c r="B80" i="17"/>
  <c r="K80" i="17" s="1" a="1"/>
  <c r="K80" i="17" s="1"/>
  <c r="R80" i="17" s="1"/>
  <c r="D79" i="17" a="1"/>
  <c r="D79" i="17" s="1"/>
  <c r="B79" i="17"/>
  <c r="I78" i="17" a="1"/>
  <c r="I78" i="17" s="1"/>
  <c r="G78" i="17" a="1"/>
  <c r="G78" i="17"/>
  <c r="M78" i="17" s="1"/>
  <c r="D78" i="17" a="1"/>
  <c r="D78" i="17"/>
  <c r="B78" i="17"/>
  <c r="L77" i="17" a="1"/>
  <c r="L77" i="17" s="1"/>
  <c r="J77" i="17" a="1"/>
  <c r="J77" i="17" s="1"/>
  <c r="P77" i="17" s="1"/>
  <c r="I77" i="17" a="1"/>
  <c r="I77" i="17" s="1"/>
  <c r="H77" i="17" a="1"/>
  <c r="H77" i="17" s="1"/>
  <c r="G77" i="17" a="1"/>
  <c r="G77" i="17"/>
  <c r="M77" i="17" s="1"/>
  <c r="D77" i="17" a="1"/>
  <c r="D77" i="17"/>
  <c r="C77" i="17" a="1"/>
  <c r="C77" i="17" s="1"/>
  <c r="B77" i="17"/>
  <c r="K77" i="17" s="1" a="1"/>
  <c r="K77" i="17" s="1"/>
  <c r="R77" i="17" s="1"/>
  <c r="L76" i="17" a="1"/>
  <c r="L76" i="17" s="1"/>
  <c r="J76" i="17" a="1"/>
  <c r="J76" i="17"/>
  <c r="H76" i="17" a="1"/>
  <c r="H76" i="17"/>
  <c r="C76" i="17" a="1"/>
  <c r="C76" i="17" s="1"/>
  <c r="B76" i="17"/>
  <c r="K76" i="17" s="1" a="1"/>
  <c r="K76" i="17" s="1"/>
  <c r="R76" i="17" s="1"/>
  <c r="J75" i="17" a="1"/>
  <c r="J75" i="17" s="1"/>
  <c r="D75" i="17" a="1"/>
  <c r="D75" i="17" s="1"/>
  <c r="B75" i="17"/>
  <c r="L75" i="17" s="1" a="1"/>
  <c r="L75" i="17" s="1"/>
  <c r="D74" i="17" a="1"/>
  <c r="D74" i="17" s="1"/>
  <c r="B74" i="17"/>
  <c r="L73" i="17" a="1"/>
  <c r="L73" i="17"/>
  <c r="J73" i="17" a="1"/>
  <c r="J73" i="17"/>
  <c r="H73" i="17" a="1"/>
  <c r="H73" i="17"/>
  <c r="C73" i="17" a="1"/>
  <c r="C73" i="17" s="1"/>
  <c r="B73" i="17"/>
  <c r="K73" i="17" s="1" a="1"/>
  <c r="K73" i="17" s="1"/>
  <c r="G72" i="17" a="1"/>
  <c r="G72" i="17" s="1"/>
  <c r="B72" i="17"/>
  <c r="G71" i="17" a="1"/>
  <c r="G71" i="17" s="1"/>
  <c r="B71" i="17"/>
  <c r="L70" i="17" a="1"/>
  <c r="L70" i="17" s="1"/>
  <c r="J70" i="17" a="1"/>
  <c r="J70" i="17" s="1"/>
  <c r="H70" i="17" a="1"/>
  <c r="H70" i="17" s="1"/>
  <c r="C70" i="17" a="1"/>
  <c r="C70" i="17" s="1"/>
  <c r="B70" i="17"/>
  <c r="K70" i="17" s="1" a="1"/>
  <c r="K70" i="17" s="1"/>
  <c r="R70" i="17" s="1"/>
  <c r="T69" i="17"/>
  <c r="L69" i="17" a="1"/>
  <c r="L69" i="17"/>
  <c r="J69" i="17" a="1"/>
  <c r="J69" i="17"/>
  <c r="H69" i="17" a="1"/>
  <c r="H69" i="17"/>
  <c r="C69" i="17" a="1"/>
  <c r="C69" i="17" s="1"/>
  <c r="B69" i="17"/>
  <c r="K69" i="17" s="1" a="1"/>
  <c r="K69" i="17" s="1"/>
  <c r="R69" i="17" s="1"/>
  <c r="G68" i="17" a="1"/>
  <c r="G68" i="17" s="1"/>
  <c r="B68" i="17"/>
  <c r="B67" i="17"/>
  <c r="L66" i="17" a="1"/>
  <c r="L66" i="17" s="1"/>
  <c r="J66" i="17" a="1"/>
  <c r="J66" i="17" s="1"/>
  <c r="H66" i="17" a="1"/>
  <c r="H66" i="17" s="1"/>
  <c r="C66" i="17" a="1"/>
  <c r="C66" i="17" s="1"/>
  <c r="B66" i="17"/>
  <c r="K66" i="17" s="1" a="1"/>
  <c r="K66" i="17" s="1"/>
  <c r="L65" i="17" a="1"/>
  <c r="L65" i="17" s="1"/>
  <c r="T65" i="17" s="1"/>
  <c r="J65" i="17" a="1"/>
  <c r="J65" i="17" s="1"/>
  <c r="H65" i="17" a="1"/>
  <c r="H65" i="17" s="1"/>
  <c r="C65" i="17" a="1"/>
  <c r="C65" i="17"/>
  <c r="B65" i="17"/>
  <c r="K65" i="17" s="1" a="1"/>
  <c r="K65" i="17" s="1"/>
  <c r="B64" i="17"/>
  <c r="G63" i="17" a="1"/>
  <c r="G63" i="17" s="1"/>
  <c r="B63" i="17"/>
  <c r="L62" i="17" a="1"/>
  <c r="L62" i="17" s="1"/>
  <c r="J62" i="17" a="1"/>
  <c r="J62" i="17" s="1"/>
  <c r="H62" i="17" a="1"/>
  <c r="H62" i="17" s="1"/>
  <c r="C62" i="17" a="1"/>
  <c r="C62" i="17" s="1"/>
  <c r="B62" i="17"/>
  <c r="K62" i="17" s="1" a="1"/>
  <c r="K62" i="17" s="1"/>
  <c r="R62" i="17" s="1"/>
  <c r="L61" i="17" a="1"/>
  <c r="L61" i="17"/>
  <c r="J61" i="17" a="1"/>
  <c r="J61" i="17" s="1"/>
  <c r="H61" i="17" a="1"/>
  <c r="H61" i="17"/>
  <c r="C61" i="17" a="1"/>
  <c r="C61" i="17" s="1"/>
  <c r="B61" i="17"/>
  <c r="K61" i="17" s="1" a="1"/>
  <c r="K61" i="17" s="1"/>
  <c r="G60" i="17" a="1"/>
  <c r="G60" i="17" s="1"/>
  <c r="B60" i="17"/>
  <c r="B59" i="17"/>
  <c r="L58" i="17" a="1"/>
  <c r="L58" i="17" s="1"/>
  <c r="J58" i="17" a="1"/>
  <c r="J58" i="17" s="1"/>
  <c r="H58" i="17" a="1"/>
  <c r="H58" i="17" s="1"/>
  <c r="C58" i="17" a="1"/>
  <c r="C58" i="17" s="1"/>
  <c r="B58" i="17"/>
  <c r="K58" i="17" s="1" a="1"/>
  <c r="K58" i="17" s="1"/>
  <c r="T57" i="17"/>
  <c r="L57" i="17" a="1"/>
  <c r="L57" i="17"/>
  <c r="J57" i="17" a="1"/>
  <c r="J57" i="17" s="1"/>
  <c r="H57" i="17" a="1"/>
  <c r="H57" i="17" s="1"/>
  <c r="C57" i="17" a="1"/>
  <c r="C57" i="17"/>
  <c r="B57" i="17"/>
  <c r="K57" i="17" s="1" a="1"/>
  <c r="K57" i="17" s="1"/>
  <c r="B56" i="17"/>
  <c r="G55" i="17" a="1"/>
  <c r="G55" i="17" s="1"/>
  <c r="B55" i="17"/>
  <c r="L54" i="17" a="1"/>
  <c r="L54" i="17" s="1"/>
  <c r="J54" i="17" a="1"/>
  <c r="J54" i="17" s="1"/>
  <c r="H54" i="17" a="1"/>
  <c r="H54" i="17" s="1"/>
  <c r="C54" i="17" a="1"/>
  <c r="C54" i="17" s="1"/>
  <c r="B54" i="17"/>
  <c r="K54" i="17" s="1" a="1"/>
  <c r="K54" i="17" s="1"/>
  <c r="R54" i="17" s="1"/>
  <c r="L53" i="17" a="1"/>
  <c r="L53" i="17"/>
  <c r="J53" i="17" a="1"/>
  <c r="J53" i="17" s="1"/>
  <c r="H53" i="17" a="1"/>
  <c r="H53" i="17"/>
  <c r="C53" i="17" a="1"/>
  <c r="C53" i="17" s="1"/>
  <c r="B53" i="17"/>
  <c r="K53" i="17" s="1" a="1"/>
  <c r="K53" i="17" s="1"/>
  <c r="R53" i="17" s="1"/>
  <c r="K52" i="17" a="1"/>
  <c r="K52" i="17" s="1"/>
  <c r="B52" i="17"/>
  <c r="B51" i="17"/>
  <c r="L50" i="17" a="1"/>
  <c r="L50" i="17" s="1"/>
  <c r="K50" i="17" a="1"/>
  <c r="K50" i="17" s="1"/>
  <c r="B50" i="17"/>
  <c r="L49" i="17" a="1"/>
  <c r="L49" i="17"/>
  <c r="H49" i="17" a="1"/>
  <c r="H49" i="17" s="1"/>
  <c r="C49" i="17" a="1"/>
  <c r="C49" i="17" s="1"/>
  <c r="B49" i="17"/>
  <c r="L48" i="17" a="1"/>
  <c r="L48" i="17"/>
  <c r="T48" i="17" s="1"/>
  <c r="J48" i="17" a="1"/>
  <c r="J48" i="17"/>
  <c r="H48" i="17" a="1"/>
  <c r="H48" i="17"/>
  <c r="C48" i="17" a="1"/>
  <c r="C48" i="17"/>
  <c r="B48" i="17"/>
  <c r="K48" i="17" s="1" a="1"/>
  <c r="K48" i="17" s="1"/>
  <c r="B47" i="17"/>
  <c r="K46" i="17" a="1"/>
  <c r="K46" i="17" s="1"/>
  <c r="B46" i="17"/>
  <c r="L45" i="17" a="1"/>
  <c r="L45" i="17" s="1"/>
  <c r="J45" i="17" a="1"/>
  <c r="J45" i="17" s="1"/>
  <c r="H45" i="17" a="1"/>
  <c r="H45" i="17" s="1"/>
  <c r="C45" i="17" a="1"/>
  <c r="C45" i="17" s="1"/>
  <c r="B45" i="17"/>
  <c r="K45" i="17" s="1" a="1"/>
  <c r="K45" i="17" s="1"/>
  <c r="R45" i="17" s="1"/>
  <c r="L44" i="17" a="1"/>
  <c r="L44" i="17"/>
  <c r="T44" i="17" s="1"/>
  <c r="J44" i="17" a="1"/>
  <c r="J44" i="17" s="1"/>
  <c r="H44" i="17" a="1"/>
  <c r="H44" i="17"/>
  <c r="C44" i="17" a="1"/>
  <c r="C44" i="17"/>
  <c r="B44" i="17"/>
  <c r="K44" i="17" s="1" a="1"/>
  <c r="K44" i="17" s="1"/>
  <c r="K43" i="17" a="1"/>
  <c r="K43" i="17" s="1"/>
  <c r="G43" i="17" a="1"/>
  <c r="G43" i="17"/>
  <c r="M43" i="17" s="1"/>
  <c r="B43" i="17"/>
  <c r="D43" i="17" s="1" a="1"/>
  <c r="D43" i="17" s="1"/>
  <c r="L42" i="17" a="1"/>
  <c r="L42" i="17" s="1"/>
  <c r="J42" i="17" a="1"/>
  <c r="J42" i="17" s="1"/>
  <c r="I42" i="17" a="1"/>
  <c r="I42" i="17" s="1"/>
  <c r="Q42" i="17" s="1"/>
  <c r="G42" i="17" a="1"/>
  <c r="G42" i="17"/>
  <c r="C42" i="17" a="1"/>
  <c r="C42" i="17" s="1"/>
  <c r="B42" i="17"/>
  <c r="K42" i="17" s="1" a="1"/>
  <c r="K42" i="17" s="1"/>
  <c r="R42" i="17" s="1"/>
  <c r="L41" i="17" a="1"/>
  <c r="L41" i="17" s="1"/>
  <c r="J41" i="17" a="1"/>
  <c r="J41" i="17"/>
  <c r="H41" i="17" a="1"/>
  <c r="H41" i="17"/>
  <c r="C41" i="17" a="1"/>
  <c r="C41" i="17" s="1"/>
  <c r="B41" i="17"/>
  <c r="K41" i="17" s="1" a="1"/>
  <c r="K41" i="17" s="1"/>
  <c r="S40" i="17"/>
  <c r="J40" i="17" a="1"/>
  <c r="J40" i="17" s="1"/>
  <c r="D40" i="17" a="1"/>
  <c r="D40" i="17" s="1"/>
  <c r="B40" i="17"/>
  <c r="L40" i="17" s="1" a="1"/>
  <c r="L40" i="17" s="1"/>
  <c r="D39" i="17" a="1"/>
  <c r="D39" i="17" s="1"/>
  <c r="B39" i="17"/>
  <c r="H38" i="17" a="1"/>
  <c r="H38" i="17" s="1"/>
  <c r="D38" i="17" a="1"/>
  <c r="D38" i="17" s="1"/>
  <c r="B38" i="17"/>
  <c r="J38" i="17" s="1" a="1"/>
  <c r="J38" i="17" s="1"/>
  <c r="L37" i="17" a="1"/>
  <c r="L37" i="17"/>
  <c r="K37" i="17"/>
  <c r="R37" i="17" s="1"/>
  <c r="J37" i="17" a="1"/>
  <c r="J37" i="17"/>
  <c r="H37" i="17" a="1"/>
  <c r="H37" i="17" s="1"/>
  <c r="C37" i="17" a="1"/>
  <c r="C37" i="17"/>
  <c r="B37" i="17"/>
  <c r="K37" i="17" s="1" a="1"/>
  <c r="P36" i="17"/>
  <c r="L36" i="17" a="1"/>
  <c r="L36" i="17"/>
  <c r="J36" i="17" a="1"/>
  <c r="J36" i="17"/>
  <c r="I36" i="17" a="1"/>
  <c r="I36" i="17" s="1"/>
  <c r="G36" i="17" a="1"/>
  <c r="G36" i="17" s="1"/>
  <c r="M36" i="17" s="1"/>
  <c r="D36" i="17" a="1"/>
  <c r="D36" i="17" s="1"/>
  <c r="C36" i="17" a="1"/>
  <c r="C36" i="17"/>
  <c r="B36" i="17"/>
  <c r="K36" i="17" s="1" a="1"/>
  <c r="K36" i="17" s="1"/>
  <c r="R36" i="17" s="1"/>
  <c r="I35" i="17" a="1"/>
  <c r="I35" i="17" s="1"/>
  <c r="G35" i="17" a="1"/>
  <c r="G35" i="17"/>
  <c r="M35" i="17" s="1"/>
  <c r="D35" i="17" a="1"/>
  <c r="D35" i="17"/>
  <c r="B35" i="17"/>
  <c r="L34" i="17" a="1"/>
  <c r="L34" i="17" s="1"/>
  <c r="J34" i="17" a="1"/>
  <c r="J34" i="17" s="1"/>
  <c r="P34" i="17" s="1"/>
  <c r="I34" i="17" a="1"/>
  <c r="I34" i="17" s="1"/>
  <c r="Q34" i="17" s="1"/>
  <c r="H34" i="17" a="1"/>
  <c r="H34" i="17" s="1"/>
  <c r="G34" i="17" a="1"/>
  <c r="G34" i="17"/>
  <c r="M34" i="17" s="1"/>
  <c r="D34" i="17" a="1"/>
  <c r="D34" i="17"/>
  <c r="C34" i="17" a="1"/>
  <c r="C34" i="17" s="1"/>
  <c r="B34" i="17"/>
  <c r="K34" i="17" s="1" a="1"/>
  <c r="K34" i="17" s="1"/>
  <c r="R34" i="17" s="1"/>
  <c r="L33" i="17" a="1"/>
  <c r="L33" i="17" s="1"/>
  <c r="J33" i="17" a="1"/>
  <c r="J33" i="17"/>
  <c r="H33" i="17" a="1"/>
  <c r="H33" i="17"/>
  <c r="C33" i="17" a="1"/>
  <c r="C33" i="17" s="1"/>
  <c r="B33" i="17"/>
  <c r="K33" i="17" s="1" a="1"/>
  <c r="K33" i="17" s="1"/>
  <c r="R33" i="17" s="1"/>
  <c r="J32" i="17" a="1"/>
  <c r="J32" i="17" s="1"/>
  <c r="D32" i="17" a="1"/>
  <c r="D32" i="17" s="1"/>
  <c r="B32" i="17"/>
  <c r="L32" i="17" s="1" a="1"/>
  <c r="L32" i="17" s="1"/>
  <c r="D31" i="17" a="1"/>
  <c r="D31" i="17" s="1"/>
  <c r="B31" i="17"/>
  <c r="H30" i="17" a="1"/>
  <c r="H30" i="17" s="1"/>
  <c r="D30" i="17" a="1"/>
  <c r="D30" i="17" s="1"/>
  <c r="B30" i="17"/>
  <c r="J30" i="17" s="1" a="1"/>
  <c r="J30" i="17" s="1"/>
  <c r="L29" i="17" a="1"/>
  <c r="L29" i="17"/>
  <c r="J29" i="17" a="1"/>
  <c r="J29" i="17"/>
  <c r="H29" i="17" a="1"/>
  <c r="H29" i="17" s="1"/>
  <c r="C29" i="17" a="1"/>
  <c r="C29" i="17"/>
  <c r="B29" i="17"/>
  <c r="K29" i="17" s="1" a="1"/>
  <c r="K29" i="17" s="1"/>
  <c r="P28" i="17"/>
  <c r="L28" i="17" a="1"/>
  <c r="L28" i="17"/>
  <c r="J28" i="17" a="1"/>
  <c r="J28" i="17"/>
  <c r="I28" i="17" a="1"/>
  <c r="I28" i="17" s="1"/>
  <c r="G28" i="17" a="1"/>
  <c r="G28" i="17" s="1"/>
  <c r="M28" i="17" s="1"/>
  <c r="D28" i="17" a="1"/>
  <c r="D28" i="17" s="1"/>
  <c r="C28" i="17" a="1"/>
  <c r="C28" i="17"/>
  <c r="B28" i="17"/>
  <c r="K28" i="17" s="1" a="1"/>
  <c r="K28" i="17" s="1"/>
  <c r="R28" i="17" s="1"/>
  <c r="I27" i="17" a="1"/>
  <c r="I27" i="17" s="1"/>
  <c r="G27" i="17" a="1"/>
  <c r="G27" i="17"/>
  <c r="M27" i="17" s="1"/>
  <c r="D27" i="17" a="1"/>
  <c r="D27" i="17"/>
  <c r="B27" i="17"/>
  <c r="Q26" i="17"/>
  <c r="L26" i="17" a="1"/>
  <c r="L26" i="17" s="1"/>
  <c r="J26" i="17" a="1"/>
  <c r="J26" i="17" s="1"/>
  <c r="P26" i="17" s="1"/>
  <c r="I26" i="17" a="1"/>
  <c r="I26" i="17" s="1"/>
  <c r="H26" i="17" a="1"/>
  <c r="H26" i="17" s="1"/>
  <c r="G26" i="17" a="1"/>
  <c r="G26" i="17"/>
  <c r="M26" i="17" s="1"/>
  <c r="D26" i="17" a="1"/>
  <c r="D26" i="17"/>
  <c r="C26" i="17" a="1"/>
  <c r="C26" i="17" s="1"/>
  <c r="B26" i="17"/>
  <c r="K26" i="17" s="1" a="1"/>
  <c r="K26" i="17" s="1"/>
  <c r="R26" i="17" s="1"/>
  <c r="L25" i="17" a="1"/>
  <c r="L25" i="17" s="1"/>
  <c r="J25" i="17" a="1"/>
  <c r="J25" i="17"/>
  <c r="H25" i="17" a="1"/>
  <c r="H25" i="17"/>
  <c r="C25" i="17" a="1"/>
  <c r="C25" i="17" s="1"/>
  <c r="B25" i="17"/>
  <c r="K25" i="17" s="1" a="1"/>
  <c r="K25" i="17" s="1"/>
  <c r="J24" i="17" a="1"/>
  <c r="J24" i="17" s="1"/>
  <c r="D24" i="17" a="1"/>
  <c r="D24" i="17" s="1"/>
  <c r="B24" i="17"/>
  <c r="L24" i="17" s="1" a="1"/>
  <c r="L24" i="17" s="1"/>
  <c r="D23" i="17" a="1"/>
  <c r="D23" i="17" s="1"/>
  <c r="B23" i="17"/>
  <c r="H22" i="17" a="1"/>
  <c r="H22" i="17" s="1"/>
  <c r="D22" i="17" a="1"/>
  <c r="D22" i="17" s="1"/>
  <c r="B22" i="17"/>
  <c r="J22" i="17" s="1" a="1"/>
  <c r="J22" i="17" s="1"/>
  <c r="T21" i="17"/>
  <c r="L21" i="17" a="1"/>
  <c r="L21" i="17"/>
  <c r="K21" i="17"/>
  <c r="R21" i="17" s="1"/>
  <c r="J21" i="17" a="1"/>
  <c r="J21" i="17"/>
  <c r="H21" i="17" a="1"/>
  <c r="H21" i="17" s="1"/>
  <c r="C21" i="17" a="1"/>
  <c r="C21" i="17"/>
  <c r="B21" i="17"/>
  <c r="K21" i="17" s="1" a="1"/>
  <c r="P20" i="17"/>
  <c r="L20" i="17" a="1"/>
  <c r="L20" i="17"/>
  <c r="J20" i="17" a="1"/>
  <c r="J20" i="17"/>
  <c r="I20" i="17" a="1"/>
  <c r="I20" i="17" s="1"/>
  <c r="G20" i="17" a="1"/>
  <c r="G20" i="17" s="1"/>
  <c r="M20" i="17" s="1"/>
  <c r="D20" i="17" a="1"/>
  <c r="D20" i="17" s="1"/>
  <c r="C20" i="17" a="1"/>
  <c r="C20" i="17"/>
  <c r="B20" i="17"/>
  <c r="K20" i="17" s="1" a="1"/>
  <c r="K20" i="17" s="1"/>
  <c r="R20" i="17" s="1"/>
  <c r="I19" i="17" a="1"/>
  <c r="I19" i="17" s="1"/>
  <c r="G19" i="17" a="1"/>
  <c r="G19" i="17"/>
  <c r="M19" i="17" s="1"/>
  <c r="D19" i="17" a="1"/>
  <c r="D19" i="17"/>
  <c r="B19" i="17"/>
  <c r="L18" i="17" a="1"/>
  <c r="L18" i="17" s="1"/>
  <c r="J18" i="17" a="1"/>
  <c r="J18" i="17" s="1"/>
  <c r="P18" i="17" s="1"/>
  <c r="I18" i="17" a="1"/>
  <c r="I18" i="17" s="1"/>
  <c r="H18" i="17" a="1"/>
  <c r="H18" i="17" s="1"/>
  <c r="G18" i="17" a="1"/>
  <c r="G18" i="17"/>
  <c r="M18" i="17" s="1"/>
  <c r="D18" i="17" a="1"/>
  <c r="D18" i="17"/>
  <c r="C18" i="17" a="1"/>
  <c r="C18" i="17" s="1"/>
  <c r="B18" i="17"/>
  <c r="K18" i="17" s="1" a="1"/>
  <c r="K18" i="17" s="1"/>
  <c r="R18" i="17" s="1"/>
  <c r="L17" i="17" a="1"/>
  <c r="L17" i="17" s="1"/>
  <c r="J17" i="17" a="1"/>
  <c r="J17" i="17"/>
  <c r="H17" i="17" a="1"/>
  <c r="H17" i="17"/>
  <c r="C17" i="17" a="1"/>
  <c r="C17" i="17" s="1"/>
  <c r="B17" i="17"/>
  <c r="K17" i="17" s="1" a="1"/>
  <c r="K17" i="17" s="1"/>
  <c r="R17" i="17" s="1"/>
  <c r="J16" i="17" a="1"/>
  <c r="J16" i="17" s="1"/>
  <c r="D16" i="17" a="1"/>
  <c r="D16" i="17" s="1"/>
  <c r="B16" i="17"/>
  <c r="L16" i="17" s="1" a="1"/>
  <c r="L16" i="17" s="1"/>
  <c r="D15" i="17" a="1"/>
  <c r="D15" i="17" s="1"/>
  <c r="B15" i="17"/>
  <c r="H14" i="17" a="1"/>
  <c r="H14" i="17" s="1"/>
  <c r="D14" i="17" a="1"/>
  <c r="D14" i="17" s="1"/>
  <c r="B14" i="17"/>
  <c r="J14" i="17" s="1" a="1"/>
  <c r="J14" i="17" s="1"/>
  <c r="L13" i="17" a="1"/>
  <c r="L13" i="17"/>
  <c r="J13" i="17" a="1"/>
  <c r="J13" i="17"/>
  <c r="H13" i="17" a="1"/>
  <c r="H13" i="17" s="1"/>
  <c r="C13" i="17" a="1"/>
  <c r="C13" i="17"/>
  <c r="B13" i="17"/>
  <c r="K13" i="17" s="1" a="1"/>
  <c r="K13" i="17" s="1"/>
  <c r="P12" i="17"/>
  <c r="L12" i="17" a="1"/>
  <c r="L12" i="17"/>
  <c r="J12" i="17" a="1"/>
  <c r="J12" i="17"/>
  <c r="I12" i="17" a="1"/>
  <c r="I12" i="17" s="1"/>
  <c r="G12" i="17" a="1"/>
  <c r="G12" i="17" s="1"/>
  <c r="M12" i="17" s="1"/>
  <c r="D12" i="17" a="1"/>
  <c r="D12" i="17" s="1"/>
  <c r="C12" i="17" a="1"/>
  <c r="C12" i="17"/>
  <c r="B12" i="17"/>
  <c r="K12" i="17" s="1" a="1"/>
  <c r="K12" i="17" s="1"/>
  <c r="R12" i="17" s="1"/>
  <c r="I11" i="17" a="1"/>
  <c r="I11" i="17" s="1"/>
  <c r="B11" i="17"/>
  <c r="L10" i="17" a="1"/>
  <c r="L10" i="17" s="1"/>
  <c r="J10" i="17" a="1"/>
  <c r="J10" i="17" s="1"/>
  <c r="H10" i="17" a="1"/>
  <c r="H10" i="17" s="1"/>
  <c r="C10" i="17" a="1"/>
  <c r="C10" i="17" s="1"/>
  <c r="B10" i="17"/>
  <c r="K10" i="17" s="1" a="1"/>
  <c r="K10" i="17" s="1"/>
  <c r="L9" i="17" a="1"/>
  <c r="L9" i="17" s="1"/>
  <c r="J9" i="17" a="1"/>
  <c r="J9" i="17" s="1"/>
  <c r="H9" i="17" a="1"/>
  <c r="H9" i="17" s="1"/>
  <c r="C9" i="17" a="1"/>
  <c r="C9" i="17" s="1"/>
  <c r="B9" i="17"/>
  <c r="K9" i="17" s="1" a="1"/>
  <c r="K9" i="17" s="1"/>
  <c r="R9" i="17" s="1"/>
  <c r="I8" i="17" a="1"/>
  <c r="I8" i="17" s="1"/>
  <c r="D8" i="17" a="1"/>
  <c r="D8" i="17" s="1"/>
  <c r="N8" i="17" s="1"/>
  <c r="B8" i="17"/>
  <c r="I7" i="17" a="1"/>
  <c r="I7" i="17"/>
  <c r="D7" i="17" a="1"/>
  <c r="D7" i="17"/>
  <c r="B7" i="17"/>
  <c r="T6" i="17"/>
  <c r="L6" i="17" a="1"/>
  <c r="L6" i="17" s="1"/>
  <c r="J6" i="17" a="1"/>
  <c r="J6" i="17" s="1"/>
  <c r="H6" i="17" a="1"/>
  <c r="H6" i="17" s="1"/>
  <c r="C6" i="17" a="1"/>
  <c r="C6" i="17" s="1"/>
  <c r="B6" i="17"/>
  <c r="K6" i="17" s="1" a="1"/>
  <c r="K6" i="17" s="1"/>
  <c r="R6" i="17" s="1"/>
  <c r="L5" i="17" a="1"/>
  <c r="L5" i="17" s="1"/>
  <c r="J5" i="17" a="1"/>
  <c r="J5" i="17" s="1"/>
  <c r="H5" i="17" a="1"/>
  <c r="H5" i="17" s="1"/>
  <c r="C5" i="17" a="1"/>
  <c r="C5" i="17" s="1"/>
  <c r="B5" i="17"/>
  <c r="K5" i="17" s="1" a="1"/>
  <c r="K5" i="17" s="1"/>
  <c r="R5" i="17" s="1"/>
  <c r="I4" i="17" a="1"/>
  <c r="I4" i="17" s="1"/>
  <c r="D4" i="17" a="1"/>
  <c r="D4" i="17" s="1"/>
  <c r="B4" i="17"/>
  <c r="I3" i="17" a="1"/>
  <c r="I3" i="17"/>
  <c r="D3" i="17" a="1"/>
  <c r="D3" i="17"/>
  <c r="B3" i="17"/>
  <c r="C2" i="17"/>
  <c r="B2" i="17"/>
  <c r="I229" i="16"/>
  <c r="H229" i="16"/>
  <c r="J228" i="16"/>
  <c r="I228" i="16"/>
  <c r="H228" i="16"/>
  <c r="G228" i="16"/>
  <c r="E228" i="16"/>
  <c r="J227" i="16"/>
  <c r="I227" i="16"/>
  <c r="H227" i="16"/>
  <c r="G227" i="16"/>
  <c r="E227" i="16"/>
  <c r="J226" i="16"/>
  <c r="I226" i="16"/>
  <c r="H226" i="16"/>
  <c r="G226" i="16"/>
  <c r="E226" i="16"/>
  <c r="J225" i="16"/>
  <c r="I225" i="16"/>
  <c r="H225" i="16"/>
  <c r="G225" i="16"/>
  <c r="E225" i="16"/>
  <c r="J224" i="16"/>
  <c r="I224" i="16"/>
  <c r="H224" i="16"/>
  <c r="G224" i="16"/>
  <c r="E224" i="16"/>
  <c r="J223" i="16"/>
  <c r="I223" i="16"/>
  <c r="H223" i="16"/>
  <c r="G223" i="16"/>
  <c r="E223" i="16"/>
  <c r="J222" i="16"/>
  <c r="I222" i="16"/>
  <c r="H222" i="16"/>
  <c r="G222" i="16"/>
  <c r="E222" i="16"/>
  <c r="J221" i="16"/>
  <c r="I221" i="16"/>
  <c r="H221" i="16"/>
  <c r="G221" i="16"/>
  <c r="E221" i="16"/>
  <c r="J220" i="16"/>
  <c r="I220" i="16"/>
  <c r="H220" i="16"/>
  <c r="G220" i="16"/>
  <c r="E220" i="16"/>
  <c r="J219" i="16"/>
  <c r="I219" i="16"/>
  <c r="H219" i="16"/>
  <c r="G219" i="16"/>
  <c r="E219" i="16"/>
  <c r="J218" i="16"/>
  <c r="I218" i="16"/>
  <c r="H218" i="16"/>
  <c r="G218" i="16"/>
  <c r="E218" i="16"/>
  <c r="J217" i="16"/>
  <c r="I217" i="16"/>
  <c r="H217" i="16"/>
  <c r="G217" i="16"/>
  <c r="E217" i="16"/>
  <c r="J216" i="16"/>
  <c r="I216" i="16"/>
  <c r="H216" i="16"/>
  <c r="G216" i="16"/>
  <c r="E216" i="16"/>
  <c r="J215" i="16"/>
  <c r="I215" i="16"/>
  <c r="H215" i="16"/>
  <c r="G215" i="16"/>
  <c r="E215" i="16"/>
  <c r="J214" i="16"/>
  <c r="I214" i="16"/>
  <c r="H214" i="16"/>
  <c r="G214" i="16"/>
  <c r="E214" i="16"/>
  <c r="J213" i="16"/>
  <c r="I213" i="16"/>
  <c r="H213" i="16"/>
  <c r="G213" i="16"/>
  <c r="E213" i="16"/>
  <c r="J212" i="16"/>
  <c r="I212" i="16"/>
  <c r="H212" i="16"/>
  <c r="G212" i="16"/>
  <c r="E212" i="16"/>
  <c r="J211" i="16"/>
  <c r="I211" i="16"/>
  <c r="H211" i="16"/>
  <c r="G211" i="16"/>
  <c r="E211" i="16"/>
  <c r="J210" i="16"/>
  <c r="I210" i="16"/>
  <c r="H210" i="16"/>
  <c r="G210" i="16"/>
  <c r="E210" i="16"/>
  <c r="J209" i="16"/>
  <c r="I209" i="16"/>
  <c r="H209" i="16"/>
  <c r="G209" i="16"/>
  <c r="E209" i="16"/>
  <c r="J208" i="16"/>
  <c r="I208" i="16"/>
  <c r="H208" i="16"/>
  <c r="G208" i="16"/>
  <c r="E208" i="16"/>
  <c r="J207" i="16"/>
  <c r="I207" i="16"/>
  <c r="H207" i="16"/>
  <c r="G207" i="16"/>
  <c r="E207" i="16"/>
  <c r="J206" i="16"/>
  <c r="I206" i="16"/>
  <c r="H206" i="16"/>
  <c r="G206" i="16"/>
  <c r="E206" i="16"/>
  <c r="J205" i="16"/>
  <c r="I205" i="16"/>
  <c r="H205" i="16"/>
  <c r="G205" i="16"/>
  <c r="E205" i="16"/>
  <c r="J204" i="16"/>
  <c r="I204" i="16"/>
  <c r="H204" i="16"/>
  <c r="G204" i="16"/>
  <c r="E204" i="16"/>
  <c r="J203" i="16"/>
  <c r="I203" i="16"/>
  <c r="H203" i="16"/>
  <c r="G203" i="16"/>
  <c r="E203" i="16"/>
  <c r="J202" i="16"/>
  <c r="I202" i="16"/>
  <c r="H202" i="16"/>
  <c r="G202" i="16"/>
  <c r="E202" i="16"/>
  <c r="J201" i="16"/>
  <c r="I201" i="16"/>
  <c r="H201" i="16"/>
  <c r="G201" i="16"/>
  <c r="E201" i="16"/>
  <c r="J200" i="16"/>
  <c r="I200" i="16"/>
  <c r="H200" i="16"/>
  <c r="G200" i="16"/>
  <c r="E200" i="16"/>
  <c r="J199" i="16"/>
  <c r="I199" i="16"/>
  <c r="H199" i="16"/>
  <c r="G199" i="16"/>
  <c r="E199" i="16"/>
  <c r="J198" i="16"/>
  <c r="I198" i="16"/>
  <c r="H198" i="16"/>
  <c r="G198" i="16"/>
  <c r="E198" i="16"/>
  <c r="J197" i="16"/>
  <c r="I197" i="16"/>
  <c r="H197" i="16"/>
  <c r="G197" i="16"/>
  <c r="E197" i="16"/>
  <c r="J196" i="16"/>
  <c r="I196" i="16"/>
  <c r="H196" i="16"/>
  <c r="G196" i="16"/>
  <c r="E196" i="16"/>
  <c r="J195" i="16"/>
  <c r="I195" i="16"/>
  <c r="H195" i="16"/>
  <c r="G195" i="16"/>
  <c r="E195" i="16"/>
  <c r="J194" i="16"/>
  <c r="I194" i="16"/>
  <c r="H194" i="16"/>
  <c r="G194" i="16"/>
  <c r="E194" i="16"/>
  <c r="J193" i="16"/>
  <c r="I193" i="16"/>
  <c r="H193" i="16"/>
  <c r="G193" i="16"/>
  <c r="E193" i="16"/>
  <c r="J192" i="16"/>
  <c r="I192" i="16"/>
  <c r="H192" i="16"/>
  <c r="G192" i="16"/>
  <c r="E192" i="16"/>
  <c r="J191" i="16"/>
  <c r="I191" i="16"/>
  <c r="H191" i="16"/>
  <c r="G191" i="16"/>
  <c r="E191" i="16"/>
  <c r="J190" i="16"/>
  <c r="I190" i="16"/>
  <c r="H190" i="16"/>
  <c r="G190" i="16"/>
  <c r="E190" i="16"/>
  <c r="J189" i="16"/>
  <c r="I189" i="16"/>
  <c r="H189" i="16"/>
  <c r="G189" i="16"/>
  <c r="E189" i="16"/>
  <c r="J188" i="16"/>
  <c r="I188" i="16"/>
  <c r="H188" i="16"/>
  <c r="G188" i="16"/>
  <c r="E188" i="16"/>
  <c r="J187" i="16"/>
  <c r="I187" i="16"/>
  <c r="H187" i="16"/>
  <c r="G187" i="16"/>
  <c r="E187" i="16"/>
  <c r="J186" i="16"/>
  <c r="I186" i="16"/>
  <c r="H186" i="16"/>
  <c r="G186" i="16"/>
  <c r="E186" i="16"/>
  <c r="J185" i="16"/>
  <c r="I185" i="16"/>
  <c r="H185" i="16"/>
  <c r="G185" i="16"/>
  <c r="E185" i="16"/>
  <c r="J184" i="16"/>
  <c r="I184" i="16"/>
  <c r="H184" i="16"/>
  <c r="G184" i="16"/>
  <c r="E184" i="16"/>
  <c r="J183" i="16"/>
  <c r="I183" i="16"/>
  <c r="H183" i="16"/>
  <c r="G183" i="16"/>
  <c r="E183" i="16"/>
  <c r="J182" i="16"/>
  <c r="I182" i="16"/>
  <c r="H182" i="16"/>
  <c r="G182" i="16"/>
  <c r="E182" i="16"/>
  <c r="J181" i="16"/>
  <c r="I181" i="16"/>
  <c r="H181" i="16"/>
  <c r="G181" i="16"/>
  <c r="E181" i="16"/>
  <c r="J180" i="16"/>
  <c r="I180" i="16"/>
  <c r="H180" i="16"/>
  <c r="G180" i="16"/>
  <c r="E180" i="16"/>
  <c r="J179" i="16"/>
  <c r="I179" i="16"/>
  <c r="H179" i="16"/>
  <c r="G179" i="16"/>
  <c r="E179" i="16"/>
  <c r="J178" i="16"/>
  <c r="I178" i="16"/>
  <c r="H178" i="16"/>
  <c r="G178" i="16"/>
  <c r="E178" i="16"/>
  <c r="J177" i="16"/>
  <c r="I177" i="16"/>
  <c r="H177" i="16"/>
  <c r="G177" i="16"/>
  <c r="E177" i="16"/>
  <c r="J176" i="16"/>
  <c r="I176" i="16"/>
  <c r="H176" i="16"/>
  <c r="G176" i="16"/>
  <c r="E176" i="16"/>
  <c r="J175" i="16"/>
  <c r="I175" i="16"/>
  <c r="H175" i="16"/>
  <c r="G175" i="16"/>
  <c r="E175" i="16"/>
  <c r="J174" i="16"/>
  <c r="I174" i="16"/>
  <c r="H174" i="16"/>
  <c r="G174" i="16"/>
  <c r="E174" i="16"/>
  <c r="J173" i="16"/>
  <c r="I173" i="16"/>
  <c r="H173" i="16"/>
  <c r="G173" i="16"/>
  <c r="E173" i="16"/>
  <c r="J172" i="16"/>
  <c r="I172" i="16"/>
  <c r="H172" i="16"/>
  <c r="G172" i="16"/>
  <c r="E172" i="16"/>
  <c r="J171" i="16"/>
  <c r="I171" i="16"/>
  <c r="H171" i="16"/>
  <c r="G171" i="16"/>
  <c r="E171" i="16"/>
  <c r="J170" i="16"/>
  <c r="I170" i="16"/>
  <c r="H170" i="16"/>
  <c r="G170" i="16"/>
  <c r="E170" i="16"/>
  <c r="J169" i="16"/>
  <c r="I169" i="16"/>
  <c r="H169" i="16"/>
  <c r="G169" i="16"/>
  <c r="E169" i="16"/>
  <c r="J168" i="16"/>
  <c r="I168" i="16"/>
  <c r="H168" i="16"/>
  <c r="G168" i="16"/>
  <c r="E168" i="16"/>
  <c r="J167" i="16"/>
  <c r="I167" i="16"/>
  <c r="H167" i="16"/>
  <c r="G167" i="16"/>
  <c r="E167" i="16"/>
  <c r="J166" i="16"/>
  <c r="I166" i="16"/>
  <c r="H166" i="16"/>
  <c r="G166" i="16"/>
  <c r="E166" i="16"/>
  <c r="J165" i="16"/>
  <c r="I165" i="16"/>
  <c r="H165" i="16"/>
  <c r="G165" i="16"/>
  <c r="E165" i="16"/>
  <c r="J164" i="16"/>
  <c r="I164" i="16"/>
  <c r="H164" i="16"/>
  <c r="G164" i="16"/>
  <c r="E164" i="16"/>
  <c r="J163" i="16"/>
  <c r="I163" i="16"/>
  <c r="H163" i="16"/>
  <c r="G163" i="16"/>
  <c r="E163" i="16"/>
  <c r="J162" i="16"/>
  <c r="I162" i="16"/>
  <c r="H162" i="16"/>
  <c r="G162" i="16"/>
  <c r="E162" i="16"/>
  <c r="J161" i="16"/>
  <c r="I161" i="16"/>
  <c r="H161" i="16"/>
  <c r="G161" i="16"/>
  <c r="E161" i="16"/>
  <c r="J160" i="16"/>
  <c r="I160" i="16"/>
  <c r="H160" i="16"/>
  <c r="G160" i="16"/>
  <c r="E160" i="16"/>
  <c r="J159" i="16"/>
  <c r="I159" i="16"/>
  <c r="H159" i="16"/>
  <c r="G159" i="16"/>
  <c r="E159" i="16"/>
  <c r="J158" i="16"/>
  <c r="I158" i="16"/>
  <c r="H158" i="16"/>
  <c r="G158" i="16"/>
  <c r="E158" i="16"/>
  <c r="J157" i="16"/>
  <c r="I157" i="16"/>
  <c r="H157" i="16"/>
  <c r="G157" i="16"/>
  <c r="E157" i="16"/>
  <c r="J156" i="16"/>
  <c r="I156" i="16"/>
  <c r="H156" i="16"/>
  <c r="G156" i="16"/>
  <c r="E156" i="16"/>
  <c r="J155" i="16"/>
  <c r="I155" i="16"/>
  <c r="H155" i="16"/>
  <c r="G155" i="16"/>
  <c r="E155" i="16"/>
  <c r="J154" i="16"/>
  <c r="I154" i="16"/>
  <c r="H154" i="16"/>
  <c r="G154" i="16"/>
  <c r="E154" i="16"/>
  <c r="J153" i="16"/>
  <c r="I153" i="16"/>
  <c r="H153" i="16"/>
  <c r="G153" i="16"/>
  <c r="E153" i="16"/>
  <c r="J152" i="16"/>
  <c r="I152" i="16"/>
  <c r="H152" i="16"/>
  <c r="G152" i="16"/>
  <c r="E152" i="16"/>
  <c r="J151" i="16"/>
  <c r="I151" i="16"/>
  <c r="H151" i="16"/>
  <c r="G151" i="16"/>
  <c r="E151" i="16"/>
  <c r="J150" i="16"/>
  <c r="I150" i="16"/>
  <c r="H150" i="16"/>
  <c r="G150" i="16"/>
  <c r="E150" i="16"/>
  <c r="J149" i="16"/>
  <c r="I149" i="16"/>
  <c r="H149" i="16"/>
  <c r="G149" i="16"/>
  <c r="E149" i="16"/>
  <c r="J148" i="16"/>
  <c r="I148" i="16"/>
  <c r="H148" i="16"/>
  <c r="G148" i="16"/>
  <c r="E148" i="16"/>
  <c r="J147" i="16"/>
  <c r="I147" i="16"/>
  <c r="H147" i="16"/>
  <c r="G147" i="16"/>
  <c r="E147" i="16"/>
  <c r="J146" i="16"/>
  <c r="I146" i="16"/>
  <c r="H146" i="16"/>
  <c r="G146" i="16"/>
  <c r="E146" i="16"/>
  <c r="J145" i="16"/>
  <c r="I145" i="16"/>
  <c r="H145" i="16"/>
  <c r="G145" i="16"/>
  <c r="E145" i="16"/>
  <c r="J144" i="16"/>
  <c r="I144" i="16"/>
  <c r="H144" i="16"/>
  <c r="G144" i="16"/>
  <c r="E144" i="16"/>
  <c r="J143" i="16"/>
  <c r="I143" i="16"/>
  <c r="H143" i="16"/>
  <c r="G143" i="16"/>
  <c r="E143" i="16"/>
  <c r="J142" i="16"/>
  <c r="I142" i="16"/>
  <c r="H142" i="16"/>
  <c r="G142" i="16"/>
  <c r="E142" i="16"/>
  <c r="J141" i="16"/>
  <c r="I141" i="16"/>
  <c r="H141" i="16"/>
  <c r="G141" i="16"/>
  <c r="E141" i="16"/>
  <c r="J140" i="16"/>
  <c r="I140" i="16"/>
  <c r="H140" i="16"/>
  <c r="G140" i="16"/>
  <c r="E140" i="16"/>
  <c r="J139" i="16"/>
  <c r="I139" i="16"/>
  <c r="H139" i="16"/>
  <c r="G139" i="16"/>
  <c r="E139" i="16"/>
  <c r="J138" i="16"/>
  <c r="I138" i="16"/>
  <c r="H138" i="16"/>
  <c r="G138" i="16"/>
  <c r="E138" i="16"/>
  <c r="J137" i="16"/>
  <c r="I137" i="16"/>
  <c r="H137" i="16"/>
  <c r="G137" i="16"/>
  <c r="E137" i="16"/>
  <c r="J136" i="16"/>
  <c r="I136" i="16"/>
  <c r="H136" i="16"/>
  <c r="G136" i="16"/>
  <c r="E136" i="16"/>
  <c r="J135" i="16"/>
  <c r="I135" i="16"/>
  <c r="H135" i="16"/>
  <c r="G135" i="16"/>
  <c r="E135" i="16"/>
  <c r="J134" i="16"/>
  <c r="I134" i="16"/>
  <c r="H134" i="16"/>
  <c r="G134" i="16"/>
  <c r="E134" i="16"/>
  <c r="J133" i="16"/>
  <c r="I133" i="16"/>
  <c r="H133" i="16"/>
  <c r="G133" i="16"/>
  <c r="E133" i="16"/>
  <c r="J132" i="16"/>
  <c r="I132" i="16"/>
  <c r="H132" i="16"/>
  <c r="G132" i="16"/>
  <c r="E132" i="16"/>
  <c r="J131" i="16"/>
  <c r="I131" i="16"/>
  <c r="H131" i="16"/>
  <c r="G131" i="16"/>
  <c r="E131" i="16"/>
  <c r="J130" i="16"/>
  <c r="I130" i="16"/>
  <c r="H130" i="16"/>
  <c r="G130" i="16"/>
  <c r="E130" i="16"/>
  <c r="J129" i="16"/>
  <c r="I129" i="16"/>
  <c r="H129" i="16"/>
  <c r="G129" i="16"/>
  <c r="E129" i="16"/>
  <c r="J128" i="16"/>
  <c r="I128" i="16"/>
  <c r="H128" i="16"/>
  <c r="G128" i="16"/>
  <c r="E128" i="16"/>
  <c r="J127" i="16"/>
  <c r="I127" i="16"/>
  <c r="H127" i="16"/>
  <c r="G127" i="16"/>
  <c r="E127" i="16"/>
  <c r="J126" i="16"/>
  <c r="I126" i="16"/>
  <c r="H126" i="16"/>
  <c r="G126" i="16"/>
  <c r="E126" i="16"/>
  <c r="J125" i="16"/>
  <c r="I125" i="16"/>
  <c r="H125" i="16"/>
  <c r="G125" i="16"/>
  <c r="E125" i="16"/>
  <c r="J124" i="16"/>
  <c r="I124" i="16"/>
  <c r="H124" i="16"/>
  <c r="G124" i="16"/>
  <c r="E124" i="16"/>
  <c r="J123" i="16"/>
  <c r="I123" i="16"/>
  <c r="H123" i="16"/>
  <c r="G123" i="16"/>
  <c r="E123" i="16"/>
  <c r="J122" i="16"/>
  <c r="I122" i="16"/>
  <c r="H122" i="16"/>
  <c r="G122" i="16"/>
  <c r="E122" i="16"/>
  <c r="J121" i="16"/>
  <c r="I121" i="16"/>
  <c r="H121" i="16"/>
  <c r="G121" i="16"/>
  <c r="E121" i="16"/>
  <c r="J120" i="16"/>
  <c r="I120" i="16"/>
  <c r="H120" i="16"/>
  <c r="G120" i="16"/>
  <c r="E120" i="16"/>
  <c r="J119" i="16"/>
  <c r="I119" i="16"/>
  <c r="H119" i="16"/>
  <c r="G119" i="16"/>
  <c r="E119" i="16"/>
  <c r="J113" i="16"/>
  <c r="I113" i="16"/>
  <c r="R112" i="17" s="1"/>
  <c r="H113" i="16"/>
  <c r="G113" i="16"/>
  <c r="F113" i="16"/>
  <c r="E113" i="16"/>
  <c r="D113" i="16"/>
  <c r="P112" i="16"/>
  <c r="L112" i="16"/>
  <c r="P111" i="16"/>
  <c r="O111" i="16"/>
  <c r="N111" i="16"/>
  <c r="M111" i="16"/>
  <c r="L111" i="16"/>
  <c r="P110" i="16"/>
  <c r="O110" i="16"/>
  <c r="N110" i="16"/>
  <c r="M110" i="16"/>
  <c r="L110" i="16"/>
  <c r="P109" i="16"/>
  <c r="O109" i="16"/>
  <c r="N109" i="16"/>
  <c r="M109" i="16"/>
  <c r="L109" i="16"/>
  <c r="P108" i="16"/>
  <c r="O108" i="16"/>
  <c r="N108" i="16"/>
  <c r="M108" i="16"/>
  <c r="L108" i="16"/>
  <c r="P107" i="16"/>
  <c r="O107" i="16"/>
  <c r="N107" i="16"/>
  <c r="M107" i="16"/>
  <c r="L107" i="16"/>
  <c r="P106" i="16"/>
  <c r="O106" i="16"/>
  <c r="N106" i="16"/>
  <c r="M106" i="16"/>
  <c r="L106" i="16"/>
  <c r="P105" i="16"/>
  <c r="O105" i="16"/>
  <c r="N105" i="16"/>
  <c r="M105" i="16"/>
  <c r="L105" i="16"/>
  <c r="P104" i="16"/>
  <c r="O104" i="16"/>
  <c r="N104" i="16"/>
  <c r="M104" i="16"/>
  <c r="L104" i="16"/>
  <c r="P103" i="16"/>
  <c r="O103" i="16"/>
  <c r="N103" i="16"/>
  <c r="M103" i="16"/>
  <c r="L103" i="16"/>
  <c r="P102" i="16"/>
  <c r="O102" i="16"/>
  <c r="N102" i="16"/>
  <c r="M102" i="16"/>
  <c r="L102" i="16"/>
  <c r="P101" i="16"/>
  <c r="O101" i="16"/>
  <c r="N101" i="16"/>
  <c r="M101" i="16"/>
  <c r="L101" i="16"/>
  <c r="P100" i="16"/>
  <c r="O100" i="16"/>
  <c r="N100" i="16"/>
  <c r="M100" i="16"/>
  <c r="L100" i="16"/>
  <c r="P99" i="16"/>
  <c r="O99" i="16"/>
  <c r="N99" i="16"/>
  <c r="M99" i="16"/>
  <c r="L99" i="16"/>
  <c r="P98" i="16"/>
  <c r="O98" i="16"/>
  <c r="N98" i="16"/>
  <c r="M98" i="16"/>
  <c r="L98" i="16"/>
  <c r="P97" i="16"/>
  <c r="O97" i="16"/>
  <c r="N97" i="16"/>
  <c r="M97" i="16"/>
  <c r="L97" i="16"/>
  <c r="P96" i="16"/>
  <c r="O96" i="16"/>
  <c r="N96" i="16"/>
  <c r="M96" i="16"/>
  <c r="L96" i="16"/>
  <c r="P95" i="16"/>
  <c r="O95" i="16"/>
  <c r="N95" i="16"/>
  <c r="M95" i="16"/>
  <c r="L95" i="16"/>
  <c r="P94" i="16"/>
  <c r="O94" i="16"/>
  <c r="N94" i="16"/>
  <c r="M94" i="16"/>
  <c r="L94" i="16"/>
  <c r="P93" i="16"/>
  <c r="O93" i="16"/>
  <c r="N93" i="16"/>
  <c r="M93" i="16"/>
  <c r="L93" i="16"/>
  <c r="P92" i="16"/>
  <c r="O92" i="16"/>
  <c r="N92" i="16"/>
  <c r="M92" i="16"/>
  <c r="L92" i="16"/>
  <c r="P91" i="16"/>
  <c r="O91" i="16"/>
  <c r="N91" i="16"/>
  <c r="M91" i="16"/>
  <c r="L91" i="16"/>
  <c r="P90" i="16"/>
  <c r="O90" i="16"/>
  <c r="N90" i="16"/>
  <c r="M90" i="16"/>
  <c r="L90" i="16"/>
  <c r="P89" i="16"/>
  <c r="O89" i="16"/>
  <c r="N89" i="16"/>
  <c r="M89" i="16"/>
  <c r="L89" i="16"/>
  <c r="P88" i="16"/>
  <c r="O88" i="16"/>
  <c r="N88" i="16"/>
  <c r="M88" i="16"/>
  <c r="L88" i="16"/>
  <c r="P87" i="16"/>
  <c r="O87" i="16"/>
  <c r="N87" i="16"/>
  <c r="M87" i="16"/>
  <c r="L87" i="16"/>
  <c r="P86" i="16"/>
  <c r="O86" i="16"/>
  <c r="N86" i="16"/>
  <c r="M86" i="16"/>
  <c r="L86" i="16"/>
  <c r="P85" i="16"/>
  <c r="O85" i="16"/>
  <c r="N85" i="16"/>
  <c r="M85" i="16"/>
  <c r="L85" i="16"/>
  <c r="P84" i="16"/>
  <c r="O84" i="16"/>
  <c r="N84" i="16"/>
  <c r="M84" i="16"/>
  <c r="L84" i="16"/>
  <c r="P83" i="16"/>
  <c r="O83" i="16"/>
  <c r="N83" i="16"/>
  <c r="M83" i="16"/>
  <c r="L83" i="16"/>
  <c r="P82" i="16"/>
  <c r="O82" i="16"/>
  <c r="N82" i="16"/>
  <c r="M82" i="16"/>
  <c r="L82" i="16"/>
  <c r="P81" i="16"/>
  <c r="O81" i="16"/>
  <c r="N81" i="16"/>
  <c r="M81" i="16"/>
  <c r="L81" i="16"/>
  <c r="P80" i="16"/>
  <c r="O80" i="16"/>
  <c r="N80" i="16"/>
  <c r="M80" i="16"/>
  <c r="L80" i="16"/>
  <c r="P79" i="16"/>
  <c r="O79" i="16"/>
  <c r="N79" i="16"/>
  <c r="M79" i="16"/>
  <c r="L79" i="16"/>
  <c r="P78" i="16"/>
  <c r="O78" i="16"/>
  <c r="N78" i="16"/>
  <c r="M78" i="16"/>
  <c r="L78" i="16"/>
  <c r="P77" i="16"/>
  <c r="O77" i="16"/>
  <c r="N77" i="16"/>
  <c r="M77" i="16"/>
  <c r="L77" i="16"/>
  <c r="P76" i="16"/>
  <c r="O76" i="16"/>
  <c r="N76" i="16"/>
  <c r="M76" i="16"/>
  <c r="L76" i="16"/>
  <c r="P75" i="16"/>
  <c r="O75" i="16"/>
  <c r="N75" i="16"/>
  <c r="M75" i="16"/>
  <c r="L75" i="16"/>
  <c r="P74" i="16"/>
  <c r="O74" i="16"/>
  <c r="N74" i="16"/>
  <c r="M74" i="16"/>
  <c r="L74" i="16"/>
  <c r="P73" i="16"/>
  <c r="O73" i="16"/>
  <c r="N73" i="16"/>
  <c r="M73" i="16"/>
  <c r="L73" i="16"/>
  <c r="P72" i="16"/>
  <c r="O72" i="16"/>
  <c r="N72" i="16"/>
  <c r="M72" i="16"/>
  <c r="L72" i="16"/>
  <c r="P71" i="16"/>
  <c r="O71" i="16"/>
  <c r="N71" i="16"/>
  <c r="M71" i="16"/>
  <c r="L71" i="16"/>
  <c r="P70" i="16"/>
  <c r="O70" i="16"/>
  <c r="N70" i="16"/>
  <c r="M70" i="16"/>
  <c r="L70" i="16"/>
  <c r="P69" i="16"/>
  <c r="O69" i="16"/>
  <c r="N69" i="16"/>
  <c r="M69" i="16"/>
  <c r="L69" i="16"/>
  <c r="P68" i="16"/>
  <c r="O68" i="16"/>
  <c r="N68" i="16"/>
  <c r="M68" i="16"/>
  <c r="L68" i="16"/>
  <c r="P67" i="16"/>
  <c r="O67" i="16"/>
  <c r="N67" i="16"/>
  <c r="M67" i="16"/>
  <c r="L67" i="16"/>
  <c r="P66" i="16"/>
  <c r="O66" i="16"/>
  <c r="N66" i="16"/>
  <c r="M66" i="16"/>
  <c r="L66" i="16"/>
  <c r="P65" i="16"/>
  <c r="O65" i="16"/>
  <c r="N65" i="16"/>
  <c r="M65" i="16"/>
  <c r="L65" i="16"/>
  <c r="P64" i="16"/>
  <c r="O64" i="16"/>
  <c r="N64" i="16"/>
  <c r="M64" i="16"/>
  <c r="L64" i="16"/>
  <c r="P63" i="16"/>
  <c r="O63" i="16"/>
  <c r="N63" i="16"/>
  <c r="M63" i="16"/>
  <c r="L63" i="16"/>
  <c r="P62" i="16"/>
  <c r="O62" i="16"/>
  <c r="N62" i="16"/>
  <c r="M62" i="16"/>
  <c r="L62" i="16"/>
  <c r="P61" i="16"/>
  <c r="O61" i="16"/>
  <c r="N61" i="16"/>
  <c r="M61" i="16"/>
  <c r="L61" i="16"/>
  <c r="P60" i="16"/>
  <c r="O60" i="16"/>
  <c r="N60" i="16"/>
  <c r="M60" i="16"/>
  <c r="L60" i="16"/>
  <c r="P59" i="16"/>
  <c r="O59" i="16"/>
  <c r="N59" i="16"/>
  <c r="M59" i="16"/>
  <c r="L59" i="16"/>
  <c r="P58" i="16"/>
  <c r="O58" i="16"/>
  <c r="N58" i="16"/>
  <c r="M58" i="16"/>
  <c r="L58" i="16"/>
  <c r="P57" i="16"/>
  <c r="O57" i="16"/>
  <c r="N57" i="16"/>
  <c r="M57" i="16"/>
  <c r="L57" i="16"/>
  <c r="P56" i="16"/>
  <c r="O56" i="16"/>
  <c r="N56" i="16"/>
  <c r="M56" i="16"/>
  <c r="L56" i="16"/>
  <c r="P55" i="16"/>
  <c r="O55" i="16"/>
  <c r="N55" i="16"/>
  <c r="M55" i="16"/>
  <c r="L55" i="16"/>
  <c r="P54" i="16"/>
  <c r="O54" i="16"/>
  <c r="N54" i="16"/>
  <c r="M54" i="16"/>
  <c r="L54" i="16"/>
  <c r="P53" i="16"/>
  <c r="O53" i="16"/>
  <c r="N53" i="16"/>
  <c r="M53" i="16"/>
  <c r="L53" i="16"/>
  <c r="P52" i="16"/>
  <c r="O52" i="16"/>
  <c r="N52" i="16"/>
  <c r="M52" i="16"/>
  <c r="L52" i="16"/>
  <c r="P51" i="16"/>
  <c r="O51" i="16"/>
  <c r="N51" i="16"/>
  <c r="M51" i="16"/>
  <c r="L51" i="16"/>
  <c r="P50" i="16"/>
  <c r="O50" i="16"/>
  <c r="N50" i="16"/>
  <c r="M50" i="16"/>
  <c r="L50" i="16"/>
  <c r="P49" i="16"/>
  <c r="O49" i="16"/>
  <c r="N49" i="16"/>
  <c r="M49" i="16"/>
  <c r="L49" i="16"/>
  <c r="P48" i="16"/>
  <c r="O48" i="16"/>
  <c r="N48" i="16"/>
  <c r="M48" i="16"/>
  <c r="L48" i="16"/>
  <c r="P47" i="16"/>
  <c r="O47" i="16"/>
  <c r="N47" i="16"/>
  <c r="M47" i="16"/>
  <c r="L47" i="16"/>
  <c r="P46" i="16"/>
  <c r="O46" i="16"/>
  <c r="N46" i="16"/>
  <c r="M46" i="16"/>
  <c r="L46" i="16"/>
  <c r="P45" i="16"/>
  <c r="O45" i="16"/>
  <c r="N45" i="16"/>
  <c r="M45" i="16"/>
  <c r="L45" i="16"/>
  <c r="P44" i="16"/>
  <c r="O44" i="16"/>
  <c r="N44" i="16"/>
  <c r="M44" i="16"/>
  <c r="L44" i="16"/>
  <c r="P43" i="16"/>
  <c r="O43" i="16"/>
  <c r="N43" i="16"/>
  <c r="M43" i="16"/>
  <c r="L43" i="16"/>
  <c r="P42" i="16"/>
  <c r="O42" i="16"/>
  <c r="N42" i="16"/>
  <c r="M42" i="16"/>
  <c r="L42" i="16"/>
  <c r="P41" i="16"/>
  <c r="O41" i="16"/>
  <c r="N41" i="16"/>
  <c r="M41" i="16"/>
  <c r="L41" i="16"/>
  <c r="P40" i="16"/>
  <c r="O40" i="16"/>
  <c r="N40" i="16"/>
  <c r="M40" i="16"/>
  <c r="L40" i="16"/>
  <c r="P39" i="16"/>
  <c r="O39" i="16"/>
  <c r="N39" i="16"/>
  <c r="M39" i="16"/>
  <c r="L39" i="16"/>
  <c r="P38" i="16"/>
  <c r="O38" i="16"/>
  <c r="N38" i="16"/>
  <c r="M38" i="16"/>
  <c r="L38" i="16"/>
  <c r="P37" i="16"/>
  <c r="O37" i="16"/>
  <c r="N37" i="16"/>
  <c r="M37" i="16"/>
  <c r="L37" i="16"/>
  <c r="P36" i="16"/>
  <c r="O36" i="16"/>
  <c r="N36" i="16"/>
  <c r="M36" i="16"/>
  <c r="L36" i="16"/>
  <c r="P35" i="16"/>
  <c r="O35" i="16"/>
  <c r="N35" i="16"/>
  <c r="M35" i="16"/>
  <c r="L35" i="16"/>
  <c r="P34" i="16"/>
  <c r="O34" i="16"/>
  <c r="N34" i="16"/>
  <c r="M34" i="16"/>
  <c r="L34" i="16"/>
  <c r="P33" i="16"/>
  <c r="O33" i="16"/>
  <c r="N33" i="16"/>
  <c r="M33" i="16"/>
  <c r="L33" i="16"/>
  <c r="P32" i="16"/>
  <c r="O32" i="16"/>
  <c r="N32" i="16"/>
  <c r="M32" i="16"/>
  <c r="L32" i="16"/>
  <c r="P31" i="16"/>
  <c r="O31" i="16"/>
  <c r="N31" i="16"/>
  <c r="M31" i="16"/>
  <c r="L31" i="16"/>
  <c r="X30" i="16"/>
  <c r="P30" i="16"/>
  <c r="O30" i="16"/>
  <c r="N30" i="16"/>
  <c r="M30" i="16"/>
  <c r="L30" i="16"/>
  <c r="X29" i="16"/>
  <c r="P29" i="16"/>
  <c r="O29" i="16"/>
  <c r="N29" i="16"/>
  <c r="M29" i="16"/>
  <c r="L29" i="16"/>
  <c r="X28" i="16"/>
  <c r="P28" i="16"/>
  <c r="O28" i="16"/>
  <c r="N28" i="16"/>
  <c r="M28" i="16"/>
  <c r="L28" i="16"/>
  <c r="X27" i="16"/>
  <c r="P27" i="16"/>
  <c r="O27" i="16"/>
  <c r="N27" i="16"/>
  <c r="M27" i="16"/>
  <c r="L27" i="16"/>
  <c r="X26" i="16"/>
  <c r="P26" i="16"/>
  <c r="O26" i="16"/>
  <c r="N26" i="16"/>
  <c r="M26" i="16"/>
  <c r="L26" i="16"/>
  <c r="X25" i="16"/>
  <c r="P25" i="16"/>
  <c r="O25" i="16"/>
  <c r="N25" i="16"/>
  <c r="M25" i="16"/>
  <c r="L25" i="16"/>
  <c r="X24" i="16"/>
  <c r="P24" i="16"/>
  <c r="O24" i="16"/>
  <c r="N24" i="16"/>
  <c r="M24" i="16"/>
  <c r="L24" i="16"/>
  <c r="X23" i="16"/>
  <c r="P23" i="16"/>
  <c r="O23" i="16"/>
  <c r="N23" i="16"/>
  <c r="M23" i="16"/>
  <c r="L23" i="16"/>
  <c r="X22" i="16"/>
  <c r="P22" i="16"/>
  <c r="O22" i="16"/>
  <c r="N22" i="16"/>
  <c r="M22" i="16"/>
  <c r="L22" i="16"/>
  <c r="X21" i="16"/>
  <c r="P21" i="16"/>
  <c r="O21" i="16"/>
  <c r="N21" i="16"/>
  <c r="M21" i="16"/>
  <c r="L21" i="16"/>
  <c r="X20" i="16"/>
  <c r="P20" i="16"/>
  <c r="O20" i="16"/>
  <c r="N20" i="16"/>
  <c r="M20" i="16"/>
  <c r="L20" i="16"/>
  <c r="P19" i="16"/>
  <c r="O19" i="16"/>
  <c r="N19" i="16"/>
  <c r="M19" i="16"/>
  <c r="L19" i="16"/>
  <c r="P18" i="16"/>
  <c r="O18" i="16"/>
  <c r="N18" i="16"/>
  <c r="M18" i="16"/>
  <c r="L18" i="16"/>
  <c r="P17" i="16"/>
  <c r="O17" i="16"/>
  <c r="N17" i="16"/>
  <c r="M17" i="16"/>
  <c r="L17" i="16"/>
  <c r="P16" i="16"/>
  <c r="O16" i="16"/>
  <c r="N16" i="16"/>
  <c r="M16" i="16"/>
  <c r="L16" i="16"/>
  <c r="P15" i="16"/>
  <c r="O15" i="16"/>
  <c r="N15" i="16"/>
  <c r="M15" i="16"/>
  <c r="L15" i="16"/>
  <c r="X14" i="16"/>
  <c r="P14" i="16"/>
  <c r="O14" i="16"/>
  <c r="N14" i="16"/>
  <c r="M14" i="16"/>
  <c r="L14" i="16"/>
  <c r="X13" i="16"/>
  <c r="P13" i="16"/>
  <c r="O13" i="16"/>
  <c r="N13" i="16"/>
  <c r="M13" i="16"/>
  <c r="L13" i="16"/>
  <c r="X12" i="16"/>
  <c r="P12" i="16"/>
  <c r="O12" i="16"/>
  <c r="N12" i="16"/>
  <c r="M12" i="16"/>
  <c r="L12" i="16"/>
  <c r="X11" i="16"/>
  <c r="P11" i="16"/>
  <c r="O11" i="16"/>
  <c r="N11" i="16"/>
  <c r="M11" i="16"/>
  <c r="L11" i="16"/>
  <c r="X10" i="16"/>
  <c r="P10" i="16"/>
  <c r="O10" i="16"/>
  <c r="N10" i="16"/>
  <c r="M10" i="16"/>
  <c r="L10" i="16"/>
  <c r="X9" i="16"/>
  <c r="P9" i="16"/>
  <c r="O9" i="16"/>
  <c r="N9" i="16"/>
  <c r="M9" i="16"/>
  <c r="L9" i="16"/>
  <c r="X8" i="16"/>
  <c r="P8" i="16"/>
  <c r="O8" i="16"/>
  <c r="N8" i="16"/>
  <c r="M8" i="16"/>
  <c r="L8" i="16"/>
  <c r="X7" i="16"/>
  <c r="P7" i="16"/>
  <c r="O7" i="16"/>
  <c r="N7" i="16"/>
  <c r="M7" i="16"/>
  <c r="L7" i="16"/>
  <c r="X6" i="16"/>
  <c r="P6" i="16"/>
  <c r="O6" i="16"/>
  <c r="N6" i="16"/>
  <c r="M6" i="16"/>
  <c r="L6" i="16"/>
  <c r="X5" i="16"/>
  <c r="P5" i="16"/>
  <c r="O5" i="16"/>
  <c r="N5" i="16"/>
  <c r="M5" i="16"/>
  <c r="L5" i="16"/>
  <c r="P4" i="16"/>
  <c r="O4" i="16"/>
  <c r="N4" i="16"/>
  <c r="M4" i="16"/>
  <c r="L4" i="16"/>
  <c r="A4" i="16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A102" i="16" s="1"/>
  <c r="A103" i="16" s="1"/>
  <c r="A104" i="16" s="1"/>
  <c r="A105" i="16" s="1"/>
  <c r="A106" i="16" s="1"/>
  <c r="A107" i="16" s="1"/>
  <c r="A108" i="16" s="1"/>
  <c r="A109" i="16" s="1"/>
  <c r="A110" i="16" s="1"/>
  <c r="A111" i="16" s="1"/>
  <c r="P3" i="16"/>
  <c r="O3" i="16"/>
  <c r="N3" i="16"/>
  <c r="M3" i="16"/>
  <c r="L3" i="16"/>
  <c r="D114" i="15"/>
  <c r="D113" i="15"/>
  <c r="B113" i="15"/>
  <c r="B112" i="15"/>
  <c r="B111" i="15"/>
  <c r="D111" i="15" s="1" a="1"/>
  <c r="D111" i="15" s="1"/>
  <c r="B110" i="15"/>
  <c r="L110" i="15" s="1" a="1"/>
  <c r="L110" i="15" s="1"/>
  <c r="L109" i="15" a="1"/>
  <c r="L109" i="15"/>
  <c r="J109" i="15" a="1"/>
  <c r="J109" i="15"/>
  <c r="H109" i="15" a="1"/>
  <c r="H109" i="15"/>
  <c r="C109" i="15" a="1"/>
  <c r="C109" i="15"/>
  <c r="B109" i="15"/>
  <c r="K109" i="15" s="1" a="1"/>
  <c r="K109" i="15" s="1"/>
  <c r="R109" i="15" s="1"/>
  <c r="L108" i="15" a="1"/>
  <c r="L108" i="15" s="1"/>
  <c r="J108" i="15" a="1"/>
  <c r="J108" i="15"/>
  <c r="P108" i="15" s="1"/>
  <c r="G108" i="15" a="1"/>
  <c r="G108" i="15" s="1"/>
  <c r="M108" i="15" s="1"/>
  <c r="D108" i="15" a="1"/>
  <c r="D108" i="15" s="1"/>
  <c r="C108" i="15" a="1"/>
  <c r="C108" i="15" s="1"/>
  <c r="B108" i="15"/>
  <c r="I108" i="15" s="1" a="1"/>
  <c r="I108" i="15" s="1"/>
  <c r="G107" i="15" a="1"/>
  <c r="G107" i="15" s="1"/>
  <c r="M107" i="15" s="1"/>
  <c r="D107" i="15" a="1"/>
  <c r="D107" i="15"/>
  <c r="B107" i="15"/>
  <c r="J106" i="15" a="1"/>
  <c r="J106" i="15" s="1"/>
  <c r="H106" i="15" a="1"/>
  <c r="H106" i="15" s="1"/>
  <c r="G106" i="15" a="1"/>
  <c r="G106" i="15" s="1"/>
  <c r="M106" i="15" s="1"/>
  <c r="D106" i="15" a="1"/>
  <c r="D106" i="15"/>
  <c r="B106" i="15"/>
  <c r="L106" i="15" s="1" a="1"/>
  <c r="L106" i="15" s="1"/>
  <c r="L105" i="15" a="1"/>
  <c r="L105" i="15"/>
  <c r="J105" i="15" a="1"/>
  <c r="J105" i="15" s="1"/>
  <c r="H105" i="15" a="1"/>
  <c r="H105" i="15"/>
  <c r="C105" i="15" a="1"/>
  <c r="C105" i="15"/>
  <c r="B105" i="15"/>
  <c r="K105" i="15" s="1" a="1"/>
  <c r="K105" i="15" s="1"/>
  <c r="B104" i="15"/>
  <c r="I104" i="15" s="1" a="1"/>
  <c r="I104" i="15" s="1"/>
  <c r="B103" i="15"/>
  <c r="D103" i="15" s="1" a="1"/>
  <c r="D103" i="15" s="1"/>
  <c r="B102" i="15"/>
  <c r="L102" i="15" s="1" a="1"/>
  <c r="L102" i="15" s="1"/>
  <c r="L101" i="15" a="1"/>
  <c r="L101" i="15"/>
  <c r="T101" i="15" s="1"/>
  <c r="J101" i="15" a="1"/>
  <c r="J101" i="15"/>
  <c r="H101" i="15" a="1"/>
  <c r="H101" i="15"/>
  <c r="C101" i="15" a="1"/>
  <c r="C101" i="15"/>
  <c r="B101" i="15"/>
  <c r="K101" i="15" s="1" a="1"/>
  <c r="K101" i="15" s="1"/>
  <c r="R101" i="15" s="1"/>
  <c r="L100" i="15" a="1"/>
  <c r="L100" i="15" s="1"/>
  <c r="J100" i="15" a="1"/>
  <c r="J100" i="15"/>
  <c r="P100" i="15" s="1"/>
  <c r="G100" i="15" a="1"/>
  <c r="G100" i="15" s="1"/>
  <c r="M100" i="15" s="1"/>
  <c r="D100" i="15" a="1"/>
  <c r="D100" i="15" s="1"/>
  <c r="C100" i="15" a="1"/>
  <c r="C100" i="15" s="1"/>
  <c r="B100" i="15"/>
  <c r="I100" i="15" s="1" a="1"/>
  <c r="I100" i="15" s="1"/>
  <c r="G99" i="15" a="1"/>
  <c r="G99" i="15" s="1"/>
  <c r="M99" i="15" s="1"/>
  <c r="D99" i="15" a="1"/>
  <c r="D99" i="15"/>
  <c r="B99" i="15"/>
  <c r="J98" i="15" a="1"/>
  <c r="J98" i="15" s="1"/>
  <c r="H98" i="15" a="1"/>
  <c r="H98" i="15" s="1"/>
  <c r="G98" i="15" a="1"/>
  <c r="G98" i="15" s="1"/>
  <c r="M98" i="15" s="1"/>
  <c r="D98" i="15" a="1"/>
  <c r="D98" i="15"/>
  <c r="B98" i="15"/>
  <c r="L98" i="15" s="1" a="1"/>
  <c r="L98" i="15" s="1"/>
  <c r="L97" i="15" a="1"/>
  <c r="L97" i="15"/>
  <c r="J97" i="15" a="1"/>
  <c r="J97" i="15" s="1"/>
  <c r="H97" i="15" a="1"/>
  <c r="H97" i="15"/>
  <c r="C97" i="15" a="1"/>
  <c r="C97" i="15"/>
  <c r="B97" i="15"/>
  <c r="K97" i="15" s="1" a="1"/>
  <c r="K97" i="15" s="1"/>
  <c r="K96" i="15" a="1"/>
  <c r="K96" i="15" s="1"/>
  <c r="I96" i="15" a="1"/>
  <c r="I96" i="15" s="1"/>
  <c r="B96" i="15"/>
  <c r="B95" i="15"/>
  <c r="L94" i="15" a="1"/>
  <c r="L94" i="15" s="1"/>
  <c r="K94" i="15" a="1"/>
  <c r="K94" i="15" s="1"/>
  <c r="I94" i="15" a="1"/>
  <c r="I94" i="15" s="1"/>
  <c r="C94" i="15" a="1"/>
  <c r="C94" i="15" s="1"/>
  <c r="B94" i="15"/>
  <c r="L93" i="15" a="1"/>
  <c r="L93" i="15" s="1"/>
  <c r="J93" i="15" a="1"/>
  <c r="J93" i="15"/>
  <c r="H93" i="15" a="1"/>
  <c r="H93" i="15"/>
  <c r="C93" i="15" a="1"/>
  <c r="C93" i="15"/>
  <c r="B93" i="15"/>
  <c r="K93" i="15" s="1" a="1"/>
  <c r="K93" i="15" s="1"/>
  <c r="R93" i="15" s="1"/>
  <c r="L92" i="15" a="1"/>
  <c r="L92" i="15" s="1"/>
  <c r="J92" i="15" a="1"/>
  <c r="J92" i="15" s="1"/>
  <c r="G92" i="15" a="1"/>
  <c r="G92" i="15" s="1"/>
  <c r="D92" i="15" a="1"/>
  <c r="D92" i="15" s="1"/>
  <c r="C92" i="15" a="1"/>
  <c r="C92" i="15" s="1"/>
  <c r="B92" i="15"/>
  <c r="I92" i="15" s="1" a="1"/>
  <c r="I92" i="15" s="1"/>
  <c r="G91" i="15" a="1"/>
  <c r="G91" i="15" s="1"/>
  <c r="M91" i="15" s="1"/>
  <c r="D91" i="15" a="1"/>
  <c r="D91" i="15"/>
  <c r="B91" i="15"/>
  <c r="J90" i="15" a="1"/>
  <c r="J90" i="15" s="1"/>
  <c r="H90" i="15" a="1"/>
  <c r="H90" i="15" s="1"/>
  <c r="G90" i="15" a="1"/>
  <c r="G90" i="15" s="1"/>
  <c r="M90" i="15" s="1"/>
  <c r="D90" i="15" a="1"/>
  <c r="D90" i="15"/>
  <c r="B90" i="15"/>
  <c r="L90" i="15" s="1" a="1"/>
  <c r="L90" i="15" s="1"/>
  <c r="S90" i="15" s="1"/>
  <c r="L89" i="15" a="1"/>
  <c r="L89" i="15"/>
  <c r="J89" i="15" a="1"/>
  <c r="J89" i="15" s="1"/>
  <c r="H89" i="15" a="1"/>
  <c r="H89" i="15"/>
  <c r="C89" i="15" a="1"/>
  <c r="C89" i="15"/>
  <c r="B89" i="15"/>
  <c r="K89" i="15" s="1" a="1"/>
  <c r="K89" i="15" s="1"/>
  <c r="K88" i="15" a="1"/>
  <c r="K88" i="15" s="1"/>
  <c r="B88" i="15"/>
  <c r="B87" i="15"/>
  <c r="L86" i="15" a="1"/>
  <c r="L86" i="15" s="1"/>
  <c r="K86" i="15" a="1"/>
  <c r="K86" i="15" s="1"/>
  <c r="B86" i="15"/>
  <c r="L85" i="15" a="1"/>
  <c r="L85" i="15"/>
  <c r="J85" i="15" a="1"/>
  <c r="J85" i="15"/>
  <c r="H85" i="15" a="1"/>
  <c r="H85" i="15"/>
  <c r="C85" i="15" a="1"/>
  <c r="C85" i="15"/>
  <c r="B85" i="15"/>
  <c r="K85" i="15" s="1" a="1"/>
  <c r="K85" i="15" s="1"/>
  <c r="R85" i="15" s="1"/>
  <c r="L84" i="15" a="1"/>
  <c r="L84" i="15" s="1"/>
  <c r="J84" i="15" a="1"/>
  <c r="J84" i="15"/>
  <c r="G84" i="15" a="1"/>
  <c r="G84" i="15" s="1"/>
  <c r="M84" i="15" s="1"/>
  <c r="D84" i="15" a="1"/>
  <c r="D84" i="15" s="1"/>
  <c r="C84" i="15" a="1"/>
  <c r="C84" i="15" s="1"/>
  <c r="B84" i="15"/>
  <c r="I84" i="15" s="1" a="1"/>
  <c r="I84" i="15" s="1"/>
  <c r="G83" i="15" a="1"/>
  <c r="G83" i="15" s="1"/>
  <c r="M83" i="15" s="1"/>
  <c r="D83" i="15" a="1"/>
  <c r="D83" i="15" s="1"/>
  <c r="B83" i="15"/>
  <c r="J82" i="15" a="1"/>
  <c r="J82" i="15" s="1"/>
  <c r="H82" i="15" a="1"/>
  <c r="H82" i="15" s="1"/>
  <c r="G82" i="15" a="1"/>
  <c r="G82" i="15" s="1"/>
  <c r="M82" i="15" s="1"/>
  <c r="D82" i="15" a="1"/>
  <c r="D82" i="15"/>
  <c r="B82" i="15"/>
  <c r="L82" i="15" s="1" a="1"/>
  <c r="L82" i="15" s="1"/>
  <c r="L81" i="15" a="1"/>
  <c r="L81" i="15"/>
  <c r="J81" i="15" a="1"/>
  <c r="J81" i="15" s="1"/>
  <c r="H81" i="15" a="1"/>
  <c r="H81" i="15"/>
  <c r="C81" i="15" a="1"/>
  <c r="C81" i="15"/>
  <c r="B81" i="15"/>
  <c r="K81" i="15" s="1" a="1"/>
  <c r="K81" i="15" s="1"/>
  <c r="B80" i="15"/>
  <c r="K79" i="15" a="1"/>
  <c r="K79" i="15" s="1"/>
  <c r="I79" i="15" a="1"/>
  <c r="I79" i="15" s="1"/>
  <c r="B79" i="15"/>
  <c r="L78" i="15" a="1"/>
  <c r="L78" i="15" s="1"/>
  <c r="B78" i="15"/>
  <c r="L77" i="15" a="1"/>
  <c r="L77" i="15"/>
  <c r="J77" i="15" a="1"/>
  <c r="J77" i="15"/>
  <c r="H77" i="15" a="1"/>
  <c r="H77" i="15"/>
  <c r="C77" i="15" a="1"/>
  <c r="C77" i="15"/>
  <c r="B77" i="15"/>
  <c r="K77" i="15" s="1" a="1"/>
  <c r="K77" i="15" s="1"/>
  <c r="R77" i="15" s="1"/>
  <c r="L76" i="15" a="1"/>
  <c r="L76" i="15" s="1"/>
  <c r="J76" i="15" a="1"/>
  <c r="J76" i="15"/>
  <c r="G76" i="15" a="1"/>
  <c r="G76" i="15" s="1"/>
  <c r="M76" i="15" s="1"/>
  <c r="D76" i="15" a="1"/>
  <c r="D76" i="15" s="1"/>
  <c r="C76" i="15" a="1"/>
  <c r="C76" i="15" s="1"/>
  <c r="B76" i="15"/>
  <c r="I76" i="15" s="1" a="1"/>
  <c r="I76" i="15" s="1"/>
  <c r="O76" i="15" s="1"/>
  <c r="G75" i="15" a="1"/>
  <c r="G75" i="15" s="1"/>
  <c r="D75" i="15" a="1"/>
  <c r="D75" i="15" s="1"/>
  <c r="B75" i="15"/>
  <c r="J74" i="15" a="1"/>
  <c r="J74" i="15" s="1"/>
  <c r="H74" i="15" a="1"/>
  <c r="H74" i="15" s="1"/>
  <c r="G74" i="15" a="1"/>
  <c r="G74" i="15" s="1"/>
  <c r="M74" i="15" s="1"/>
  <c r="D74" i="15" a="1"/>
  <c r="D74" i="15" s="1"/>
  <c r="B74" i="15"/>
  <c r="L74" i="15" s="1" a="1"/>
  <c r="L74" i="15" s="1"/>
  <c r="L73" i="15" a="1"/>
  <c r="L73" i="15"/>
  <c r="J73" i="15" a="1"/>
  <c r="J73" i="15" s="1"/>
  <c r="H73" i="15" a="1"/>
  <c r="H73" i="15"/>
  <c r="C73" i="15" a="1"/>
  <c r="C73" i="15"/>
  <c r="B73" i="15"/>
  <c r="K73" i="15" s="1" a="1"/>
  <c r="K73" i="15" s="1"/>
  <c r="L72" i="15" a="1"/>
  <c r="L72" i="15" s="1"/>
  <c r="J72" i="15" a="1"/>
  <c r="J72" i="15"/>
  <c r="H72" i="15" a="1"/>
  <c r="H72" i="15" s="1"/>
  <c r="C72" i="15" a="1"/>
  <c r="C72" i="15" s="1"/>
  <c r="B72" i="15"/>
  <c r="K72" i="15" s="1" a="1"/>
  <c r="K72" i="15" s="1"/>
  <c r="B71" i="15"/>
  <c r="I71" i="15" s="1" a="1"/>
  <c r="I71" i="15" s="1"/>
  <c r="I70" i="15" a="1"/>
  <c r="I70" i="15" s="1"/>
  <c r="D70" i="15" a="1"/>
  <c r="D70" i="15" s="1"/>
  <c r="B70" i="15"/>
  <c r="L69" i="15" a="1"/>
  <c r="L69" i="15" s="1"/>
  <c r="J69" i="15" a="1"/>
  <c r="J69" i="15" s="1"/>
  <c r="H69" i="15" a="1"/>
  <c r="H69" i="15" s="1"/>
  <c r="C69" i="15" a="1"/>
  <c r="C69" i="15" s="1"/>
  <c r="B69" i="15"/>
  <c r="K69" i="15" s="1" a="1"/>
  <c r="K69" i="15" s="1"/>
  <c r="R69" i="15" s="1"/>
  <c r="L68" i="15" a="1"/>
  <c r="L68" i="15" s="1"/>
  <c r="J68" i="15" a="1"/>
  <c r="J68" i="15"/>
  <c r="H68" i="15" a="1"/>
  <c r="H68" i="15" s="1"/>
  <c r="C68" i="15" a="1"/>
  <c r="C68" i="15" s="1"/>
  <c r="B68" i="15"/>
  <c r="K68" i="15" s="1" a="1"/>
  <c r="K68" i="15" s="1"/>
  <c r="B67" i="15"/>
  <c r="I67" i="15" s="1" a="1"/>
  <c r="I67" i="15" s="1"/>
  <c r="I66" i="15" a="1"/>
  <c r="I66" i="15" s="1"/>
  <c r="D66" i="15" a="1"/>
  <c r="D66" i="15" s="1"/>
  <c r="B66" i="15"/>
  <c r="L65" i="15" a="1"/>
  <c r="L65" i="15" s="1"/>
  <c r="J65" i="15" a="1"/>
  <c r="J65" i="15" s="1"/>
  <c r="H65" i="15" a="1"/>
  <c r="H65" i="15" s="1"/>
  <c r="C65" i="15" a="1"/>
  <c r="C65" i="15" s="1"/>
  <c r="B65" i="15"/>
  <c r="K65" i="15" s="1" a="1"/>
  <c r="K65" i="15" s="1"/>
  <c r="R65" i="15" s="1"/>
  <c r="L64" i="15" a="1"/>
  <c r="L64" i="15" s="1"/>
  <c r="J64" i="15" a="1"/>
  <c r="J64" i="15" s="1"/>
  <c r="H64" i="15" a="1"/>
  <c r="H64" i="15" s="1"/>
  <c r="C64" i="15" a="1"/>
  <c r="C64" i="15" s="1"/>
  <c r="B64" i="15"/>
  <c r="K64" i="15" s="1" a="1"/>
  <c r="K64" i="15" s="1"/>
  <c r="I63" i="15" a="1"/>
  <c r="I63" i="15" s="1"/>
  <c r="D63" i="15" a="1"/>
  <c r="D63" i="15" s="1"/>
  <c r="B63" i="15"/>
  <c r="I62" i="15" a="1"/>
  <c r="I62" i="15" s="1"/>
  <c r="D62" i="15" a="1"/>
  <c r="D62" i="15" s="1"/>
  <c r="B62" i="15"/>
  <c r="L61" i="15" a="1"/>
  <c r="L61" i="15" s="1"/>
  <c r="J61" i="15" a="1"/>
  <c r="J61" i="15" s="1"/>
  <c r="H61" i="15" a="1"/>
  <c r="H61" i="15" s="1"/>
  <c r="C61" i="15" a="1"/>
  <c r="C61" i="15" s="1"/>
  <c r="B61" i="15"/>
  <c r="K61" i="15" s="1" a="1"/>
  <c r="K61" i="15" s="1"/>
  <c r="R61" i="15" s="1"/>
  <c r="L60" i="15" a="1"/>
  <c r="L60" i="15" s="1"/>
  <c r="J60" i="15" a="1"/>
  <c r="J60" i="15" s="1"/>
  <c r="H60" i="15" a="1"/>
  <c r="H60" i="15" s="1"/>
  <c r="C60" i="15" a="1"/>
  <c r="C60" i="15" s="1"/>
  <c r="B60" i="15"/>
  <c r="K60" i="15" s="1" a="1"/>
  <c r="K60" i="15" s="1"/>
  <c r="I59" i="15" a="1"/>
  <c r="I59" i="15" s="1"/>
  <c r="D59" i="15" a="1"/>
  <c r="D59" i="15" s="1"/>
  <c r="B59" i="15"/>
  <c r="I58" i="15" a="1"/>
  <c r="I58" i="15"/>
  <c r="N58" i="15" s="1"/>
  <c r="D58" i="15" a="1"/>
  <c r="D58" i="15"/>
  <c r="B58" i="15"/>
  <c r="L57" i="15" a="1"/>
  <c r="L57" i="15" s="1"/>
  <c r="J57" i="15" a="1"/>
  <c r="J57" i="15" s="1"/>
  <c r="H57" i="15" a="1"/>
  <c r="H57" i="15" s="1"/>
  <c r="C57" i="15" a="1"/>
  <c r="C57" i="15" s="1"/>
  <c r="B57" i="15"/>
  <c r="K57" i="15" s="1" a="1"/>
  <c r="K57" i="15" s="1"/>
  <c r="R57" i="15" s="1"/>
  <c r="L56" i="15" a="1"/>
  <c r="L56" i="15" s="1"/>
  <c r="J56" i="15" a="1"/>
  <c r="J56" i="15" s="1"/>
  <c r="H56" i="15" a="1"/>
  <c r="H56" i="15" s="1"/>
  <c r="C56" i="15" a="1"/>
  <c r="C56" i="15" s="1"/>
  <c r="B56" i="15"/>
  <c r="K56" i="15" s="1" a="1"/>
  <c r="K56" i="15" s="1"/>
  <c r="I55" i="15" a="1"/>
  <c r="I55" i="15" s="1"/>
  <c r="D55" i="15" a="1"/>
  <c r="D55" i="15" s="1"/>
  <c r="B55" i="15"/>
  <c r="I54" i="15" a="1"/>
  <c r="I54" i="15" s="1"/>
  <c r="G54" i="15" a="1"/>
  <c r="G54" i="15"/>
  <c r="M54" i="15" s="1"/>
  <c r="D54" i="15" a="1"/>
  <c r="D54" i="15" s="1"/>
  <c r="B54" i="15"/>
  <c r="B53" i="15"/>
  <c r="L53" i="15" s="1" a="1"/>
  <c r="L53" i="15" s="1"/>
  <c r="L52" i="15" a="1"/>
  <c r="L52" i="15"/>
  <c r="J52" i="15" a="1"/>
  <c r="J52" i="15"/>
  <c r="H52" i="15" a="1"/>
  <c r="H52" i="15" s="1"/>
  <c r="C52" i="15" a="1"/>
  <c r="C52" i="15"/>
  <c r="B52" i="15"/>
  <c r="K52" i="15" s="1" a="1"/>
  <c r="K52" i="15" s="1"/>
  <c r="R52" i="15" s="1"/>
  <c r="L51" i="15" a="1"/>
  <c r="L51" i="15" s="1"/>
  <c r="J51" i="15" a="1"/>
  <c r="J51" i="15"/>
  <c r="Q51" i="15" s="1"/>
  <c r="I51" i="15" a="1"/>
  <c r="I51" i="15" s="1"/>
  <c r="N51" i="15" s="1"/>
  <c r="G51" i="15" a="1"/>
  <c r="G51" i="15" s="1"/>
  <c r="M51" i="15" s="1"/>
  <c r="D51" i="15" a="1"/>
  <c r="D51" i="15" s="1"/>
  <c r="C51" i="15" a="1"/>
  <c r="C51" i="15" s="1"/>
  <c r="B51" i="15"/>
  <c r="K51" i="15" s="1" a="1"/>
  <c r="K51" i="15" s="1"/>
  <c r="R51" i="15" s="1"/>
  <c r="I50" i="15" a="1"/>
  <c r="I50" i="15" s="1"/>
  <c r="G50" i="15" a="1"/>
  <c r="G50" i="15" s="1"/>
  <c r="M50" i="15" s="1"/>
  <c r="D50" i="15" a="1"/>
  <c r="D50" i="15"/>
  <c r="B50" i="15"/>
  <c r="L49" i="15" a="1"/>
  <c r="L49" i="15" s="1"/>
  <c r="J49" i="15" a="1"/>
  <c r="J49" i="15" s="1"/>
  <c r="I49" i="15" a="1"/>
  <c r="I49" i="15" s="1"/>
  <c r="H49" i="15" a="1"/>
  <c r="H49" i="15" s="1"/>
  <c r="G49" i="15" a="1"/>
  <c r="G49" i="15" s="1"/>
  <c r="M49" i="15" s="1"/>
  <c r="D49" i="15" a="1"/>
  <c r="D49" i="15"/>
  <c r="C49" i="15" a="1"/>
  <c r="C49" i="15" s="1"/>
  <c r="B49" i="15"/>
  <c r="K49" i="15" s="1" a="1"/>
  <c r="K49" i="15" s="1"/>
  <c r="R49" i="15" s="1"/>
  <c r="L48" i="15" a="1"/>
  <c r="L48" i="15" s="1"/>
  <c r="J48" i="15" a="1"/>
  <c r="J48" i="15" s="1"/>
  <c r="H48" i="15" a="1"/>
  <c r="H48" i="15"/>
  <c r="C48" i="15" a="1"/>
  <c r="C48" i="15" s="1"/>
  <c r="B48" i="15"/>
  <c r="K48" i="15" s="1" a="1"/>
  <c r="K48" i="15" s="1"/>
  <c r="R48" i="15" s="1"/>
  <c r="B47" i="15"/>
  <c r="I47" i="15" s="1" a="1"/>
  <c r="I47" i="15" s="1"/>
  <c r="B46" i="15"/>
  <c r="D46" i="15" s="1" a="1"/>
  <c r="D46" i="15" s="1"/>
  <c r="B45" i="15"/>
  <c r="L45" i="15" s="1" a="1"/>
  <c r="L45" i="15" s="1"/>
  <c r="L44" i="15" a="1"/>
  <c r="L44" i="15"/>
  <c r="T44" i="15" s="1"/>
  <c r="J44" i="15" a="1"/>
  <c r="J44" i="15"/>
  <c r="H44" i="15" a="1"/>
  <c r="H44" i="15" s="1"/>
  <c r="C44" i="15" a="1"/>
  <c r="C44" i="15"/>
  <c r="B44" i="15"/>
  <c r="K44" i="15" s="1" a="1"/>
  <c r="K44" i="15" s="1"/>
  <c r="R44" i="15" s="1"/>
  <c r="L43" i="15" a="1"/>
  <c r="L43" i="15" s="1"/>
  <c r="J43" i="15" a="1"/>
  <c r="J43" i="15"/>
  <c r="Q43" i="15" s="1"/>
  <c r="I43" i="15" a="1"/>
  <c r="I43" i="15" s="1"/>
  <c r="N43" i="15" s="1"/>
  <c r="G43" i="15" a="1"/>
  <c r="G43" i="15" s="1"/>
  <c r="M43" i="15" s="1"/>
  <c r="D43" i="15" a="1"/>
  <c r="D43" i="15" s="1"/>
  <c r="C43" i="15" a="1"/>
  <c r="C43" i="15" s="1"/>
  <c r="B43" i="15"/>
  <c r="K43" i="15" s="1" a="1"/>
  <c r="K43" i="15" s="1"/>
  <c r="R43" i="15" s="1"/>
  <c r="I42" i="15" a="1"/>
  <c r="I42" i="15" s="1"/>
  <c r="G42" i="15" a="1"/>
  <c r="G42" i="15" s="1"/>
  <c r="M42" i="15" s="1"/>
  <c r="D42" i="15" a="1"/>
  <c r="D42" i="15"/>
  <c r="B42" i="15"/>
  <c r="L41" i="15" a="1"/>
  <c r="L41" i="15" s="1"/>
  <c r="J41" i="15" a="1"/>
  <c r="J41" i="15" s="1"/>
  <c r="I41" i="15" a="1"/>
  <c r="I41" i="15" s="1"/>
  <c r="H41" i="15" a="1"/>
  <c r="H41" i="15" s="1"/>
  <c r="G41" i="15" a="1"/>
  <c r="G41" i="15" s="1"/>
  <c r="M41" i="15" s="1"/>
  <c r="D41" i="15" a="1"/>
  <c r="D41" i="15"/>
  <c r="C41" i="15" a="1"/>
  <c r="C41" i="15" s="1"/>
  <c r="B41" i="15"/>
  <c r="K41" i="15" s="1" a="1"/>
  <c r="K41" i="15" s="1"/>
  <c r="R41" i="15" s="1"/>
  <c r="L40" i="15" a="1"/>
  <c r="L40" i="15" s="1"/>
  <c r="J40" i="15" a="1"/>
  <c r="J40" i="15" s="1"/>
  <c r="H40" i="15" a="1"/>
  <c r="H40" i="15"/>
  <c r="C40" i="15" a="1"/>
  <c r="C40" i="15" s="1"/>
  <c r="B40" i="15"/>
  <c r="K40" i="15" s="1" a="1"/>
  <c r="K40" i="15" s="1"/>
  <c r="R40" i="15" s="1"/>
  <c r="B39" i="15"/>
  <c r="I39" i="15" s="1" a="1"/>
  <c r="I39" i="15" s="1"/>
  <c r="B38" i="15"/>
  <c r="D38" i="15" s="1" a="1"/>
  <c r="D38" i="15" s="1"/>
  <c r="B37" i="15"/>
  <c r="L37" i="15" s="1" a="1"/>
  <c r="L37" i="15" s="1"/>
  <c r="L36" i="15" a="1"/>
  <c r="L36" i="15"/>
  <c r="T36" i="15" s="1"/>
  <c r="J36" i="15" a="1"/>
  <c r="J36" i="15"/>
  <c r="H36" i="15" a="1"/>
  <c r="H36" i="15" s="1"/>
  <c r="C36" i="15" a="1"/>
  <c r="C36" i="15"/>
  <c r="B36" i="15"/>
  <c r="K36" i="15" s="1" a="1"/>
  <c r="K36" i="15" s="1"/>
  <c r="R36" i="15" s="1"/>
  <c r="L35" i="15" a="1"/>
  <c r="L35" i="15" s="1"/>
  <c r="J35" i="15" a="1"/>
  <c r="J35" i="15"/>
  <c r="Q35" i="15" s="1"/>
  <c r="I35" i="15" a="1"/>
  <c r="I35" i="15" s="1"/>
  <c r="N35" i="15" s="1"/>
  <c r="G35" i="15" a="1"/>
  <c r="G35" i="15" s="1"/>
  <c r="M35" i="15" s="1"/>
  <c r="D35" i="15" a="1"/>
  <c r="D35" i="15" s="1"/>
  <c r="C35" i="15" a="1"/>
  <c r="C35" i="15" s="1"/>
  <c r="B35" i="15"/>
  <c r="K35" i="15" s="1" a="1"/>
  <c r="K35" i="15" s="1"/>
  <c r="R35" i="15" s="1"/>
  <c r="I34" i="15" a="1"/>
  <c r="I34" i="15" s="1"/>
  <c r="G34" i="15" a="1"/>
  <c r="G34" i="15" s="1"/>
  <c r="M34" i="15" s="1"/>
  <c r="D34" i="15" a="1"/>
  <c r="D34" i="15"/>
  <c r="B34" i="15"/>
  <c r="L33" i="15" a="1"/>
  <c r="L33" i="15" s="1"/>
  <c r="J33" i="15" a="1"/>
  <c r="J33" i="15" s="1"/>
  <c r="I33" i="15" a="1"/>
  <c r="I33" i="15" s="1"/>
  <c r="H33" i="15" a="1"/>
  <c r="H33" i="15" s="1"/>
  <c r="G33" i="15" a="1"/>
  <c r="G33" i="15" s="1"/>
  <c r="M33" i="15" s="1"/>
  <c r="D33" i="15" a="1"/>
  <c r="D33" i="15"/>
  <c r="C33" i="15" a="1"/>
  <c r="C33" i="15" s="1"/>
  <c r="B33" i="15"/>
  <c r="K33" i="15" s="1" a="1"/>
  <c r="K33" i="15" s="1"/>
  <c r="R33" i="15" s="1"/>
  <c r="L32" i="15" a="1"/>
  <c r="L32" i="15" s="1"/>
  <c r="J32" i="15" a="1"/>
  <c r="J32" i="15" s="1"/>
  <c r="H32" i="15" a="1"/>
  <c r="H32" i="15"/>
  <c r="C32" i="15" a="1"/>
  <c r="C32" i="15" s="1"/>
  <c r="B32" i="15"/>
  <c r="K32" i="15" s="1" a="1"/>
  <c r="K32" i="15" s="1"/>
  <c r="R32" i="15" s="1"/>
  <c r="B31" i="15"/>
  <c r="I31" i="15" s="1" a="1"/>
  <c r="I31" i="15" s="1"/>
  <c r="B30" i="15"/>
  <c r="D30" i="15" s="1" a="1"/>
  <c r="D30" i="15" s="1"/>
  <c r="B29" i="15"/>
  <c r="L29" i="15" s="1" a="1"/>
  <c r="L29" i="15" s="1"/>
  <c r="L28" i="15" a="1"/>
  <c r="L28" i="15"/>
  <c r="J28" i="15" a="1"/>
  <c r="J28" i="15"/>
  <c r="H28" i="15" a="1"/>
  <c r="H28" i="15" s="1"/>
  <c r="C28" i="15" a="1"/>
  <c r="C28" i="15"/>
  <c r="B28" i="15"/>
  <c r="K28" i="15" s="1" a="1"/>
  <c r="K28" i="15" s="1"/>
  <c r="R28" i="15" s="1"/>
  <c r="L27" i="15" a="1"/>
  <c r="L27" i="15" s="1"/>
  <c r="J27" i="15" a="1"/>
  <c r="J27" i="15"/>
  <c r="Q27" i="15" s="1"/>
  <c r="I27" i="15" a="1"/>
  <c r="I27" i="15" s="1"/>
  <c r="N27" i="15" s="1"/>
  <c r="G27" i="15" a="1"/>
  <c r="G27" i="15" s="1"/>
  <c r="M27" i="15" s="1"/>
  <c r="D27" i="15" a="1"/>
  <c r="D27" i="15" s="1"/>
  <c r="C27" i="15" a="1"/>
  <c r="C27" i="15" s="1"/>
  <c r="B27" i="15"/>
  <c r="K27" i="15" s="1" a="1"/>
  <c r="K27" i="15" s="1"/>
  <c r="R27" i="15" s="1"/>
  <c r="I26" i="15" a="1"/>
  <c r="I26" i="15" s="1"/>
  <c r="G26" i="15" a="1"/>
  <c r="G26" i="15" s="1"/>
  <c r="M26" i="15" s="1"/>
  <c r="D26" i="15" a="1"/>
  <c r="D26" i="15"/>
  <c r="B26" i="15"/>
  <c r="L25" i="15" a="1"/>
  <c r="L25" i="15" s="1"/>
  <c r="J25" i="15" a="1"/>
  <c r="J25" i="15" s="1"/>
  <c r="Q25" i="15" s="1"/>
  <c r="I25" i="15" a="1"/>
  <c r="I25" i="15" s="1"/>
  <c r="H25" i="15" a="1"/>
  <c r="H25" i="15" s="1"/>
  <c r="G25" i="15" a="1"/>
  <c r="G25" i="15" s="1"/>
  <c r="M25" i="15" s="1"/>
  <c r="D25" i="15" a="1"/>
  <c r="D25" i="15"/>
  <c r="C25" i="15" a="1"/>
  <c r="C25" i="15" s="1"/>
  <c r="B25" i="15"/>
  <c r="K25" i="15" s="1" a="1"/>
  <c r="K25" i="15" s="1"/>
  <c r="R25" i="15" s="1"/>
  <c r="L24" i="15" a="1"/>
  <c r="L24" i="15" s="1"/>
  <c r="J24" i="15" a="1"/>
  <c r="J24" i="15"/>
  <c r="H24" i="15" a="1"/>
  <c r="H24" i="15"/>
  <c r="C24" i="15" a="1"/>
  <c r="C24" i="15" s="1"/>
  <c r="B24" i="15"/>
  <c r="K24" i="15" s="1" a="1"/>
  <c r="K24" i="15" s="1"/>
  <c r="R24" i="15" s="1"/>
  <c r="J23" i="15" a="1"/>
  <c r="J23" i="15" s="1"/>
  <c r="D23" i="15" a="1"/>
  <c r="D23" i="15" s="1"/>
  <c r="B23" i="15"/>
  <c r="I23" i="15" s="1" a="1"/>
  <c r="I23" i="15" s="1"/>
  <c r="D22" i="15" a="1"/>
  <c r="D22" i="15" s="1"/>
  <c r="B22" i="15"/>
  <c r="G22" i="15" s="1" a="1"/>
  <c r="G22" i="15" s="1"/>
  <c r="M22" i="15" s="1"/>
  <c r="H21" i="15" a="1"/>
  <c r="H21" i="15" s="1"/>
  <c r="D21" i="15" a="1"/>
  <c r="D21" i="15" s="1"/>
  <c r="B21" i="15"/>
  <c r="L21" i="15" s="1" a="1"/>
  <c r="L21" i="15" s="1"/>
  <c r="L20" i="15" a="1"/>
  <c r="L20" i="15"/>
  <c r="J20" i="15" a="1"/>
  <c r="J20" i="15"/>
  <c r="H20" i="15" a="1"/>
  <c r="H20" i="15" s="1"/>
  <c r="C20" i="15" a="1"/>
  <c r="C20" i="15"/>
  <c r="B20" i="15"/>
  <c r="K20" i="15" s="1" a="1"/>
  <c r="K20" i="15" s="1"/>
  <c r="P19" i="15"/>
  <c r="L19" i="15" a="1"/>
  <c r="L19" i="15"/>
  <c r="S19" i="15" s="1"/>
  <c r="J19" i="15" a="1"/>
  <c r="J19" i="15"/>
  <c r="I19" i="15" a="1"/>
  <c r="I19" i="15" s="1"/>
  <c r="N19" i="15" s="1"/>
  <c r="G19" i="15" a="1"/>
  <c r="G19" i="15" s="1"/>
  <c r="M19" i="15" s="1"/>
  <c r="D19" i="15" a="1"/>
  <c r="D19" i="15" s="1"/>
  <c r="C19" i="15" a="1"/>
  <c r="C19" i="15"/>
  <c r="B19" i="15"/>
  <c r="K19" i="15" s="1" a="1"/>
  <c r="K19" i="15" s="1"/>
  <c r="R19" i="15" s="1"/>
  <c r="I18" i="15" a="1"/>
  <c r="I18" i="15" s="1"/>
  <c r="G18" i="15" a="1"/>
  <c r="G18" i="15"/>
  <c r="M18" i="15" s="1"/>
  <c r="D18" i="15" a="1"/>
  <c r="D18" i="15"/>
  <c r="B18" i="15"/>
  <c r="L17" i="15" a="1"/>
  <c r="L17" i="15" s="1"/>
  <c r="S17" i="15" s="1"/>
  <c r="J17" i="15" a="1"/>
  <c r="J17" i="15" s="1"/>
  <c r="P17" i="15" s="1"/>
  <c r="I17" i="15" a="1"/>
  <c r="I17" i="15" s="1"/>
  <c r="H17" i="15" a="1"/>
  <c r="H17" i="15" s="1"/>
  <c r="G17" i="15" a="1"/>
  <c r="G17" i="15"/>
  <c r="M17" i="15" s="1"/>
  <c r="D17" i="15" a="1"/>
  <c r="D17" i="15"/>
  <c r="C17" i="15" a="1"/>
  <c r="C17" i="15" s="1"/>
  <c r="B17" i="15"/>
  <c r="K17" i="15" s="1" a="1"/>
  <c r="K17" i="15" s="1"/>
  <c r="R17" i="15" s="1"/>
  <c r="L16" i="15" a="1"/>
  <c r="L16" i="15" s="1"/>
  <c r="J16" i="15" a="1"/>
  <c r="J16" i="15"/>
  <c r="H16" i="15" a="1"/>
  <c r="H16" i="15"/>
  <c r="C16" i="15" a="1"/>
  <c r="C16" i="15" s="1"/>
  <c r="B16" i="15"/>
  <c r="K16" i="15" s="1" a="1"/>
  <c r="K16" i="15" s="1"/>
  <c r="R16" i="15" s="1"/>
  <c r="J15" i="15" a="1"/>
  <c r="J15" i="15" s="1"/>
  <c r="D15" i="15" a="1"/>
  <c r="D15" i="15" s="1"/>
  <c r="B15" i="15"/>
  <c r="I15" i="15" s="1" a="1"/>
  <c r="I15" i="15" s="1"/>
  <c r="D14" i="15" a="1"/>
  <c r="D14" i="15" s="1"/>
  <c r="B14" i="15"/>
  <c r="G14" i="15" s="1" a="1"/>
  <c r="G14" i="15" s="1"/>
  <c r="M14" i="15" s="1"/>
  <c r="H13" i="15" a="1"/>
  <c r="H13" i="15" s="1"/>
  <c r="D13" i="15" a="1"/>
  <c r="D13" i="15" s="1"/>
  <c r="B13" i="15"/>
  <c r="L13" i="15" s="1" a="1"/>
  <c r="L13" i="15" s="1"/>
  <c r="L12" i="15" a="1"/>
  <c r="L12" i="15"/>
  <c r="J12" i="15" a="1"/>
  <c r="J12" i="15"/>
  <c r="H12" i="15" a="1"/>
  <c r="H12" i="15" s="1"/>
  <c r="C12" i="15" a="1"/>
  <c r="C12" i="15"/>
  <c r="B12" i="15"/>
  <c r="K12" i="15" s="1" a="1"/>
  <c r="K12" i="15" s="1"/>
  <c r="P11" i="15"/>
  <c r="L11" i="15" a="1"/>
  <c r="L11" i="15"/>
  <c r="J11" i="15" a="1"/>
  <c r="J11" i="15"/>
  <c r="I11" i="15" a="1"/>
  <c r="I11" i="15" s="1"/>
  <c r="G11" i="15" a="1"/>
  <c r="G11" i="15" s="1"/>
  <c r="M11" i="15" s="1"/>
  <c r="D11" i="15" a="1"/>
  <c r="D11" i="15" s="1"/>
  <c r="C11" i="15" a="1"/>
  <c r="C11" i="15"/>
  <c r="B11" i="15"/>
  <c r="K11" i="15" s="1" a="1"/>
  <c r="K11" i="15" s="1"/>
  <c r="R11" i="15" s="1"/>
  <c r="I10" i="15" a="1"/>
  <c r="I10" i="15" s="1"/>
  <c r="G10" i="15" a="1"/>
  <c r="G10" i="15"/>
  <c r="M10" i="15" s="1"/>
  <c r="D10" i="15" a="1"/>
  <c r="D10" i="15"/>
  <c r="B10" i="15"/>
  <c r="Q9" i="15"/>
  <c r="L9" i="15" a="1"/>
  <c r="L9" i="15" s="1"/>
  <c r="J9" i="15" a="1"/>
  <c r="J9" i="15" s="1"/>
  <c r="P9" i="15" s="1"/>
  <c r="I9" i="15" a="1"/>
  <c r="I9" i="15" s="1"/>
  <c r="H9" i="15" a="1"/>
  <c r="H9" i="15" s="1"/>
  <c r="G9" i="15" a="1"/>
  <c r="G9" i="15"/>
  <c r="M9" i="15" s="1"/>
  <c r="D9" i="15" a="1"/>
  <c r="D9" i="15"/>
  <c r="C9" i="15" a="1"/>
  <c r="C9" i="15" s="1"/>
  <c r="B9" i="15"/>
  <c r="K9" i="15" s="1" a="1"/>
  <c r="K9" i="15" s="1"/>
  <c r="R9" i="15" s="1"/>
  <c r="L8" i="15" a="1"/>
  <c r="L8" i="15" s="1"/>
  <c r="J8" i="15" a="1"/>
  <c r="J8" i="15"/>
  <c r="H8" i="15" a="1"/>
  <c r="H8" i="15"/>
  <c r="C8" i="15" a="1"/>
  <c r="C8" i="15" s="1"/>
  <c r="B8" i="15"/>
  <c r="K8" i="15" s="1" a="1"/>
  <c r="K8" i="15" s="1"/>
  <c r="J7" i="15" a="1"/>
  <c r="J7" i="15" s="1"/>
  <c r="D7" i="15" a="1"/>
  <c r="D7" i="15" s="1"/>
  <c r="B7" i="15"/>
  <c r="I7" i="15" s="1" a="1"/>
  <c r="I7" i="15" s="1"/>
  <c r="D6" i="15" a="1"/>
  <c r="D6" i="15" s="1"/>
  <c r="B6" i="15"/>
  <c r="G6" i="15" s="1" a="1"/>
  <c r="G6" i="15" s="1"/>
  <c r="H5" i="15" a="1"/>
  <c r="H5" i="15" s="1"/>
  <c r="D5" i="15" a="1"/>
  <c r="D5" i="15" s="1"/>
  <c r="B5" i="15"/>
  <c r="L5" i="15" s="1" a="1"/>
  <c r="L5" i="15" s="1"/>
  <c r="S5" i="15" s="1"/>
  <c r="L4" i="15" a="1"/>
  <c r="L4" i="15"/>
  <c r="K4" i="15"/>
  <c r="R4" i="15" s="1"/>
  <c r="J4" i="15" a="1"/>
  <c r="J4" i="15"/>
  <c r="H4" i="15" a="1"/>
  <c r="H4" i="15" s="1"/>
  <c r="C4" i="15" a="1"/>
  <c r="C4" i="15"/>
  <c r="B4" i="15"/>
  <c r="K4" i="15" s="1" a="1"/>
  <c r="P3" i="15"/>
  <c r="L3" i="15" a="1"/>
  <c r="L3" i="15"/>
  <c r="J3" i="15" a="1"/>
  <c r="J3" i="15"/>
  <c r="I3" i="15" a="1"/>
  <c r="I3" i="15" s="1"/>
  <c r="G3" i="15" a="1"/>
  <c r="G3" i="15" s="1"/>
  <c r="D3" i="15" a="1"/>
  <c r="D3" i="15" s="1"/>
  <c r="C3" i="15" a="1"/>
  <c r="C3" i="15"/>
  <c r="B3" i="15"/>
  <c r="K3" i="15" s="1" a="1"/>
  <c r="K3" i="15" s="1"/>
  <c r="C2" i="15"/>
  <c r="B2" i="15"/>
  <c r="E229" i="14"/>
  <c r="J228" i="14"/>
  <c r="I228" i="14"/>
  <c r="H228" i="14"/>
  <c r="G228" i="14"/>
  <c r="E228" i="14"/>
  <c r="J227" i="14"/>
  <c r="I227" i="14"/>
  <c r="H227" i="14"/>
  <c r="G227" i="14"/>
  <c r="E227" i="14"/>
  <c r="J226" i="14"/>
  <c r="I226" i="14"/>
  <c r="H226" i="14"/>
  <c r="G226" i="14"/>
  <c r="E226" i="14"/>
  <c r="J225" i="14"/>
  <c r="I225" i="14"/>
  <c r="H225" i="14"/>
  <c r="G225" i="14"/>
  <c r="E225" i="14"/>
  <c r="J224" i="14"/>
  <c r="I224" i="14"/>
  <c r="H224" i="14"/>
  <c r="G224" i="14"/>
  <c r="E224" i="14"/>
  <c r="J223" i="14"/>
  <c r="I223" i="14"/>
  <c r="H223" i="14"/>
  <c r="G223" i="14"/>
  <c r="E223" i="14"/>
  <c r="J222" i="14"/>
  <c r="I222" i="14"/>
  <c r="H222" i="14"/>
  <c r="G222" i="14"/>
  <c r="E222" i="14"/>
  <c r="J221" i="14"/>
  <c r="I221" i="14"/>
  <c r="H221" i="14"/>
  <c r="G221" i="14"/>
  <c r="E221" i="14"/>
  <c r="J220" i="14"/>
  <c r="I220" i="14"/>
  <c r="H220" i="14"/>
  <c r="G220" i="14"/>
  <c r="E220" i="14"/>
  <c r="J219" i="14"/>
  <c r="I219" i="14"/>
  <c r="H219" i="14"/>
  <c r="G219" i="14"/>
  <c r="E219" i="14"/>
  <c r="J218" i="14"/>
  <c r="I218" i="14"/>
  <c r="H218" i="14"/>
  <c r="G218" i="14"/>
  <c r="E218" i="14"/>
  <c r="J217" i="14"/>
  <c r="I217" i="14"/>
  <c r="H217" i="14"/>
  <c r="G217" i="14"/>
  <c r="E217" i="14"/>
  <c r="J216" i="14"/>
  <c r="I216" i="14"/>
  <c r="H216" i="14"/>
  <c r="G216" i="14"/>
  <c r="E216" i="14"/>
  <c r="J215" i="14"/>
  <c r="I215" i="14"/>
  <c r="H215" i="14"/>
  <c r="G215" i="14"/>
  <c r="E215" i="14"/>
  <c r="J214" i="14"/>
  <c r="I214" i="14"/>
  <c r="H214" i="14"/>
  <c r="G214" i="14"/>
  <c r="E214" i="14"/>
  <c r="J213" i="14"/>
  <c r="I213" i="14"/>
  <c r="H213" i="14"/>
  <c r="G213" i="14"/>
  <c r="E213" i="14"/>
  <c r="J212" i="14"/>
  <c r="I212" i="14"/>
  <c r="H212" i="14"/>
  <c r="G212" i="14"/>
  <c r="E212" i="14"/>
  <c r="J211" i="14"/>
  <c r="I211" i="14"/>
  <c r="H211" i="14"/>
  <c r="G211" i="14"/>
  <c r="E211" i="14"/>
  <c r="J210" i="14"/>
  <c r="I210" i="14"/>
  <c r="H210" i="14"/>
  <c r="G210" i="14"/>
  <c r="E210" i="14"/>
  <c r="J209" i="14"/>
  <c r="I209" i="14"/>
  <c r="H209" i="14"/>
  <c r="G209" i="14"/>
  <c r="E209" i="14"/>
  <c r="J208" i="14"/>
  <c r="I208" i="14"/>
  <c r="H208" i="14"/>
  <c r="G208" i="14"/>
  <c r="E208" i="14"/>
  <c r="J207" i="14"/>
  <c r="I207" i="14"/>
  <c r="H207" i="14"/>
  <c r="G207" i="14"/>
  <c r="E207" i="14"/>
  <c r="J206" i="14"/>
  <c r="I206" i="14"/>
  <c r="H206" i="14"/>
  <c r="G206" i="14"/>
  <c r="E206" i="14"/>
  <c r="J205" i="14"/>
  <c r="I205" i="14"/>
  <c r="H205" i="14"/>
  <c r="G205" i="14"/>
  <c r="E205" i="14"/>
  <c r="J204" i="14"/>
  <c r="I204" i="14"/>
  <c r="H204" i="14"/>
  <c r="G204" i="14"/>
  <c r="E204" i="14"/>
  <c r="J203" i="14"/>
  <c r="I203" i="14"/>
  <c r="H203" i="14"/>
  <c r="G203" i="14"/>
  <c r="E203" i="14"/>
  <c r="J202" i="14"/>
  <c r="I202" i="14"/>
  <c r="H202" i="14"/>
  <c r="G202" i="14"/>
  <c r="E202" i="14"/>
  <c r="J201" i="14"/>
  <c r="I201" i="14"/>
  <c r="H201" i="14"/>
  <c r="G201" i="14"/>
  <c r="E201" i="14"/>
  <c r="J200" i="14"/>
  <c r="I200" i="14"/>
  <c r="H200" i="14"/>
  <c r="G200" i="14"/>
  <c r="E200" i="14"/>
  <c r="J199" i="14"/>
  <c r="I199" i="14"/>
  <c r="H199" i="14"/>
  <c r="G199" i="14"/>
  <c r="E199" i="14"/>
  <c r="J198" i="14"/>
  <c r="I198" i="14"/>
  <c r="H198" i="14"/>
  <c r="G198" i="14"/>
  <c r="E198" i="14"/>
  <c r="J197" i="14"/>
  <c r="I197" i="14"/>
  <c r="H197" i="14"/>
  <c r="G197" i="14"/>
  <c r="E197" i="14"/>
  <c r="J196" i="14"/>
  <c r="I196" i="14"/>
  <c r="H196" i="14"/>
  <c r="G196" i="14"/>
  <c r="E196" i="14"/>
  <c r="J195" i="14"/>
  <c r="I195" i="14"/>
  <c r="H195" i="14"/>
  <c r="G195" i="14"/>
  <c r="E195" i="14"/>
  <c r="J194" i="14"/>
  <c r="I194" i="14"/>
  <c r="H194" i="14"/>
  <c r="G194" i="14"/>
  <c r="E194" i="14"/>
  <c r="J193" i="14"/>
  <c r="I193" i="14"/>
  <c r="H193" i="14"/>
  <c r="G193" i="14"/>
  <c r="E193" i="14"/>
  <c r="J192" i="14"/>
  <c r="I192" i="14"/>
  <c r="H192" i="14"/>
  <c r="G192" i="14"/>
  <c r="E192" i="14"/>
  <c r="J191" i="14"/>
  <c r="I191" i="14"/>
  <c r="H191" i="14"/>
  <c r="G191" i="14"/>
  <c r="E191" i="14"/>
  <c r="J190" i="14"/>
  <c r="I190" i="14"/>
  <c r="H190" i="14"/>
  <c r="G190" i="14"/>
  <c r="E190" i="14"/>
  <c r="J189" i="14"/>
  <c r="I189" i="14"/>
  <c r="H189" i="14"/>
  <c r="G189" i="14"/>
  <c r="E189" i="14"/>
  <c r="J188" i="14"/>
  <c r="I188" i="14"/>
  <c r="H188" i="14"/>
  <c r="G188" i="14"/>
  <c r="E188" i="14"/>
  <c r="J187" i="14"/>
  <c r="I187" i="14"/>
  <c r="H187" i="14"/>
  <c r="G187" i="14"/>
  <c r="E187" i="14"/>
  <c r="J186" i="14"/>
  <c r="I186" i="14"/>
  <c r="H186" i="14"/>
  <c r="G186" i="14"/>
  <c r="E186" i="14"/>
  <c r="J185" i="14"/>
  <c r="I185" i="14"/>
  <c r="H185" i="14"/>
  <c r="G185" i="14"/>
  <c r="E185" i="14"/>
  <c r="J184" i="14"/>
  <c r="I184" i="14"/>
  <c r="H184" i="14"/>
  <c r="G184" i="14"/>
  <c r="E184" i="14"/>
  <c r="J183" i="14"/>
  <c r="I183" i="14"/>
  <c r="H183" i="14"/>
  <c r="G183" i="14"/>
  <c r="E183" i="14"/>
  <c r="J182" i="14"/>
  <c r="I182" i="14"/>
  <c r="H182" i="14"/>
  <c r="G182" i="14"/>
  <c r="E182" i="14"/>
  <c r="J181" i="14"/>
  <c r="I181" i="14"/>
  <c r="H181" i="14"/>
  <c r="G181" i="14"/>
  <c r="E181" i="14"/>
  <c r="J180" i="14"/>
  <c r="I180" i="14"/>
  <c r="H180" i="14"/>
  <c r="G180" i="14"/>
  <c r="E180" i="14"/>
  <c r="J179" i="14"/>
  <c r="I179" i="14"/>
  <c r="H179" i="14"/>
  <c r="G179" i="14"/>
  <c r="E179" i="14"/>
  <c r="J178" i="14"/>
  <c r="I178" i="14"/>
  <c r="H178" i="14"/>
  <c r="G178" i="14"/>
  <c r="E178" i="14"/>
  <c r="J177" i="14"/>
  <c r="I177" i="14"/>
  <c r="H177" i="14"/>
  <c r="G177" i="14"/>
  <c r="E177" i="14"/>
  <c r="J176" i="14"/>
  <c r="I176" i="14"/>
  <c r="H176" i="14"/>
  <c r="G176" i="14"/>
  <c r="E176" i="14"/>
  <c r="J175" i="14"/>
  <c r="I175" i="14"/>
  <c r="H175" i="14"/>
  <c r="G175" i="14"/>
  <c r="E175" i="14"/>
  <c r="J174" i="14"/>
  <c r="I174" i="14"/>
  <c r="H174" i="14"/>
  <c r="G174" i="14"/>
  <c r="E174" i="14"/>
  <c r="J173" i="14"/>
  <c r="I173" i="14"/>
  <c r="H173" i="14"/>
  <c r="G173" i="14"/>
  <c r="E173" i="14"/>
  <c r="J172" i="14"/>
  <c r="I172" i="14"/>
  <c r="H172" i="14"/>
  <c r="G172" i="14"/>
  <c r="E172" i="14"/>
  <c r="J171" i="14"/>
  <c r="I171" i="14"/>
  <c r="H171" i="14"/>
  <c r="G171" i="14"/>
  <c r="E171" i="14"/>
  <c r="J170" i="14"/>
  <c r="I170" i="14"/>
  <c r="H170" i="14"/>
  <c r="G170" i="14"/>
  <c r="E170" i="14"/>
  <c r="J169" i="14"/>
  <c r="I169" i="14"/>
  <c r="H169" i="14"/>
  <c r="G169" i="14"/>
  <c r="E169" i="14"/>
  <c r="J168" i="14"/>
  <c r="I168" i="14"/>
  <c r="H168" i="14"/>
  <c r="G168" i="14"/>
  <c r="E168" i="14"/>
  <c r="J167" i="14"/>
  <c r="I167" i="14"/>
  <c r="H167" i="14"/>
  <c r="G167" i="14"/>
  <c r="E167" i="14"/>
  <c r="J166" i="14"/>
  <c r="I166" i="14"/>
  <c r="H166" i="14"/>
  <c r="G166" i="14"/>
  <c r="E166" i="14"/>
  <c r="J165" i="14"/>
  <c r="I165" i="14"/>
  <c r="H165" i="14"/>
  <c r="G165" i="14"/>
  <c r="E165" i="14"/>
  <c r="J164" i="14"/>
  <c r="I164" i="14"/>
  <c r="H164" i="14"/>
  <c r="G164" i="14"/>
  <c r="E164" i="14"/>
  <c r="J163" i="14"/>
  <c r="I163" i="14"/>
  <c r="H163" i="14"/>
  <c r="G163" i="14"/>
  <c r="E163" i="14"/>
  <c r="J162" i="14"/>
  <c r="I162" i="14"/>
  <c r="H162" i="14"/>
  <c r="G162" i="14"/>
  <c r="E162" i="14"/>
  <c r="J161" i="14"/>
  <c r="I161" i="14"/>
  <c r="H161" i="14"/>
  <c r="G161" i="14"/>
  <c r="E161" i="14"/>
  <c r="J160" i="14"/>
  <c r="I160" i="14"/>
  <c r="H160" i="14"/>
  <c r="G160" i="14"/>
  <c r="E160" i="14"/>
  <c r="J159" i="14"/>
  <c r="I159" i="14"/>
  <c r="H159" i="14"/>
  <c r="G159" i="14"/>
  <c r="E159" i="14"/>
  <c r="J158" i="14"/>
  <c r="I158" i="14"/>
  <c r="H158" i="14"/>
  <c r="G158" i="14"/>
  <c r="E158" i="14"/>
  <c r="J157" i="14"/>
  <c r="I157" i="14"/>
  <c r="H157" i="14"/>
  <c r="G157" i="14"/>
  <c r="E157" i="14"/>
  <c r="J156" i="14"/>
  <c r="I156" i="14"/>
  <c r="H156" i="14"/>
  <c r="G156" i="14"/>
  <c r="E156" i="14"/>
  <c r="J155" i="14"/>
  <c r="I155" i="14"/>
  <c r="H155" i="14"/>
  <c r="G155" i="14"/>
  <c r="E155" i="14"/>
  <c r="J154" i="14"/>
  <c r="I154" i="14"/>
  <c r="H154" i="14"/>
  <c r="G154" i="14"/>
  <c r="E154" i="14"/>
  <c r="J153" i="14"/>
  <c r="I153" i="14"/>
  <c r="H153" i="14"/>
  <c r="G153" i="14"/>
  <c r="E153" i="14"/>
  <c r="J152" i="14"/>
  <c r="I152" i="14"/>
  <c r="H152" i="14"/>
  <c r="G152" i="14"/>
  <c r="E152" i="14"/>
  <c r="J151" i="14"/>
  <c r="I151" i="14"/>
  <c r="H151" i="14"/>
  <c r="G151" i="14"/>
  <c r="E151" i="14"/>
  <c r="J150" i="14"/>
  <c r="I150" i="14"/>
  <c r="H150" i="14"/>
  <c r="G150" i="14"/>
  <c r="E150" i="14"/>
  <c r="J149" i="14"/>
  <c r="I149" i="14"/>
  <c r="H149" i="14"/>
  <c r="G149" i="14"/>
  <c r="E149" i="14"/>
  <c r="J148" i="14"/>
  <c r="I148" i="14"/>
  <c r="H148" i="14"/>
  <c r="G148" i="14"/>
  <c r="E148" i="14"/>
  <c r="J147" i="14"/>
  <c r="I147" i="14"/>
  <c r="H147" i="14"/>
  <c r="G147" i="14"/>
  <c r="E147" i="14"/>
  <c r="J146" i="14"/>
  <c r="I146" i="14"/>
  <c r="H146" i="14"/>
  <c r="G146" i="14"/>
  <c r="E146" i="14"/>
  <c r="J145" i="14"/>
  <c r="I145" i="14"/>
  <c r="H145" i="14"/>
  <c r="G145" i="14"/>
  <c r="E145" i="14"/>
  <c r="J144" i="14"/>
  <c r="I144" i="14"/>
  <c r="H144" i="14"/>
  <c r="G144" i="14"/>
  <c r="E144" i="14"/>
  <c r="J143" i="14"/>
  <c r="I143" i="14"/>
  <c r="H143" i="14"/>
  <c r="G143" i="14"/>
  <c r="E143" i="14"/>
  <c r="J142" i="14"/>
  <c r="I142" i="14"/>
  <c r="H142" i="14"/>
  <c r="G142" i="14"/>
  <c r="E142" i="14"/>
  <c r="J141" i="14"/>
  <c r="I141" i="14"/>
  <c r="H141" i="14"/>
  <c r="G141" i="14"/>
  <c r="E141" i="14"/>
  <c r="J140" i="14"/>
  <c r="I140" i="14"/>
  <c r="H140" i="14"/>
  <c r="G140" i="14"/>
  <c r="E140" i="14"/>
  <c r="J139" i="14"/>
  <c r="I139" i="14"/>
  <c r="H139" i="14"/>
  <c r="G139" i="14"/>
  <c r="E139" i="14"/>
  <c r="J138" i="14"/>
  <c r="I138" i="14"/>
  <c r="H138" i="14"/>
  <c r="G138" i="14"/>
  <c r="E138" i="14"/>
  <c r="J137" i="14"/>
  <c r="I137" i="14"/>
  <c r="H137" i="14"/>
  <c r="G137" i="14"/>
  <c r="E137" i="14"/>
  <c r="J136" i="14"/>
  <c r="I136" i="14"/>
  <c r="H136" i="14"/>
  <c r="G136" i="14"/>
  <c r="E136" i="14"/>
  <c r="J135" i="14"/>
  <c r="I135" i="14"/>
  <c r="H135" i="14"/>
  <c r="G135" i="14"/>
  <c r="E135" i="14"/>
  <c r="J134" i="14"/>
  <c r="I134" i="14"/>
  <c r="H134" i="14"/>
  <c r="G134" i="14"/>
  <c r="E134" i="14"/>
  <c r="J133" i="14"/>
  <c r="I133" i="14"/>
  <c r="H133" i="14"/>
  <c r="G133" i="14"/>
  <c r="E133" i="14"/>
  <c r="J132" i="14"/>
  <c r="I132" i="14"/>
  <c r="H132" i="14"/>
  <c r="G132" i="14"/>
  <c r="E132" i="14"/>
  <c r="J131" i="14"/>
  <c r="I131" i="14"/>
  <c r="H131" i="14"/>
  <c r="G131" i="14"/>
  <c r="E131" i="14"/>
  <c r="J130" i="14"/>
  <c r="I130" i="14"/>
  <c r="H130" i="14"/>
  <c r="G130" i="14"/>
  <c r="E130" i="14"/>
  <c r="J129" i="14"/>
  <c r="I129" i="14"/>
  <c r="H129" i="14"/>
  <c r="G129" i="14"/>
  <c r="E129" i="14"/>
  <c r="J128" i="14"/>
  <c r="I128" i="14"/>
  <c r="H128" i="14"/>
  <c r="G128" i="14"/>
  <c r="E128" i="14"/>
  <c r="J127" i="14"/>
  <c r="I127" i="14"/>
  <c r="H127" i="14"/>
  <c r="G127" i="14"/>
  <c r="E127" i="14"/>
  <c r="J126" i="14"/>
  <c r="I126" i="14"/>
  <c r="H126" i="14"/>
  <c r="G126" i="14"/>
  <c r="E126" i="14"/>
  <c r="J125" i="14"/>
  <c r="I125" i="14"/>
  <c r="H125" i="14"/>
  <c r="G125" i="14"/>
  <c r="E125" i="14"/>
  <c r="J124" i="14"/>
  <c r="I124" i="14"/>
  <c r="H124" i="14"/>
  <c r="G124" i="14"/>
  <c r="E124" i="14"/>
  <c r="J123" i="14"/>
  <c r="I123" i="14"/>
  <c r="H123" i="14"/>
  <c r="G123" i="14"/>
  <c r="E123" i="14"/>
  <c r="J122" i="14"/>
  <c r="I122" i="14"/>
  <c r="H122" i="14"/>
  <c r="G122" i="14"/>
  <c r="E122" i="14"/>
  <c r="J121" i="14"/>
  <c r="I121" i="14"/>
  <c r="H121" i="14"/>
  <c r="G121" i="14"/>
  <c r="E121" i="14"/>
  <c r="J120" i="14"/>
  <c r="I120" i="14"/>
  <c r="H120" i="14"/>
  <c r="G120" i="14"/>
  <c r="E120" i="14"/>
  <c r="J119" i="14"/>
  <c r="I119" i="14"/>
  <c r="H119" i="14"/>
  <c r="G119" i="14"/>
  <c r="E119" i="14"/>
  <c r="J113" i="14"/>
  <c r="J229" i="14" s="1"/>
  <c r="I113" i="14"/>
  <c r="I229" i="14" s="1"/>
  <c r="H113" i="14"/>
  <c r="G113" i="14"/>
  <c r="F113" i="14"/>
  <c r="E113" i="14"/>
  <c r="D113" i="14"/>
  <c r="P112" i="14"/>
  <c r="L112" i="14"/>
  <c r="P111" i="14"/>
  <c r="O111" i="14"/>
  <c r="N111" i="14"/>
  <c r="M111" i="14"/>
  <c r="L111" i="14"/>
  <c r="P110" i="14"/>
  <c r="O110" i="14"/>
  <c r="N110" i="14"/>
  <c r="M110" i="14"/>
  <c r="L110" i="14"/>
  <c r="P109" i="14"/>
  <c r="O109" i="14"/>
  <c r="N109" i="14"/>
  <c r="M109" i="14"/>
  <c r="L109" i="14"/>
  <c r="P108" i="14"/>
  <c r="O108" i="14"/>
  <c r="N108" i="14"/>
  <c r="M108" i="14"/>
  <c r="L108" i="14"/>
  <c r="P107" i="14"/>
  <c r="O107" i="14"/>
  <c r="N107" i="14"/>
  <c r="M107" i="14"/>
  <c r="L107" i="14"/>
  <c r="P106" i="14"/>
  <c r="O106" i="14"/>
  <c r="N106" i="14"/>
  <c r="M106" i="14"/>
  <c r="L106" i="14"/>
  <c r="P105" i="14"/>
  <c r="O105" i="14"/>
  <c r="N105" i="14"/>
  <c r="M105" i="14"/>
  <c r="L105" i="14"/>
  <c r="P104" i="14"/>
  <c r="O104" i="14"/>
  <c r="N104" i="14"/>
  <c r="M104" i="14"/>
  <c r="L104" i="14"/>
  <c r="P103" i="14"/>
  <c r="O103" i="14"/>
  <c r="N103" i="14"/>
  <c r="M103" i="14"/>
  <c r="L103" i="14"/>
  <c r="P102" i="14"/>
  <c r="O102" i="14"/>
  <c r="N102" i="14"/>
  <c r="M102" i="14"/>
  <c r="L102" i="14"/>
  <c r="P101" i="14"/>
  <c r="O101" i="14"/>
  <c r="N101" i="14"/>
  <c r="M101" i="14"/>
  <c r="L101" i="14"/>
  <c r="P100" i="14"/>
  <c r="O100" i="14"/>
  <c r="N100" i="14"/>
  <c r="M100" i="14"/>
  <c r="L100" i="14"/>
  <c r="P99" i="14"/>
  <c r="O99" i="14"/>
  <c r="N99" i="14"/>
  <c r="M99" i="14"/>
  <c r="L99" i="14"/>
  <c r="P98" i="14"/>
  <c r="O98" i="14"/>
  <c r="N98" i="14"/>
  <c r="M98" i="14"/>
  <c r="L98" i="14"/>
  <c r="P97" i="14"/>
  <c r="O97" i="14"/>
  <c r="N97" i="14"/>
  <c r="M97" i="14"/>
  <c r="L97" i="14"/>
  <c r="P96" i="14"/>
  <c r="O96" i="14"/>
  <c r="N96" i="14"/>
  <c r="M96" i="14"/>
  <c r="L96" i="14"/>
  <c r="P95" i="14"/>
  <c r="O95" i="14"/>
  <c r="N95" i="14"/>
  <c r="M95" i="14"/>
  <c r="L95" i="14"/>
  <c r="P94" i="14"/>
  <c r="O94" i="14"/>
  <c r="N94" i="14"/>
  <c r="M94" i="14"/>
  <c r="L94" i="14"/>
  <c r="P93" i="14"/>
  <c r="O93" i="14"/>
  <c r="N93" i="14"/>
  <c r="M93" i="14"/>
  <c r="L93" i="14"/>
  <c r="P92" i="14"/>
  <c r="O92" i="14"/>
  <c r="N92" i="14"/>
  <c r="M92" i="14"/>
  <c r="L92" i="14"/>
  <c r="P91" i="14"/>
  <c r="O91" i="14"/>
  <c r="N91" i="14"/>
  <c r="M91" i="14"/>
  <c r="L91" i="14"/>
  <c r="P90" i="14"/>
  <c r="O90" i="14"/>
  <c r="N90" i="14"/>
  <c r="M90" i="14"/>
  <c r="L90" i="14"/>
  <c r="P89" i="14"/>
  <c r="O89" i="14"/>
  <c r="N89" i="14"/>
  <c r="M89" i="14"/>
  <c r="L89" i="14"/>
  <c r="P88" i="14"/>
  <c r="O88" i="14"/>
  <c r="N88" i="14"/>
  <c r="M88" i="14"/>
  <c r="L88" i="14"/>
  <c r="P87" i="14"/>
  <c r="O87" i="14"/>
  <c r="N87" i="14"/>
  <c r="M87" i="14"/>
  <c r="L87" i="14"/>
  <c r="P86" i="14"/>
  <c r="O86" i="14"/>
  <c r="N86" i="14"/>
  <c r="M86" i="14"/>
  <c r="L86" i="14"/>
  <c r="P85" i="14"/>
  <c r="O85" i="14"/>
  <c r="N85" i="14"/>
  <c r="M85" i="14"/>
  <c r="L85" i="14"/>
  <c r="P84" i="14"/>
  <c r="O84" i="14"/>
  <c r="N84" i="14"/>
  <c r="M84" i="14"/>
  <c r="L84" i="14"/>
  <c r="P83" i="14"/>
  <c r="O83" i="14"/>
  <c r="N83" i="14"/>
  <c r="M83" i="14"/>
  <c r="L83" i="14"/>
  <c r="P82" i="14"/>
  <c r="O82" i="14"/>
  <c r="N82" i="14"/>
  <c r="M82" i="14"/>
  <c r="L82" i="14"/>
  <c r="P81" i="14"/>
  <c r="O81" i="14"/>
  <c r="N81" i="14"/>
  <c r="M81" i="14"/>
  <c r="L81" i="14"/>
  <c r="P80" i="14"/>
  <c r="O80" i="14"/>
  <c r="N80" i="14"/>
  <c r="M80" i="14"/>
  <c r="L80" i="14"/>
  <c r="P79" i="14"/>
  <c r="O79" i="14"/>
  <c r="N79" i="14"/>
  <c r="M79" i="14"/>
  <c r="L79" i="14"/>
  <c r="P78" i="14"/>
  <c r="O78" i="14"/>
  <c r="N78" i="14"/>
  <c r="M78" i="14"/>
  <c r="L78" i="14"/>
  <c r="P77" i="14"/>
  <c r="O77" i="14"/>
  <c r="N77" i="14"/>
  <c r="M77" i="14"/>
  <c r="L77" i="14"/>
  <c r="P76" i="14"/>
  <c r="O76" i="14"/>
  <c r="N76" i="14"/>
  <c r="M76" i="14"/>
  <c r="L76" i="14"/>
  <c r="P75" i="14"/>
  <c r="O75" i="14"/>
  <c r="N75" i="14"/>
  <c r="M75" i="14"/>
  <c r="L75" i="14"/>
  <c r="P74" i="14"/>
  <c r="O74" i="14"/>
  <c r="N74" i="14"/>
  <c r="M74" i="14"/>
  <c r="L74" i="14"/>
  <c r="P73" i="14"/>
  <c r="O73" i="14"/>
  <c r="N73" i="14"/>
  <c r="M73" i="14"/>
  <c r="L73" i="14"/>
  <c r="P72" i="14"/>
  <c r="O72" i="14"/>
  <c r="N72" i="14"/>
  <c r="M72" i="14"/>
  <c r="L72" i="14"/>
  <c r="P71" i="14"/>
  <c r="O71" i="14"/>
  <c r="N71" i="14"/>
  <c r="M71" i="14"/>
  <c r="L71" i="14"/>
  <c r="P70" i="14"/>
  <c r="O70" i="14"/>
  <c r="N70" i="14"/>
  <c r="M70" i="14"/>
  <c r="L70" i="14"/>
  <c r="P69" i="14"/>
  <c r="O69" i="14"/>
  <c r="N69" i="14"/>
  <c r="M69" i="14"/>
  <c r="L69" i="14"/>
  <c r="P68" i="14"/>
  <c r="O68" i="14"/>
  <c r="N68" i="14"/>
  <c r="M68" i="14"/>
  <c r="L68" i="14"/>
  <c r="P67" i="14"/>
  <c r="O67" i="14"/>
  <c r="N67" i="14"/>
  <c r="M67" i="14"/>
  <c r="L67" i="14"/>
  <c r="P66" i="14"/>
  <c r="O66" i="14"/>
  <c r="N66" i="14"/>
  <c r="M66" i="14"/>
  <c r="L66" i="14"/>
  <c r="P65" i="14"/>
  <c r="O65" i="14"/>
  <c r="N65" i="14"/>
  <c r="M65" i="14"/>
  <c r="L65" i="14"/>
  <c r="P64" i="14"/>
  <c r="O64" i="14"/>
  <c r="N64" i="14"/>
  <c r="M64" i="14"/>
  <c r="L64" i="14"/>
  <c r="P63" i="14"/>
  <c r="O63" i="14"/>
  <c r="N63" i="14"/>
  <c r="M63" i="14"/>
  <c r="L63" i="14"/>
  <c r="P62" i="14"/>
  <c r="O62" i="14"/>
  <c r="N62" i="14"/>
  <c r="M62" i="14"/>
  <c r="L62" i="14"/>
  <c r="P61" i="14"/>
  <c r="O61" i="14"/>
  <c r="N61" i="14"/>
  <c r="M61" i="14"/>
  <c r="L61" i="14"/>
  <c r="P60" i="14"/>
  <c r="O60" i="14"/>
  <c r="N60" i="14"/>
  <c r="M60" i="14"/>
  <c r="L60" i="14"/>
  <c r="P59" i="14"/>
  <c r="O59" i="14"/>
  <c r="N59" i="14"/>
  <c r="M59" i="14"/>
  <c r="L59" i="14"/>
  <c r="P58" i="14"/>
  <c r="O58" i="14"/>
  <c r="N58" i="14"/>
  <c r="M58" i="14"/>
  <c r="L58" i="14"/>
  <c r="P57" i="14"/>
  <c r="O57" i="14"/>
  <c r="N57" i="14"/>
  <c r="M57" i="14"/>
  <c r="L57" i="14"/>
  <c r="P56" i="14"/>
  <c r="O56" i="14"/>
  <c r="N56" i="14"/>
  <c r="M56" i="14"/>
  <c r="L56" i="14"/>
  <c r="P55" i="14"/>
  <c r="O55" i="14"/>
  <c r="N55" i="14"/>
  <c r="M55" i="14"/>
  <c r="L55" i="14"/>
  <c r="P54" i="14"/>
  <c r="O54" i="14"/>
  <c r="N54" i="14"/>
  <c r="M54" i="14"/>
  <c r="L54" i="14"/>
  <c r="P53" i="14"/>
  <c r="O53" i="14"/>
  <c r="N53" i="14"/>
  <c r="M53" i="14"/>
  <c r="L53" i="14"/>
  <c r="P52" i="14"/>
  <c r="O52" i="14"/>
  <c r="N52" i="14"/>
  <c r="M52" i="14"/>
  <c r="L52" i="14"/>
  <c r="P51" i="14"/>
  <c r="O51" i="14"/>
  <c r="N51" i="14"/>
  <c r="M51" i="14"/>
  <c r="L51" i="14"/>
  <c r="P50" i="14"/>
  <c r="O50" i="14"/>
  <c r="N50" i="14"/>
  <c r="M50" i="14"/>
  <c r="L50" i="14"/>
  <c r="P49" i="14"/>
  <c r="O49" i="14"/>
  <c r="N49" i="14"/>
  <c r="M49" i="14"/>
  <c r="L49" i="14"/>
  <c r="P48" i="14"/>
  <c r="O48" i="14"/>
  <c r="N48" i="14"/>
  <c r="M48" i="14"/>
  <c r="L48" i="14"/>
  <c r="P47" i="14"/>
  <c r="O47" i="14"/>
  <c r="N47" i="14"/>
  <c r="M47" i="14"/>
  <c r="L47" i="14"/>
  <c r="P46" i="14"/>
  <c r="O46" i="14"/>
  <c r="N46" i="14"/>
  <c r="M46" i="14"/>
  <c r="L46" i="14"/>
  <c r="P45" i="14"/>
  <c r="O45" i="14"/>
  <c r="N45" i="14"/>
  <c r="M45" i="14"/>
  <c r="L45" i="14"/>
  <c r="P44" i="14"/>
  <c r="O44" i="14"/>
  <c r="N44" i="14"/>
  <c r="M44" i="14"/>
  <c r="L44" i="14"/>
  <c r="P43" i="14"/>
  <c r="O43" i="14"/>
  <c r="N43" i="14"/>
  <c r="M43" i="14"/>
  <c r="L43" i="14"/>
  <c r="P42" i="14"/>
  <c r="O42" i="14"/>
  <c r="N42" i="14"/>
  <c r="M42" i="14"/>
  <c r="L42" i="14"/>
  <c r="P41" i="14"/>
  <c r="O41" i="14"/>
  <c r="N41" i="14"/>
  <c r="M41" i="14"/>
  <c r="L41" i="14"/>
  <c r="P40" i="14"/>
  <c r="O40" i="14"/>
  <c r="N40" i="14"/>
  <c r="M40" i="14"/>
  <c r="L40" i="14"/>
  <c r="P39" i="14"/>
  <c r="O39" i="14"/>
  <c r="N39" i="14"/>
  <c r="M39" i="14"/>
  <c r="L39" i="14"/>
  <c r="P38" i="14"/>
  <c r="O38" i="14"/>
  <c r="N38" i="14"/>
  <c r="M38" i="14"/>
  <c r="L38" i="14"/>
  <c r="P37" i="14"/>
  <c r="O37" i="14"/>
  <c r="N37" i="14"/>
  <c r="M37" i="14"/>
  <c r="L37" i="14"/>
  <c r="P36" i="14"/>
  <c r="O36" i="14"/>
  <c r="N36" i="14"/>
  <c r="M36" i="14"/>
  <c r="L36" i="14"/>
  <c r="P35" i="14"/>
  <c r="O35" i="14"/>
  <c r="N35" i="14"/>
  <c r="M35" i="14"/>
  <c r="L35" i="14"/>
  <c r="P34" i="14"/>
  <c r="O34" i="14"/>
  <c r="N34" i="14"/>
  <c r="M34" i="14"/>
  <c r="L34" i="14"/>
  <c r="P33" i="14"/>
  <c r="O33" i="14"/>
  <c r="N33" i="14"/>
  <c r="M33" i="14"/>
  <c r="L33" i="14"/>
  <c r="P32" i="14"/>
  <c r="O32" i="14"/>
  <c r="N32" i="14"/>
  <c r="M32" i="14"/>
  <c r="L32" i="14"/>
  <c r="P31" i="14"/>
  <c r="O31" i="14"/>
  <c r="N31" i="14"/>
  <c r="M31" i="14"/>
  <c r="L31" i="14"/>
  <c r="X30" i="14"/>
  <c r="P30" i="14"/>
  <c r="O30" i="14"/>
  <c r="N30" i="14"/>
  <c r="M30" i="14"/>
  <c r="L30" i="14"/>
  <c r="X29" i="14"/>
  <c r="P29" i="14"/>
  <c r="O29" i="14"/>
  <c r="N29" i="14"/>
  <c r="M29" i="14"/>
  <c r="L29" i="14"/>
  <c r="X28" i="14"/>
  <c r="P28" i="14"/>
  <c r="O28" i="14"/>
  <c r="N28" i="14"/>
  <c r="M28" i="14"/>
  <c r="L28" i="14"/>
  <c r="X27" i="14"/>
  <c r="P27" i="14"/>
  <c r="O27" i="14"/>
  <c r="N27" i="14"/>
  <c r="M27" i="14"/>
  <c r="L27" i="14"/>
  <c r="X26" i="14"/>
  <c r="P26" i="14"/>
  <c r="O26" i="14"/>
  <c r="N26" i="14"/>
  <c r="M26" i="14"/>
  <c r="L26" i="14"/>
  <c r="X25" i="14"/>
  <c r="P25" i="14"/>
  <c r="O25" i="14"/>
  <c r="N25" i="14"/>
  <c r="M25" i="14"/>
  <c r="L25" i="14"/>
  <c r="X24" i="14"/>
  <c r="P24" i="14"/>
  <c r="O24" i="14"/>
  <c r="N24" i="14"/>
  <c r="M24" i="14"/>
  <c r="L24" i="14"/>
  <c r="X23" i="14"/>
  <c r="P23" i="14"/>
  <c r="O23" i="14"/>
  <c r="N23" i="14"/>
  <c r="M23" i="14"/>
  <c r="L23" i="14"/>
  <c r="X22" i="14"/>
  <c r="P22" i="14"/>
  <c r="O22" i="14"/>
  <c r="N22" i="14"/>
  <c r="M22" i="14"/>
  <c r="L22" i="14"/>
  <c r="X21" i="14"/>
  <c r="P21" i="14"/>
  <c r="O21" i="14"/>
  <c r="N21" i="14"/>
  <c r="M21" i="14"/>
  <c r="L21" i="14"/>
  <c r="X20" i="14"/>
  <c r="P20" i="14"/>
  <c r="O20" i="14"/>
  <c r="N20" i="14"/>
  <c r="M20" i="14"/>
  <c r="L20" i="14"/>
  <c r="P19" i="14"/>
  <c r="O19" i="14"/>
  <c r="N19" i="14"/>
  <c r="M19" i="14"/>
  <c r="L19" i="14"/>
  <c r="P18" i="14"/>
  <c r="O18" i="14"/>
  <c r="N18" i="14"/>
  <c r="M18" i="14"/>
  <c r="L18" i="14"/>
  <c r="P17" i="14"/>
  <c r="O17" i="14"/>
  <c r="N17" i="14"/>
  <c r="M17" i="14"/>
  <c r="L17" i="14"/>
  <c r="P16" i="14"/>
  <c r="O16" i="14"/>
  <c r="N16" i="14"/>
  <c r="M16" i="14"/>
  <c r="L16" i="14"/>
  <c r="P15" i="14"/>
  <c r="O15" i="14"/>
  <c r="N15" i="14"/>
  <c r="M15" i="14"/>
  <c r="L15" i="14"/>
  <c r="X14" i="14"/>
  <c r="P14" i="14"/>
  <c r="O14" i="14"/>
  <c r="N14" i="14"/>
  <c r="M14" i="14"/>
  <c r="L14" i="14"/>
  <c r="X13" i="14"/>
  <c r="P13" i="14"/>
  <c r="O13" i="14"/>
  <c r="N13" i="14"/>
  <c r="M13" i="14"/>
  <c r="L13" i="14"/>
  <c r="X12" i="14"/>
  <c r="P12" i="14"/>
  <c r="O12" i="14"/>
  <c r="N12" i="14"/>
  <c r="M12" i="14"/>
  <c r="L12" i="14"/>
  <c r="X11" i="14"/>
  <c r="P11" i="14"/>
  <c r="O11" i="14"/>
  <c r="N11" i="14"/>
  <c r="M11" i="14"/>
  <c r="L11" i="14"/>
  <c r="X10" i="14"/>
  <c r="P10" i="14"/>
  <c r="O10" i="14"/>
  <c r="N10" i="14"/>
  <c r="M10" i="14"/>
  <c r="L10" i="14"/>
  <c r="X9" i="14"/>
  <c r="P9" i="14"/>
  <c r="O9" i="14"/>
  <c r="N9" i="14"/>
  <c r="M9" i="14"/>
  <c r="L9" i="14"/>
  <c r="X8" i="14"/>
  <c r="P8" i="14"/>
  <c r="O8" i="14"/>
  <c r="N8" i="14"/>
  <c r="M8" i="14"/>
  <c r="L8" i="14"/>
  <c r="X7" i="14"/>
  <c r="P7" i="14"/>
  <c r="O7" i="14"/>
  <c r="N7" i="14"/>
  <c r="M7" i="14"/>
  <c r="L7" i="14"/>
  <c r="X6" i="14"/>
  <c r="P6" i="14"/>
  <c r="O6" i="14"/>
  <c r="N6" i="14"/>
  <c r="M6" i="14"/>
  <c r="L6" i="14"/>
  <c r="X5" i="14"/>
  <c r="P5" i="14"/>
  <c r="O5" i="14"/>
  <c r="N5" i="14"/>
  <c r="M5" i="14"/>
  <c r="L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A65" i="14" s="1"/>
  <c r="A66" i="14" s="1"/>
  <c r="A67" i="14" s="1"/>
  <c r="A68" i="14" s="1"/>
  <c r="A69" i="14" s="1"/>
  <c r="A70" i="14" s="1"/>
  <c r="A71" i="14" s="1"/>
  <c r="A72" i="14" s="1"/>
  <c r="A73" i="14" s="1"/>
  <c r="A74" i="14" s="1"/>
  <c r="A75" i="14" s="1"/>
  <c r="A76" i="14" s="1"/>
  <c r="A77" i="14" s="1"/>
  <c r="A78" i="14" s="1"/>
  <c r="A79" i="14" s="1"/>
  <c r="A80" i="14" s="1"/>
  <c r="A81" i="14" s="1"/>
  <c r="A82" i="14" s="1"/>
  <c r="A83" i="14" s="1"/>
  <c r="A84" i="14" s="1"/>
  <c r="A85" i="14" s="1"/>
  <c r="A86" i="14" s="1"/>
  <c r="A87" i="14" s="1"/>
  <c r="A88" i="14" s="1"/>
  <c r="A89" i="14" s="1"/>
  <c r="A90" i="14" s="1"/>
  <c r="A91" i="14" s="1"/>
  <c r="A92" i="14" s="1"/>
  <c r="A93" i="14" s="1"/>
  <c r="A94" i="14" s="1"/>
  <c r="A95" i="14" s="1"/>
  <c r="A96" i="14" s="1"/>
  <c r="A97" i="14" s="1"/>
  <c r="A98" i="14" s="1"/>
  <c r="A99" i="14" s="1"/>
  <c r="A100" i="14" s="1"/>
  <c r="A101" i="14" s="1"/>
  <c r="A102" i="14" s="1"/>
  <c r="A103" i="14" s="1"/>
  <c r="A104" i="14" s="1"/>
  <c r="A105" i="14" s="1"/>
  <c r="A106" i="14" s="1"/>
  <c r="A107" i="14" s="1"/>
  <c r="A108" i="14" s="1"/>
  <c r="A109" i="14" s="1"/>
  <c r="A110" i="14" s="1"/>
  <c r="A111" i="14" s="1"/>
  <c r="P4" i="14"/>
  <c r="O4" i="14"/>
  <c r="N4" i="14"/>
  <c r="M4" i="14"/>
  <c r="L4" i="14"/>
  <c r="A4" i="14"/>
  <c r="P3" i="14"/>
  <c r="O3" i="14"/>
  <c r="N3" i="14"/>
  <c r="M3" i="14"/>
  <c r="L3" i="14"/>
  <c r="B116" i="13"/>
  <c r="B115" i="13"/>
  <c r="B114" i="13"/>
  <c r="B113" i="13"/>
  <c r="B112" i="13"/>
  <c r="B111" i="13"/>
  <c r="C111" i="13" s="1" a="1"/>
  <c r="C111" i="13" s="1"/>
  <c r="D110" i="13" a="1"/>
  <c r="D110" i="13" s="1"/>
  <c r="B110" i="13"/>
  <c r="C110" i="13" s="1" a="1"/>
  <c r="C110" i="13" s="1"/>
  <c r="C109" i="13" a="1"/>
  <c r="C109" i="13" s="1"/>
  <c r="B109" i="13"/>
  <c r="C108" i="13" a="1"/>
  <c r="C108" i="13"/>
  <c r="B108" i="13"/>
  <c r="B107" i="13"/>
  <c r="C107" i="13" s="1" a="1"/>
  <c r="C107" i="13" s="1"/>
  <c r="C106" i="13"/>
  <c r="B106" i="13"/>
  <c r="C106" i="13" s="1" a="1"/>
  <c r="B105" i="13"/>
  <c r="C105" i="13" s="1" a="1"/>
  <c r="C105" i="13" s="1"/>
  <c r="C104" i="13" a="1"/>
  <c r="C104" i="13" s="1"/>
  <c r="B104" i="13"/>
  <c r="C103" i="13" a="1"/>
  <c r="C103" i="13"/>
  <c r="B103" i="13"/>
  <c r="B102" i="13"/>
  <c r="C102" i="13" s="1" a="1"/>
  <c r="C102" i="13" s="1"/>
  <c r="C101" i="13" a="1"/>
  <c r="C101" i="13" s="1"/>
  <c r="B101" i="13"/>
  <c r="C100" i="13" a="1"/>
  <c r="C100" i="13"/>
  <c r="B100" i="13"/>
  <c r="B99" i="13"/>
  <c r="C99" i="13" s="1" a="1"/>
  <c r="C99" i="13" s="1"/>
  <c r="C98" i="13"/>
  <c r="B98" i="13"/>
  <c r="C98" i="13" s="1" a="1"/>
  <c r="B97" i="13"/>
  <c r="C97" i="13" s="1" a="1"/>
  <c r="C97" i="13" s="1"/>
  <c r="C96" i="13" a="1"/>
  <c r="C96" i="13" s="1"/>
  <c r="B96" i="13"/>
  <c r="C95" i="13" a="1"/>
  <c r="C95" i="13"/>
  <c r="B95" i="13"/>
  <c r="B94" i="13"/>
  <c r="C94" i="13" s="1" a="1"/>
  <c r="C94" i="13" s="1"/>
  <c r="C93" i="13" a="1"/>
  <c r="C93" i="13" s="1"/>
  <c r="B93" i="13"/>
  <c r="C92" i="13" a="1"/>
  <c r="C92" i="13"/>
  <c r="B92" i="13"/>
  <c r="B91" i="13"/>
  <c r="C91" i="13" s="1" a="1"/>
  <c r="C91" i="13" s="1"/>
  <c r="C90" i="13"/>
  <c r="B90" i="13"/>
  <c r="C90" i="13" s="1" a="1"/>
  <c r="B89" i="13"/>
  <c r="C89" i="13" s="1" a="1"/>
  <c r="C89" i="13" s="1"/>
  <c r="C88" i="13" a="1"/>
  <c r="C88" i="13" s="1"/>
  <c r="B88" i="13"/>
  <c r="C87" i="13" a="1"/>
  <c r="C87" i="13"/>
  <c r="B87" i="13"/>
  <c r="B86" i="13"/>
  <c r="C86" i="13" s="1" a="1"/>
  <c r="C86" i="13" s="1"/>
  <c r="C85" i="13" a="1"/>
  <c r="C85" i="13" s="1"/>
  <c r="B85" i="13"/>
  <c r="C84" i="13" a="1"/>
  <c r="C84" i="13"/>
  <c r="B84" i="13"/>
  <c r="B83" i="13"/>
  <c r="C83" i="13" s="1" a="1"/>
  <c r="C83" i="13" s="1"/>
  <c r="C82" i="13"/>
  <c r="B82" i="13"/>
  <c r="C82" i="13" s="1" a="1"/>
  <c r="B81" i="13"/>
  <c r="C81" i="13" s="1" a="1"/>
  <c r="C81" i="13" s="1"/>
  <c r="C80" i="13" a="1"/>
  <c r="C80" i="13" s="1"/>
  <c r="B80" i="13"/>
  <c r="C79" i="13" a="1"/>
  <c r="C79" i="13"/>
  <c r="B79" i="13"/>
  <c r="B78" i="13"/>
  <c r="C78" i="13" s="1" a="1"/>
  <c r="C78" i="13" s="1"/>
  <c r="C77" i="13" a="1"/>
  <c r="C77" i="13" s="1"/>
  <c r="B77" i="13"/>
  <c r="C76" i="13" a="1"/>
  <c r="C76" i="13"/>
  <c r="B76" i="13"/>
  <c r="B75" i="13"/>
  <c r="C75" i="13" s="1" a="1"/>
  <c r="C75" i="13" s="1"/>
  <c r="C74" i="13"/>
  <c r="B74" i="13"/>
  <c r="C74" i="13" s="1" a="1"/>
  <c r="B73" i="13"/>
  <c r="C73" i="13" s="1" a="1"/>
  <c r="C73" i="13" s="1"/>
  <c r="C72" i="13" a="1"/>
  <c r="C72" i="13" s="1"/>
  <c r="B72" i="13"/>
  <c r="C71" i="13" a="1"/>
  <c r="C71" i="13"/>
  <c r="B71" i="13"/>
  <c r="B70" i="13"/>
  <c r="C70" i="13" s="1" a="1"/>
  <c r="C70" i="13" s="1"/>
  <c r="C69" i="13" a="1"/>
  <c r="C69" i="13" s="1"/>
  <c r="B69" i="13"/>
  <c r="C68" i="13" a="1"/>
  <c r="C68" i="13"/>
  <c r="B68" i="13"/>
  <c r="B67" i="13"/>
  <c r="C67" i="13" s="1" a="1"/>
  <c r="C67" i="13" s="1"/>
  <c r="C66" i="13"/>
  <c r="B66" i="13"/>
  <c r="C66" i="13" s="1" a="1"/>
  <c r="B65" i="13"/>
  <c r="C65" i="13" s="1" a="1"/>
  <c r="C65" i="13" s="1"/>
  <c r="C64" i="13" a="1"/>
  <c r="C64" i="13" s="1"/>
  <c r="B64" i="13"/>
  <c r="C63" i="13" a="1"/>
  <c r="C63" i="13"/>
  <c r="B63" i="13"/>
  <c r="B62" i="13"/>
  <c r="C62" i="13" s="1" a="1"/>
  <c r="C62" i="13" s="1"/>
  <c r="C61" i="13" a="1"/>
  <c r="C61" i="13" s="1"/>
  <c r="B61" i="13"/>
  <c r="C60" i="13" a="1"/>
  <c r="C60" i="13"/>
  <c r="B60" i="13"/>
  <c r="B59" i="13"/>
  <c r="C59" i="13" s="1" a="1"/>
  <c r="C59" i="13" s="1"/>
  <c r="C58" i="13"/>
  <c r="B58" i="13"/>
  <c r="C58" i="13" s="1" a="1"/>
  <c r="B57" i="13"/>
  <c r="C57" i="13" s="1" a="1"/>
  <c r="C57" i="13" s="1"/>
  <c r="C56" i="13" a="1"/>
  <c r="C56" i="13" s="1"/>
  <c r="B56" i="13"/>
  <c r="C55" i="13" a="1"/>
  <c r="C55" i="13"/>
  <c r="B55" i="13"/>
  <c r="B54" i="13"/>
  <c r="C54" i="13" s="1" a="1"/>
  <c r="C54" i="13" s="1"/>
  <c r="C53" i="13" a="1"/>
  <c r="C53" i="13" s="1"/>
  <c r="B53" i="13"/>
  <c r="C52" i="13" a="1"/>
  <c r="C52" i="13"/>
  <c r="B52" i="13"/>
  <c r="B51" i="13"/>
  <c r="C51" i="13" s="1" a="1"/>
  <c r="C51" i="13" s="1"/>
  <c r="C50" i="13"/>
  <c r="B50" i="13"/>
  <c r="C50" i="13" s="1" a="1"/>
  <c r="B49" i="13"/>
  <c r="C49" i="13" s="1" a="1"/>
  <c r="C49" i="13" s="1"/>
  <c r="C48" i="13" a="1"/>
  <c r="C48" i="13" s="1"/>
  <c r="B48" i="13"/>
  <c r="C47" i="13" a="1"/>
  <c r="C47" i="13"/>
  <c r="B47" i="13"/>
  <c r="B46" i="13"/>
  <c r="C46" i="13" s="1" a="1"/>
  <c r="C46" i="13" s="1"/>
  <c r="C45" i="13" a="1"/>
  <c r="C45" i="13" s="1"/>
  <c r="B45" i="13"/>
  <c r="C44" i="13" a="1"/>
  <c r="C44" i="13"/>
  <c r="B44" i="13"/>
  <c r="B43" i="13"/>
  <c r="C43" i="13" s="1" a="1"/>
  <c r="C43" i="13" s="1"/>
  <c r="C42" i="13"/>
  <c r="B42" i="13"/>
  <c r="C42" i="13" s="1" a="1"/>
  <c r="B41" i="13"/>
  <c r="C41" i="13" s="1" a="1"/>
  <c r="C41" i="13" s="1"/>
  <c r="C40" i="13" a="1"/>
  <c r="C40" i="13" s="1"/>
  <c r="B40" i="13"/>
  <c r="C39" i="13" a="1"/>
  <c r="C39" i="13"/>
  <c r="B39" i="13"/>
  <c r="B38" i="13"/>
  <c r="C38" i="13" s="1" a="1"/>
  <c r="C38" i="13" s="1"/>
  <c r="C37" i="13" a="1"/>
  <c r="C37" i="13" s="1"/>
  <c r="B37" i="13"/>
  <c r="C36" i="13" a="1"/>
  <c r="C36" i="13"/>
  <c r="B36" i="13"/>
  <c r="B35" i="13"/>
  <c r="C35" i="13" s="1" a="1"/>
  <c r="C35" i="13" s="1"/>
  <c r="C34" i="13"/>
  <c r="B34" i="13"/>
  <c r="C34" i="13" s="1" a="1"/>
  <c r="B33" i="13"/>
  <c r="C33" i="13" s="1" a="1"/>
  <c r="C33" i="13" s="1"/>
  <c r="C32" i="13" a="1"/>
  <c r="C32" i="13" s="1"/>
  <c r="B32" i="13"/>
  <c r="C31" i="13" a="1"/>
  <c r="C31" i="13"/>
  <c r="B31" i="13"/>
  <c r="B30" i="13"/>
  <c r="C30" i="13" s="1" a="1"/>
  <c r="C30" i="13" s="1"/>
  <c r="C29" i="13" a="1"/>
  <c r="C29" i="13" s="1"/>
  <c r="B29" i="13"/>
  <c r="C28" i="13" a="1"/>
  <c r="C28" i="13"/>
  <c r="B28" i="13"/>
  <c r="B27" i="13"/>
  <c r="C27" i="13" s="1" a="1"/>
  <c r="C27" i="13" s="1"/>
  <c r="C26" i="13"/>
  <c r="B26" i="13"/>
  <c r="C26" i="13" s="1" a="1"/>
  <c r="B25" i="13"/>
  <c r="C25" i="13" s="1" a="1"/>
  <c r="C25" i="13" s="1"/>
  <c r="C24" i="13" a="1"/>
  <c r="C24" i="13" s="1"/>
  <c r="B24" i="13"/>
  <c r="C23" i="13" a="1"/>
  <c r="C23" i="13"/>
  <c r="B23" i="13"/>
  <c r="B22" i="13"/>
  <c r="C22" i="13" s="1" a="1"/>
  <c r="C22" i="13" s="1"/>
  <c r="C21" i="13" a="1"/>
  <c r="C21" i="13" s="1"/>
  <c r="B21" i="13"/>
  <c r="C20" i="13" a="1"/>
  <c r="C20" i="13"/>
  <c r="B20" i="13"/>
  <c r="B19" i="13"/>
  <c r="C19" i="13" s="1" a="1"/>
  <c r="C19" i="13" s="1"/>
  <c r="C18" i="13"/>
  <c r="B18" i="13"/>
  <c r="C18" i="13" s="1" a="1"/>
  <c r="B17" i="13"/>
  <c r="C17" i="13" s="1" a="1"/>
  <c r="C17" i="13" s="1"/>
  <c r="C16" i="13" a="1"/>
  <c r="C16" i="13" s="1"/>
  <c r="B16" i="13"/>
  <c r="C15" i="13" a="1"/>
  <c r="C15" i="13"/>
  <c r="B15" i="13"/>
  <c r="B14" i="13"/>
  <c r="C14" i="13" s="1" a="1"/>
  <c r="C14" i="13" s="1"/>
  <c r="C13" i="13" a="1"/>
  <c r="C13" i="13" s="1"/>
  <c r="B13" i="13"/>
  <c r="C12" i="13" a="1"/>
  <c r="C12" i="13"/>
  <c r="B12" i="13"/>
  <c r="B11" i="13"/>
  <c r="C11" i="13" s="1" a="1"/>
  <c r="C11" i="13" s="1"/>
  <c r="C10" i="13"/>
  <c r="B10" i="13"/>
  <c r="C10" i="13" s="1" a="1"/>
  <c r="B9" i="13"/>
  <c r="C9" i="13" s="1" a="1"/>
  <c r="C9" i="13" s="1"/>
  <c r="C8" i="13" a="1"/>
  <c r="C8" i="13" s="1"/>
  <c r="B8" i="13"/>
  <c r="C7" i="13" a="1"/>
  <c r="C7" i="13"/>
  <c r="B7" i="13"/>
  <c r="B6" i="13"/>
  <c r="C6" i="13" s="1" a="1"/>
  <c r="C6" i="13" s="1"/>
  <c r="C5" i="13" a="1"/>
  <c r="C5" i="13" s="1"/>
  <c r="B5" i="13"/>
  <c r="C4" i="13" a="1"/>
  <c r="C4" i="13"/>
  <c r="B4" i="13"/>
  <c r="B3" i="13"/>
  <c r="C3" i="13" s="1" a="1"/>
  <c r="C3" i="13" s="1"/>
  <c r="T2" i="13"/>
  <c r="S2" i="13"/>
  <c r="R2" i="13"/>
  <c r="Q2" i="13"/>
  <c r="P2" i="13"/>
  <c r="O2" i="13"/>
  <c r="N2" i="13"/>
  <c r="M2" i="13"/>
  <c r="L2" i="13"/>
  <c r="K2" i="13"/>
  <c r="J2" i="13"/>
  <c r="I2" i="13"/>
  <c r="H2" i="13"/>
  <c r="G2" i="13"/>
  <c r="F2" i="13"/>
  <c r="E2" i="13"/>
  <c r="C2" i="13"/>
  <c r="B2" i="13"/>
  <c r="B228" i="12"/>
  <c r="F227" i="12"/>
  <c r="F225" i="12"/>
  <c r="E225" i="12"/>
  <c r="D225" i="12"/>
  <c r="F224" i="12"/>
  <c r="E224" i="12"/>
  <c r="D224" i="12"/>
  <c r="F223" i="12"/>
  <c r="E223" i="12"/>
  <c r="D223" i="12"/>
  <c r="F222" i="12"/>
  <c r="E222" i="12"/>
  <c r="D222" i="12"/>
  <c r="F221" i="12"/>
  <c r="E221" i="12"/>
  <c r="D221" i="12"/>
  <c r="F220" i="12"/>
  <c r="E220" i="12"/>
  <c r="D220" i="12"/>
  <c r="F219" i="12"/>
  <c r="E219" i="12"/>
  <c r="D219" i="12"/>
  <c r="F218" i="12"/>
  <c r="E218" i="12"/>
  <c r="D218" i="12"/>
  <c r="F217" i="12"/>
  <c r="E217" i="12"/>
  <c r="D217" i="12"/>
  <c r="F216" i="12"/>
  <c r="E216" i="12"/>
  <c r="D216" i="12"/>
  <c r="F215" i="12"/>
  <c r="E215" i="12"/>
  <c r="D215" i="12"/>
  <c r="F214" i="12"/>
  <c r="E214" i="12"/>
  <c r="D214" i="12"/>
  <c r="F213" i="12"/>
  <c r="E213" i="12"/>
  <c r="D213" i="12"/>
  <c r="F212" i="12"/>
  <c r="E212" i="12"/>
  <c r="D212" i="12"/>
  <c r="F211" i="12"/>
  <c r="E211" i="12"/>
  <c r="D211" i="12"/>
  <c r="F210" i="12"/>
  <c r="E210" i="12"/>
  <c r="D210" i="12"/>
  <c r="F209" i="12"/>
  <c r="E209" i="12"/>
  <c r="D209" i="12"/>
  <c r="F208" i="12"/>
  <c r="E208" i="12"/>
  <c r="D208" i="12"/>
  <c r="F207" i="12"/>
  <c r="E207" i="12"/>
  <c r="D207" i="12"/>
  <c r="F206" i="12"/>
  <c r="E206" i="12"/>
  <c r="D206" i="12"/>
  <c r="F205" i="12"/>
  <c r="E205" i="12"/>
  <c r="D205" i="12"/>
  <c r="F204" i="12"/>
  <c r="E204" i="12"/>
  <c r="D204" i="12"/>
  <c r="F203" i="12"/>
  <c r="E203" i="12"/>
  <c r="D203" i="12"/>
  <c r="F202" i="12"/>
  <c r="E202" i="12"/>
  <c r="D202" i="12"/>
  <c r="F201" i="12"/>
  <c r="E201" i="12"/>
  <c r="D201" i="12"/>
  <c r="F200" i="12"/>
  <c r="E200" i="12"/>
  <c r="D200" i="12"/>
  <c r="F199" i="12"/>
  <c r="E199" i="12"/>
  <c r="D199" i="12"/>
  <c r="F198" i="12"/>
  <c r="E198" i="12"/>
  <c r="D198" i="12"/>
  <c r="F197" i="12"/>
  <c r="E197" i="12"/>
  <c r="D197" i="12"/>
  <c r="F196" i="12"/>
  <c r="E196" i="12"/>
  <c r="D196" i="12"/>
  <c r="F195" i="12"/>
  <c r="E195" i="12"/>
  <c r="D195" i="12"/>
  <c r="F194" i="12"/>
  <c r="E194" i="12"/>
  <c r="D194" i="12"/>
  <c r="F193" i="12"/>
  <c r="E193" i="12"/>
  <c r="D193" i="12"/>
  <c r="F192" i="12"/>
  <c r="E192" i="12"/>
  <c r="D192" i="12"/>
  <c r="F191" i="12"/>
  <c r="E191" i="12"/>
  <c r="D191" i="12"/>
  <c r="F190" i="12"/>
  <c r="E190" i="12"/>
  <c r="D190" i="12"/>
  <c r="F189" i="12"/>
  <c r="E189" i="12"/>
  <c r="D189" i="12"/>
  <c r="F188" i="12"/>
  <c r="E188" i="12"/>
  <c r="D188" i="12"/>
  <c r="F187" i="12"/>
  <c r="E187" i="12"/>
  <c r="D187" i="12"/>
  <c r="F186" i="12"/>
  <c r="E186" i="12"/>
  <c r="D186" i="12"/>
  <c r="F185" i="12"/>
  <c r="E185" i="12"/>
  <c r="D185" i="12"/>
  <c r="F184" i="12"/>
  <c r="E184" i="12"/>
  <c r="D184" i="12"/>
  <c r="F183" i="12"/>
  <c r="E183" i="12"/>
  <c r="D183" i="12"/>
  <c r="F182" i="12"/>
  <c r="E182" i="12"/>
  <c r="D182" i="12"/>
  <c r="F181" i="12"/>
  <c r="E181" i="12"/>
  <c r="D181" i="12"/>
  <c r="F180" i="12"/>
  <c r="E180" i="12"/>
  <c r="D180" i="12"/>
  <c r="F179" i="12"/>
  <c r="E179" i="12"/>
  <c r="D179" i="12"/>
  <c r="F178" i="12"/>
  <c r="E178" i="12"/>
  <c r="D178" i="12"/>
  <c r="F177" i="12"/>
  <c r="E177" i="12"/>
  <c r="D177" i="12"/>
  <c r="F176" i="12"/>
  <c r="E176" i="12"/>
  <c r="D176" i="12"/>
  <c r="F175" i="12"/>
  <c r="E175" i="12"/>
  <c r="D175" i="12"/>
  <c r="F174" i="12"/>
  <c r="E174" i="12"/>
  <c r="D174" i="12"/>
  <c r="F173" i="12"/>
  <c r="E173" i="12"/>
  <c r="D173" i="12"/>
  <c r="F172" i="12"/>
  <c r="E172" i="12"/>
  <c r="D172" i="12"/>
  <c r="F171" i="12"/>
  <c r="E171" i="12"/>
  <c r="D171" i="12"/>
  <c r="F170" i="12"/>
  <c r="E170" i="12"/>
  <c r="D170" i="12"/>
  <c r="F169" i="12"/>
  <c r="E169" i="12"/>
  <c r="D169" i="12"/>
  <c r="F168" i="12"/>
  <c r="E168" i="12"/>
  <c r="D168" i="12"/>
  <c r="F167" i="12"/>
  <c r="E167" i="12"/>
  <c r="D167" i="12"/>
  <c r="F166" i="12"/>
  <c r="E166" i="12"/>
  <c r="D166" i="12"/>
  <c r="F165" i="12"/>
  <c r="E165" i="12"/>
  <c r="D165" i="12"/>
  <c r="F164" i="12"/>
  <c r="E164" i="12"/>
  <c r="D164" i="12"/>
  <c r="F163" i="12"/>
  <c r="E163" i="12"/>
  <c r="D163" i="12"/>
  <c r="F162" i="12"/>
  <c r="E162" i="12"/>
  <c r="D162" i="12"/>
  <c r="F161" i="12"/>
  <c r="E161" i="12"/>
  <c r="D161" i="12"/>
  <c r="F160" i="12"/>
  <c r="E160" i="12"/>
  <c r="D160" i="12"/>
  <c r="F159" i="12"/>
  <c r="E159" i="12"/>
  <c r="D159" i="12"/>
  <c r="F158" i="12"/>
  <c r="E158" i="12"/>
  <c r="D158" i="12"/>
  <c r="F157" i="12"/>
  <c r="E157" i="12"/>
  <c r="D157" i="12"/>
  <c r="F156" i="12"/>
  <c r="E156" i="12"/>
  <c r="D156" i="12"/>
  <c r="F155" i="12"/>
  <c r="E155" i="12"/>
  <c r="D155" i="12"/>
  <c r="F154" i="12"/>
  <c r="E154" i="12"/>
  <c r="D154" i="12"/>
  <c r="F153" i="12"/>
  <c r="E153" i="12"/>
  <c r="D153" i="12"/>
  <c r="F152" i="12"/>
  <c r="E152" i="12"/>
  <c r="D152" i="12"/>
  <c r="F151" i="12"/>
  <c r="E151" i="12"/>
  <c r="D151" i="12"/>
  <c r="F150" i="12"/>
  <c r="E150" i="12"/>
  <c r="D150" i="12"/>
  <c r="F149" i="12"/>
  <c r="E149" i="12"/>
  <c r="D149" i="12"/>
  <c r="F148" i="12"/>
  <c r="E148" i="12"/>
  <c r="D148" i="12"/>
  <c r="F147" i="12"/>
  <c r="E147" i="12"/>
  <c r="D147" i="12"/>
  <c r="F146" i="12"/>
  <c r="E146" i="12"/>
  <c r="D146" i="12"/>
  <c r="F145" i="12"/>
  <c r="E145" i="12"/>
  <c r="D145" i="12"/>
  <c r="F144" i="12"/>
  <c r="E144" i="12"/>
  <c r="D144" i="12"/>
  <c r="F143" i="12"/>
  <c r="E143" i="12"/>
  <c r="D143" i="12"/>
  <c r="F142" i="12"/>
  <c r="E142" i="12"/>
  <c r="D142" i="12"/>
  <c r="F141" i="12"/>
  <c r="E141" i="12"/>
  <c r="D141" i="12"/>
  <c r="F140" i="12"/>
  <c r="E140" i="12"/>
  <c r="D140" i="12"/>
  <c r="F139" i="12"/>
  <c r="E139" i="12"/>
  <c r="D139" i="12"/>
  <c r="F138" i="12"/>
  <c r="E138" i="12"/>
  <c r="D138" i="12"/>
  <c r="F137" i="12"/>
  <c r="E137" i="12"/>
  <c r="D137" i="12"/>
  <c r="F136" i="12"/>
  <c r="E136" i="12"/>
  <c r="D136" i="12"/>
  <c r="F135" i="12"/>
  <c r="E135" i="12"/>
  <c r="D135" i="12"/>
  <c r="F134" i="12"/>
  <c r="E134" i="12"/>
  <c r="D134" i="12"/>
  <c r="F133" i="12"/>
  <c r="E133" i="12"/>
  <c r="D133" i="12"/>
  <c r="F132" i="12"/>
  <c r="E132" i="12"/>
  <c r="D132" i="12"/>
  <c r="F131" i="12"/>
  <c r="E131" i="12"/>
  <c r="D131" i="12"/>
  <c r="F130" i="12"/>
  <c r="E130" i="12"/>
  <c r="D130" i="12"/>
  <c r="F129" i="12"/>
  <c r="E129" i="12"/>
  <c r="D129" i="12"/>
  <c r="F128" i="12"/>
  <c r="E128" i="12"/>
  <c r="D128" i="12"/>
  <c r="F127" i="12"/>
  <c r="E127" i="12"/>
  <c r="D127" i="12"/>
  <c r="F126" i="12"/>
  <c r="E126" i="12"/>
  <c r="D126" i="12"/>
  <c r="F125" i="12"/>
  <c r="E125" i="12"/>
  <c r="D125" i="12"/>
  <c r="F124" i="12"/>
  <c r="E124" i="12"/>
  <c r="D124" i="12"/>
  <c r="F123" i="12"/>
  <c r="E123" i="12"/>
  <c r="D123" i="12"/>
  <c r="F122" i="12"/>
  <c r="E122" i="12"/>
  <c r="D122" i="12"/>
  <c r="F121" i="12"/>
  <c r="E121" i="12"/>
  <c r="D121" i="12"/>
  <c r="F120" i="12"/>
  <c r="E120" i="12"/>
  <c r="D120" i="12"/>
  <c r="F119" i="12"/>
  <c r="E119" i="12"/>
  <c r="D119" i="12"/>
  <c r="F118" i="12"/>
  <c r="E118" i="12"/>
  <c r="D118" i="12"/>
  <c r="F117" i="12"/>
  <c r="E117" i="12"/>
  <c r="D117" i="12"/>
  <c r="B114" i="12"/>
  <c r="F113" i="12"/>
  <c r="E113" i="12"/>
  <c r="E227" i="12" s="1"/>
  <c r="D113" i="12"/>
  <c r="C113" i="12"/>
  <c r="D227" i="12" s="1"/>
  <c r="B113" i="12"/>
  <c r="B227" i="12" s="1"/>
  <c r="B112" i="12"/>
  <c r="B226" i="12" s="1"/>
  <c r="G111" i="12"/>
  <c r="B111" i="12"/>
  <c r="B225" i="12" s="1"/>
  <c r="G110" i="12"/>
  <c r="B110" i="12"/>
  <c r="B224" i="12" s="1"/>
  <c r="G109" i="12"/>
  <c r="B109" i="12"/>
  <c r="B223" i="12" s="1"/>
  <c r="G108" i="12"/>
  <c r="B108" i="12"/>
  <c r="B222" i="12" s="1"/>
  <c r="G107" i="12"/>
  <c r="B107" i="12"/>
  <c r="B221" i="12" s="1"/>
  <c r="G106" i="12"/>
  <c r="B106" i="12"/>
  <c r="B220" i="12" s="1"/>
  <c r="G105" i="12"/>
  <c r="B105" i="12"/>
  <c r="B219" i="12" s="1"/>
  <c r="G104" i="12"/>
  <c r="B104" i="12"/>
  <c r="B218" i="12" s="1"/>
  <c r="G103" i="12"/>
  <c r="B103" i="12"/>
  <c r="B217" i="12" s="1"/>
  <c r="G102" i="12"/>
  <c r="B102" i="12"/>
  <c r="B216" i="12" s="1"/>
  <c r="G101" i="12"/>
  <c r="B101" i="12"/>
  <c r="B215" i="12" s="1"/>
  <c r="G100" i="12"/>
  <c r="B100" i="12"/>
  <c r="B214" i="12" s="1"/>
  <c r="G99" i="12"/>
  <c r="B99" i="12"/>
  <c r="B213" i="12" s="1"/>
  <c r="G98" i="12"/>
  <c r="B98" i="12"/>
  <c r="B212" i="12" s="1"/>
  <c r="G97" i="12"/>
  <c r="B97" i="12"/>
  <c r="B211" i="12" s="1"/>
  <c r="G96" i="12"/>
  <c r="B96" i="12"/>
  <c r="B210" i="12" s="1"/>
  <c r="G95" i="12"/>
  <c r="B95" i="12"/>
  <c r="B209" i="12" s="1"/>
  <c r="G94" i="12"/>
  <c r="B94" i="12"/>
  <c r="B208" i="12" s="1"/>
  <c r="G93" i="12"/>
  <c r="B93" i="12"/>
  <c r="B207" i="12" s="1"/>
  <c r="G92" i="12"/>
  <c r="B92" i="12"/>
  <c r="B206" i="12" s="1"/>
  <c r="G91" i="12"/>
  <c r="B91" i="12"/>
  <c r="B205" i="12" s="1"/>
  <c r="G90" i="12"/>
  <c r="B90" i="12"/>
  <c r="B204" i="12" s="1"/>
  <c r="G89" i="12"/>
  <c r="B89" i="12"/>
  <c r="B203" i="12" s="1"/>
  <c r="G88" i="12"/>
  <c r="B88" i="12"/>
  <c r="B202" i="12" s="1"/>
  <c r="G87" i="12"/>
  <c r="B87" i="12"/>
  <c r="B201" i="12" s="1"/>
  <c r="G86" i="12"/>
  <c r="B86" i="12"/>
  <c r="B200" i="12" s="1"/>
  <c r="G85" i="12"/>
  <c r="B85" i="12"/>
  <c r="B199" i="12" s="1"/>
  <c r="G84" i="12"/>
  <c r="B84" i="12"/>
  <c r="B198" i="12" s="1"/>
  <c r="G83" i="12"/>
  <c r="B83" i="12"/>
  <c r="B197" i="12" s="1"/>
  <c r="G82" i="12"/>
  <c r="B82" i="12"/>
  <c r="B196" i="12" s="1"/>
  <c r="G81" i="12"/>
  <c r="B81" i="12"/>
  <c r="B195" i="12" s="1"/>
  <c r="G80" i="12"/>
  <c r="B80" i="12"/>
  <c r="B194" i="12" s="1"/>
  <c r="G79" i="12"/>
  <c r="B79" i="12"/>
  <c r="B193" i="12" s="1"/>
  <c r="G78" i="12"/>
  <c r="B78" i="12"/>
  <c r="B192" i="12" s="1"/>
  <c r="G77" i="12"/>
  <c r="B77" i="12"/>
  <c r="B191" i="12" s="1"/>
  <c r="G76" i="12"/>
  <c r="B76" i="12"/>
  <c r="B190" i="12" s="1"/>
  <c r="G75" i="12"/>
  <c r="B75" i="12"/>
  <c r="B189" i="12" s="1"/>
  <c r="G74" i="12"/>
  <c r="B74" i="12"/>
  <c r="B188" i="12" s="1"/>
  <c r="G73" i="12"/>
  <c r="B73" i="12"/>
  <c r="B187" i="12" s="1"/>
  <c r="G72" i="12"/>
  <c r="B72" i="12"/>
  <c r="B186" i="12" s="1"/>
  <c r="G71" i="12"/>
  <c r="B71" i="12"/>
  <c r="B185" i="12" s="1"/>
  <c r="G70" i="12"/>
  <c r="B70" i="12"/>
  <c r="B184" i="12" s="1"/>
  <c r="G69" i="12"/>
  <c r="B69" i="12"/>
  <c r="B183" i="12" s="1"/>
  <c r="G68" i="12"/>
  <c r="B68" i="12"/>
  <c r="B182" i="12" s="1"/>
  <c r="G67" i="12"/>
  <c r="B67" i="12"/>
  <c r="B181" i="12" s="1"/>
  <c r="G66" i="12"/>
  <c r="B66" i="12"/>
  <c r="B180" i="12" s="1"/>
  <c r="G65" i="12"/>
  <c r="B65" i="12"/>
  <c r="B179" i="12" s="1"/>
  <c r="G64" i="12"/>
  <c r="B64" i="12"/>
  <c r="B178" i="12" s="1"/>
  <c r="G63" i="12"/>
  <c r="B63" i="12"/>
  <c r="B177" i="12" s="1"/>
  <c r="G62" i="12"/>
  <c r="B62" i="12"/>
  <c r="B176" i="12" s="1"/>
  <c r="G61" i="12"/>
  <c r="B61" i="12"/>
  <c r="B175" i="12" s="1"/>
  <c r="G60" i="12"/>
  <c r="B60" i="12"/>
  <c r="B174" i="12" s="1"/>
  <c r="G59" i="12"/>
  <c r="B59" i="12"/>
  <c r="B173" i="12" s="1"/>
  <c r="G58" i="12"/>
  <c r="B58" i="12"/>
  <c r="B172" i="12" s="1"/>
  <c r="G57" i="12"/>
  <c r="B57" i="12"/>
  <c r="B171" i="12" s="1"/>
  <c r="G56" i="12"/>
  <c r="B56" i="12"/>
  <c r="B170" i="12" s="1"/>
  <c r="G55" i="12"/>
  <c r="B55" i="12"/>
  <c r="B169" i="12" s="1"/>
  <c r="G54" i="12"/>
  <c r="B54" i="12"/>
  <c r="B168" i="12" s="1"/>
  <c r="G53" i="12"/>
  <c r="B53" i="12"/>
  <c r="B167" i="12" s="1"/>
  <c r="G52" i="12"/>
  <c r="B52" i="12"/>
  <c r="B166" i="12" s="1"/>
  <c r="G51" i="12"/>
  <c r="B51" i="12"/>
  <c r="B165" i="12" s="1"/>
  <c r="G50" i="12"/>
  <c r="B50" i="12"/>
  <c r="B164" i="12" s="1"/>
  <c r="G49" i="12"/>
  <c r="B49" i="12"/>
  <c r="B163" i="12" s="1"/>
  <c r="G48" i="12"/>
  <c r="B48" i="12"/>
  <c r="B162" i="12" s="1"/>
  <c r="G47" i="12"/>
  <c r="B47" i="12"/>
  <c r="B161" i="12" s="1"/>
  <c r="G46" i="12"/>
  <c r="B46" i="12"/>
  <c r="B160" i="12" s="1"/>
  <c r="G45" i="12"/>
  <c r="B45" i="12"/>
  <c r="B159" i="12" s="1"/>
  <c r="G44" i="12"/>
  <c r="B44" i="12"/>
  <c r="B158" i="12" s="1"/>
  <c r="G43" i="12"/>
  <c r="B43" i="12"/>
  <c r="B157" i="12" s="1"/>
  <c r="G42" i="12"/>
  <c r="B42" i="12"/>
  <c r="B156" i="12" s="1"/>
  <c r="G41" i="12"/>
  <c r="B41" i="12"/>
  <c r="B155" i="12" s="1"/>
  <c r="G40" i="12"/>
  <c r="B40" i="12"/>
  <c r="B154" i="12" s="1"/>
  <c r="G39" i="12"/>
  <c r="B39" i="12"/>
  <c r="B153" i="12" s="1"/>
  <c r="G38" i="12"/>
  <c r="B38" i="12"/>
  <c r="B152" i="12" s="1"/>
  <c r="G37" i="12"/>
  <c r="B37" i="12"/>
  <c r="B151" i="12" s="1"/>
  <c r="G36" i="12"/>
  <c r="B36" i="12"/>
  <c r="B150" i="12" s="1"/>
  <c r="G35" i="12"/>
  <c r="B35" i="12"/>
  <c r="B149" i="12" s="1"/>
  <c r="G34" i="12"/>
  <c r="B34" i="12"/>
  <c r="B148" i="12" s="1"/>
  <c r="G33" i="12"/>
  <c r="B33" i="12"/>
  <c r="B147" i="12" s="1"/>
  <c r="G32" i="12"/>
  <c r="B32" i="12"/>
  <c r="B146" i="12" s="1"/>
  <c r="G31" i="12"/>
  <c r="B31" i="12"/>
  <c r="B145" i="12" s="1"/>
  <c r="G30" i="12"/>
  <c r="B30" i="12"/>
  <c r="B144" i="12" s="1"/>
  <c r="G29" i="12"/>
  <c r="B29" i="12"/>
  <c r="B143" i="12" s="1"/>
  <c r="G28" i="12"/>
  <c r="B28" i="12"/>
  <c r="B142" i="12" s="1"/>
  <c r="G27" i="12"/>
  <c r="B27" i="12"/>
  <c r="B141" i="12" s="1"/>
  <c r="G26" i="12"/>
  <c r="B26" i="12"/>
  <c r="B140" i="12" s="1"/>
  <c r="G25" i="12"/>
  <c r="B25" i="12"/>
  <c r="B139" i="12" s="1"/>
  <c r="G24" i="12"/>
  <c r="B24" i="12"/>
  <c r="B138" i="12" s="1"/>
  <c r="G23" i="12"/>
  <c r="B23" i="12"/>
  <c r="B137" i="12" s="1"/>
  <c r="G22" i="12"/>
  <c r="B22" i="12"/>
  <c r="B136" i="12" s="1"/>
  <c r="G21" i="12"/>
  <c r="B21" i="12"/>
  <c r="B135" i="12" s="1"/>
  <c r="G20" i="12"/>
  <c r="B20" i="12"/>
  <c r="B134" i="12" s="1"/>
  <c r="G19" i="12"/>
  <c r="B19" i="12"/>
  <c r="B133" i="12" s="1"/>
  <c r="G18" i="12"/>
  <c r="B18" i="12"/>
  <c r="B132" i="12" s="1"/>
  <c r="G17" i="12"/>
  <c r="B17" i="12"/>
  <c r="B131" i="12" s="1"/>
  <c r="G16" i="12"/>
  <c r="B16" i="12"/>
  <c r="B130" i="12" s="1"/>
  <c r="G15" i="12"/>
  <c r="B15" i="12"/>
  <c r="B129" i="12" s="1"/>
  <c r="G14" i="12"/>
  <c r="B14" i="12"/>
  <c r="B128" i="12" s="1"/>
  <c r="G13" i="12"/>
  <c r="B13" i="12"/>
  <c r="B127" i="12" s="1"/>
  <c r="G12" i="12"/>
  <c r="B12" i="12"/>
  <c r="B126" i="12" s="1"/>
  <c r="G11" i="12"/>
  <c r="B11" i="12"/>
  <c r="B125" i="12" s="1"/>
  <c r="G10" i="12"/>
  <c r="B10" i="12"/>
  <c r="B124" i="12" s="1"/>
  <c r="G9" i="12"/>
  <c r="B9" i="12"/>
  <c r="B123" i="12" s="1"/>
  <c r="G8" i="12"/>
  <c r="B8" i="12"/>
  <c r="B122" i="12" s="1"/>
  <c r="G7" i="12"/>
  <c r="B7" i="12"/>
  <c r="B121" i="12" s="1"/>
  <c r="G6" i="12"/>
  <c r="B6" i="12"/>
  <c r="B120" i="12" s="1"/>
  <c r="G5" i="12"/>
  <c r="B5" i="12"/>
  <c r="B119" i="12" s="1"/>
  <c r="G4" i="12"/>
  <c r="B4" i="12"/>
  <c r="B118" i="12" s="1"/>
  <c r="G3" i="12"/>
  <c r="B3" i="12"/>
  <c r="B117" i="12" s="1"/>
  <c r="U2" i="12"/>
  <c r="T2" i="12"/>
  <c r="S2" i="12"/>
  <c r="R2" i="12"/>
  <c r="Q2" i="12"/>
  <c r="P2" i="12"/>
  <c r="O2" i="12"/>
  <c r="N2" i="12"/>
  <c r="M2" i="12"/>
  <c r="B2" i="12"/>
  <c r="C115" i="11"/>
  <c r="S113" i="11"/>
  <c r="K113" i="11"/>
  <c r="J113" i="11"/>
  <c r="I113" i="11"/>
  <c r="H113" i="11"/>
  <c r="N113" i="11" s="1"/>
  <c r="G113" i="11"/>
  <c r="F113" i="11"/>
  <c r="E113" i="11"/>
  <c r="N112" i="11"/>
  <c r="R111" i="11"/>
  <c r="Q111" i="11"/>
  <c r="P111" i="11"/>
  <c r="O111" i="11"/>
  <c r="N111" i="11"/>
  <c r="M111" i="11"/>
  <c r="R110" i="11"/>
  <c r="Q110" i="11"/>
  <c r="P110" i="11"/>
  <c r="O110" i="11"/>
  <c r="N110" i="11"/>
  <c r="M110" i="11"/>
  <c r="R109" i="11"/>
  <c r="Q109" i="11"/>
  <c r="P109" i="11"/>
  <c r="O109" i="11"/>
  <c r="N109" i="11"/>
  <c r="M109" i="11"/>
  <c r="R108" i="11"/>
  <c r="Q108" i="11"/>
  <c r="P108" i="11"/>
  <c r="O108" i="11"/>
  <c r="N108" i="11"/>
  <c r="M108" i="11"/>
  <c r="R107" i="11"/>
  <c r="Q107" i="11"/>
  <c r="P107" i="11"/>
  <c r="O107" i="11"/>
  <c r="N107" i="11"/>
  <c r="M107" i="11"/>
  <c r="R106" i="11"/>
  <c r="Q106" i="11"/>
  <c r="P106" i="11"/>
  <c r="O106" i="11"/>
  <c r="N106" i="11"/>
  <c r="M106" i="11"/>
  <c r="R105" i="11"/>
  <c r="Q105" i="11"/>
  <c r="P105" i="11"/>
  <c r="O105" i="11"/>
  <c r="N105" i="11"/>
  <c r="M105" i="11"/>
  <c r="R104" i="11"/>
  <c r="Q104" i="11"/>
  <c r="P104" i="11"/>
  <c r="O104" i="11"/>
  <c r="N104" i="11"/>
  <c r="M104" i="11"/>
  <c r="R103" i="11"/>
  <c r="Q103" i="11"/>
  <c r="P103" i="11"/>
  <c r="O103" i="11"/>
  <c r="N103" i="11"/>
  <c r="M103" i="11"/>
  <c r="R102" i="11"/>
  <c r="Q102" i="11"/>
  <c r="P102" i="11"/>
  <c r="O102" i="11"/>
  <c r="N102" i="11"/>
  <c r="M102" i="11"/>
  <c r="R101" i="11"/>
  <c r="Q101" i="11"/>
  <c r="P101" i="11"/>
  <c r="O101" i="11"/>
  <c r="N101" i="11"/>
  <c r="M101" i="11"/>
  <c r="R100" i="11"/>
  <c r="Q100" i="11"/>
  <c r="P100" i="11"/>
  <c r="O100" i="11"/>
  <c r="N100" i="11"/>
  <c r="M100" i="11"/>
  <c r="R99" i="11"/>
  <c r="Q99" i="11"/>
  <c r="P99" i="11"/>
  <c r="O99" i="11"/>
  <c r="N99" i="11"/>
  <c r="M99" i="11"/>
  <c r="R98" i="11"/>
  <c r="Q98" i="11"/>
  <c r="P98" i="11"/>
  <c r="O98" i="11"/>
  <c r="N98" i="11"/>
  <c r="M98" i="11"/>
  <c r="R97" i="11"/>
  <c r="Q97" i="11"/>
  <c r="P97" i="11"/>
  <c r="O97" i="11"/>
  <c r="N97" i="11"/>
  <c r="M97" i="11"/>
  <c r="R96" i="11"/>
  <c r="Q96" i="11"/>
  <c r="P96" i="11"/>
  <c r="O96" i="11"/>
  <c r="N96" i="11"/>
  <c r="M96" i="11"/>
  <c r="R95" i="11"/>
  <c r="Q95" i="11"/>
  <c r="P95" i="11"/>
  <c r="O95" i="11"/>
  <c r="N95" i="11"/>
  <c r="M95" i="11"/>
  <c r="R94" i="11"/>
  <c r="Q94" i="11"/>
  <c r="P94" i="11"/>
  <c r="O94" i="11"/>
  <c r="N94" i="11"/>
  <c r="M94" i="11"/>
  <c r="A94" i="1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R93" i="11"/>
  <c r="Q93" i="11"/>
  <c r="P93" i="11"/>
  <c r="O93" i="11"/>
  <c r="N93" i="11"/>
  <c r="M93" i="11"/>
  <c r="R92" i="11"/>
  <c r="Q92" i="11"/>
  <c r="P92" i="11"/>
  <c r="O92" i="11"/>
  <c r="N92" i="11"/>
  <c r="M92" i="11"/>
  <c r="R91" i="11"/>
  <c r="Q91" i="11"/>
  <c r="P91" i="11"/>
  <c r="O91" i="11"/>
  <c r="N91" i="11"/>
  <c r="M91" i="11"/>
  <c r="R90" i="11"/>
  <c r="Q90" i="11"/>
  <c r="P90" i="11"/>
  <c r="O90" i="11"/>
  <c r="N90" i="11"/>
  <c r="M90" i="11"/>
  <c r="R89" i="11"/>
  <c r="Q89" i="11"/>
  <c r="P89" i="11"/>
  <c r="O89" i="11"/>
  <c r="N89" i="11"/>
  <c r="M89" i="11"/>
  <c r="R88" i="11"/>
  <c r="Q88" i="11"/>
  <c r="P88" i="11"/>
  <c r="O88" i="11"/>
  <c r="N88" i="11"/>
  <c r="M88" i="11"/>
  <c r="R87" i="11"/>
  <c r="Q87" i="11"/>
  <c r="P87" i="11"/>
  <c r="O87" i="11"/>
  <c r="N87" i="11"/>
  <c r="M87" i="11"/>
  <c r="R86" i="11"/>
  <c r="Q86" i="11"/>
  <c r="P86" i="11"/>
  <c r="O86" i="11"/>
  <c r="N86" i="11"/>
  <c r="M86" i="11"/>
  <c r="R85" i="11"/>
  <c r="Q85" i="11"/>
  <c r="P85" i="11"/>
  <c r="O85" i="11"/>
  <c r="N85" i="11"/>
  <c r="M85" i="11"/>
  <c r="R84" i="11"/>
  <c r="Q84" i="11"/>
  <c r="P84" i="11"/>
  <c r="O84" i="11"/>
  <c r="N84" i="11"/>
  <c r="M84" i="11"/>
  <c r="A84" i="11"/>
  <c r="A85" i="11" s="1"/>
  <c r="A86" i="11" s="1"/>
  <c r="A87" i="11" s="1"/>
  <c r="A88" i="11" s="1"/>
  <c r="A89" i="11" s="1"/>
  <c r="A90" i="11" s="1"/>
  <c r="A91" i="11" s="1"/>
  <c r="A92" i="11" s="1"/>
  <c r="A93" i="11" s="1"/>
  <c r="R83" i="11"/>
  <c r="Q83" i="11"/>
  <c r="P83" i="11"/>
  <c r="O83" i="11"/>
  <c r="N83" i="11"/>
  <c r="M83" i="11"/>
  <c r="R82" i="11"/>
  <c r="Q82" i="11"/>
  <c r="P82" i="11"/>
  <c r="O82" i="11"/>
  <c r="N82" i="11"/>
  <c r="M82" i="11"/>
  <c r="A82" i="11"/>
  <c r="A83" i="11" s="1"/>
  <c r="R81" i="11"/>
  <c r="Q81" i="11"/>
  <c r="P81" i="11"/>
  <c r="O81" i="11"/>
  <c r="N81" i="11"/>
  <c r="M81" i="11"/>
  <c r="R80" i="11"/>
  <c r="Q80" i="11"/>
  <c r="P80" i="11"/>
  <c r="O80" i="11"/>
  <c r="N80" i="11"/>
  <c r="M80" i="11"/>
  <c r="R79" i="11"/>
  <c r="Q79" i="11"/>
  <c r="P79" i="11"/>
  <c r="O79" i="11"/>
  <c r="N79" i="11"/>
  <c r="M79" i="11"/>
  <c r="R78" i="11"/>
  <c r="Q78" i="11"/>
  <c r="P78" i="11"/>
  <c r="O78" i="11"/>
  <c r="N78" i="11"/>
  <c r="M78" i="11"/>
  <c r="R77" i="11"/>
  <c r="Q77" i="11"/>
  <c r="P77" i="11"/>
  <c r="O77" i="11"/>
  <c r="N77" i="11"/>
  <c r="M77" i="11"/>
  <c r="R76" i="11"/>
  <c r="Q76" i="11"/>
  <c r="P76" i="11"/>
  <c r="O76" i="11"/>
  <c r="N76" i="11"/>
  <c r="M76" i="11"/>
  <c r="R75" i="11"/>
  <c r="Q75" i="11"/>
  <c r="P75" i="11"/>
  <c r="O75" i="11"/>
  <c r="N75" i="11"/>
  <c r="M75" i="11"/>
  <c r="R74" i="11"/>
  <c r="Q74" i="11"/>
  <c r="P74" i="11"/>
  <c r="O74" i="11"/>
  <c r="N74" i="11"/>
  <c r="M74" i="11"/>
  <c r="R73" i="11"/>
  <c r="Q73" i="11"/>
  <c r="P73" i="11"/>
  <c r="O73" i="11"/>
  <c r="N73" i="11"/>
  <c r="M73" i="11"/>
  <c r="R72" i="11"/>
  <c r="Q72" i="11"/>
  <c r="P72" i="11"/>
  <c r="O72" i="11"/>
  <c r="N72" i="11"/>
  <c r="M72" i="11"/>
  <c r="R71" i="11"/>
  <c r="Q71" i="11"/>
  <c r="P71" i="11"/>
  <c r="O71" i="11"/>
  <c r="N71" i="11"/>
  <c r="M71" i="11"/>
  <c r="R70" i="11"/>
  <c r="Q70" i="11"/>
  <c r="P70" i="11"/>
  <c r="O70" i="11"/>
  <c r="N70" i="11"/>
  <c r="M70" i="11"/>
  <c r="R69" i="11"/>
  <c r="Q69" i="11"/>
  <c r="P69" i="11"/>
  <c r="O69" i="11"/>
  <c r="N69" i="11"/>
  <c r="M69" i="11"/>
  <c r="R68" i="11"/>
  <c r="Q68" i="11"/>
  <c r="P68" i="11"/>
  <c r="O68" i="11"/>
  <c r="N68" i="11"/>
  <c r="M68" i="11"/>
  <c r="R67" i="11"/>
  <c r="Q67" i="11"/>
  <c r="P67" i="11"/>
  <c r="O67" i="11"/>
  <c r="N67" i="11"/>
  <c r="M67" i="11"/>
  <c r="R66" i="11"/>
  <c r="Q66" i="11"/>
  <c r="P66" i="11"/>
  <c r="O66" i="11"/>
  <c r="N66" i="11"/>
  <c r="M66" i="11"/>
  <c r="R65" i="11"/>
  <c r="Q65" i="11"/>
  <c r="P65" i="11"/>
  <c r="O65" i="11"/>
  <c r="N65" i="11"/>
  <c r="M65" i="11"/>
  <c r="R64" i="11"/>
  <c r="Q64" i="11"/>
  <c r="P64" i="11"/>
  <c r="O64" i="11"/>
  <c r="N64" i="11"/>
  <c r="M64" i="11"/>
  <c r="R63" i="11"/>
  <c r="Q63" i="11"/>
  <c r="P63" i="11"/>
  <c r="O63" i="11"/>
  <c r="N63" i="11"/>
  <c r="M63" i="11"/>
  <c r="R62" i="11"/>
  <c r="Q62" i="11"/>
  <c r="P62" i="11"/>
  <c r="O62" i="11"/>
  <c r="N62" i="11"/>
  <c r="M62" i="11"/>
  <c r="R61" i="11"/>
  <c r="Q61" i="11"/>
  <c r="P61" i="11"/>
  <c r="O61" i="11"/>
  <c r="N61" i="11"/>
  <c r="M61" i="11"/>
  <c r="R60" i="11"/>
  <c r="Q60" i="11"/>
  <c r="P60" i="11"/>
  <c r="O60" i="11"/>
  <c r="N60" i="11"/>
  <c r="M60" i="11"/>
  <c r="R59" i="11"/>
  <c r="Q59" i="11"/>
  <c r="P59" i="11"/>
  <c r="O59" i="11"/>
  <c r="N59" i="11"/>
  <c r="M59" i="11"/>
  <c r="R58" i="11"/>
  <c r="Q58" i="11"/>
  <c r="P58" i="11"/>
  <c r="O58" i="11"/>
  <c r="N58" i="11"/>
  <c r="M58" i="11"/>
  <c r="R57" i="11"/>
  <c r="Q57" i="11"/>
  <c r="P57" i="11"/>
  <c r="O57" i="11"/>
  <c r="N57" i="11"/>
  <c r="M57" i="11"/>
  <c r="R56" i="11"/>
  <c r="Q56" i="11"/>
  <c r="P56" i="11"/>
  <c r="O56" i="11"/>
  <c r="N56" i="11"/>
  <c r="M56" i="11"/>
  <c r="R55" i="11"/>
  <c r="Q55" i="11"/>
  <c r="P55" i="11"/>
  <c r="O55" i="11"/>
  <c r="N55" i="11"/>
  <c r="M55" i="11"/>
  <c r="R54" i="11"/>
  <c r="Q54" i="11"/>
  <c r="P54" i="11"/>
  <c r="O54" i="11"/>
  <c r="N54" i="11"/>
  <c r="M54" i="11"/>
  <c r="R53" i="11"/>
  <c r="Q53" i="11"/>
  <c r="P53" i="11"/>
  <c r="O53" i="11"/>
  <c r="N53" i="11"/>
  <c r="M53" i="11"/>
  <c r="R52" i="11"/>
  <c r="Q52" i="11"/>
  <c r="P52" i="11"/>
  <c r="O52" i="11"/>
  <c r="N52" i="11"/>
  <c r="M52" i="11"/>
  <c r="R51" i="11"/>
  <c r="Q51" i="11"/>
  <c r="P51" i="11"/>
  <c r="O51" i="11"/>
  <c r="N51" i="11"/>
  <c r="M51" i="11"/>
  <c r="R50" i="11"/>
  <c r="Q50" i="11"/>
  <c r="P50" i="11"/>
  <c r="O50" i="11"/>
  <c r="N50" i="11"/>
  <c r="M50" i="11"/>
  <c r="R49" i="11"/>
  <c r="Q49" i="11"/>
  <c r="P49" i="11"/>
  <c r="O49" i="11"/>
  <c r="N49" i="11"/>
  <c r="M49" i="11"/>
  <c r="R48" i="11"/>
  <c r="Q48" i="11"/>
  <c r="P48" i="11"/>
  <c r="O48" i="11"/>
  <c r="N48" i="11"/>
  <c r="M48" i="11"/>
  <c r="R47" i="11"/>
  <c r="Q47" i="11"/>
  <c r="P47" i="11"/>
  <c r="O47" i="11"/>
  <c r="N47" i="11"/>
  <c r="M47" i="11"/>
  <c r="R46" i="11"/>
  <c r="Q46" i="11"/>
  <c r="P46" i="11"/>
  <c r="O46" i="11"/>
  <c r="N46" i="11"/>
  <c r="M46" i="11"/>
  <c r="R45" i="11"/>
  <c r="Q45" i="11"/>
  <c r="P45" i="11"/>
  <c r="O45" i="11"/>
  <c r="N45" i="11"/>
  <c r="M45" i="11"/>
  <c r="R44" i="11"/>
  <c r="Q44" i="11"/>
  <c r="P44" i="11"/>
  <c r="O44" i="11"/>
  <c r="N44" i="11"/>
  <c r="M44" i="11"/>
  <c r="R43" i="11"/>
  <c r="Q43" i="11"/>
  <c r="P43" i="11"/>
  <c r="O43" i="11"/>
  <c r="N43" i="11"/>
  <c r="M43" i="11"/>
  <c r="R42" i="11"/>
  <c r="Q42" i="11"/>
  <c r="P42" i="11"/>
  <c r="O42" i="11"/>
  <c r="N42" i="11"/>
  <c r="M42" i="11"/>
  <c r="R41" i="11"/>
  <c r="Q41" i="11"/>
  <c r="P41" i="11"/>
  <c r="O41" i="11"/>
  <c r="N41" i="11"/>
  <c r="M41" i="11"/>
  <c r="R40" i="11"/>
  <c r="Q40" i="11"/>
  <c r="P40" i="11"/>
  <c r="O40" i="11"/>
  <c r="N40" i="11"/>
  <c r="M40" i="11"/>
  <c r="R39" i="11"/>
  <c r="Q39" i="11"/>
  <c r="P39" i="11"/>
  <c r="O39" i="11"/>
  <c r="N39" i="11"/>
  <c r="M39" i="11"/>
  <c r="R38" i="11"/>
  <c r="Q38" i="11"/>
  <c r="P38" i="11"/>
  <c r="O38" i="11"/>
  <c r="N38" i="11"/>
  <c r="M38" i="11"/>
  <c r="R37" i="11"/>
  <c r="Q37" i="11"/>
  <c r="P37" i="11"/>
  <c r="O37" i="11"/>
  <c r="N37" i="11"/>
  <c r="M37" i="11"/>
  <c r="R36" i="11"/>
  <c r="Q36" i="11"/>
  <c r="P36" i="11"/>
  <c r="O36" i="11"/>
  <c r="N36" i="11"/>
  <c r="M36" i="11"/>
  <c r="R35" i="11"/>
  <c r="Q35" i="11"/>
  <c r="P35" i="11"/>
  <c r="O35" i="11"/>
  <c r="N35" i="11"/>
  <c r="M35" i="11"/>
  <c r="R34" i="11"/>
  <c r="Q34" i="11"/>
  <c r="P34" i="11"/>
  <c r="O34" i="11"/>
  <c r="N34" i="11"/>
  <c r="M34" i="11"/>
  <c r="R33" i="11"/>
  <c r="Q33" i="11"/>
  <c r="P33" i="11"/>
  <c r="O33" i="11"/>
  <c r="N33" i="11"/>
  <c r="M33" i="11"/>
  <c r="R32" i="11"/>
  <c r="Q32" i="11"/>
  <c r="P32" i="11"/>
  <c r="O32" i="11"/>
  <c r="N32" i="11"/>
  <c r="M32" i="11"/>
  <c r="R31" i="11"/>
  <c r="Q31" i="11"/>
  <c r="P31" i="11"/>
  <c r="O31" i="11"/>
  <c r="N31" i="11"/>
  <c r="M31" i="11"/>
  <c r="R30" i="11"/>
  <c r="Q30" i="11"/>
  <c r="P30" i="11"/>
  <c r="O30" i="11"/>
  <c r="N30" i="11"/>
  <c r="M30" i="11"/>
  <c r="R29" i="11"/>
  <c r="Q29" i="11"/>
  <c r="P29" i="11"/>
  <c r="O29" i="11"/>
  <c r="N29" i="11"/>
  <c r="M29" i="11"/>
  <c r="R28" i="11"/>
  <c r="Q28" i="11"/>
  <c r="P28" i="11"/>
  <c r="O28" i="11"/>
  <c r="N28" i="11"/>
  <c r="M28" i="11"/>
  <c r="R27" i="11"/>
  <c r="Q27" i="11"/>
  <c r="P27" i="11"/>
  <c r="O27" i="11"/>
  <c r="N27" i="11"/>
  <c r="M27" i="11"/>
  <c r="R26" i="11"/>
  <c r="Q26" i="11"/>
  <c r="P26" i="11"/>
  <c r="O26" i="11"/>
  <c r="N26" i="11"/>
  <c r="M26" i="11"/>
  <c r="R25" i="11"/>
  <c r="Q25" i="11"/>
  <c r="P25" i="11"/>
  <c r="O25" i="11"/>
  <c r="N25" i="11"/>
  <c r="M25" i="11"/>
  <c r="R24" i="11"/>
  <c r="Q24" i="11"/>
  <c r="P24" i="11"/>
  <c r="O24" i="11"/>
  <c r="N24" i="11"/>
  <c r="M24" i="11"/>
  <c r="R23" i="11"/>
  <c r="Q23" i="11"/>
  <c r="P23" i="11"/>
  <c r="O23" i="11"/>
  <c r="N23" i="11"/>
  <c r="M23" i="11"/>
  <c r="R22" i="11"/>
  <c r="Q22" i="11"/>
  <c r="P22" i="11"/>
  <c r="O22" i="11"/>
  <c r="N22" i="11"/>
  <c r="M22" i="11"/>
  <c r="R21" i="11"/>
  <c r="Q21" i="11"/>
  <c r="P21" i="11"/>
  <c r="O21" i="11"/>
  <c r="N21" i="11"/>
  <c r="M21" i="11"/>
  <c r="R20" i="11"/>
  <c r="Q20" i="11"/>
  <c r="P20" i="11"/>
  <c r="O20" i="11"/>
  <c r="N20" i="11"/>
  <c r="M20" i="11"/>
  <c r="R19" i="11"/>
  <c r="Q19" i="11"/>
  <c r="P19" i="11"/>
  <c r="O19" i="11"/>
  <c r="N19" i="11"/>
  <c r="M19" i="11"/>
  <c r="R18" i="11"/>
  <c r="Q18" i="11"/>
  <c r="P18" i="11"/>
  <c r="O18" i="11"/>
  <c r="N18" i="11"/>
  <c r="M18" i="11"/>
  <c r="R17" i="11"/>
  <c r="Q17" i="11"/>
  <c r="P17" i="11"/>
  <c r="O17" i="11"/>
  <c r="N17" i="11"/>
  <c r="M17" i="11"/>
  <c r="R16" i="11"/>
  <c r="Q16" i="11"/>
  <c r="P16" i="11"/>
  <c r="O16" i="11"/>
  <c r="N16" i="11"/>
  <c r="M16" i="11"/>
  <c r="R15" i="11"/>
  <c r="Q15" i="11"/>
  <c r="P15" i="11"/>
  <c r="O15" i="11"/>
  <c r="N15" i="11"/>
  <c r="M15" i="11"/>
  <c r="R14" i="11"/>
  <c r="Q14" i="11"/>
  <c r="P14" i="11"/>
  <c r="O14" i="11"/>
  <c r="N14" i="11"/>
  <c r="M14" i="11"/>
  <c r="R13" i="11"/>
  <c r="Q13" i="11"/>
  <c r="P13" i="11"/>
  <c r="O13" i="11"/>
  <c r="N13" i="11"/>
  <c r="M13" i="11"/>
  <c r="R12" i="11"/>
  <c r="Q12" i="11"/>
  <c r="P12" i="11"/>
  <c r="O12" i="11"/>
  <c r="N12" i="11"/>
  <c r="M12" i="11"/>
  <c r="R11" i="11"/>
  <c r="Q11" i="11"/>
  <c r="P11" i="11"/>
  <c r="O11" i="11"/>
  <c r="N11" i="11"/>
  <c r="M11" i="11"/>
  <c r="R10" i="11"/>
  <c r="Q10" i="11"/>
  <c r="P10" i="11"/>
  <c r="O10" i="11"/>
  <c r="N10" i="11"/>
  <c r="M10" i="11"/>
  <c r="R9" i="11"/>
  <c r="Q9" i="11"/>
  <c r="P9" i="11"/>
  <c r="O9" i="11"/>
  <c r="N9" i="11"/>
  <c r="M9" i="11"/>
  <c r="R8" i="11"/>
  <c r="Q8" i="11"/>
  <c r="P8" i="11"/>
  <c r="O8" i="11"/>
  <c r="N8" i="11"/>
  <c r="M8" i="11"/>
  <c r="R7" i="11"/>
  <c r="Q7" i="11"/>
  <c r="P7" i="11"/>
  <c r="O7" i="11"/>
  <c r="N7" i="11"/>
  <c r="M7" i="11"/>
  <c r="R6" i="11"/>
  <c r="Q6" i="11"/>
  <c r="P6" i="11"/>
  <c r="O6" i="11"/>
  <c r="N6" i="11"/>
  <c r="M6" i="11"/>
  <c r="R5" i="11"/>
  <c r="Q5" i="11"/>
  <c r="P5" i="11"/>
  <c r="O5" i="11"/>
  <c r="N5" i="11"/>
  <c r="M5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R4" i="11"/>
  <c r="Q4" i="11"/>
  <c r="P4" i="11"/>
  <c r="O4" i="11"/>
  <c r="N4" i="11"/>
  <c r="M4" i="11"/>
  <c r="R3" i="11"/>
  <c r="Q3" i="11"/>
  <c r="P3" i="11"/>
  <c r="O3" i="11"/>
  <c r="N3" i="11"/>
  <c r="M3" i="11"/>
  <c r="R2" i="11"/>
  <c r="M2" i="11"/>
  <c r="A2" i="11"/>
  <c r="A3" i="11" s="1"/>
  <c r="A4" i="11" s="1"/>
  <c r="K111" i="10" a="1"/>
  <c r="K111" i="10" s="1"/>
  <c r="J111" i="10" a="1"/>
  <c r="J111" i="10"/>
  <c r="I111" i="10" a="1"/>
  <c r="I111" i="10" s="1"/>
  <c r="H111" i="10" a="1"/>
  <c r="H111" i="10" s="1"/>
  <c r="G111" i="10" a="1"/>
  <c r="G111" i="10" s="1"/>
  <c r="F111" i="10" a="1"/>
  <c r="F111" i="10" s="1"/>
  <c r="E111" i="10" a="1"/>
  <c r="E111" i="10" s="1"/>
  <c r="K110" i="10" a="1"/>
  <c r="K110" i="10"/>
  <c r="J110" i="10" a="1"/>
  <c r="J110" i="10" s="1"/>
  <c r="I110" i="10" a="1"/>
  <c r="I110" i="10"/>
  <c r="H110" i="10" a="1"/>
  <c r="H110" i="10" s="1"/>
  <c r="G110" i="10" a="1"/>
  <c r="G110" i="10" s="1"/>
  <c r="F110" i="10" a="1"/>
  <c r="F110" i="10" s="1"/>
  <c r="E110" i="10" a="1"/>
  <c r="E110" i="10" s="1"/>
  <c r="K109" i="10" a="1"/>
  <c r="K109" i="10" s="1"/>
  <c r="J109" i="10" a="1"/>
  <c r="J109" i="10"/>
  <c r="I109" i="10" a="1"/>
  <c r="I109" i="10" s="1"/>
  <c r="H109" i="10" a="1"/>
  <c r="H109" i="10"/>
  <c r="G109" i="10" a="1"/>
  <c r="G109" i="10" s="1"/>
  <c r="F109" i="10" a="1"/>
  <c r="F109" i="10" s="1"/>
  <c r="E109" i="10" a="1"/>
  <c r="E109" i="10" s="1"/>
  <c r="K108" i="10" a="1"/>
  <c r="K108" i="10" s="1"/>
  <c r="J108" i="10" a="1"/>
  <c r="J108" i="10" s="1"/>
  <c r="I108" i="10" a="1"/>
  <c r="I108" i="10"/>
  <c r="H108" i="10" a="1"/>
  <c r="H108" i="10" s="1"/>
  <c r="G108" i="10" a="1"/>
  <c r="G108" i="10"/>
  <c r="F108" i="10" a="1"/>
  <c r="F108" i="10" s="1"/>
  <c r="E108" i="10" a="1"/>
  <c r="E108" i="10" s="1"/>
  <c r="K107" i="10" a="1"/>
  <c r="K107" i="10" s="1"/>
  <c r="J107" i="10" a="1"/>
  <c r="J107" i="10" s="1"/>
  <c r="I107" i="10" a="1"/>
  <c r="I107" i="10" s="1"/>
  <c r="H107" i="10" a="1"/>
  <c r="H107" i="10"/>
  <c r="G107" i="10" a="1"/>
  <c r="G107" i="10" s="1"/>
  <c r="F107" i="10" a="1"/>
  <c r="F107" i="10"/>
  <c r="E107" i="10" a="1"/>
  <c r="E107" i="10" s="1"/>
  <c r="K106" i="10" a="1"/>
  <c r="K106" i="10" s="1"/>
  <c r="J106" i="10" a="1"/>
  <c r="J106" i="10" s="1"/>
  <c r="I106" i="10" a="1"/>
  <c r="I106" i="10" s="1"/>
  <c r="H106" i="10" a="1"/>
  <c r="H106" i="10" s="1"/>
  <c r="G106" i="10" a="1"/>
  <c r="G106" i="10"/>
  <c r="F106" i="10" a="1"/>
  <c r="F106" i="10" s="1"/>
  <c r="E106" i="10" a="1"/>
  <c r="E106" i="10"/>
  <c r="K105" i="10" a="1"/>
  <c r="K105" i="10" s="1"/>
  <c r="J105" i="10" a="1"/>
  <c r="J105" i="10" s="1"/>
  <c r="I105" i="10" a="1"/>
  <c r="I105" i="10" s="1"/>
  <c r="H105" i="10" a="1"/>
  <c r="H105" i="10" s="1"/>
  <c r="G105" i="10" a="1"/>
  <c r="G105" i="10" s="1"/>
  <c r="F105" i="10" a="1"/>
  <c r="F105" i="10"/>
  <c r="E105" i="10" a="1"/>
  <c r="E105" i="10" s="1"/>
  <c r="K104" i="10" a="1"/>
  <c r="K104" i="10"/>
  <c r="J104" i="10" a="1"/>
  <c r="J104" i="10" s="1"/>
  <c r="I104" i="10" a="1"/>
  <c r="I104" i="10" s="1"/>
  <c r="H104" i="10" a="1"/>
  <c r="H104" i="10" s="1"/>
  <c r="G104" i="10" a="1"/>
  <c r="G104" i="10" s="1"/>
  <c r="F104" i="10" a="1"/>
  <c r="F104" i="10" s="1"/>
  <c r="E104" i="10" a="1"/>
  <c r="E104" i="10"/>
  <c r="K103" i="10" a="1"/>
  <c r="K103" i="10" s="1"/>
  <c r="J103" i="10" a="1"/>
  <c r="J103" i="10"/>
  <c r="I103" i="10" a="1"/>
  <c r="I103" i="10" s="1"/>
  <c r="H103" i="10" a="1"/>
  <c r="H103" i="10" s="1"/>
  <c r="G103" i="10" a="1"/>
  <c r="G103" i="10" s="1"/>
  <c r="F103" i="10" a="1"/>
  <c r="F103" i="10" s="1"/>
  <c r="E103" i="10" a="1"/>
  <c r="E103" i="10" s="1"/>
  <c r="K102" i="10" a="1"/>
  <c r="K102" i="10" s="1"/>
  <c r="J102" i="10" a="1"/>
  <c r="J102" i="10" s="1"/>
  <c r="I102" i="10" a="1"/>
  <c r="I102" i="10"/>
  <c r="H102" i="10" a="1"/>
  <c r="H102" i="10" s="1"/>
  <c r="G102" i="10" a="1"/>
  <c r="G102" i="10" s="1"/>
  <c r="F102" i="10" a="1"/>
  <c r="F102" i="10" s="1"/>
  <c r="E102" i="10" a="1"/>
  <c r="E102" i="10" s="1"/>
  <c r="K101" i="10" a="1"/>
  <c r="K101" i="10" s="1"/>
  <c r="J101" i="10" a="1"/>
  <c r="J101" i="10" s="1"/>
  <c r="I101" i="10" a="1"/>
  <c r="I101" i="10" s="1"/>
  <c r="H101" i="10" a="1"/>
  <c r="H101" i="10"/>
  <c r="G101" i="10" a="1"/>
  <c r="G101" i="10" s="1"/>
  <c r="F101" i="10" a="1"/>
  <c r="F101" i="10" s="1"/>
  <c r="E101" i="10" a="1"/>
  <c r="E101" i="10" s="1"/>
  <c r="K100" i="10" a="1"/>
  <c r="K100" i="10" s="1"/>
  <c r="J100" i="10" a="1"/>
  <c r="J100" i="10" s="1"/>
  <c r="I100" i="10" a="1"/>
  <c r="I100" i="10" s="1"/>
  <c r="H100" i="10" a="1"/>
  <c r="H100" i="10" s="1"/>
  <c r="G100" i="10" a="1"/>
  <c r="G100" i="10"/>
  <c r="F100" i="10" a="1"/>
  <c r="F100" i="10" s="1"/>
  <c r="E100" i="10" a="1"/>
  <c r="E100" i="10" s="1"/>
  <c r="K99" i="10" a="1"/>
  <c r="K99" i="10"/>
  <c r="J99" i="10" a="1"/>
  <c r="J99" i="10" s="1"/>
  <c r="I99" i="10" a="1"/>
  <c r="I99" i="10" s="1"/>
  <c r="H99" i="10" a="1"/>
  <c r="H99" i="10" s="1"/>
  <c r="G99" i="10" a="1"/>
  <c r="G99" i="10"/>
  <c r="F99" i="10" a="1"/>
  <c r="F99" i="10" s="1"/>
  <c r="E99" i="10" a="1"/>
  <c r="E99" i="10" s="1"/>
  <c r="K98" i="10" a="1"/>
  <c r="K98" i="10" s="1"/>
  <c r="J98" i="10" a="1"/>
  <c r="J98" i="10"/>
  <c r="I98" i="10" a="1"/>
  <c r="I98" i="10" s="1"/>
  <c r="H98" i="10" a="1"/>
  <c r="H98" i="10" s="1"/>
  <c r="G98" i="10" a="1"/>
  <c r="G98" i="10" s="1"/>
  <c r="F98" i="10" a="1"/>
  <c r="F98" i="10"/>
  <c r="E98" i="10" a="1"/>
  <c r="E98" i="10" s="1"/>
  <c r="K97" i="10" a="1"/>
  <c r="K97" i="10" s="1"/>
  <c r="J97" i="10" a="1"/>
  <c r="J97" i="10" s="1"/>
  <c r="I97" i="10" a="1"/>
  <c r="I97" i="10"/>
  <c r="H97" i="10" a="1"/>
  <c r="H97" i="10" s="1"/>
  <c r="G97" i="10" a="1"/>
  <c r="G97" i="10" s="1"/>
  <c r="F97" i="10" a="1"/>
  <c r="F97" i="10" s="1"/>
  <c r="E97" i="10" a="1"/>
  <c r="E97" i="10"/>
  <c r="K96" i="10" a="1"/>
  <c r="K96" i="10" s="1"/>
  <c r="J96" i="10" a="1"/>
  <c r="J96" i="10" s="1"/>
  <c r="I96" i="10" a="1"/>
  <c r="I96" i="10" s="1"/>
  <c r="H96" i="10" a="1"/>
  <c r="H96" i="10"/>
  <c r="G96" i="10" a="1"/>
  <c r="G96" i="10" s="1"/>
  <c r="F96" i="10" a="1"/>
  <c r="F96" i="10" s="1"/>
  <c r="E96" i="10" a="1"/>
  <c r="E96" i="10" s="1"/>
  <c r="K95" i="10" a="1"/>
  <c r="K95" i="10"/>
  <c r="J95" i="10" a="1"/>
  <c r="J95" i="10" s="1"/>
  <c r="I95" i="10" a="1"/>
  <c r="I95" i="10" s="1"/>
  <c r="H95" i="10" a="1"/>
  <c r="H95" i="10" s="1"/>
  <c r="G95" i="10" a="1"/>
  <c r="G95" i="10"/>
  <c r="F95" i="10" a="1"/>
  <c r="F95" i="10" s="1"/>
  <c r="E95" i="10" a="1"/>
  <c r="E95" i="10" s="1"/>
  <c r="K94" i="10" a="1"/>
  <c r="K94" i="10" s="1"/>
  <c r="J94" i="10" a="1"/>
  <c r="J94" i="10"/>
  <c r="I94" i="10" a="1"/>
  <c r="I94" i="10" s="1"/>
  <c r="H94" i="10" a="1"/>
  <c r="H94" i="10" s="1"/>
  <c r="G94" i="10" a="1"/>
  <c r="G94" i="10" s="1"/>
  <c r="F94" i="10" a="1"/>
  <c r="F94" i="10"/>
  <c r="E94" i="10" a="1"/>
  <c r="E94" i="10" s="1"/>
  <c r="K93" i="10" a="1"/>
  <c r="K93" i="10" s="1"/>
  <c r="J93" i="10" a="1"/>
  <c r="J93" i="10" s="1"/>
  <c r="I93" i="10" a="1"/>
  <c r="I93" i="10"/>
  <c r="H93" i="10" a="1"/>
  <c r="H93" i="10" s="1"/>
  <c r="G93" i="10" a="1"/>
  <c r="G93" i="10" s="1"/>
  <c r="F93" i="10" a="1"/>
  <c r="F93" i="10" s="1"/>
  <c r="E93" i="10" a="1"/>
  <c r="E93" i="10"/>
  <c r="K92" i="10" a="1"/>
  <c r="K92" i="10" s="1"/>
  <c r="J92" i="10" a="1"/>
  <c r="J92" i="10" s="1"/>
  <c r="I92" i="10" a="1"/>
  <c r="I92" i="10" s="1"/>
  <c r="H92" i="10" a="1"/>
  <c r="H92" i="10"/>
  <c r="G92" i="10" a="1"/>
  <c r="G92" i="10" s="1"/>
  <c r="F92" i="10" a="1"/>
  <c r="F92" i="10" s="1"/>
  <c r="E92" i="10" a="1"/>
  <c r="E92" i="10" s="1"/>
  <c r="K91" i="10" a="1"/>
  <c r="K91" i="10"/>
  <c r="J91" i="10" a="1"/>
  <c r="J91" i="10" s="1"/>
  <c r="I91" i="10" a="1"/>
  <c r="I91" i="10" s="1"/>
  <c r="H91" i="10" a="1"/>
  <c r="H91" i="10" s="1"/>
  <c r="G91" i="10" a="1"/>
  <c r="G91" i="10"/>
  <c r="F91" i="10" a="1"/>
  <c r="F91" i="10" s="1"/>
  <c r="E91" i="10" a="1"/>
  <c r="E91" i="10" s="1"/>
  <c r="K90" i="10" a="1"/>
  <c r="K90" i="10" s="1"/>
  <c r="J90" i="10" a="1"/>
  <c r="J90" i="10"/>
  <c r="I90" i="10" a="1"/>
  <c r="I90" i="10" s="1"/>
  <c r="H90" i="10" a="1"/>
  <c r="H90" i="10" s="1"/>
  <c r="G90" i="10" a="1"/>
  <c r="G90" i="10" s="1"/>
  <c r="F90" i="10" a="1"/>
  <c r="F90" i="10"/>
  <c r="E90" i="10" a="1"/>
  <c r="E90" i="10" s="1"/>
  <c r="K89" i="10" a="1"/>
  <c r="K89" i="10" s="1"/>
  <c r="J89" i="10" a="1"/>
  <c r="J89" i="10" s="1"/>
  <c r="I89" i="10" a="1"/>
  <c r="I89" i="10"/>
  <c r="H89" i="10" a="1"/>
  <c r="H89" i="10" s="1"/>
  <c r="G89" i="10" a="1"/>
  <c r="G89" i="10" s="1"/>
  <c r="F89" i="10" a="1"/>
  <c r="F89" i="10" s="1"/>
  <c r="E89" i="10" a="1"/>
  <c r="E89" i="10"/>
  <c r="K88" i="10" a="1"/>
  <c r="K88" i="10" s="1"/>
  <c r="J88" i="10" a="1"/>
  <c r="J88" i="10" s="1"/>
  <c r="I88" i="10" a="1"/>
  <c r="I88" i="10" s="1"/>
  <c r="H88" i="10" a="1"/>
  <c r="H88" i="10"/>
  <c r="G88" i="10" a="1"/>
  <c r="G88" i="10" s="1"/>
  <c r="F88" i="10" a="1"/>
  <c r="F88" i="10" s="1"/>
  <c r="E88" i="10" a="1"/>
  <c r="E88" i="10" s="1"/>
  <c r="K87" i="10" a="1"/>
  <c r="K87" i="10"/>
  <c r="J87" i="10" a="1"/>
  <c r="J87" i="10" s="1"/>
  <c r="I87" i="10" a="1"/>
  <c r="I87" i="10" s="1"/>
  <c r="H87" i="10" a="1"/>
  <c r="H87" i="10" s="1"/>
  <c r="G87" i="10" a="1"/>
  <c r="G87" i="10"/>
  <c r="F87" i="10" a="1"/>
  <c r="F87" i="10" s="1"/>
  <c r="E87" i="10" a="1"/>
  <c r="E87" i="10" s="1"/>
  <c r="K86" i="10" a="1"/>
  <c r="K86" i="10" s="1"/>
  <c r="J86" i="10" a="1"/>
  <c r="J86" i="10"/>
  <c r="I86" i="10" a="1"/>
  <c r="I86" i="10" s="1"/>
  <c r="H86" i="10" a="1"/>
  <c r="H86" i="10" s="1"/>
  <c r="G86" i="10" a="1"/>
  <c r="G86" i="10" s="1"/>
  <c r="F86" i="10" a="1"/>
  <c r="F86" i="10"/>
  <c r="E86" i="10" a="1"/>
  <c r="E86" i="10" s="1"/>
  <c r="K85" i="10" a="1"/>
  <c r="K85" i="10" s="1"/>
  <c r="J85" i="10" a="1"/>
  <c r="J85" i="10" s="1"/>
  <c r="I85" i="10" a="1"/>
  <c r="I85" i="10"/>
  <c r="H85" i="10" a="1"/>
  <c r="H85" i="10" s="1"/>
  <c r="G85" i="10" a="1"/>
  <c r="G85" i="10" s="1"/>
  <c r="F85" i="10" a="1"/>
  <c r="F85" i="10" s="1"/>
  <c r="E85" i="10" a="1"/>
  <c r="E85" i="10"/>
  <c r="K84" i="10" a="1"/>
  <c r="K84" i="10" s="1"/>
  <c r="J84" i="10" a="1"/>
  <c r="J84" i="10" s="1"/>
  <c r="I84" i="10" a="1"/>
  <c r="I84" i="10" s="1"/>
  <c r="H84" i="10" a="1"/>
  <c r="H84" i="10"/>
  <c r="G84" i="10" a="1"/>
  <c r="G84" i="10" s="1"/>
  <c r="F84" i="10" a="1"/>
  <c r="F84" i="10" s="1"/>
  <c r="E84" i="10" a="1"/>
  <c r="E84" i="10" s="1"/>
  <c r="K83" i="10" a="1"/>
  <c r="K83" i="10"/>
  <c r="J83" i="10" a="1"/>
  <c r="J83" i="10" s="1"/>
  <c r="I83" i="10" a="1"/>
  <c r="I83" i="10" s="1"/>
  <c r="H83" i="10" a="1"/>
  <c r="H83" i="10" s="1"/>
  <c r="G83" i="10" a="1"/>
  <c r="G83" i="10"/>
  <c r="F83" i="10" a="1"/>
  <c r="F83" i="10" s="1"/>
  <c r="E83" i="10" a="1"/>
  <c r="E83" i="10" s="1"/>
  <c r="K82" i="10" a="1"/>
  <c r="K82" i="10" s="1"/>
  <c r="J82" i="10" a="1"/>
  <c r="J82" i="10"/>
  <c r="I82" i="10" a="1"/>
  <c r="I82" i="10" s="1"/>
  <c r="H82" i="10" a="1"/>
  <c r="H82" i="10" s="1"/>
  <c r="G82" i="10" a="1"/>
  <c r="G82" i="10" s="1"/>
  <c r="F82" i="10" a="1"/>
  <c r="F82" i="10"/>
  <c r="E82" i="10" a="1"/>
  <c r="E82" i="10" s="1"/>
  <c r="K81" i="10" a="1"/>
  <c r="K81" i="10" s="1"/>
  <c r="J81" i="10" a="1"/>
  <c r="J81" i="10" s="1"/>
  <c r="I81" i="10" a="1"/>
  <c r="I81" i="10"/>
  <c r="H81" i="10" a="1"/>
  <c r="H81" i="10" s="1"/>
  <c r="G81" i="10" a="1"/>
  <c r="G81" i="10" s="1"/>
  <c r="F81" i="10" a="1"/>
  <c r="F81" i="10" s="1"/>
  <c r="E81" i="10" a="1"/>
  <c r="E81" i="10"/>
  <c r="K80" i="10" a="1"/>
  <c r="K80" i="10" s="1"/>
  <c r="J80" i="10" a="1"/>
  <c r="J80" i="10" s="1"/>
  <c r="I80" i="10" a="1"/>
  <c r="I80" i="10" s="1"/>
  <c r="H80" i="10" a="1"/>
  <c r="H80" i="10"/>
  <c r="G80" i="10" a="1"/>
  <c r="G80" i="10" s="1"/>
  <c r="F80" i="10" a="1"/>
  <c r="F80" i="10" s="1"/>
  <c r="E80" i="10" a="1"/>
  <c r="E80" i="10" s="1"/>
  <c r="K79" i="10" a="1"/>
  <c r="K79" i="10"/>
  <c r="J79" i="10" a="1"/>
  <c r="J79" i="10" s="1"/>
  <c r="I79" i="10" a="1"/>
  <c r="I79" i="10" s="1"/>
  <c r="H79" i="10" a="1"/>
  <c r="H79" i="10" s="1"/>
  <c r="G79" i="10" a="1"/>
  <c r="G79" i="10"/>
  <c r="F79" i="10" a="1"/>
  <c r="F79" i="10" s="1"/>
  <c r="E79" i="10" a="1"/>
  <c r="E79" i="10" s="1"/>
  <c r="K78" i="10" a="1"/>
  <c r="K78" i="10" s="1"/>
  <c r="J78" i="10" a="1"/>
  <c r="J78" i="10"/>
  <c r="I78" i="10" a="1"/>
  <c r="I78" i="10" s="1"/>
  <c r="H78" i="10" a="1"/>
  <c r="H78" i="10" s="1"/>
  <c r="G78" i="10" a="1"/>
  <c r="G78" i="10" s="1"/>
  <c r="F78" i="10" a="1"/>
  <c r="F78" i="10"/>
  <c r="E78" i="10" a="1"/>
  <c r="E78" i="10" s="1"/>
  <c r="K77" i="10" a="1"/>
  <c r="K77" i="10" s="1"/>
  <c r="J77" i="10" a="1"/>
  <c r="J77" i="10" s="1"/>
  <c r="I77" i="10" a="1"/>
  <c r="I77" i="10"/>
  <c r="H77" i="10" a="1"/>
  <c r="H77" i="10" s="1"/>
  <c r="G77" i="10" a="1"/>
  <c r="G77" i="10" s="1"/>
  <c r="F77" i="10" a="1"/>
  <c r="F77" i="10" s="1"/>
  <c r="E77" i="10" a="1"/>
  <c r="E77" i="10"/>
  <c r="K76" i="10" a="1"/>
  <c r="K76" i="10" s="1"/>
  <c r="J76" i="10" a="1"/>
  <c r="J76" i="10" s="1"/>
  <c r="I76" i="10" a="1"/>
  <c r="I76" i="10" s="1"/>
  <c r="H76" i="10" a="1"/>
  <c r="H76" i="10"/>
  <c r="G76" i="10" a="1"/>
  <c r="G76" i="10" s="1"/>
  <c r="F76" i="10" a="1"/>
  <c r="F76" i="10" s="1"/>
  <c r="E76" i="10" a="1"/>
  <c r="E76" i="10" s="1"/>
  <c r="K75" i="10" a="1"/>
  <c r="K75" i="10"/>
  <c r="J75" i="10" a="1"/>
  <c r="J75" i="10" s="1"/>
  <c r="I75" i="10" a="1"/>
  <c r="I75" i="10" s="1"/>
  <c r="H75" i="10" a="1"/>
  <c r="H75" i="10" s="1"/>
  <c r="G75" i="10" a="1"/>
  <c r="G75" i="10"/>
  <c r="F75" i="10" a="1"/>
  <c r="F75" i="10" s="1"/>
  <c r="E75" i="10" a="1"/>
  <c r="E75" i="10" s="1"/>
  <c r="K74" i="10" a="1"/>
  <c r="K74" i="10" s="1"/>
  <c r="J74" i="10" a="1"/>
  <c r="J74" i="10"/>
  <c r="I74" i="10" a="1"/>
  <c r="I74" i="10" s="1"/>
  <c r="H74" i="10" a="1"/>
  <c r="H74" i="10" s="1"/>
  <c r="G74" i="10" a="1"/>
  <c r="G74" i="10" s="1"/>
  <c r="F74" i="10" a="1"/>
  <c r="F74" i="10"/>
  <c r="E74" i="10" a="1"/>
  <c r="E74" i="10" s="1"/>
  <c r="K73" i="10" a="1"/>
  <c r="K73" i="10" s="1"/>
  <c r="J73" i="10" a="1"/>
  <c r="J73" i="10" s="1"/>
  <c r="I73" i="10" a="1"/>
  <c r="I73" i="10"/>
  <c r="H73" i="10" a="1"/>
  <c r="H73" i="10" s="1"/>
  <c r="G73" i="10" a="1"/>
  <c r="G73" i="10" s="1"/>
  <c r="F73" i="10" a="1"/>
  <c r="F73" i="10" s="1"/>
  <c r="E73" i="10" a="1"/>
  <c r="E73" i="10"/>
  <c r="K72" i="10" a="1"/>
  <c r="K72" i="10" s="1"/>
  <c r="J72" i="10" a="1"/>
  <c r="J72" i="10" s="1"/>
  <c r="I72" i="10" a="1"/>
  <c r="I72" i="10" s="1"/>
  <c r="H72" i="10" a="1"/>
  <c r="H72" i="10"/>
  <c r="G72" i="10" a="1"/>
  <c r="G72" i="10" s="1"/>
  <c r="F72" i="10" a="1"/>
  <c r="F72" i="10" s="1"/>
  <c r="E72" i="10" a="1"/>
  <c r="E72" i="10" s="1"/>
  <c r="K71" i="10" a="1"/>
  <c r="K71" i="10"/>
  <c r="J71" i="10" a="1"/>
  <c r="J71" i="10" s="1"/>
  <c r="I71" i="10" a="1"/>
  <c r="I71" i="10" s="1"/>
  <c r="H71" i="10" a="1"/>
  <c r="H71" i="10" s="1"/>
  <c r="G71" i="10" a="1"/>
  <c r="G71" i="10"/>
  <c r="F71" i="10" a="1"/>
  <c r="F71" i="10" s="1"/>
  <c r="E71" i="10" a="1"/>
  <c r="E71" i="10" s="1"/>
  <c r="K70" i="10" a="1"/>
  <c r="K70" i="10" s="1"/>
  <c r="J70" i="10" a="1"/>
  <c r="J70" i="10"/>
  <c r="I70" i="10" a="1"/>
  <c r="I70" i="10" s="1"/>
  <c r="H70" i="10" a="1"/>
  <c r="H70" i="10" s="1"/>
  <c r="G70" i="10" a="1"/>
  <c r="G70" i="10" s="1"/>
  <c r="F70" i="10" a="1"/>
  <c r="F70" i="10"/>
  <c r="E70" i="10" a="1"/>
  <c r="E70" i="10" s="1"/>
  <c r="K69" i="10" a="1"/>
  <c r="K69" i="10" s="1"/>
  <c r="J69" i="10" a="1"/>
  <c r="J69" i="10" s="1"/>
  <c r="I69" i="10" a="1"/>
  <c r="I69" i="10"/>
  <c r="H69" i="10" a="1"/>
  <c r="H69" i="10" s="1"/>
  <c r="G69" i="10" a="1"/>
  <c r="G69" i="10" s="1"/>
  <c r="F69" i="10" a="1"/>
  <c r="F69" i="10" s="1"/>
  <c r="E69" i="10" a="1"/>
  <c r="E69" i="10"/>
  <c r="K68" i="10" a="1"/>
  <c r="K68" i="10" s="1"/>
  <c r="J68" i="10" a="1"/>
  <c r="J68" i="10" s="1"/>
  <c r="I68" i="10" a="1"/>
  <c r="I68" i="10" s="1"/>
  <c r="H68" i="10" a="1"/>
  <c r="H68" i="10"/>
  <c r="G68" i="10" a="1"/>
  <c r="G68" i="10" s="1"/>
  <c r="F68" i="10" a="1"/>
  <c r="F68" i="10" s="1"/>
  <c r="E68" i="10" a="1"/>
  <c r="E68" i="10" s="1"/>
  <c r="K67" i="10" a="1"/>
  <c r="K67" i="10"/>
  <c r="J67" i="10" a="1"/>
  <c r="J67" i="10" s="1"/>
  <c r="I67" i="10" a="1"/>
  <c r="I67" i="10" s="1"/>
  <c r="H67" i="10" a="1"/>
  <c r="H67" i="10" s="1"/>
  <c r="G67" i="10" a="1"/>
  <c r="G67" i="10"/>
  <c r="F67" i="10" a="1"/>
  <c r="F67" i="10" s="1"/>
  <c r="E67" i="10" a="1"/>
  <c r="E67" i="10" s="1"/>
  <c r="K66" i="10" a="1"/>
  <c r="K66" i="10" s="1"/>
  <c r="J66" i="10" a="1"/>
  <c r="J66" i="10"/>
  <c r="I66" i="10" a="1"/>
  <c r="I66" i="10" s="1"/>
  <c r="H66" i="10" a="1"/>
  <c r="H66" i="10" s="1"/>
  <c r="G66" i="10" a="1"/>
  <c r="G66" i="10" s="1"/>
  <c r="F66" i="10" a="1"/>
  <c r="F66" i="10"/>
  <c r="E66" i="10" a="1"/>
  <c r="E66" i="10" s="1"/>
  <c r="K65" i="10" a="1"/>
  <c r="K65" i="10" s="1"/>
  <c r="J65" i="10" a="1"/>
  <c r="J65" i="10" s="1"/>
  <c r="I65" i="10" a="1"/>
  <c r="I65" i="10"/>
  <c r="H65" i="10" a="1"/>
  <c r="H65" i="10" s="1"/>
  <c r="G65" i="10" a="1"/>
  <c r="G65" i="10" s="1"/>
  <c r="F65" i="10" a="1"/>
  <c r="F65" i="10" s="1"/>
  <c r="E65" i="10" a="1"/>
  <c r="E65" i="10"/>
  <c r="K64" i="10" a="1"/>
  <c r="K64" i="10" s="1"/>
  <c r="J64" i="10" a="1"/>
  <c r="J64" i="10" s="1"/>
  <c r="I64" i="10" a="1"/>
  <c r="I64" i="10" s="1"/>
  <c r="H64" i="10" a="1"/>
  <c r="H64" i="10"/>
  <c r="G64" i="10" a="1"/>
  <c r="G64" i="10" s="1"/>
  <c r="F64" i="10" a="1"/>
  <c r="F64" i="10" s="1"/>
  <c r="E64" i="10" a="1"/>
  <c r="E64" i="10" s="1"/>
  <c r="K63" i="10" a="1"/>
  <c r="K63" i="10"/>
  <c r="J63" i="10" a="1"/>
  <c r="J63" i="10" s="1"/>
  <c r="I63" i="10" a="1"/>
  <c r="I63" i="10" s="1"/>
  <c r="H63" i="10" a="1"/>
  <c r="H63" i="10" s="1"/>
  <c r="G63" i="10" a="1"/>
  <c r="G63" i="10"/>
  <c r="F63" i="10" a="1"/>
  <c r="F63" i="10" s="1"/>
  <c r="E63" i="10" a="1"/>
  <c r="E63" i="10" s="1"/>
  <c r="K62" i="10" a="1"/>
  <c r="K62" i="10" s="1"/>
  <c r="J62" i="10" a="1"/>
  <c r="J62" i="10"/>
  <c r="I62" i="10" a="1"/>
  <c r="I62" i="10" s="1"/>
  <c r="H62" i="10" a="1"/>
  <c r="H62" i="10" s="1"/>
  <c r="G62" i="10" a="1"/>
  <c r="G62" i="10" s="1"/>
  <c r="F62" i="10" a="1"/>
  <c r="F62" i="10"/>
  <c r="E62" i="10" a="1"/>
  <c r="E62" i="10" s="1"/>
  <c r="K61" i="10" a="1"/>
  <c r="K61" i="10" s="1"/>
  <c r="J61" i="10" a="1"/>
  <c r="J61" i="10" s="1"/>
  <c r="I61" i="10" a="1"/>
  <c r="I61" i="10"/>
  <c r="H61" i="10" a="1"/>
  <c r="H61" i="10" s="1"/>
  <c r="G61" i="10" a="1"/>
  <c r="G61" i="10"/>
  <c r="F61" i="10" a="1"/>
  <c r="F61" i="10" s="1"/>
  <c r="E61" i="10" a="1"/>
  <c r="E61" i="10"/>
  <c r="K60" i="10" a="1"/>
  <c r="K60" i="10" s="1"/>
  <c r="J60" i="10" a="1"/>
  <c r="J60" i="10" s="1"/>
  <c r="I60" i="10" a="1"/>
  <c r="I60" i="10" s="1"/>
  <c r="H60" i="10" a="1"/>
  <c r="H60" i="10"/>
  <c r="G60" i="10" a="1"/>
  <c r="G60" i="10" s="1"/>
  <c r="F60" i="10" a="1"/>
  <c r="F60" i="10"/>
  <c r="E60" i="10" a="1"/>
  <c r="E60" i="10" s="1"/>
  <c r="K59" i="10" a="1"/>
  <c r="K59" i="10"/>
  <c r="J59" i="10" a="1"/>
  <c r="J59" i="10" s="1"/>
  <c r="I59" i="10" a="1"/>
  <c r="I59" i="10" s="1"/>
  <c r="H59" i="10" a="1"/>
  <c r="H59" i="10" s="1"/>
  <c r="G59" i="10" a="1"/>
  <c r="G59" i="10"/>
  <c r="F59" i="10" a="1"/>
  <c r="F59" i="10" s="1"/>
  <c r="E59" i="10" a="1"/>
  <c r="E59" i="10"/>
  <c r="K58" i="10" a="1"/>
  <c r="K58" i="10" s="1"/>
  <c r="J58" i="10" a="1"/>
  <c r="J58" i="10"/>
  <c r="I58" i="10" a="1"/>
  <c r="I58" i="10" s="1"/>
  <c r="H58" i="10" a="1"/>
  <c r="H58" i="10" s="1"/>
  <c r="G58" i="10" a="1"/>
  <c r="G58" i="10" s="1"/>
  <c r="F58" i="10" a="1"/>
  <c r="F58" i="10"/>
  <c r="E58" i="10" a="1"/>
  <c r="E58" i="10" s="1"/>
  <c r="K57" i="10" a="1"/>
  <c r="K57" i="10"/>
  <c r="J57" i="10" a="1"/>
  <c r="J57" i="10" s="1"/>
  <c r="I57" i="10" a="1"/>
  <c r="I57" i="10"/>
  <c r="H57" i="10" a="1"/>
  <c r="H57" i="10" s="1"/>
  <c r="G57" i="10" a="1"/>
  <c r="G57" i="10" s="1"/>
  <c r="F57" i="10" a="1"/>
  <c r="F57" i="10" s="1"/>
  <c r="E57" i="10" a="1"/>
  <c r="E57" i="10"/>
  <c r="K56" i="10" a="1"/>
  <c r="K56" i="10" s="1"/>
  <c r="J56" i="10" a="1"/>
  <c r="J56" i="10"/>
  <c r="I56" i="10" a="1"/>
  <c r="I56" i="10" s="1"/>
  <c r="H56" i="10" a="1"/>
  <c r="H56" i="10"/>
  <c r="G56" i="10" a="1"/>
  <c r="G56" i="10" s="1"/>
  <c r="F56" i="10" a="1"/>
  <c r="F56" i="10" s="1"/>
  <c r="E56" i="10" a="1"/>
  <c r="E56" i="10" s="1"/>
  <c r="K55" i="10" a="1"/>
  <c r="K55" i="10"/>
  <c r="J55" i="10" a="1"/>
  <c r="J55" i="10" s="1"/>
  <c r="I55" i="10" a="1"/>
  <c r="I55" i="10"/>
  <c r="H55" i="10" a="1"/>
  <c r="H55" i="10" s="1"/>
  <c r="G55" i="10" a="1"/>
  <c r="G55" i="10"/>
  <c r="F55" i="10" a="1"/>
  <c r="F55" i="10" s="1"/>
  <c r="E55" i="10" a="1"/>
  <c r="E55" i="10" s="1"/>
  <c r="K54" i="10" a="1"/>
  <c r="K54" i="10" s="1"/>
  <c r="J54" i="10" a="1"/>
  <c r="J54" i="10"/>
  <c r="I54" i="10" a="1"/>
  <c r="I54" i="10" s="1"/>
  <c r="H54" i="10" a="1"/>
  <c r="H54" i="10"/>
  <c r="G54" i="10" a="1"/>
  <c r="G54" i="10" s="1"/>
  <c r="F54" i="10" a="1"/>
  <c r="F54" i="10"/>
  <c r="E54" i="10" a="1"/>
  <c r="E54" i="10" s="1"/>
  <c r="K53" i="10" a="1"/>
  <c r="K53" i="10" s="1"/>
  <c r="J53" i="10" a="1"/>
  <c r="J53" i="10" s="1"/>
  <c r="I53" i="10" a="1"/>
  <c r="I53" i="10"/>
  <c r="H53" i="10" a="1"/>
  <c r="H53" i="10" s="1"/>
  <c r="G53" i="10" a="1"/>
  <c r="G53" i="10"/>
  <c r="F53" i="10" a="1"/>
  <c r="F53" i="10" s="1"/>
  <c r="E53" i="10" a="1"/>
  <c r="E53" i="10"/>
  <c r="K52" i="10" a="1"/>
  <c r="K52" i="10" s="1"/>
  <c r="J52" i="10" a="1"/>
  <c r="J52" i="10" s="1"/>
  <c r="I52" i="10" a="1"/>
  <c r="I52" i="10" s="1"/>
  <c r="H52" i="10" a="1"/>
  <c r="H52" i="10"/>
  <c r="G52" i="10" a="1"/>
  <c r="G52" i="10" s="1"/>
  <c r="F52" i="10" a="1"/>
  <c r="F52" i="10"/>
  <c r="E52" i="10" a="1"/>
  <c r="E52" i="10" s="1"/>
  <c r="K51" i="10" a="1"/>
  <c r="K51" i="10"/>
  <c r="J51" i="10" a="1"/>
  <c r="J51" i="10" s="1"/>
  <c r="I51" i="10" a="1"/>
  <c r="I51" i="10" s="1"/>
  <c r="H51" i="10" a="1"/>
  <c r="H51" i="10" s="1"/>
  <c r="G51" i="10" a="1"/>
  <c r="G51" i="10"/>
  <c r="F51" i="10" a="1"/>
  <c r="F51" i="10" s="1"/>
  <c r="E51" i="10" a="1"/>
  <c r="E51" i="10"/>
  <c r="K50" i="10" a="1"/>
  <c r="K50" i="10" s="1"/>
  <c r="J50" i="10" a="1"/>
  <c r="J50" i="10"/>
  <c r="I50" i="10" a="1"/>
  <c r="I50" i="10" s="1"/>
  <c r="H50" i="10" a="1"/>
  <c r="H50" i="10" s="1"/>
  <c r="G50" i="10" a="1"/>
  <c r="G50" i="10" s="1"/>
  <c r="F50" i="10" a="1"/>
  <c r="F50" i="10"/>
  <c r="E50" i="10" a="1"/>
  <c r="E50" i="10" s="1"/>
  <c r="K49" i="10" a="1"/>
  <c r="K49" i="10"/>
  <c r="J49" i="10" a="1"/>
  <c r="J49" i="10" s="1"/>
  <c r="I49" i="10" a="1"/>
  <c r="I49" i="10"/>
  <c r="H49" i="10" a="1"/>
  <c r="H49" i="10" s="1"/>
  <c r="G49" i="10" a="1"/>
  <c r="G49" i="10" s="1"/>
  <c r="F49" i="10" a="1"/>
  <c r="F49" i="10" s="1"/>
  <c r="E49" i="10" a="1"/>
  <c r="E49" i="10"/>
  <c r="K48" i="10" a="1"/>
  <c r="K48" i="10" s="1"/>
  <c r="J48" i="10" a="1"/>
  <c r="J48" i="10"/>
  <c r="I48" i="10" a="1"/>
  <c r="I48" i="10" s="1"/>
  <c r="H48" i="10" a="1"/>
  <c r="H48" i="10"/>
  <c r="G48" i="10" a="1"/>
  <c r="G48" i="10" s="1"/>
  <c r="F48" i="10" a="1"/>
  <c r="F48" i="10" s="1"/>
  <c r="E48" i="10" a="1"/>
  <c r="E48" i="10" s="1"/>
  <c r="K47" i="10" a="1"/>
  <c r="K47" i="10"/>
  <c r="J47" i="10" a="1"/>
  <c r="J47" i="10" s="1"/>
  <c r="I47" i="10" a="1"/>
  <c r="I47" i="10"/>
  <c r="H47" i="10" a="1"/>
  <c r="H47" i="10" s="1"/>
  <c r="G47" i="10" a="1"/>
  <c r="G47" i="10"/>
  <c r="F47" i="10" a="1"/>
  <c r="F47" i="10" s="1"/>
  <c r="E47" i="10" a="1"/>
  <c r="E47" i="10" s="1"/>
  <c r="K46" i="10" a="1"/>
  <c r="K46" i="10" s="1"/>
  <c r="J46" i="10" a="1"/>
  <c r="J46" i="10"/>
  <c r="I46" i="10" a="1"/>
  <c r="I46" i="10" s="1"/>
  <c r="H46" i="10" a="1"/>
  <c r="H46" i="10"/>
  <c r="G46" i="10" a="1"/>
  <c r="G46" i="10" s="1"/>
  <c r="F46" i="10" a="1"/>
  <c r="F46" i="10"/>
  <c r="E46" i="10" a="1"/>
  <c r="E46" i="10" s="1"/>
  <c r="K45" i="10" a="1"/>
  <c r="K45" i="10" s="1"/>
  <c r="J45" i="10" a="1"/>
  <c r="J45" i="10" s="1"/>
  <c r="I45" i="10" a="1"/>
  <c r="I45" i="10"/>
  <c r="H45" i="10" a="1"/>
  <c r="H45" i="10" s="1"/>
  <c r="G45" i="10" a="1"/>
  <c r="G45" i="10"/>
  <c r="F45" i="10" a="1"/>
  <c r="F45" i="10" s="1"/>
  <c r="E45" i="10" a="1"/>
  <c r="E45" i="10"/>
  <c r="K44" i="10" a="1"/>
  <c r="K44" i="10" s="1"/>
  <c r="J44" i="10" a="1"/>
  <c r="J44" i="10" s="1"/>
  <c r="I44" i="10" a="1"/>
  <c r="I44" i="10" s="1"/>
  <c r="H44" i="10" a="1"/>
  <c r="H44" i="10"/>
  <c r="G44" i="10" a="1"/>
  <c r="G44" i="10" s="1"/>
  <c r="F44" i="10" a="1"/>
  <c r="F44" i="10"/>
  <c r="E44" i="10" a="1"/>
  <c r="E44" i="10" s="1"/>
  <c r="K43" i="10" a="1"/>
  <c r="K43" i="10"/>
  <c r="J43" i="10" a="1"/>
  <c r="J43" i="10" s="1"/>
  <c r="I43" i="10" a="1"/>
  <c r="I43" i="10" s="1"/>
  <c r="H43" i="10" a="1"/>
  <c r="H43" i="10" s="1"/>
  <c r="G43" i="10" a="1"/>
  <c r="G43" i="10"/>
  <c r="F43" i="10" a="1"/>
  <c r="F43" i="10" s="1"/>
  <c r="E43" i="10" a="1"/>
  <c r="E43" i="10"/>
  <c r="K42" i="10" a="1"/>
  <c r="K42" i="10" s="1"/>
  <c r="J42" i="10" a="1"/>
  <c r="J42" i="10"/>
  <c r="I42" i="10" a="1"/>
  <c r="I42" i="10" s="1"/>
  <c r="H42" i="10" a="1"/>
  <c r="H42" i="10" s="1"/>
  <c r="G42" i="10" a="1"/>
  <c r="G42" i="10" s="1"/>
  <c r="F42" i="10" a="1"/>
  <c r="F42" i="10"/>
  <c r="E42" i="10" a="1"/>
  <c r="E42" i="10" s="1"/>
  <c r="K41" i="10" a="1"/>
  <c r="K41" i="10"/>
  <c r="J41" i="10" a="1"/>
  <c r="J41" i="10" s="1"/>
  <c r="I41" i="10" a="1"/>
  <c r="I41" i="10"/>
  <c r="H41" i="10" a="1"/>
  <c r="H41" i="10" s="1"/>
  <c r="G41" i="10" a="1"/>
  <c r="G41" i="10" s="1"/>
  <c r="F41" i="10" a="1"/>
  <c r="F41" i="10" s="1"/>
  <c r="E41" i="10" a="1"/>
  <c r="E41" i="10"/>
  <c r="K40" i="10" a="1"/>
  <c r="K40" i="10" s="1"/>
  <c r="J40" i="10" a="1"/>
  <c r="J40" i="10"/>
  <c r="I40" i="10" a="1"/>
  <c r="I40" i="10" s="1"/>
  <c r="H40" i="10" a="1"/>
  <c r="H40" i="10"/>
  <c r="G40" i="10" a="1"/>
  <c r="G40" i="10" s="1"/>
  <c r="F40" i="10" a="1"/>
  <c r="F40" i="10" s="1"/>
  <c r="E40" i="10" a="1"/>
  <c r="E40" i="10" s="1"/>
  <c r="K39" i="10" a="1"/>
  <c r="K39" i="10"/>
  <c r="J39" i="10" a="1"/>
  <c r="J39" i="10" s="1"/>
  <c r="I39" i="10" a="1"/>
  <c r="I39" i="10"/>
  <c r="H39" i="10" a="1"/>
  <c r="H39" i="10" s="1"/>
  <c r="G39" i="10" a="1"/>
  <c r="G39" i="10"/>
  <c r="F39" i="10" a="1"/>
  <c r="F39" i="10" s="1"/>
  <c r="E39" i="10" a="1"/>
  <c r="E39" i="10" s="1"/>
  <c r="K38" i="10" a="1"/>
  <c r="K38" i="10" s="1"/>
  <c r="J38" i="10" a="1"/>
  <c r="J38" i="10"/>
  <c r="I38" i="10" a="1"/>
  <c r="I38" i="10" s="1"/>
  <c r="H38" i="10" a="1"/>
  <c r="H38" i="10"/>
  <c r="G38" i="10" a="1"/>
  <c r="G38" i="10" s="1"/>
  <c r="F38" i="10" a="1"/>
  <c r="F38" i="10"/>
  <c r="E38" i="10" a="1"/>
  <c r="E38" i="10" s="1"/>
  <c r="K37" i="10" a="1"/>
  <c r="K37" i="10" s="1"/>
  <c r="J37" i="10" a="1"/>
  <c r="J37" i="10" s="1"/>
  <c r="I37" i="10" a="1"/>
  <c r="I37" i="10"/>
  <c r="H37" i="10" a="1"/>
  <c r="H37" i="10" s="1"/>
  <c r="G37" i="10" a="1"/>
  <c r="G37" i="10"/>
  <c r="F37" i="10" a="1"/>
  <c r="F37" i="10" s="1"/>
  <c r="E37" i="10" a="1"/>
  <c r="E37" i="10"/>
  <c r="K36" i="10" a="1"/>
  <c r="K36" i="10" s="1"/>
  <c r="J36" i="10" a="1"/>
  <c r="J36" i="10" s="1"/>
  <c r="I36" i="10" a="1"/>
  <c r="I36" i="10" s="1"/>
  <c r="H36" i="10" a="1"/>
  <c r="H36" i="10"/>
  <c r="G36" i="10" a="1"/>
  <c r="G36" i="10" s="1"/>
  <c r="F36" i="10" a="1"/>
  <c r="F36" i="10"/>
  <c r="E36" i="10" a="1"/>
  <c r="E36" i="10" s="1"/>
  <c r="K35" i="10" a="1"/>
  <c r="K35" i="10"/>
  <c r="J35" i="10" a="1"/>
  <c r="J35" i="10" s="1"/>
  <c r="I35" i="10" a="1"/>
  <c r="I35" i="10" s="1"/>
  <c r="H35" i="10" a="1"/>
  <c r="H35" i="10" s="1"/>
  <c r="G35" i="10" a="1"/>
  <c r="G35" i="10"/>
  <c r="F35" i="10" a="1"/>
  <c r="F35" i="10" s="1"/>
  <c r="E35" i="10" a="1"/>
  <c r="E35" i="10"/>
  <c r="K34" i="10" a="1"/>
  <c r="K34" i="10" s="1"/>
  <c r="J34" i="10" a="1"/>
  <c r="J34" i="10"/>
  <c r="I34" i="10" a="1"/>
  <c r="I34" i="10" s="1"/>
  <c r="H34" i="10" a="1"/>
  <c r="H34" i="10" s="1"/>
  <c r="G34" i="10" a="1"/>
  <c r="G34" i="10" s="1"/>
  <c r="F34" i="10" a="1"/>
  <c r="F34" i="10"/>
  <c r="E34" i="10" a="1"/>
  <c r="E34" i="10" s="1"/>
  <c r="K33" i="10" a="1"/>
  <c r="K33" i="10"/>
  <c r="J33" i="10" a="1"/>
  <c r="J33" i="10" s="1"/>
  <c r="I33" i="10" a="1"/>
  <c r="I33" i="10"/>
  <c r="H33" i="10" a="1"/>
  <c r="H33" i="10" s="1"/>
  <c r="G33" i="10" a="1"/>
  <c r="G33" i="10" s="1"/>
  <c r="F33" i="10" a="1"/>
  <c r="F33" i="10" s="1"/>
  <c r="E33" i="10" a="1"/>
  <c r="E33" i="10"/>
  <c r="K32" i="10" a="1"/>
  <c r="K32" i="10" s="1"/>
  <c r="J32" i="10" a="1"/>
  <c r="J32" i="10"/>
  <c r="I32" i="10" a="1"/>
  <c r="I32" i="10" s="1"/>
  <c r="H32" i="10" a="1"/>
  <c r="H32" i="10"/>
  <c r="G32" i="10" a="1"/>
  <c r="G32" i="10" s="1"/>
  <c r="F32" i="10" a="1"/>
  <c r="F32" i="10" s="1"/>
  <c r="E32" i="10" a="1"/>
  <c r="E32" i="10" s="1"/>
  <c r="K31" i="10" a="1"/>
  <c r="K31" i="10"/>
  <c r="J31" i="10" a="1"/>
  <c r="J31" i="10" s="1"/>
  <c r="I31" i="10" a="1"/>
  <c r="I31" i="10"/>
  <c r="H31" i="10" a="1"/>
  <c r="H31" i="10" s="1"/>
  <c r="G31" i="10" a="1"/>
  <c r="G31" i="10"/>
  <c r="F31" i="10" a="1"/>
  <c r="F31" i="10" s="1"/>
  <c r="E31" i="10" a="1"/>
  <c r="E31" i="10" s="1"/>
  <c r="K30" i="10" a="1"/>
  <c r="K30" i="10" s="1"/>
  <c r="J30" i="10" a="1"/>
  <c r="J30" i="10"/>
  <c r="I30" i="10" a="1"/>
  <c r="I30" i="10" s="1"/>
  <c r="H30" i="10" a="1"/>
  <c r="H30" i="10"/>
  <c r="G30" i="10" a="1"/>
  <c r="G30" i="10" s="1"/>
  <c r="F30" i="10" a="1"/>
  <c r="F30" i="10"/>
  <c r="E30" i="10" a="1"/>
  <c r="E30" i="10" s="1"/>
  <c r="K29" i="10" a="1"/>
  <c r="K29" i="10" s="1"/>
  <c r="J29" i="10" a="1"/>
  <c r="J29" i="10" s="1"/>
  <c r="I29" i="10" a="1"/>
  <c r="I29" i="10"/>
  <c r="H29" i="10" a="1"/>
  <c r="H29" i="10" s="1"/>
  <c r="G29" i="10" a="1"/>
  <c r="G29" i="10"/>
  <c r="F29" i="10" a="1"/>
  <c r="F29" i="10" s="1"/>
  <c r="E29" i="10" a="1"/>
  <c r="E29" i="10"/>
  <c r="K28" i="10" a="1"/>
  <c r="K28" i="10" s="1"/>
  <c r="J28" i="10" a="1"/>
  <c r="J28" i="10" s="1"/>
  <c r="I28" i="10" a="1"/>
  <c r="I28" i="10" s="1"/>
  <c r="H28" i="10" a="1"/>
  <c r="H28" i="10"/>
  <c r="G28" i="10" a="1"/>
  <c r="G28" i="10" s="1"/>
  <c r="F28" i="10" a="1"/>
  <c r="F28" i="10"/>
  <c r="E28" i="10" a="1"/>
  <c r="E28" i="10" s="1"/>
  <c r="K27" i="10" a="1"/>
  <c r="K27" i="10"/>
  <c r="J27" i="10" a="1"/>
  <c r="J27" i="10" s="1"/>
  <c r="I27" i="10" a="1"/>
  <c r="I27" i="10" s="1"/>
  <c r="H27" i="10" a="1"/>
  <c r="H27" i="10" s="1"/>
  <c r="G27" i="10" a="1"/>
  <c r="G27" i="10" s="1"/>
  <c r="F27" i="10" a="1"/>
  <c r="F27" i="10" s="1"/>
  <c r="E27" i="10" a="1"/>
  <c r="E27" i="10"/>
  <c r="K26" i="10" a="1"/>
  <c r="K26" i="10" s="1"/>
  <c r="J26" i="10" a="1"/>
  <c r="J26" i="10"/>
  <c r="I26" i="10" a="1"/>
  <c r="I26" i="10" s="1"/>
  <c r="H26" i="10" a="1"/>
  <c r="H26" i="10" s="1"/>
  <c r="G26" i="10" a="1"/>
  <c r="G26" i="10" s="1"/>
  <c r="F26" i="10" a="1"/>
  <c r="F26" i="10" s="1"/>
  <c r="E26" i="10" a="1"/>
  <c r="E26" i="10" s="1"/>
  <c r="K25" i="10" a="1"/>
  <c r="K25" i="10"/>
  <c r="J25" i="10" a="1"/>
  <c r="J25" i="10" s="1"/>
  <c r="I25" i="10" a="1"/>
  <c r="I25" i="10"/>
  <c r="H25" i="10" a="1"/>
  <c r="H25" i="10" s="1"/>
  <c r="G25" i="10" a="1"/>
  <c r="G25" i="10" s="1"/>
  <c r="F25" i="10" a="1"/>
  <c r="F25" i="10" s="1"/>
  <c r="E25" i="10" a="1"/>
  <c r="E25" i="10" s="1"/>
  <c r="K24" i="10" a="1"/>
  <c r="K24" i="10" s="1"/>
  <c r="J24" i="10" a="1"/>
  <c r="J24" i="10"/>
  <c r="I24" i="10" a="1"/>
  <c r="I24" i="10" s="1"/>
  <c r="H24" i="10" a="1"/>
  <c r="H24" i="10"/>
  <c r="G24" i="10" a="1"/>
  <c r="G24" i="10" s="1"/>
  <c r="F24" i="10" a="1"/>
  <c r="F24" i="10" s="1"/>
  <c r="E24" i="10" a="1"/>
  <c r="E24" i="10" s="1"/>
  <c r="K23" i="10" a="1"/>
  <c r="K23" i="10" s="1"/>
  <c r="J23" i="10" a="1"/>
  <c r="J23" i="10" s="1"/>
  <c r="I23" i="10" a="1"/>
  <c r="I23" i="10"/>
  <c r="H23" i="10" a="1"/>
  <c r="H23" i="10" s="1"/>
  <c r="G23" i="10" a="1"/>
  <c r="G23" i="10"/>
  <c r="F23" i="10" a="1"/>
  <c r="F23" i="10" s="1"/>
  <c r="E23" i="10" a="1"/>
  <c r="E23" i="10" s="1"/>
  <c r="K22" i="10" a="1"/>
  <c r="K22" i="10" s="1"/>
  <c r="J22" i="10" a="1"/>
  <c r="J22" i="10" s="1"/>
  <c r="I22" i="10" a="1"/>
  <c r="I22" i="10" s="1"/>
  <c r="H22" i="10" a="1"/>
  <c r="H22" i="10"/>
  <c r="G22" i="10" a="1"/>
  <c r="G22" i="10" s="1"/>
  <c r="F22" i="10" a="1"/>
  <c r="F22" i="10"/>
  <c r="E22" i="10" a="1"/>
  <c r="E22" i="10" s="1"/>
  <c r="K21" i="10" a="1"/>
  <c r="K21" i="10" s="1"/>
  <c r="J21" i="10" a="1"/>
  <c r="J21" i="10" s="1"/>
  <c r="I21" i="10" a="1"/>
  <c r="I21" i="10" s="1"/>
  <c r="H21" i="10" a="1"/>
  <c r="H21" i="10" s="1"/>
  <c r="G21" i="10" a="1"/>
  <c r="G21" i="10"/>
  <c r="F21" i="10" a="1"/>
  <c r="F21" i="10" s="1"/>
  <c r="E21" i="10" a="1"/>
  <c r="E21" i="10"/>
  <c r="K20" i="10" a="1"/>
  <c r="K20" i="10" s="1"/>
  <c r="J20" i="10" a="1"/>
  <c r="J20" i="10" s="1"/>
  <c r="I20" i="10" a="1"/>
  <c r="I20" i="10" s="1"/>
  <c r="H20" i="10" a="1"/>
  <c r="H20" i="10" s="1"/>
  <c r="G20" i="10" a="1"/>
  <c r="G20" i="10" s="1"/>
  <c r="F20" i="10" a="1"/>
  <c r="F20" i="10"/>
  <c r="E20" i="10" a="1"/>
  <c r="E20" i="10" s="1"/>
  <c r="K19" i="10" a="1"/>
  <c r="K19" i="10"/>
  <c r="J19" i="10" a="1"/>
  <c r="J19" i="10" s="1"/>
  <c r="I19" i="10" a="1"/>
  <c r="I19" i="10" s="1"/>
  <c r="H19" i="10" a="1"/>
  <c r="H19" i="10" s="1"/>
  <c r="G19" i="10" a="1"/>
  <c r="G19" i="10" s="1"/>
  <c r="F19" i="10" a="1"/>
  <c r="F19" i="10" s="1"/>
  <c r="E19" i="10" a="1"/>
  <c r="E19" i="10"/>
  <c r="K18" i="10" a="1"/>
  <c r="K18" i="10" s="1"/>
  <c r="J18" i="10" a="1"/>
  <c r="J18" i="10" s="1"/>
  <c r="I18" i="10" a="1"/>
  <c r="I18" i="10" s="1"/>
  <c r="H18" i="10" a="1"/>
  <c r="H18" i="10" s="1"/>
  <c r="G18" i="10" a="1"/>
  <c r="G18" i="10" s="1"/>
  <c r="F18" i="10" a="1"/>
  <c r="F18" i="10" s="1"/>
  <c r="E18" i="10" a="1"/>
  <c r="E18" i="10" s="1"/>
  <c r="K17" i="10" a="1"/>
  <c r="K17" i="10"/>
  <c r="J17" i="10" a="1"/>
  <c r="J17" i="10" s="1"/>
  <c r="I17" i="10" a="1"/>
  <c r="I17" i="10" s="1"/>
  <c r="H17" i="10" a="1"/>
  <c r="H17" i="10" s="1"/>
  <c r="G17" i="10" a="1"/>
  <c r="G17" i="10" s="1"/>
  <c r="F17" i="10" a="1"/>
  <c r="F17" i="10" s="1"/>
  <c r="E17" i="10" a="1"/>
  <c r="E17" i="10" s="1"/>
  <c r="K16" i="10" a="1"/>
  <c r="K16" i="10" s="1"/>
  <c r="J16" i="10" a="1"/>
  <c r="J16" i="10"/>
  <c r="I16" i="10" a="1"/>
  <c r="I16" i="10" s="1"/>
  <c r="H16" i="10" a="1"/>
  <c r="H16" i="10" s="1"/>
  <c r="G16" i="10" a="1"/>
  <c r="G16" i="10" s="1"/>
  <c r="F16" i="10" a="1"/>
  <c r="F16" i="10" s="1"/>
  <c r="E16" i="10" a="1"/>
  <c r="E16" i="10" s="1"/>
  <c r="K15" i="10" a="1"/>
  <c r="K15" i="10" s="1"/>
  <c r="J15" i="10" a="1"/>
  <c r="J15" i="10" s="1"/>
  <c r="I15" i="10" a="1"/>
  <c r="I15" i="10"/>
  <c r="H15" i="10" a="1"/>
  <c r="H15" i="10" s="1"/>
  <c r="G15" i="10" a="1"/>
  <c r="G15" i="10" s="1"/>
  <c r="F15" i="10" a="1"/>
  <c r="F15" i="10" s="1"/>
  <c r="E15" i="10" a="1"/>
  <c r="E15" i="10" s="1"/>
  <c r="K14" i="10" a="1"/>
  <c r="K14" i="10" s="1"/>
  <c r="J14" i="10" a="1"/>
  <c r="J14" i="10" s="1"/>
  <c r="I14" i="10" a="1"/>
  <c r="I14" i="10" s="1"/>
  <c r="H14" i="10" a="1"/>
  <c r="H14" i="10"/>
  <c r="G14" i="10" a="1"/>
  <c r="G14" i="10" s="1"/>
  <c r="F14" i="10" a="1"/>
  <c r="F14" i="10" s="1"/>
  <c r="E14" i="10" a="1"/>
  <c r="E14" i="10" s="1"/>
  <c r="K13" i="10" a="1"/>
  <c r="K13" i="10" s="1"/>
  <c r="J13" i="10" a="1"/>
  <c r="J13" i="10" s="1"/>
  <c r="I13" i="10" a="1"/>
  <c r="I13" i="10" s="1"/>
  <c r="H13" i="10" a="1"/>
  <c r="H13" i="10" s="1"/>
  <c r="G13" i="10" a="1"/>
  <c r="G13" i="10"/>
  <c r="F13" i="10" a="1"/>
  <c r="F13" i="10" s="1"/>
  <c r="E13" i="10" a="1"/>
  <c r="E13" i="10" s="1"/>
  <c r="K12" i="10" a="1"/>
  <c r="K12" i="10" s="1"/>
  <c r="J12" i="10" a="1"/>
  <c r="J12" i="10" s="1"/>
  <c r="I12" i="10" a="1"/>
  <c r="I12" i="10" s="1"/>
  <c r="H12" i="10" a="1"/>
  <c r="H12" i="10" s="1"/>
  <c r="G12" i="10" a="1"/>
  <c r="G12" i="10" s="1"/>
  <c r="F12" i="10" a="1"/>
  <c r="F12" i="10"/>
  <c r="E12" i="10" a="1"/>
  <c r="E12" i="10" s="1"/>
  <c r="K11" i="10" a="1"/>
  <c r="K11" i="10" s="1"/>
  <c r="J11" i="10" a="1"/>
  <c r="J11" i="10" s="1"/>
  <c r="I11" i="10" a="1"/>
  <c r="I11" i="10" s="1"/>
  <c r="H11" i="10" a="1"/>
  <c r="H11" i="10" s="1"/>
  <c r="G11" i="10" a="1"/>
  <c r="G11" i="10" s="1"/>
  <c r="F11" i="10" a="1"/>
  <c r="F11" i="10" s="1"/>
  <c r="E11" i="10" a="1"/>
  <c r="E11" i="10"/>
  <c r="K10" i="10" a="1"/>
  <c r="K10" i="10" s="1"/>
  <c r="J10" i="10" a="1"/>
  <c r="J10" i="10" s="1"/>
  <c r="I10" i="10" a="1"/>
  <c r="I10" i="10" s="1"/>
  <c r="H10" i="10" a="1"/>
  <c r="H10" i="10" s="1"/>
  <c r="G10" i="10" a="1"/>
  <c r="G10" i="10" s="1"/>
  <c r="F10" i="10" a="1"/>
  <c r="F10" i="10" s="1"/>
  <c r="E10" i="10" a="1"/>
  <c r="E10" i="10" s="1"/>
  <c r="K9" i="10" a="1"/>
  <c r="K9" i="10"/>
  <c r="J9" i="10" a="1"/>
  <c r="J9" i="10" s="1"/>
  <c r="I9" i="10" a="1"/>
  <c r="I9" i="10" s="1"/>
  <c r="H9" i="10" a="1"/>
  <c r="H9" i="10" s="1"/>
  <c r="G9" i="10" a="1"/>
  <c r="G9" i="10" s="1"/>
  <c r="F9" i="10" a="1"/>
  <c r="F9" i="10" s="1"/>
  <c r="E9" i="10" a="1"/>
  <c r="E9" i="10" s="1"/>
  <c r="K8" i="10" a="1"/>
  <c r="K8" i="10" s="1"/>
  <c r="J8" i="10" a="1"/>
  <c r="J8" i="10"/>
  <c r="I8" i="10" a="1"/>
  <c r="I8" i="10" s="1"/>
  <c r="H8" i="10" a="1"/>
  <c r="H8" i="10" s="1"/>
  <c r="G8" i="10" a="1"/>
  <c r="G8" i="10" s="1"/>
  <c r="F8" i="10" a="1"/>
  <c r="F8" i="10" s="1"/>
  <c r="E8" i="10" a="1"/>
  <c r="E8" i="10" s="1"/>
  <c r="K7" i="10" a="1"/>
  <c r="K7" i="10" s="1"/>
  <c r="J7" i="10" a="1"/>
  <c r="J7" i="10" s="1"/>
  <c r="I7" i="10" a="1"/>
  <c r="I7" i="10"/>
  <c r="H7" i="10" a="1"/>
  <c r="H7" i="10" s="1"/>
  <c r="G7" i="10" a="1"/>
  <c r="G7" i="10" s="1"/>
  <c r="F7" i="10" a="1"/>
  <c r="F7" i="10" s="1"/>
  <c r="E7" i="10" a="1"/>
  <c r="E7" i="10" s="1"/>
  <c r="K6" i="10" a="1"/>
  <c r="K6" i="10" s="1"/>
  <c r="J6" i="10" a="1"/>
  <c r="J6" i="10" s="1"/>
  <c r="I6" i="10" a="1"/>
  <c r="I6" i="10" s="1"/>
  <c r="H6" i="10" a="1"/>
  <c r="H6" i="10"/>
  <c r="G6" i="10" a="1"/>
  <c r="G6" i="10" s="1"/>
  <c r="F6" i="10" a="1"/>
  <c r="F6" i="10" s="1"/>
  <c r="E6" i="10" a="1"/>
  <c r="E6" i="10" s="1"/>
  <c r="E5" i="10" a="1"/>
  <c r="E5" i="10" s="1"/>
  <c r="E4" i="10" a="1"/>
  <c r="E4" i="10" s="1"/>
  <c r="K3" i="10" a="1"/>
  <c r="K3" i="10" s="1"/>
  <c r="J3" i="10" a="1"/>
  <c r="J3" i="10" s="1"/>
  <c r="I3" i="10" a="1"/>
  <c r="I3" i="10"/>
  <c r="H3" i="10" a="1"/>
  <c r="H3" i="10" s="1"/>
  <c r="G3" i="10" a="1"/>
  <c r="G3" i="10" s="1"/>
  <c r="F3" i="10" a="1"/>
  <c r="F3" i="10" s="1"/>
  <c r="E3" i="10" a="1"/>
  <c r="E3" i="10" s="1"/>
  <c r="K2" i="10" a="1"/>
  <c r="K2" i="10" s="1"/>
  <c r="J2" i="10" a="1"/>
  <c r="J2" i="10" s="1"/>
  <c r="I2" i="10" a="1"/>
  <c r="I2" i="10" s="1"/>
  <c r="H2" i="10" a="1"/>
  <c r="H2" i="10"/>
  <c r="G2" i="10" a="1"/>
  <c r="G2" i="10" s="1"/>
  <c r="F2" i="10" a="1"/>
  <c r="F2" i="10" s="1"/>
  <c r="E2" i="10" a="1"/>
  <c r="E2" i="10" s="1"/>
  <c r="C117" i="9"/>
  <c r="O115" i="9"/>
  <c r="K115" i="9"/>
  <c r="Q115" i="9" s="1"/>
  <c r="J115" i="9"/>
  <c r="I115" i="9"/>
  <c r="I116" i="8" s="1"/>
  <c r="H115" i="9"/>
  <c r="H116" i="8" s="1"/>
  <c r="G115" i="9"/>
  <c r="G116" i="8" s="1"/>
  <c r="F115" i="9"/>
  <c r="E115" i="9"/>
  <c r="R108" i="9" s="1"/>
  <c r="N114" i="9"/>
  <c r="Q113" i="9"/>
  <c r="P113" i="9"/>
  <c r="O113" i="9"/>
  <c r="N113" i="9"/>
  <c r="M113" i="9"/>
  <c r="Q112" i="9"/>
  <c r="P112" i="9"/>
  <c r="O112" i="9"/>
  <c r="N112" i="9"/>
  <c r="M112" i="9"/>
  <c r="Q111" i="9"/>
  <c r="P111" i="9"/>
  <c r="O111" i="9"/>
  <c r="N111" i="9"/>
  <c r="M111" i="9"/>
  <c r="Q110" i="9"/>
  <c r="P110" i="9"/>
  <c r="O110" i="9"/>
  <c r="N110" i="9"/>
  <c r="M110" i="9"/>
  <c r="Q109" i="9"/>
  <c r="P109" i="9"/>
  <c r="O109" i="9"/>
  <c r="N109" i="9"/>
  <c r="M109" i="9"/>
  <c r="Q108" i="9"/>
  <c r="P108" i="9"/>
  <c r="O108" i="9"/>
  <c r="N108" i="9"/>
  <c r="M108" i="9"/>
  <c r="Q107" i="9"/>
  <c r="P107" i="9"/>
  <c r="O107" i="9"/>
  <c r="N107" i="9"/>
  <c r="M107" i="9"/>
  <c r="Q106" i="9"/>
  <c r="P106" i="9"/>
  <c r="O106" i="9"/>
  <c r="N106" i="9"/>
  <c r="M106" i="9"/>
  <c r="Q105" i="9"/>
  <c r="P105" i="9"/>
  <c r="O105" i="9"/>
  <c r="N105" i="9"/>
  <c r="M105" i="9"/>
  <c r="Q104" i="9"/>
  <c r="P104" i="9"/>
  <c r="O104" i="9"/>
  <c r="N104" i="9"/>
  <c r="M104" i="9"/>
  <c r="Q103" i="9"/>
  <c r="P103" i="9"/>
  <c r="O103" i="9"/>
  <c r="N103" i="9"/>
  <c r="M103" i="9"/>
  <c r="Q102" i="9"/>
  <c r="P102" i="9"/>
  <c r="O102" i="9"/>
  <c r="N102" i="9"/>
  <c r="M102" i="9"/>
  <c r="Q101" i="9"/>
  <c r="P101" i="9"/>
  <c r="O101" i="9"/>
  <c r="N101" i="9"/>
  <c r="M101" i="9"/>
  <c r="Q100" i="9"/>
  <c r="P100" i="9"/>
  <c r="O100" i="9"/>
  <c r="N100" i="9"/>
  <c r="M100" i="9"/>
  <c r="Q99" i="9"/>
  <c r="P99" i="9"/>
  <c r="O99" i="9"/>
  <c r="N99" i="9"/>
  <c r="M99" i="9"/>
  <c r="Q98" i="9"/>
  <c r="P98" i="9"/>
  <c r="O98" i="9"/>
  <c r="N98" i="9"/>
  <c r="M98" i="9"/>
  <c r="Q97" i="9"/>
  <c r="P97" i="9"/>
  <c r="O97" i="9"/>
  <c r="N97" i="9"/>
  <c r="M97" i="9"/>
  <c r="Q96" i="9"/>
  <c r="P96" i="9"/>
  <c r="O96" i="9"/>
  <c r="N96" i="9"/>
  <c r="M96" i="9"/>
  <c r="Q95" i="9"/>
  <c r="P95" i="9"/>
  <c r="O95" i="9"/>
  <c r="N95" i="9"/>
  <c r="M95" i="9"/>
  <c r="Q94" i="9"/>
  <c r="P94" i="9"/>
  <c r="O94" i="9"/>
  <c r="N94" i="9"/>
  <c r="M94" i="9"/>
  <c r="Q93" i="9"/>
  <c r="P93" i="9"/>
  <c r="O93" i="9"/>
  <c r="N93" i="9"/>
  <c r="M93" i="9"/>
  <c r="Q92" i="9"/>
  <c r="P92" i="9"/>
  <c r="O92" i="9"/>
  <c r="N92" i="9"/>
  <c r="M92" i="9"/>
  <c r="Q91" i="9"/>
  <c r="P91" i="9"/>
  <c r="O91" i="9"/>
  <c r="N91" i="9"/>
  <c r="M91" i="9"/>
  <c r="Q90" i="9"/>
  <c r="P90" i="9"/>
  <c r="O90" i="9"/>
  <c r="N90" i="9"/>
  <c r="M90" i="9"/>
  <c r="Q89" i="9"/>
  <c r="P89" i="9"/>
  <c r="O89" i="9"/>
  <c r="N89" i="9"/>
  <c r="M89" i="9"/>
  <c r="Q88" i="9"/>
  <c r="P88" i="9"/>
  <c r="O88" i="9"/>
  <c r="N88" i="9"/>
  <c r="M88" i="9"/>
  <c r="Q87" i="9"/>
  <c r="P87" i="9"/>
  <c r="O87" i="9"/>
  <c r="N87" i="9"/>
  <c r="M87" i="9"/>
  <c r="Q86" i="9"/>
  <c r="P86" i="9"/>
  <c r="O86" i="9"/>
  <c r="N86" i="9"/>
  <c r="M86" i="9"/>
  <c r="Q85" i="9"/>
  <c r="P85" i="9"/>
  <c r="O85" i="9"/>
  <c r="N85" i="9"/>
  <c r="M85" i="9"/>
  <c r="Q84" i="9"/>
  <c r="P84" i="9"/>
  <c r="O84" i="9"/>
  <c r="N84" i="9"/>
  <c r="M84" i="9"/>
  <c r="Q83" i="9"/>
  <c r="P83" i="9"/>
  <c r="O83" i="9"/>
  <c r="N83" i="9"/>
  <c r="M83" i="9"/>
  <c r="Q82" i="9"/>
  <c r="P82" i="9"/>
  <c r="O82" i="9"/>
  <c r="N82" i="9"/>
  <c r="M82" i="9"/>
  <c r="Q81" i="9"/>
  <c r="P81" i="9"/>
  <c r="O81" i="9"/>
  <c r="N81" i="9"/>
  <c r="M81" i="9"/>
  <c r="Q80" i="9"/>
  <c r="P80" i="9"/>
  <c r="O80" i="9"/>
  <c r="N80" i="9"/>
  <c r="M80" i="9"/>
  <c r="A80" i="9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Q79" i="9"/>
  <c r="P79" i="9"/>
  <c r="O79" i="9"/>
  <c r="N79" i="9"/>
  <c r="M79" i="9"/>
  <c r="A79" i="9"/>
  <c r="Q78" i="9"/>
  <c r="P78" i="9"/>
  <c r="O78" i="9"/>
  <c r="N78" i="9"/>
  <c r="M78" i="9"/>
  <c r="Q77" i="9"/>
  <c r="P77" i="9"/>
  <c r="O77" i="9"/>
  <c r="N77" i="9"/>
  <c r="M77" i="9"/>
  <c r="R76" i="9"/>
  <c r="Q76" i="9"/>
  <c r="P76" i="9"/>
  <c r="O76" i="9"/>
  <c r="N76" i="9"/>
  <c r="M76" i="9"/>
  <c r="R75" i="9"/>
  <c r="Q75" i="9"/>
  <c r="P75" i="9"/>
  <c r="O75" i="9"/>
  <c r="N75" i="9"/>
  <c r="M75" i="9"/>
  <c r="R74" i="9"/>
  <c r="Q74" i="9"/>
  <c r="P74" i="9"/>
  <c r="O74" i="9"/>
  <c r="N74" i="9"/>
  <c r="M74" i="9"/>
  <c r="Q73" i="9"/>
  <c r="P73" i="9"/>
  <c r="O73" i="9"/>
  <c r="N73" i="9"/>
  <c r="M73" i="9"/>
  <c r="R72" i="9"/>
  <c r="Q72" i="9"/>
  <c r="P72" i="9"/>
  <c r="O72" i="9"/>
  <c r="N72" i="9"/>
  <c r="M72" i="9"/>
  <c r="R71" i="9"/>
  <c r="Q71" i="9"/>
  <c r="P71" i="9"/>
  <c r="O71" i="9"/>
  <c r="N71" i="9"/>
  <c r="M71" i="9"/>
  <c r="R70" i="9"/>
  <c r="Q70" i="9"/>
  <c r="P70" i="9"/>
  <c r="O70" i="9"/>
  <c r="N70" i="9"/>
  <c r="M70" i="9"/>
  <c r="Q69" i="9"/>
  <c r="P69" i="9"/>
  <c r="O69" i="9"/>
  <c r="N69" i="9"/>
  <c r="M69" i="9"/>
  <c r="R68" i="9"/>
  <c r="Q68" i="9"/>
  <c r="P68" i="9"/>
  <c r="O68" i="9"/>
  <c r="N68" i="9"/>
  <c r="M68" i="9"/>
  <c r="R67" i="9"/>
  <c r="Q67" i="9"/>
  <c r="P67" i="9"/>
  <c r="O67" i="9"/>
  <c r="N67" i="9"/>
  <c r="M67" i="9"/>
  <c r="R66" i="9"/>
  <c r="Q66" i="9"/>
  <c r="P66" i="9"/>
  <c r="O66" i="9"/>
  <c r="N66" i="9"/>
  <c r="M66" i="9"/>
  <c r="Q65" i="9"/>
  <c r="P65" i="9"/>
  <c r="O65" i="9"/>
  <c r="N65" i="9"/>
  <c r="M65" i="9"/>
  <c r="R64" i="9"/>
  <c r="Q64" i="9"/>
  <c r="P64" i="9"/>
  <c r="O64" i="9"/>
  <c r="N64" i="9"/>
  <c r="M64" i="9"/>
  <c r="R63" i="9"/>
  <c r="Q63" i="9"/>
  <c r="P63" i="9"/>
  <c r="O63" i="9"/>
  <c r="N63" i="9"/>
  <c r="M63" i="9"/>
  <c r="R62" i="9"/>
  <c r="Q62" i="9"/>
  <c r="P62" i="9"/>
  <c r="O62" i="9"/>
  <c r="N62" i="9"/>
  <c r="M62" i="9"/>
  <c r="Q61" i="9"/>
  <c r="P61" i="9"/>
  <c r="O61" i="9"/>
  <c r="N61" i="9"/>
  <c r="M61" i="9"/>
  <c r="R60" i="9"/>
  <c r="Q60" i="9"/>
  <c r="P60" i="9"/>
  <c r="O60" i="9"/>
  <c r="N60" i="9"/>
  <c r="M60" i="9"/>
  <c r="R59" i="9"/>
  <c r="Q59" i="9"/>
  <c r="P59" i="9"/>
  <c r="O59" i="9"/>
  <c r="N59" i="9"/>
  <c r="M59" i="9"/>
  <c r="R58" i="9"/>
  <c r="Q58" i="9"/>
  <c r="P58" i="9"/>
  <c r="O58" i="9"/>
  <c r="N58" i="9"/>
  <c r="M58" i="9"/>
  <c r="Q57" i="9"/>
  <c r="P57" i="9"/>
  <c r="O57" i="9"/>
  <c r="N57" i="9"/>
  <c r="M57" i="9"/>
  <c r="R56" i="9"/>
  <c r="Q56" i="9"/>
  <c r="P56" i="9"/>
  <c r="O56" i="9"/>
  <c r="N56" i="9"/>
  <c r="M56" i="9"/>
  <c r="R55" i="9"/>
  <c r="Q55" i="9"/>
  <c r="P55" i="9"/>
  <c r="O55" i="9"/>
  <c r="N55" i="9"/>
  <c r="M55" i="9"/>
  <c r="R54" i="9"/>
  <c r="Q54" i="9"/>
  <c r="P54" i="9"/>
  <c r="O54" i="9"/>
  <c r="N54" i="9"/>
  <c r="M54" i="9"/>
  <c r="Q53" i="9"/>
  <c r="P53" i="9"/>
  <c r="O53" i="9"/>
  <c r="N53" i="9"/>
  <c r="M53" i="9"/>
  <c r="R52" i="9"/>
  <c r="Q52" i="9"/>
  <c r="P52" i="9"/>
  <c r="O52" i="9"/>
  <c r="N52" i="9"/>
  <c r="M52" i="9"/>
  <c r="R51" i="9"/>
  <c r="Q51" i="9"/>
  <c r="P51" i="9"/>
  <c r="O51" i="9"/>
  <c r="N51" i="9"/>
  <c r="M51" i="9"/>
  <c r="R50" i="9"/>
  <c r="Q50" i="9"/>
  <c r="P50" i="9"/>
  <c r="O50" i="9"/>
  <c r="N50" i="9"/>
  <c r="M50" i="9"/>
  <c r="Q49" i="9"/>
  <c r="P49" i="9"/>
  <c r="O49" i="9"/>
  <c r="N49" i="9"/>
  <c r="M49" i="9"/>
  <c r="R48" i="9"/>
  <c r="Q48" i="9"/>
  <c r="P48" i="9"/>
  <c r="O48" i="9"/>
  <c r="N48" i="9"/>
  <c r="M48" i="9"/>
  <c r="R47" i="9"/>
  <c r="Q47" i="9"/>
  <c r="P47" i="9"/>
  <c r="O47" i="9"/>
  <c r="N47" i="9"/>
  <c r="M47" i="9"/>
  <c r="R46" i="9"/>
  <c r="Q46" i="9"/>
  <c r="P46" i="9"/>
  <c r="O46" i="9"/>
  <c r="N46" i="9"/>
  <c r="M46" i="9"/>
  <c r="Q45" i="9"/>
  <c r="P45" i="9"/>
  <c r="O45" i="9"/>
  <c r="N45" i="9"/>
  <c r="M45" i="9"/>
  <c r="R44" i="9"/>
  <c r="Q44" i="9"/>
  <c r="P44" i="9"/>
  <c r="O44" i="9"/>
  <c r="N44" i="9"/>
  <c r="M44" i="9"/>
  <c r="R43" i="9"/>
  <c r="Q43" i="9"/>
  <c r="P43" i="9"/>
  <c r="O43" i="9"/>
  <c r="N43" i="9"/>
  <c r="M43" i="9"/>
  <c r="R42" i="9"/>
  <c r="Q42" i="9"/>
  <c r="P42" i="9"/>
  <c r="O42" i="9"/>
  <c r="N42" i="9"/>
  <c r="M42" i="9"/>
  <c r="Q41" i="9"/>
  <c r="P41" i="9"/>
  <c r="O41" i="9"/>
  <c r="N41" i="9"/>
  <c r="M41" i="9"/>
  <c r="R40" i="9"/>
  <c r="Q40" i="9"/>
  <c r="P40" i="9"/>
  <c r="O40" i="9"/>
  <c r="N40" i="9"/>
  <c r="M40" i="9"/>
  <c r="R39" i="9"/>
  <c r="Q39" i="9"/>
  <c r="P39" i="9"/>
  <c r="O39" i="9"/>
  <c r="N39" i="9"/>
  <c r="M39" i="9"/>
  <c r="R38" i="9"/>
  <c r="Q38" i="9"/>
  <c r="P38" i="9"/>
  <c r="O38" i="9"/>
  <c r="N38" i="9"/>
  <c r="M38" i="9"/>
  <c r="Q37" i="9"/>
  <c r="P37" i="9"/>
  <c r="O37" i="9"/>
  <c r="N37" i="9"/>
  <c r="M37" i="9"/>
  <c r="R36" i="9"/>
  <c r="Q36" i="9"/>
  <c r="P36" i="9"/>
  <c r="O36" i="9"/>
  <c r="N36" i="9"/>
  <c r="M36" i="9"/>
  <c r="R35" i="9"/>
  <c r="Q35" i="9"/>
  <c r="P35" i="9"/>
  <c r="O35" i="9"/>
  <c r="N35" i="9"/>
  <c r="M35" i="9"/>
  <c r="R34" i="9"/>
  <c r="Q34" i="9"/>
  <c r="P34" i="9"/>
  <c r="O34" i="9"/>
  <c r="N34" i="9"/>
  <c r="M34" i="9"/>
  <c r="Q33" i="9"/>
  <c r="P33" i="9"/>
  <c r="O33" i="9"/>
  <c r="N33" i="9"/>
  <c r="M33" i="9"/>
  <c r="R32" i="9"/>
  <c r="Q32" i="9"/>
  <c r="P32" i="9"/>
  <c r="O32" i="9"/>
  <c r="N32" i="9"/>
  <c r="M32" i="9"/>
  <c r="R31" i="9"/>
  <c r="Q31" i="9"/>
  <c r="P31" i="9"/>
  <c r="O31" i="9"/>
  <c r="N31" i="9"/>
  <c r="M31" i="9"/>
  <c r="R30" i="9"/>
  <c r="Q30" i="9"/>
  <c r="P30" i="9"/>
  <c r="O30" i="9"/>
  <c r="N30" i="9"/>
  <c r="M30" i="9"/>
  <c r="Q29" i="9"/>
  <c r="P29" i="9"/>
  <c r="O29" i="9"/>
  <c r="N29" i="9"/>
  <c r="M29" i="9"/>
  <c r="R28" i="9"/>
  <c r="Q28" i="9"/>
  <c r="P28" i="9"/>
  <c r="O28" i="9"/>
  <c r="N28" i="9"/>
  <c r="M28" i="9"/>
  <c r="R27" i="9"/>
  <c r="Q27" i="9"/>
  <c r="P27" i="9"/>
  <c r="O27" i="9"/>
  <c r="N27" i="9"/>
  <c r="M27" i="9"/>
  <c r="R26" i="9"/>
  <c r="Q26" i="9"/>
  <c r="P26" i="9"/>
  <c r="O26" i="9"/>
  <c r="N26" i="9"/>
  <c r="M26" i="9"/>
  <c r="Q25" i="9"/>
  <c r="P25" i="9"/>
  <c r="O25" i="9"/>
  <c r="N25" i="9"/>
  <c r="M25" i="9"/>
  <c r="R24" i="9"/>
  <c r="Q24" i="9"/>
  <c r="P24" i="9"/>
  <c r="O24" i="9"/>
  <c r="N24" i="9"/>
  <c r="M24" i="9"/>
  <c r="R23" i="9"/>
  <c r="Q23" i="9"/>
  <c r="P23" i="9"/>
  <c r="O23" i="9"/>
  <c r="N23" i="9"/>
  <c r="M23" i="9"/>
  <c r="R22" i="9"/>
  <c r="Q22" i="9"/>
  <c r="P22" i="9"/>
  <c r="O22" i="9"/>
  <c r="N22" i="9"/>
  <c r="M22" i="9"/>
  <c r="Q21" i="9"/>
  <c r="P21" i="9"/>
  <c r="O21" i="9"/>
  <c r="N21" i="9"/>
  <c r="M21" i="9"/>
  <c r="R20" i="9"/>
  <c r="Q20" i="9"/>
  <c r="P20" i="9"/>
  <c r="O20" i="9"/>
  <c r="N20" i="9"/>
  <c r="M20" i="9"/>
  <c r="R19" i="9"/>
  <c r="Q19" i="9"/>
  <c r="P19" i="9"/>
  <c r="O19" i="9"/>
  <c r="N19" i="9"/>
  <c r="M19" i="9"/>
  <c r="R18" i="9"/>
  <c r="Q18" i="9"/>
  <c r="P18" i="9"/>
  <c r="O18" i="9"/>
  <c r="N18" i="9"/>
  <c r="M18" i="9"/>
  <c r="Q17" i="9"/>
  <c r="P17" i="9"/>
  <c r="O17" i="9"/>
  <c r="N17" i="9"/>
  <c r="M17" i="9"/>
  <c r="R16" i="9"/>
  <c r="Q16" i="9"/>
  <c r="P16" i="9"/>
  <c r="O16" i="9"/>
  <c r="N16" i="9"/>
  <c r="M16" i="9"/>
  <c r="R15" i="9"/>
  <c r="Q15" i="9"/>
  <c r="P15" i="9"/>
  <c r="O15" i="9"/>
  <c r="N15" i="9"/>
  <c r="M15" i="9"/>
  <c r="R14" i="9"/>
  <c r="Q14" i="9"/>
  <c r="P14" i="9"/>
  <c r="O14" i="9"/>
  <c r="N14" i="9"/>
  <c r="M14" i="9"/>
  <c r="Q13" i="9"/>
  <c r="P13" i="9"/>
  <c r="O13" i="9"/>
  <c r="N13" i="9"/>
  <c r="M13" i="9"/>
  <c r="R12" i="9"/>
  <c r="Q12" i="9"/>
  <c r="P12" i="9"/>
  <c r="O12" i="9"/>
  <c r="N12" i="9"/>
  <c r="M12" i="9"/>
  <c r="R11" i="9"/>
  <c r="M11" i="9"/>
  <c r="R10" i="9"/>
  <c r="Q10" i="9"/>
  <c r="P10" i="9"/>
  <c r="O10" i="9"/>
  <c r="N10" i="9"/>
  <c r="M10" i="9"/>
  <c r="Q9" i="9"/>
  <c r="P9" i="9"/>
  <c r="O9" i="9"/>
  <c r="N9" i="9"/>
  <c r="M9" i="9"/>
  <c r="R8" i="9"/>
  <c r="Q8" i="9"/>
  <c r="P8" i="9"/>
  <c r="O8" i="9"/>
  <c r="N8" i="9"/>
  <c r="M8" i="9"/>
  <c r="R7" i="9"/>
  <c r="Q7" i="9"/>
  <c r="P7" i="9"/>
  <c r="O7" i="9"/>
  <c r="N7" i="9"/>
  <c r="M7" i="9"/>
  <c r="R6" i="9"/>
  <c r="Q6" i="9"/>
  <c r="P6" i="9"/>
  <c r="O6" i="9"/>
  <c r="N6" i="9"/>
  <c r="M6" i="9"/>
  <c r="Q5" i="9"/>
  <c r="P5" i="9"/>
  <c r="O5" i="9"/>
  <c r="N5" i="9"/>
  <c r="M5" i="9"/>
  <c r="R4" i="9"/>
  <c r="Q4" i="9"/>
  <c r="P4" i="9"/>
  <c r="O4" i="9"/>
  <c r="N4" i="9"/>
  <c r="M4" i="9"/>
  <c r="R3" i="9"/>
  <c r="Q3" i="9"/>
  <c r="P3" i="9"/>
  <c r="O3" i="9"/>
  <c r="N3" i="9"/>
  <c r="M3" i="9"/>
  <c r="R2" i="9"/>
  <c r="Q2" i="9"/>
  <c r="P2" i="9"/>
  <c r="O2" i="9"/>
  <c r="N2" i="9"/>
  <c r="M2" i="9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J116" i="8"/>
  <c r="F116" i="8"/>
  <c r="K113" i="8" a="1"/>
  <c r="K113" i="8" s="1"/>
  <c r="J113" i="8" a="1"/>
  <c r="J113" i="8"/>
  <c r="I113" i="8" a="1"/>
  <c r="I113" i="8" s="1"/>
  <c r="H113" i="8" a="1"/>
  <c r="H113" i="8" s="1"/>
  <c r="G113" i="8" a="1"/>
  <c r="G113" i="8" s="1"/>
  <c r="F113" i="8" a="1"/>
  <c r="F113" i="8"/>
  <c r="E113" i="8" a="1"/>
  <c r="E113" i="8" s="1"/>
  <c r="D113" i="8" a="1"/>
  <c r="D113" i="8" s="1"/>
  <c r="K112" i="8" a="1"/>
  <c r="K112" i="8"/>
  <c r="J112" i="8" a="1"/>
  <c r="J112" i="8" s="1"/>
  <c r="I112" i="8" a="1"/>
  <c r="I112" i="8" s="1"/>
  <c r="H112" i="8" a="1"/>
  <c r="H112" i="8" s="1"/>
  <c r="G112" i="8" a="1"/>
  <c r="G112" i="8"/>
  <c r="F112" i="8" a="1"/>
  <c r="F112" i="8" s="1"/>
  <c r="E112" i="8" a="1"/>
  <c r="E112" i="8" s="1"/>
  <c r="D112" i="8" a="1"/>
  <c r="D112" i="8" s="1"/>
  <c r="K111" i="8" a="1"/>
  <c r="K111" i="8" s="1"/>
  <c r="J111" i="8" a="1"/>
  <c r="J111" i="8" s="1"/>
  <c r="I111" i="8" a="1"/>
  <c r="I111" i="8" s="1"/>
  <c r="H111" i="8" a="1"/>
  <c r="H111" i="8" s="1"/>
  <c r="G111" i="8" a="1"/>
  <c r="G111" i="8" s="1"/>
  <c r="F111" i="8" a="1"/>
  <c r="F111" i="8" s="1"/>
  <c r="E111" i="8" a="1"/>
  <c r="E111" i="8" s="1"/>
  <c r="D111" i="8" a="1"/>
  <c r="D111" i="8" s="1"/>
  <c r="K110" i="8" a="1"/>
  <c r="K110" i="8" s="1"/>
  <c r="J110" i="8" a="1"/>
  <c r="J110" i="8" s="1"/>
  <c r="I110" i="8" a="1"/>
  <c r="I110" i="8" s="1"/>
  <c r="H110" i="8" a="1"/>
  <c r="H110" i="8" s="1"/>
  <c r="G110" i="8" a="1"/>
  <c r="G110" i="8" s="1"/>
  <c r="F110" i="8" a="1"/>
  <c r="F110" i="8" s="1"/>
  <c r="E110" i="8" a="1"/>
  <c r="E110" i="8" s="1"/>
  <c r="D110" i="8" a="1"/>
  <c r="D110" i="8" s="1"/>
  <c r="K109" i="8" a="1"/>
  <c r="K109" i="8" s="1"/>
  <c r="J109" i="8" a="1"/>
  <c r="J109" i="8" s="1"/>
  <c r="I109" i="8" a="1"/>
  <c r="I109" i="8" s="1"/>
  <c r="H109" i="8" a="1"/>
  <c r="H109" i="8" s="1"/>
  <c r="G109" i="8" a="1"/>
  <c r="G109" i="8" s="1"/>
  <c r="F109" i="8" a="1"/>
  <c r="F109" i="8" s="1"/>
  <c r="E109" i="8" a="1"/>
  <c r="E109" i="8" s="1"/>
  <c r="D109" i="8" a="1"/>
  <c r="D109" i="8" s="1"/>
  <c r="K108" i="8" a="1"/>
  <c r="K108" i="8" s="1"/>
  <c r="J108" i="8" a="1"/>
  <c r="J108" i="8" s="1"/>
  <c r="I108" i="8" a="1"/>
  <c r="I108" i="8" s="1"/>
  <c r="H108" i="8" a="1"/>
  <c r="H108" i="8" s="1"/>
  <c r="G108" i="8" a="1"/>
  <c r="G108" i="8" s="1"/>
  <c r="F108" i="8" a="1"/>
  <c r="F108" i="8" s="1"/>
  <c r="E108" i="8" a="1"/>
  <c r="E108" i="8" s="1"/>
  <c r="D108" i="8" a="1"/>
  <c r="D108" i="8" s="1"/>
  <c r="K107" i="8" a="1"/>
  <c r="K107" i="8" s="1"/>
  <c r="J107" i="8" a="1"/>
  <c r="J107" i="8" s="1"/>
  <c r="I107" i="8" a="1"/>
  <c r="I107" i="8" s="1"/>
  <c r="H107" i="8" a="1"/>
  <c r="H107" i="8" s="1"/>
  <c r="G107" i="8" a="1"/>
  <c r="G107" i="8" s="1"/>
  <c r="F107" i="8" a="1"/>
  <c r="F107" i="8" s="1"/>
  <c r="E107" i="8" a="1"/>
  <c r="E107" i="8" s="1"/>
  <c r="D107" i="8" a="1"/>
  <c r="D107" i="8" s="1"/>
  <c r="K106" i="8" a="1"/>
  <c r="K106" i="8" s="1"/>
  <c r="J106" i="8" a="1"/>
  <c r="J106" i="8" s="1"/>
  <c r="I106" i="8" a="1"/>
  <c r="I106" i="8" s="1"/>
  <c r="H106" i="8" a="1"/>
  <c r="H106" i="8" s="1"/>
  <c r="G106" i="8" a="1"/>
  <c r="G106" i="8" s="1"/>
  <c r="F106" i="8" a="1"/>
  <c r="F106" i="8" s="1"/>
  <c r="E106" i="8" a="1"/>
  <c r="E106" i="8" s="1"/>
  <c r="D106" i="8" a="1"/>
  <c r="D106" i="8" s="1"/>
  <c r="K105" i="8" a="1"/>
  <c r="K105" i="8" s="1"/>
  <c r="J105" i="8" a="1"/>
  <c r="J105" i="8" s="1"/>
  <c r="I105" i="8" a="1"/>
  <c r="I105" i="8" s="1"/>
  <c r="H105" i="8" a="1"/>
  <c r="H105" i="8" s="1"/>
  <c r="G105" i="8" a="1"/>
  <c r="G105" i="8" s="1"/>
  <c r="F105" i="8" a="1"/>
  <c r="F105" i="8" s="1"/>
  <c r="E105" i="8" a="1"/>
  <c r="E105" i="8" s="1"/>
  <c r="D105" i="8" a="1"/>
  <c r="D105" i="8" s="1"/>
  <c r="K104" i="8" a="1"/>
  <c r="K104" i="8" s="1"/>
  <c r="J104" i="8" a="1"/>
  <c r="J104" i="8" s="1"/>
  <c r="I104" i="8" a="1"/>
  <c r="I104" i="8" s="1"/>
  <c r="H104" i="8" a="1"/>
  <c r="H104" i="8" s="1"/>
  <c r="G104" i="8" a="1"/>
  <c r="G104" i="8" s="1"/>
  <c r="F104" i="8" a="1"/>
  <c r="F104" i="8" s="1"/>
  <c r="E104" i="8" a="1"/>
  <c r="E104" i="8" s="1"/>
  <c r="D104" i="8" a="1"/>
  <c r="D104" i="8" s="1"/>
  <c r="K103" i="8" a="1"/>
  <c r="K103" i="8" s="1"/>
  <c r="J103" i="8" a="1"/>
  <c r="J103" i="8" s="1"/>
  <c r="I103" i="8" a="1"/>
  <c r="I103" i="8" s="1"/>
  <c r="H103" i="8" a="1"/>
  <c r="H103" i="8" s="1"/>
  <c r="G103" i="8" a="1"/>
  <c r="G103" i="8" s="1"/>
  <c r="F103" i="8" a="1"/>
  <c r="F103" i="8" s="1"/>
  <c r="E103" i="8" a="1"/>
  <c r="E103" i="8" s="1"/>
  <c r="D103" i="8" a="1"/>
  <c r="D103" i="8" s="1"/>
  <c r="K102" i="8" a="1"/>
  <c r="K102" i="8" s="1"/>
  <c r="J102" i="8" a="1"/>
  <c r="J102" i="8" s="1"/>
  <c r="I102" i="8" a="1"/>
  <c r="I102" i="8" s="1"/>
  <c r="H102" i="8" a="1"/>
  <c r="H102" i="8" s="1"/>
  <c r="G102" i="8" a="1"/>
  <c r="G102" i="8" s="1"/>
  <c r="F102" i="8" a="1"/>
  <c r="F102" i="8" s="1"/>
  <c r="E102" i="8" a="1"/>
  <c r="E102" i="8" s="1"/>
  <c r="D102" i="8" a="1"/>
  <c r="D102" i="8" s="1"/>
  <c r="K101" i="8" a="1"/>
  <c r="K101" i="8" s="1"/>
  <c r="J101" i="8" a="1"/>
  <c r="J101" i="8" s="1"/>
  <c r="I101" i="8" a="1"/>
  <c r="I101" i="8" s="1"/>
  <c r="H101" i="8" a="1"/>
  <c r="H101" i="8" s="1"/>
  <c r="G101" i="8" a="1"/>
  <c r="G101" i="8" s="1"/>
  <c r="F101" i="8" a="1"/>
  <c r="F101" i="8" s="1"/>
  <c r="E101" i="8" a="1"/>
  <c r="E101" i="8" s="1"/>
  <c r="D101" i="8" a="1"/>
  <c r="D101" i="8" s="1"/>
  <c r="K100" i="8" a="1"/>
  <c r="K100" i="8" s="1"/>
  <c r="J100" i="8" a="1"/>
  <c r="J100" i="8" s="1"/>
  <c r="I100" i="8" a="1"/>
  <c r="I100" i="8" s="1"/>
  <c r="H100" i="8" a="1"/>
  <c r="H100" i="8" s="1"/>
  <c r="G100" i="8" a="1"/>
  <c r="G100" i="8" s="1"/>
  <c r="F100" i="8" a="1"/>
  <c r="F100" i="8" s="1"/>
  <c r="E100" i="8" a="1"/>
  <c r="E100" i="8" s="1"/>
  <c r="D100" i="8" a="1"/>
  <c r="D100" i="8" s="1"/>
  <c r="K99" i="8" a="1"/>
  <c r="K99" i="8" s="1"/>
  <c r="J99" i="8" a="1"/>
  <c r="J99" i="8" s="1"/>
  <c r="I99" i="8" a="1"/>
  <c r="I99" i="8" s="1"/>
  <c r="H99" i="8" a="1"/>
  <c r="H99" i="8" s="1"/>
  <c r="G99" i="8" a="1"/>
  <c r="G99" i="8" s="1"/>
  <c r="F99" i="8" a="1"/>
  <c r="F99" i="8" s="1"/>
  <c r="E99" i="8" a="1"/>
  <c r="E99" i="8" s="1"/>
  <c r="D99" i="8" a="1"/>
  <c r="D99" i="8" s="1"/>
  <c r="K98" i="8" a="1"/>
  <c r="K98" i="8" s="1"/>
  <c r="J98" i="8" a="1"/>
  <c r="J98" i="8" s="1"/>
  <c r="I98" i="8" a="1"/>
  <c r="I98" i="8" s="1"/>
  <c r="H98" i="8" a="1"/>
  <c r="H98" i="8" s="1"/>
  <c r="G98" i="8" a="1"/>
  <c r="G98" i="8" s="1"/>
  <c r="F98" i="8" a="1"/>
  <c r="F98" i="8" s="1"/>
  <c r="E98" i="8" a="1"/>
  <c r="E98" i="8" s="1"/>
  <c r="D98" i="8" a="1"/>
  <c r="D98" i="8" s="1"/>
  <c r="K97" i="8" a="1"/>
  <c r="K97" i="8" s="1"/>
  <c r="J97" i="8" a="1"/>
  <c r="J97" i="8" s="1"/>
  <c r="I97" i="8" a="1"/>
  <c r="I97" i="8" s="1"/>
  <c r="H97" i="8" a="1"/>
  <c r="H97" i="8" s="1"/>
  <c r="G97" i="8" a="1"/>
  <c r="G97" i="8" s="1"/>
  <c r="F97" i="8" a="1"/>
  <c r="F97" i="8" s="1"/>
  <c r="E97" i="8" a="1"/>
  <c r="E97" i="8" s="1"/>
  <c r="D97" i="8" a="1"/>
  <c r="D97" i="8" s="1"/>
  <c r="K96" i="8" a="1"/>
  <c r="K96" i="8" s="1"/>
  <c r="J96" i="8" a="1"/>
  <c r="J96" i="8" s="1"/>
  <c r="I96" i="8" a="1"/>
  <c r="I96" i="8" s="1"/>
  <c r="H96" i="8" a="1"/>
  <c r="H96" i="8" s="1"/>
  <c r="G96" i="8" a="1"/>
  <c r="G96" i="8" s="1"/>
  <c r="F96" i="8" a="1"/>
  <c r="F96" i="8" s="1"/>
  <c r="E96" i="8" a="1"/>
  <c r="E96" i="8" s="1"/>
  <c r="D96" i="8" a="1"/>
  <c r="D96" i="8" s="1"/>
  <c r="K95" i="8" a="1"/>
  <c r="K95" i="8" s="1"/>
  <c r="J95" i="8" a="1"/>
  <c r="J95" i="8" s="1"/>
  <c r="I95" i="8" a="1"/>
  <c r="I95" i="8" s="1"/>
  <c r="H95" i="8" a="1"/>
  <c r="H95" i="8" s="1"/>
  <c r="G95" i="8" a="1"/>
  <c r="G95" i="8" s="1"/>
  <c r="F95" i="8" a="1"/>
  <c r="F95" i="8" s="1"/>
  <c r="E95" i="8" a="1"/>
  <c r="E95" i="8" s="1"/>
  <c r="D95" i="8" a="1"/>
  <c r="D95" i="8" s="1"/>
  <c r="K94" i="8" a="1"/>
  <c r="K94" i="8" s="1"/>
  <c r="J94" i="8" a="1"/>
  <c r="J94" i="8" s="1"/>
  <c r="I94" i="8" a="1"/>
  <c r="I94" i="8" s="1"/>
  <c r="H94" i="8" a="1"/>
  <c r="H94" i="8" s="1"/>
  <c r="G94" i="8" a="1"/>
  <c r="G94" i="8" s="1"/>
  <c r="F94" i="8" a="1"/>
  <c r="F94" i="8" s="1"/>
  <c r="E94" i="8" a="1"/>
  <c r="E94" i="8" s="1"/>
  <c r="D94" i="8" a="1"/>
  <c r="D94" i="8" s="1"/>
  <c r="K93" i="8" a="1"/>
  <c r="K93" i="8" s="1"/>
  <c r="J93" i="8" a="1"/>
  <c r="J93" i="8" s="1"/>
  <c r="I93" i="8" a="1"/>
  <c r="I93" i="8" s="1"/>
  <c r="H93" i="8" a="1"/>
  <c r="H93" i="8" s="1"/>
  <c r="G93" i="8" a="1"/>
  <c r="G93" i="8" s="1"/>
  <c r="F93" i="8" a="1"/>
  <c r="F93" i="8" s="1"/>
  <c r="E93" i="8" a="1"/>
  <c r="E93" i="8" s="1"/>
  <c r="D93" i="8" a="1"/>
  <c r="D93" i="8" s="1"/>
  <c r="K92" i="8" a="1"/>
  <c r="K92" i="8" s="1"/>
  <c r="J92" i="8" a="1"/>
  <c r="J92" i="8" s="1"/>
  <c r="I92" i="8" a="1"/>
  <c r="I92" i="8" s="1"/>
  <c r="H92" i="8" a="1"/>
  <c r="H92" i="8" s="1"/>
  <c r="G92" i="8" a="1"/>
  <c r="G92" i="8" s="1"/>
  <c r="F92" i="8" a="1"/>
  <c r="F92" i="8" s="1"/>
  <c r="E92" i="8" a="1"/>
  <c r="E92" i="8" s="1"/>
  <c r="D92" i="8" a="1"/>
  <c r="D92" i="8" s="1"/>
  <c r="K91" i="8" a="1"/>
  <c r="K91" i="8" s="1"/>
  <c r="J91" i="8" a="1"/>
  <c r="J91" i="8" s="1"/>
  <c r="I91" i="8" a="1"/>
  <c r="I91" i="8" s="1"/>
  <c r="H91" i="8" a="1"/>
  <c r="H91" i="8" s="1"/>
  <c r="G91" i="8" a="1"/>
  <c r="G91" i="8" s="1"/>
  <c r="F91" i="8" a="1"/>
  <c r="F91" i="8" s="1"/>
  <c r="E91" i="8" a="1"/>
  <c r="E91" i="8" s="1"/>
  <c r="D91" i="8" a="1"/>
  <c r="D91" i="8" s="1"/>
  <c r="K90" i="8" a="1"/>
  <c r="K90" i="8" s="1"/>
  <c r="J90" i="8" a="1"/>
  <c r="J90" i="8" s="1"/>
  <c r="I90" i="8" a="1"/>
  <c r="I90" i="8" s="1"/>
  <c r="H90" i="8" a="1"/>
  <c r="H90" i="8" s="1"/>
  <c r="G90" i="8" a="1"/>
  <c r="G90" i="8" s="1"/>
  <c r="F90" i="8" a="1"/>
  <c r="F90" i="8" s="1"/>
  <c r="E90" i="8" a="1"/>
  <c r="E90" i="8" s="1"/>
  <c r="D90" i="8" a="1"/>
  <c r="D90" i="8" s="1"/>
  <c r="K89" i="8" a="1"/>
  <c r="K89" i="8" s="1"/>
  <c r="J89" i="8" a="1"/>
  <c r="J89" i="8" s="1"/>
  <c r="I89" i="8" a="1"/>
  <c r="I89" i="8" s="1"/>
  <c r="H89" i="8" a="1"/>
  <c r="H89" i="8" s="1"/>
  <c r="G89" i="8" a="1"/>
  <c r="G89" i="8" s="1"/>
  <c r="F89" i="8" a="1"/>
  <c r="F89" i="8" s="1"/>
  <c r="E89" i="8" a="1"/>
  <c r="E89" i="8" s="1"/>
  <c r="D89" i="8" a="1"/>
  <c r="D89" i="8" s="1"/>
  <c r="K88" i="8" a="1"/>
  <c r="K88" i="8" s="1"/>
  <c r="J88" i="8" a="1"/>
  <c r="J88" i="8" s="1"/>
  <c r="I88" i="8" a="1"/>
  <c r="I88" i="8" s="1"/>
  <c r="H88" i="8" a="1"/>
  <c r="H88" i="8" s="1"/>
  <c r="G88" i="8" a="1"/>
  <c r="G88" i="8" s="1"/>
  <c r="F88" i="8" a="1"/>
  <c r="F88" i="8" s="1"/>
  <c r="E88" i="8" a="1"/>
  <c r="E88" i="8" s="1"/>
  <c r="D88" i="8" a="1"/>
  <c r="D88" i="8" s="1"/>
  <c r="K87" i="8" a="1"/>
  <c r="K87" i="8" s="1"/>
  <c r="J87" i="8" a="1"/>
  <c r="J87" i="8" s="1"/>
  <c r="I87" i="8" a="1"/>
  <c r="I87" i="8" s="1"/>
  <c r="H87" i="8" a="1"/>
  <c r="H87" i="8" s="1"/>
  <c r="G87" i="8" a="1"/>
  <c r="G87" i="8" s="1"/>
  <c r="F87" i="8" a="1"/>
  <c r="F87" i="8" s="1"/>
  <c r="E87" i="8" a="1"/>
  <c r="E87" i="8" s="1"/>
  <c r="D87" i="8" a="1"/>
  <c r="D87" i="8" s="1"/>
  <c r="K86" i="8" a="1"/>
  <c r="K86" i="8" s="1"/>
  <c r="J86" i="8" a="1"/>
  <c r="J86" i="8" s="1"/>
  <c r="I86" i="8" a="1"/>
  <c r="I86" i="8" s="1"/>
  <c r="H86" i="8" a="1"/>
  <c r="H86" i="8" s="1"/>
  <c r="G86" i="8" a="1"/>
  <c r="G86" i="8" s="1"/>
  <c r="F86" i="8" a="1"/>
  <c r="F86" i="8" s="1"/>
  <c r="E86" i="8" a="1"/>
  <c r="E86" i="8" s="1"/>
  <c r="D86" i="8" a="1"/>
  <c r="D86" i="8" s="1"/>
  <c r="K85" i="8" a="1"/>
  <c r="K85" i="8" s="1"/>
  <c r="J85" i="8" a="1"/>
  <c r="J85" i="8" s="1"/>
  <c r="I85" i="8" a="1"/>
  <c r="I85" i="8" s="1"/>
  <c r="H85" i="8" a="1"/>
  <c r="H85" i="8" s="1"/>
  <c r="G85" i="8" a="1"/>
  <c r="G85" i="8" s="1"/>
  <c r="F85" i="8" a="1"/>
  <c r="F85" i="8" s="1"/>
  <c r="E85" i="8" a="1"/>
  <c r="E85" i="8" s="1"/>
  <c r="D85" i="8" a="1"/>
  <c r="D85" i="8" s="1"/>
  <c r="K84" i="8" a="1"/>
  <c r="K84" i="8" s="1"/>
  <c r="J84" i="8" a="1"/>
  <c r="J84" i="8" s="1"/>
  <c r="I84" i="8" a="1"/>
  <c r="I84" i="8" s="1"/>
  <c r="H84" i="8" a="1"/>
  <c r="H84" i="8" s="1"/>
  <c r="G84" i="8" a="1"/>
  <c r="G84" i="8" s="1"/>
  <c r="F84" i="8" a="1"/>
  <c r="F84" i="8" s="1"/>
  <c r="E84" i="8" a="1"/>
  <c r="E84" i="8" s="1"/>
  <c r="D84" i="8" a="1"/>
  <c r="D84" i="8" s="1"/>
  <c r="K83" i="8" a="1"/>
  <c r="K83" i="8" s="1"/>
  <c r="J83" i="8" a="1"/>
  <c r="J83" i="8" s="1"/>
  <c r="I83" i="8" a="1"/>
  <c r="I83" i="8" s="1"/>
  <c r="H83" i="8" a="1"/>
  <c r="H83" i="8" s="1"/>
  <c r="G83" i="8" a="1"/>
  <c r="G83" i="8" s="1"/>
  <c r="F83" i="8" a="1"/>
  <c r="F83" i="8" s="1"/>
  <c r="E83" i="8" a="1"/>
  <c r="E83" i="8" s="1"/>
  <c r="D83" i="8" a="1"/>
  <c r="D83" i="8" s="1"/>
  <c r="K82" i="8" a="1"/>
  <c r="K82" i="8" s="1"/>
  <c r="J82" i="8" a="1"/>
  <c r="J82" i="8" s="1"/>
  <c r="I82" i="8" a="1"/>
  <c r="I82" i="8" s="1"/>
  <c r="H82" i="8" a="1"/>
  <c r="H82" i="8" s="1"/>
  <c r="G82" i="8" a="1"/>
  <c r="G82" i="8" s="1"/>
  <c r="F82" i="8" a="1"/>
  <c r="F82" i="8" s="1"/>
  <c r="E82" i="8" a="1"/>
  <c r="E82" i="8" s="1"/>
  <c r="D82" i="8" a="1"/>
  <c r="D82" i="8" s="1"/>
  <c r="K81" i="8" a="1"/>
  <c r="K81" i="8" s="1"/>
  <c r="J81" i="8" a="1"/>
  <c r="J81" i="8" s="1"/>
  <c r="I81" i="8" a="1"/>
  <c r="I81" i="8" s="1"/>
  <c r="H81" i="8" a="1"/>
  <c r="H81" i="8" s="1"/>
  <c r="G81" i="8" a="1"/>
  <c r="G81" i="8" s="1"/>
  <c r="F81" i="8" a="1"/>
  <c r="F81" i="8" s="1"/>
  <c r="E81" i="8" a="1"/>
  <c r="E81" i="8" s="1"/>
  <c r="D81" i="8" a="1"/>
  <c r="D81" i="8" s="1"/>
  <c r="K80" i="8" a="1"/>
  <c r="K80" i="8" s="1"/>
  <c r="J80" i="8" a="1"/>
  <c r="J80" i="8" s="1"/>
  <c r="I80" i="8" a="1"/>
  <c r="I80" i="8" s="1"/>
  <c r="H80" i="8" a="1"/>
  <c r="H80" i="8" s="1"/>
  <c r="G80" i="8" a="1"/>
  <c r="G80" i="8" s="1"/>
  <c r="F80" i="8" a="1"/>
  <c r="F80" i="8" s="1"/>
  <c r="E80" i="8" a="1"/>
  <c r="E80" i="8" s="1"/>
  <c r="D80" i="8" a="1"/>
  <c r="D80" i="8" s="1"/>
  <c r="K79" i="8" a="1"/>
  <c r="K79" i="8" s="1"/>
  <c r="J79" i="8" a="1"/>
  <c r="J79" i="8" s="1"/>
  <c r="I79" i="8" a="1"/>
  <c r="I79" i="8" s="1"/>
  <c r="H79" i="8" a="1"/>
  <c r="H79" i="8" s="1"/>
  <c r="G79" i="8" a="1"/>
  <c r="G79" i="8" s="1"/>
  <c r="F79" i="8" a="1"/>
  <c r="F79" i="8" s="1"/>
  <c r="E79" i="8" a="1"/>
  <c r="E79" i="8" s="1"/>
  <c r="D79" i="8" a="1"/>
  <c r="D79" i="8" s="1"/>
  <c r="K78" i="8" a="1"/>
  <c r="K78" i="8" s="1"/>
  <c r="J78" i="8" a="1"/>
  <c r="J78" i="8" s="1"/>
  <c r="I78" i="8" a="1"/>
  <c r="I78" i="8" s="1"/>
  <c r="H78" i="8" a="1"/>
  <c r="H78" i="8" s="1"/>
  <c r="G78" i="8" a="1"/>
  <c r="G78" i="8" s="1"/>
  <c r="F78" i="8" a="1"/>
  <c r="F78" i="8" s="1"/>
  <c r="E78" i="8" a="1"/>
  <c r="E78" i="8" s="1"/>
  <c r="D78" i="8" a="1"/>
  <c r="D78" i="8" s="1"/>
  <c r="K77" i="8" a="1"/>
  <c r="K77" i="8" s="1"/>
  <c r="J77" i="8" a="1"/>
  <c r="J77" i="8" s="1"/>
  <c r="I77" i="8" a="1"/>
  <c r="I77" i="8" s="1"/>
  <c r="H77" i="8" a="1"/>
  <c r="H77" i="8" s="1"/>
  <c r="G77" i="8" a="1"/>
  <c r="G77" i="8" s="1"/>
  <c r="F77" i="8" a="1"/>
  <c r="F77" i="8" s="1"/>
  <c r="E77" i="8" a="1"/>
  <c r="E77" i="8" s="1"/>
  <c r="D77" i="8" a="1"/>
  <c r="D77" i="8" s="1"/>
  <c r="K76" i="8" a="1"/>
  <c r="K76" i="8" s="1"/>
  <c r="J76" i="8" a="1"/>
  <c r="J76" i="8" s="1"/>
  <c r="I76" i="8" a="1"/>
  <c r="I76" i="8" s="1"/>
  <c r="H76" i="8" a="1"/>
  <c r="H76" i="8" s="1"/>
  <c r="G76" i="8" a="1"/>
  <c r="G76" i="8" s="1"/>
  <c r="F76" i="8" a="1"/>
  <c r="F76" i="8" s="1"/>
  <c r="E76" i="8" a="1"/>
  <c r="E76" i="8" s="1"/>
  <c r="D76" i="8" a="1"/>
  <c r="D76" i="8" s="1"/>
  <c r="K75" i="8" a="1"/>
  <c r="K75" i="8" s="1"/>
  <c r="J75" i="8" a="1"/>
  <c r="J75" i="8" s="1"/>
  <c r="I75" i="8" a="1"/>
  <c r="I75" i="8" s="1"/>
  <c r="H75" i="8" a="1"/>
  <c r="H75" i="8" s="1"/>
  <c r="G75" i="8" a="1"/>
  <c r="G75" i="8" s="1"/>
  <c r="F75" i="8" a="1"/>
  <c r="F75" i="8" s="1"/>
  <c r="E75" i="8" a="1"/>
  <c r="E75" i="8" s="1"/>
  <c r="D75" i="8" a="1"/>
  <c r="D75" i="8" s="1"/>
  <c r="K74" i="8" a="1"/>
  <c r="K74" i="8" s="1"/>
  <c r="J74" i="8" a="1"/>
  <c r="J74" i="8" s="1"/>
  <c r="I74" i="8" a="1"/>
  <c r="I74" i="8" s="1"/>
  <c r="H74" i="8" a="1"/>
  <c r="H74" i="8" s="1"/>
  <c r="G74" i="8" a="1"/>
  <c r="G74" i="8" s="1"/>
  <c r="F74" i="8" a="1"/>
  <c r="F74" i="8" s="1"/>
  <c r="E74" i="8" a="1"/>
  <c r="E74" i="8" s="1"/>
  <c r="D74" i="8" a="1"/>
  <c r="D74" i="8" s="1"/>
  <c r="K73" i="8" a="1"/>
  <c r="K73" i="8" s="1"/>
  <c r="J73" i="8" a="1"/>
  <c r="J73" i="8" s="1"/>
  <c r="I73" i="8" a="1"/>
  <c r="I73" i="8" s="1"/>
  <c r="H73" i="8" a="1"/>
  <c r="H73" i="8" s="1"/>
  <c r="G73" i="8" a="1"/>
  <c r="G73" i="8" s="1"/>
  <c r="F73" i="8" a="1"/>
  <c r="F73" i="8" s="1"/>
  <c r="E73" i="8" a="1"/>
  <c r="E73" i="8" s="1"/>
  <c r="D73" i="8" a="1"/>
  <c r="D73" i="8" s="1"/>
  <c r="K72" i="8" a="1"/>
  <c r="K72" i="8" s="1"/>
  <c r="J72" i="8" a="1"/>
  <c r="J72" i="8" s="1"/>
  <c r="I72" i="8" a="1"/>
  <c r="I72" i="8" s="1"/>
  <c r="H72" i="8" a="1"/>
  <c r="H72" i="8" s="1"/>
  <c r="G72" i="8" a="1"/>
  <c r="G72" i="8" s="1"/>
  <c r="F72" i="8" a="1"/>
  <c r="F72" i="8" s="1"/>
  <c r="E72" i="8" a="1"/>
  <c r="E72" i="8" s="1"/>
  <c r="D72" i="8" a="1"/>
  <c r="D72" i="8" s="1"/>
  <c r="K71" i="8" a="1"/>
  <c r="K71" i="8" s="1"/>
  <c r="J71" i="8" a="1"/>
  <c r="J71" i="8" s="1"/>
  <c r="I71" i="8" a="1"/>
  <c r="I71" i="8" s="1"/>
  <c r="H71" i="8" a="1"/>
  <c r="H71" i="8" s="1"/>
  <c r="G71" i="8" a="1"/>
  <c r="G71" i="8" s="1"/>
  <c r="F71" i="8" a="1"/>
  <c r="F71" i="8" s="1"/>
  <c r="E71" i="8" a="1"/>
  <c r="E71" i="8" s="1"/>
  <c r="D71" i="8" a="1"/>
  <c r="D71" i="8" s="1"/>
  <c r="K70" i="8" a="1"/>
  <c r="K70" i="8" s="1"/>
  <c r="J70" i="8" a="1"/>
  <c r="J70" i="8" s="1"/>
  <c r="I70" i="8" a="1"/>
  <c r="I70" i="8" s="1"/>
  <c r="H70" i="8" a="1"/>
  <c r="H70" i="8" s="1"/>
  <c r="G70" i="8" a="1"/>
  <c r="G70" i="8" s="1"/>
  <c r="F70" i="8" a="1"/>
  <c r="F70" i="8" s="1"/>
  <c r="E70" i="8" a="1"/>
  <c r="E70" i="8" s="1"/>
  <c r="D70" i="8" a="1"/>
  <c r="D70" i="8" s="1"/>
  <c r="K69" i="8" a="1"/>
  <c r="K69" i="8" s="1"/>
  <c r="J69" i="8" a="1"/>
  <c r="J69" i="8" s="1"/>
  <c r="I69" i="8" a="1"/>
  <c r="I69" i="8" s="1"/>
  <c r="H69" i="8" a="1"/>
  <c r="H69" i="8" s="1"/>
  <c r="G69" i="8" a="1"/>
  <c r="G69" i="8" s="1"/>
  <c r="F69" i="8" a="1"/>
  <c r="F69" i="8" s="1"/>
  <c r="E69" i="8" a="1"/>
  <c r="E69" i="8" s="1"/>
  <c r="D69" i="8" a="1"/>
  <c r="D69" i="8" s="1"/>
  <c r="K68" i="8" a="1"/>
  <c r="K68" i="8" s="1"/>
  <c r="J68" i="8" a="1"/>
  <c r="J68" i="8" s="1"/>
  <c r="I68" i="8" a="1"/>
  <c r="I68" i="8" s="1"/>
  <c r="H68" i="8" a="1"/>
  <c r="H68" i="8" s="1"/>
  <c r="G68" i="8" a="1"/>
  <c r="G68" i="8" s="1"/>
  <c r="F68" i="8" a="1"/>
  <c r="F68" i="8" s="1"/>
  <c r="E68" i="8" a="1"/>
  <c r="E68" i="8" s="1"/>
  <c r="D68" i="8" a="1"/>
  <c r="D68" i="8" s="1"/>
  <c r="K67" i="8" a="1"/>
  <c r="K67" i="8" s="1"/>
  <c r="J67" i="8" a="1"/>
  <c r="J67" i="8" s="1"/>
  <c r="I67" i="8" a="1"/>
  <c r="I67" i="8" s="1"/>
  <c r="H67" i="8" a="1"/>
  <c r="H67" i="8" s="1"/>
  <c r="G67" i="8" a="1"/>
  <c r="G67" i="8" s="1"/>
  <c r="F67" i="8" a="1"/>
  <c r="F67" i="8" s="1"/>
  <c r="E67" i="8" a="1"/>
  <c r="E67" i="8" s="1"/>
  <c r="D67" i="8" a="1"/>
  <c r="D67" i="8" s="1"/>
  <c r="K66" i="8" a="1"/>
  <c r="K66" i="8" s="1"/>
  <c r="J66" i="8" a="1"/>
  <c r="J66" i="8" s="1"/>
  <c r="I66" i="8" a="1"/>
  <c r="I66" i="8" s="1"/>
  <c r="H66" i="8" a="1"/>
  <c r="H66" i="8" s="1"/>
  <c r="G66" i="8" a="1"/>
  <c r="G66" i="8" s="1"/>
  <c r="F66" i="8" a="1"/>
  <c r="F66" i="8" s="1"/>
  <c r="E66" i="8" a="1"/>
  <c r="E66" i="8" s="1"/>
  <c r="D66" i="8" a="1"/>
  <c r="D66" i="8" s="1"/>
  <c r="K65" i="8" a="1"/>
  <c r="K65" i="8" s="1"/>
  <c r="J65" i="8" a="1"/>
  <c r="J65" i="8" s="1"/>
  <c r="I65" i="8" a="1"/>
  <c r="I65" i="8" s="1"/>
  <c r="H65" i="8" a="1"/>
  <c r="H65" i="8" s="1"/>
  <c r="G65" i="8" a="1"/>
  <c r="G65" i="8" s="1"/>
  <c r="F65" i="8" a="1"/>
  <c r="F65" i="8" s="1"/>
  <c r="E65" i="8" a="1"/>
  <c r="E65" i="8" s="1"/>
  <c r="D65" i="8" a="1"/>
  <c r="D65" i="8" s="1"/>
  <c r="K64" i="8" a="1"/>
  <c r="K64" i="8" s="1"/>
  <c r="J64" i="8" a="1"/>
  <c r="J64" i="8" s="1"/>
  <c r="I64" i="8" a="1"/>
  <c r="I64" i="8" s="1"/>
  <c r="H64" i="8" a="1"/>
  <c r="H64" i="8" s="1"/>
  <c r="G64" i="8" a="1"/>
  <c r="G64" i="8" s="1"/>
  <c r="F64" i="8" a="1"/>
  <c r="F64" i="8" s="1"/>
  <c r="E64" i="8" a="1"/>
  <c r="E64" i="8" s="1"/>
  <c r="D64" i="8" a="1"/>
  <c r="D64" i="8" s="1"/>
  <c r="K63" i="8" a="1"/>
  <c r="K63" i="8" s="1"/>
  <c r="J63" i="8" a="1"/>
  <c r="J63" i="8" s="1"/>
  <c r="I63" i="8" a="1"/>
  <c r="I63" i="8" s="1"/>
  <c r="H63" i="8" a="1"/>
  <c r="H63" i="8" s="1"/>
  <c r="G63" i="8" a="1"/>
  <c r="G63" i="8" s="1"/>
  <c r="F63" i="8" a="1"/>
  <c r="F63" i="8" s="1"/>
  <c r="E63" i="8" a="1"/>
  <c r="E63" i="8" s="1"/>
  <c r="D63" i="8" a="1"/>
  <c r="D63" i="8" s="1"/>
  <c r="K62" i="8" a="1"/>
  <c r="K62" i="8" s="1"/>
  <c r="J62" i="8" a="1"/>
  <c r="J62" i="8" s="1"/>
  <c r="I62" i="8" a="1"/>
  <c r="I62" i="8" s="1"/>
  <c r="H62" i="8" a="1"/>
  <c r="H62" i="8" s="1"/>
  <c r="G62" i="8" a="1"/>
  <c r="G62" i="8" s="1"/>
  <c r="F62" i="8" a="1"/>
  <c r="F62" i="8" s="1"/>
  <c r="E62" i="8" a="1"/>
  <c r="E62" i="8" s="1"/>
  <c r="D62" i="8" a="1"/>
  <c r="D62" i="8" s="1"/>
  <c r="K61" i="8" a="1"/>
  <c r="K61" i="8" s="1"/>
  <c r="J61" i="8" a="1"/>
  <c r="J61" i="8" s="1"/>
  <c r="I61" i="8" a="1"/>
  <c r="I61" i="8" s="1"/>
  <c r="H61" i="8" a="1"/>
  <c r="H61" i="8" s="1"/>
  <c r="G61" i="8" a="1"/>
  <c r="G61" i="8" s="1"/>
  <c r="F61" i="8" a="1"/>
  <c r="F61" i="8" s="1"/>
  <c r="E61" i="8" a="1"/>
  <c r="E61" i="8" s="1"/>
  <c r="D61" i="8" a="1"/>
  <c r="D61" i="8" s="1"/>
  <c r="K60" i="8" a="1"/>
  <c r="K60" i="8" s="1"/>
  <c r="J60" i="8" a="1"/>
  <c r="J60" i="8" s="1"/>
  <c r="I60" i="8" a="1"/>
  <c r="I60" i="8" s="1"/>
  <c r="H60" i="8" a="1"/>
  <c r="H60" i="8" s="1"/>
  <c r="G60" i="8" a="1"/>
  <c r="G60" i="8" s="1"/>
  <c r="F60" i="8" a="1"/>
  <c r="F60" i="8" s="1"/>
  <c r="E60" i="8" a="1"/>
  <c r="E60" i="8" s="1"/>
  <c r="D60" i="8" a="1"/>
  <c r="D60" i="8" s="1"/>
  <c r="K59" i="8" a="1"/>
  <c r="K59" i="8" s="1"/>
  <c r="J59" i="8" a="1"/>
  <c r="J59" i="8" s="1"/>
  <c r="I59" i="8" a="1"/>
  <c r="I59" i="8" s="1"/>
  <c r="H59" i="8" a="1"/>
  <c r="H59" i="8" s="1"/>
  <c r="G59" i="8" a="1"/>
  <c r="G59" i="8" s="1"/>
  <c r="F59" i="8" a="1"/>
  <c r="F59" i="8" s="1"/>
  <c r="E59" i="8" a="1"/>
  <c r="E59" i="8" s="1"/>
  <c r="D59" i="8" a="1"/>
  <c r="D59" i="8" s="1"/>
  <c r="K58" i="8" a="1"/>
  <c r="K58" i="8" s="1"/>
  <c r="J58" i="8" a="1"/>
  <c r="J58" i="8" s="1"/>
  <c r="I58" i="8" a="1"/>
  <c r="I58" i="8" s="1"/>
  <c r="H58" i="8" a="1"/>
  <c r="H58" i="8" s="1"/>
  <c r="G58" i="8" a="1"/>
  <c r="G58" i="8" s="1"/>
  <c r="F58" i="8" a="1"/>
  <c r="F58" i="8" s="1"/>
  <c r="E58" i="8" a="1"/>
  <c r="E58" i="8" s="1"/>
  <c r="D58" i="8" a="1"/>
  <c r="D58" i="8" s="1"/>
  <c r="K57" i="8" a="1"/>
  <c r="K57" i="8" s="1"/>
  <c r="J57" i="8" a="1"/>
  <c r="J57" i="8" s="1"/>
  <c r="I57" i="8" a="1"/>
  <c r="I57" i="8" s="1"/>
  <c r="H57" i="8" a="1"/>
  <c r="H57" i="8" s="1"/>
  <c r="G57" i="8" a="1"/>
  <c r="G57" i="8" s="1"/>
  <c r="F57" i="8" a="1"/>
  <c r="F57" i="8" s="1"/>
  <c r="E57" i="8" a="1"/>
  <c r="E57" i="8" s="1"/>
  <c r="D57" i="8" a="1"/>
  <c r="D57" i="8" s="1"/>
  <c r="K56" i="8" a="1"/>
  <c r="K56" i="8" s="1"/>
  <c r="J56" i="8" a="1"/>
  <c r="J56" i="8" s="1"/>
  <c r="I56" i="8" a="1"/>
  <c r="I56" i="8" s="1"/>
  <c r="H56" i="8" a="1"/>
  <c r="H56" i="8" s="1"/>
  <c r="G56" i="8" a="1"/>
  <c r="G56" i="8" s="1"/>
  <c r="F56" i="8" a="1"/>
  <c r="F56" i="8" s="1"/>
  <c r="E56" i="8" a="1"/>
  <c r="E56" i="8" s="1"/>
  <c r="D56" i="8" a="1"/>
  <c r="D56" i="8" s="1"/>
  <c r="K55" i="8" a="1"/>
  <c r="K55" i="8" s="1"/>
  <c r="J55" i="8" a="1"/>
  <c r="J55" i="8" s="1"/>
  <c r="I55" i="8" a="1"/>
  <c r="I55" i="8" s="1"/>
  <c r="H55" i="8" a="1"/>
  <c r="H55" i="8" s="1"/>
  <c r="G55" i="8" a="1"/>
  <c r="G55" i="8" s="1"/>
  <c r="F55" i="8" a="1"/>
  <c r="F55" i="8" s="1"/>
  <c r="E55" i="8" a="1"/>
  <c r="E55" i="8" s="1"/>
  <c r="D55" i="8" a="1"/>
  <c r="D55" i="8" s="1"/>
  <c r="K54" i="8" a="1"/>
  <c r="K54" i="8" s="1"/>
  <c r="J54" i="8" a="1"/>
  <c r="J54" i="8" s="1"/>
  <c r="I54" i="8" a="1"/>
  <c r="I54" i="8" s="1"/>
  <c r="H54" i="8" a="1"/>
  <c r="H54" i="8" s="1"/>
  <c r="G54" i="8" a="1"/>
  <c r="G54" i="8" s="1"/>
  <c r="F54" i="8" a="1"/>
  <c r="F54" i="8" s="1"/>
  <c r="E54" i="8" a="1"/>
  <c r="E54" i="8" s="1"/>
  <c r="D54" i="8" a="1"/>
  <c r="D54" i="8" s="1"/>
  <c r="K53" i="8" a="1"/>
  <c r="K53" i="8" s="1"/>
  <c r="J53" i="8" a="1"/>
  <c r="J53" i="8" s="1"/>
  <c r="I53" i="8" a="1"/>
  <c r="I53" i="8" s="1"/>
  <c r="H53" i="8" a="1"/>
  <c r="H53" i="8" s="1"/>
  <c r="G53" i="8" a="1"/>
  <c r="G53" i="8" s="1"/>
  <c r="F53" i="8" a="1"/>
  <c r="F53" i="8" s="1"/>
  <c r="E53" i="8" a="1"/>
  <c r="E53" i="8" s="1"/>
  <c r="D53" i="8" a="1"/>
  <c r="D53" i="8" s="1"/>
  <c r="K52" i="8" a="1"/>
  <c r="K52" i="8" s="1"/>
  <c r="J52" i="8" a="1"/>
  <c r="J52" i="8" s="1"/>
  <c r="I52" i="8" a="1"/>
  <c r="I52" i="8" s="1"/>
  <c r="H52" i="8" a="1"/>
  <c r="H52" i="8" s="1"/>
  <c r="G52" i="8" a="1"/>
  <c r="G52" i="8" s="1"/>
  <c r="F52" i="8" a="1"/>
  <c r="F52" i="8" s="1"/>
  <c r="E52" i="8" a="1"/>
  <c r="E52" i="8" s="1"/>
  <c r="D52" i="8" a="1"/>
  <c r="D52" i="8" s="1"/>
  <c r="K51" i="8" a="1"/>
  <c r="K51" i="8" s="1"/>
  <c r="J51" i="8" a="1"/>
  <c r="J51" i="8" s="1"/>
  <c r="I51" i="8" a="1"/>
  <c r="I51" i="8" s="1"/>
  <c r="H51" i="8" a="1"/>
  <c r="H51" i="8" s="1"/>
  <c r="G51" i="8" a="1"/>
  <c r="G51" i="8" s="1"/>
  <c r="F51" i="8" a="1"/>
  <c r="F51" i="8" s="1"/>
  <c r="E51" i="8" a="1"/>
  <c r="E51" i="8" s="1"/>
  <c r="D51" i="8" a="1"/>
  <c r="D51" i="8" s="1"/>
  <c r="K50" i="8" a="1"/>
  <c r="K50" i="8" s="1"/>
  <c r="J50" i="8" a="1"/>
  <c r="J50" i="8" s="1"/>
  <c r="I50" i="8" a="1"/>
  <c r="I50" i="8" s="1"/>
  <c r="H50" i="8" a="1"/>
  <c r="H50" i="8" s="1"/>
  <c r="G50" i="8" a="1"/>
  <c r="G50" i="8" s="1"/>
  <c r="F50" i="8" a="1"/>
  <c r="F50" i="8" s="1"/>
  <c r="E50" i="8" a="1"/>
  <c r="E50" i="8" s="1"/>
  <c r="D50" i="8" a="1"/>
  <c r="D50" i="8" s="1"/>
  <c r="K49" i="8" a="1"/>
  <c r="K49" i="8" s="1"/>
  <c r="J49" i="8" a="1"/>
  <c r="J49" i="8" s="1"/>
  <c r="I49" i="8" a="1"/>
  <c r="I49" i="8" s="1"/>
  <c r="H49" i="8" a="1"/>
  <c r="H49" i="8" s="1"/>
  <c r="G49" i="8" a="1"/>
  <c r="G49" i="8" s="1"/>
  <c r="F49" i="8" a="1"/>
  <c r="F49" i="8" s="1"/>
  <c r="E49" i="8" a="1"/>
  <c r="E49" i="8" s="1"/>
  <c r="D49" i="8" a="1"/>
  <c r="D49" i="8" s="1"/>
  <c r="K48" i="8" a="1"/>
  <c r="K48" i="8" s="1"/>
  <c r="J48" i="8" a="1"/>
  <c r="J48" i="8" s="1"/>
  <c r="I48" i="8" a="1"/>
  <c r="I48" i="8" s="1"/>
  <c r="H48" i="8" a="1"/>
  <c r="H48" i="8" s="1"/>
  <c r="G48" i="8" a="1"/>
  <c r="G48" i="8" s="1"/>
  <c r="F48" i="8" a="1"/>
  <c r="F48" i="8" s="1"/>
  <c r="E48" i="8" a="1"/>
  <c r="E48" i="8" s="1"/>
  <c r="D48" i="8" a="1"/>
  <c r="D48" i="8" s="1"/>
  <c r="K47" i="8" a="1"/>
  <c r="K47" i="8" s="1"/>
  <c r="J47" i="8" a="1"/>
  <c r="J47" i="8" s="1"/>
  <c r="I47" i="8" a="1"/>
  <c r="I47" i="8" s="1"/>
  <c r="H47" i="8" a="1"/>
  <c r="H47" i="8" s="1"/>
  <c r="G47" i="8" a="1"/>
  <c r="G47" i="8" s="1"/>
  <c r="F47" i="8" a="1"/>
  <c r="F47" i="8" s="1"/>
  <c r="E47" i="8" a="1"/>
  <c r="E47" i="8" s="1"/>
  <c r="D47" i="8" a="1"/>
  <c r="D47" i="8" s="1"/>
  <c r="K46" i="8" a="1"/>
  <c r="K46" i="8" s="1"/>
  <c r="J46" i="8" a="1"/>
  <c r="J46" i="8" s="1"/>
  <c r="I46" i="8" a="1"/>
  <c r="I46" i="8" s="1"/>
  <c r="H46" i="8" a="1"/>
  <c r="H46" i="8" s="1"/>
  <c r="G46" i="8" a="1"/>
  <c r="G46" i="8" s="1"/>
  <c r="F46" i="8" a="1"/>
  <c r="F46" i="8" s="1"/>
  <c r="E46" i="8" a="1"/>
  <c r="E46" i="8" s="1"/>
  <c r="D46" i="8" a="1"/>
  <c r="D46" i="8" s="1"/>
  <c r="K45" i="8" a="1"/>
  <c r="K45" i="8" s="1"/>
  <c r="J45" i="8" a="1"/>
  <c r="J45" i="8" s="1"/>
  <c r="I45" i="8" a="1"/>
  <c r="I45" i="8" s="1"/>
  <c r="H45" i="8" a="1"/>
  <c r="H45" i="8" s="1"/>
  <c r="G45" i="8" a="1"/>
  <c r="G45" i="8" s="1"/>
  <c r="F45" i="8" a="1"/>
  <c r="F45" i="8" s="1"/>
  <c r="E45" i="8" a="1"/>
  <c r="E45" i="8" s="1"/>
  <c r="D45" i="8" a="1"/>
  <c r="D45" i="8" s="1"/>
  <c r="K44" i="8" a="1"/>
  <c r="K44" i="8" s="1"/>
  <c r="J44" i="8" a="1"/>
  <c r="J44" i="8" s="1"/>
  <c r="I44" i="8" a="1"/>
  <c r="I44" i="8" s="1"/>
  <c r="H44" i="8" a="1"/>
  <c r="H44" i="8" s="1"/>
  <c r="G44" i="8" a="1"/>
  <c r="G44" i="8" s="1"/>
  <c r="F44" i="8" a="1"/>
  <c r="F44" i="8" s="1"/>
  <c r="E44" i="8" a="1"/>
  <c r="E44" i="8" s="1"/>
  <c r="D44" i="8" a="1"/>
  <c r="D44" i="8" s="1"/>
  <c r="K43" i="8" a="1"/>
  <c r="K43" i="8" s="1"/>
  <c r="J43" i="8" a="1"/>
  <c r="J43" i="8" s="1"/>
  <c r="I43" i="8" a="1"/>
  <c r="I43" i="8" s="1"/>
  <c r="H43" i="8" a="1"/>
  <c r="H43" i="8" s="1"/>
  <c r="G43" i="8" a="1"/>
  <c r="G43" i="8" s="1"/>
  <c r="F43" i="8" a="1"/>
  <c r="F43" i="8" s="1"/>
  <c r="E43" i="8" a="1"/>
  <c r="E43" i="8" s="1"/>
  <c r="D43" i="8" a="1"/>
  <c r="D43" i="8" s="1"/>
  <c r="K42" i="8" a="1"/>
  <c r="K42" i="8" s="1"/>
  <c r="J42" i="8" a="1"/>
  <c r="J42" i="8" s="1"/>
  <c r="I42" i="8" a="1"/>
  <c r="I42" i="8" s="1"/>
  <c r="H42" i="8" a="1"/>
  <c r="H42" i="8" s="1"/>
  <c r="G42" i="8" a="1"/>
  <c r="G42" i="8" s="1"/>
  <c r="F42" i="8" a="1"/>
  <c r="F42" i="8" s="1"/>
  <c r="E42" i="8" a="1"/>
  <c r="E42" i="8" s="1"/>
  <c r="D42" i="8" a="1"/>
  <c r="D42" i="8" s="1"/>
  <c r="K41" i="8" a="1"/>
  <c r="K41" i="8" s="1"/>
  <c r="J41" i="8" a="1"/>
  <c r="J41" i="8" s="1"/>
  <c r="I41" i="8" a="1"/>
  <c r="I41" i="8" s="1"/>
  <c r="H41" i="8" a="1"/>
  <c r="H41" i="8" s="1"/>
  <c r="G41" i="8" a="1"/>
  <c r="G41" i="8" s="1"/>
  <c r="F41" i="8" a="1"/>
  <c r="F41" i="8" s="1"/>
  <c r="E41" i="8" a="1"/>
  <c r="E41" i="8" s="1"/>
  <c r="D41" i="8" a="1"/>
  <c r="D41" i="8" s="1"/>
  <c r="K40" i="8" a="1"/>
  <c r="K40" i="8" s="1"/>
  <c r="J40" i="8" a="1"/>
  <c r="J40" i="8" s="1"/>
  <c r="I40" i="8" a="1"/>
  <c r="I40" i="8" s="1"/>
  <c r="H40" i="8" a="1"/>
  <c r="H40" i="8" s="1"/>
  <c r="G40" i="8" a="1"/>
  <c r="G40" i="8" s="1"/>
  <c r="F40" i="8" a="1"/>
  <c r="F40" i="8" s="1"/>
  <c r="E40" i="8" a="1"/>
  <c r="E40" i="8" s="1"/>
  <c r="D40" i="8" a="1"/>
  <c r="D40" i="8" s="1"/>
  <c r="K39" i="8" a="1"/>
  <c r="K39" i="8" s="1"/>
  <c r="J39" i="8" a="1"/>
  <c r="J39" i="8" s="1"/>
  <c r="I39" i="8" a="1"/>
  <c r="I39" i="8" s="1"/>
  <c r="H39" i="8" a="1"/>
  <c r="H39" i="8" s="1"/>
  <c r="G39" i="8" a="1"/>
  <c r="G39" i="8" s="1"/>
  <c r="F39" i="8" a="1"/>
  <c r="F39" i="8" s="1"/>
  <c r="E39" i="8" a="1"/>
  <c r="E39" i="8" s="1"/>
  <c r="D39" i="8" a="1"/>
  <c r="D39" i="8" s="1"/>
  <c r="K38" i="8" a="1"/>
  <c r="K38" i="8" s="1"/>
  <c r="J38" i="8" a="1"/>
  <c r="J38" i="8" s="1"/>
  <c r="I38" i="8" a="1"/>
  <c r="I38" i="8" s="1"/>
  <c r="H38" i="8" a="1"/>
  <c r="H38" i="8" s="1"/>
  <c r="G38" i="8" a="1"/>
  <c r="G38" i="8" s="1"/>
  <c r="F38" i="8" a="1"/>
  <c r="F38" i="8" s="1"/>
  <c r="E38" i="8" a="1"/>
  <c r="E38" i="8" s="1"/>
  <c r="D38" i="8" a="1"/>
  <c r="D38" i="8" s="1"/>
  <c r="K37" i="8" a="1"/>
  <c r="K37" i="8" s="1"/>
  <c r="J37" i="8" a="1"/>
  <c r="J37" i="8" s="1"/>
  <c r="I37" i="8" a="1"/>
  <c r="I37" i="8" s="1"/>
  <c r="H37" i="8" a="1"/>
  <c r="H37" i="8" s="1"/>
  <c r="G37" i="8" a="1"/>
  <c r="G37" i="8" s="1"/>
  <c r="F37" i="8" a="1"/>
  <c r="F37" i="8" s="1"/>
  <c r="E37" i="8" a="1"/>
  <c r="E37" i="8" s="1"/>
  <c r="D37" i="8" a="1"/>
  <c r="D37" i="8" s="1"/>
  <c r="K36" i="8" a="1"/>
  <c r="K36" i="8" s="1"/>
  <c r="J36" i="8" a="1"/>
  <c r="J36" i="8" s="1"/>
  <c r="I36" i="8" a="1"/>
  <c r="I36" i="8" s="1"/>
  <c r="H36" i="8" a="1"/>
  <c r="H36" i="8" s="1"/>
  <c r="G36" i="8" a="1"/>
  <c r="G36" i="8" s="1"/>
  <c r="F36" i="8" a="1"/>
  <c r="F36" i="8" s="1"/>
  <c r="E36" i="8" a="1"/>
  <c r="E36" i="8" s="1"/>
  <c r="D36" i="8" a="1"/>
  <c r="D36" i="8" s="1"/>
  <c r="K35" i="8" a="1"/>
  <c r="K35" i="8" s="1"/>
  <c r="J35" i="8" a="1"/>
  <c r="J35" i="8" s="1"/>
  <c r="I35" i="8" a="1"/>
  <c r="I35" i="8" s="1"/>
  <c r="H35" i="8" a="1"/>
  <c r="H35" i="8" s="1"/>
  <c r="G35" i="8" a="1"/>
  <c r="G35" i="8" s="1"/>
  <c r="F35" i="8" a="1"/>
  <c r="F35" i="8" s="1"/>
  <c r="E35" i="8" a="1"/>
  <c r="E35" i="8" s="1"/>
  <c r="D35" i="8" a="1"/>
  <c r="D35" i="8" s="1"/>
  <c r="K34" i="8" a="1"/>
  <c r="K34" i="8" s="1"/>
  <c r="J34" i="8" a="1"/>
  <c r="J34" i="8" s="1"/>
  <c r="I34" i="8" a="1"/>
  <c r="I34" i="8" s="1"/>
  <c r="H34" i="8" a="1"/>
  <c r="H34" i="8" s="1"/>
  <c r="G34" i="8" a="1"/>
  <c r="G34" i="8" s="1"/>
  <c r="F34" i="8" a="1"/>
  <c r="F34" i="8" s="1"/>
  <c r="E34" i="8" a="1"/>
  <c r="E34" i="8" s="1"/>
  <c r="D34" i="8" a="1"/>
  <c r="D34" i="8" s="1"/>
  <c r="K33" i="8" a="1"/>
  <c r="K33" i="8" s="1"/>
  <c r="J33" i="8" a="1"/>
  <c r="J33" i="8" s="1"/>
  <c r="I33" i="8" a="1"/>
  <c r="I33" i="8" s="1"/>
  <c r="H33" i="8" a="1"/>
  <c r="H33" i="8" s="1"/>
  <c r="G33" i="8" a="1"/>
  <c r="G33" i="8" s="1"/>
  <c r="F33" i="8" a="1"/>
  <c r="F33" i="8" s="1"/>
  <c r="E33" i="8" a="1"/>
  <c r="E33" i="8" s="1"/>
  <c r="D33" i="8" a="1"/>
  <c r="D33" i="8" s="1"/>
  <c r="K32" i="8" a="1"/>
  <c r="K32" i="8" s="1"/>
  <c r="J32" i="8" a="1"/>
  <c r="J32" i="8" s="1"/>
  <c r="I32" i="8" a="1"/>
  <c r="I32" i="8" s="1"/>
  <c r="H32" i="8" a="1"/>
  <c r="H32" i="8" s="1"/>
  <c r="G32" i="8" a="1"/>
  <c r="G32" i="8" s="1"/>
  <c r="F32" i="8" a="1"/>
  <c r="F32" i="8" s="1"/>
  <c r="E32" i="8" a="1"/>
  <c r="E32" i="8" s="1"/>
  <c r="D32" i="8" a="1"/>
  <c r="D32" i="8" s="1"/>
  <c r="K31" i="8" a="1"/>
  <c r="K31" i="8" s="1"/>
  <c r="J31" i="8" a="1"/>
  <c r="J31" i="8" s="1"/>
  <c r="I31" i="8" a="1"/>
  <c r="I31" i="8" s="1"/>
  <c r="H31" i="8" a="1"/>
  <c r="H31" i="8" s="1"/>
  <c r="G31" i="8" a="1"/>
  <c r="G31" i="8" s="1"/>
  <c r="F31" i="8" a="1"/>
  <c r="F31" i="8" s="1"/>
  <c r="E31" i="8" a="1"/>
  <c r="E31" i="8" s="1"/>
  <c r="D31" i="8" a="1"/>
  <c r="D31" i="8" s="1"/>
  <c r="K30" i="8" a="1"/>
  <c r="K30" i="8" s="1"/>
  <c r="J30" i="8" a="1"/>
  <c r="J30" i="8" s="1"/>
  <c r="I30" i="8" a="1"/>
  <c r="I30" i="8" s="1"/>
  <c r="H30" i="8" a="1"/>
  <c r="H30" i="8" s="1"/>
  <c r="G30" i="8" a="1"/>
  <c r="G30" i="8" s="1"/>
  <c r="F30" i="8" a="1"/>
  <c r="F30" i="8" s="1"/>
  <c r="E30" i="8" a="1"/>
  <c r="E30" i="8" s="1"/>
  <c r="D30" i="8" a="1"/>
  <c r="D30" i="8" s="1"/>
  <c r="K29" i="8" a="1"/>
  <c r="K29" i="8" s="1"/>
  <c r="J29" i="8" a="1"/>
  <c r="J29" i="8" s="1"/>
  <c r="I29" i="8" a="1"/>
  <c r="I29" i="8" s="1"/>
  <c r="H29" i="8" a="1"/>
  <c r="H29" i="8" s="1"/>
  <c r="G29" i="8" a="1"/>
  <c r="G29" i="8" s="1"/>
  <c r="F29" i="8" a="1"/>
  <c r="F29" i="8" s="1"/>
  <c r="E29" i="8" a="1"/>
  <c r="E29" i="8" s="1"/>
  <c r="D29" i="8" a="1"/>
  <c r="D29" i="8" s="1"/>
  <c r="K28" i="8" a="1"/>
  <c r="K28" i="8" s="1"/>
  <c r="J28" i="8" a="1"/>
  <c r="J28" i="8" s="1"/>
  <c r="I28" i="8" a="1"/>
  <c r="I28" i="8" s="1"/>
  <c r="H28" i="8" a="1"/>
  <c r="H28" i="8" s="1"/>
  <c r="G28" i="8" a="1"/>
  <c r="G28" i="8" s="1"/>
  <c r="F28" i="8" a="1"/>
  <c r="F28" i="8" s="1"/>
  <c r="E28" i="8" a="1"/>
  <c r="E28" i="8" s="1"/>
  <c r="D28" i="8" a="1"/>
  <c r="D28" i="8" s="1"/>
  <c r="K27" i="8" a="1"/>
  <c r="K27" i="8" s="1"/>
  <c r="J27" i="8" a="1"/>
  <c r="J27" i="8" s="1"/>
  <c r="I27" i="8" a="1"/>
  <c r="I27" i="8" s="1"/>
  <c r="H27" i="8" a="1"/>
  <c r="H27" i="8" s="1"/>
  <c r="G27" i="8" a="1"/>
  <c r="G27" i="8" s="1"/>
  <c r="F27" i="8" a="1"/>
  <c r="F27" i="8" s="1"/>
  <c r="E27" i="8" a="1"/>
  <c r="E27" i="8" s="1"/>
  <c r="D27" i="8" a="1"/>
  <c r="D27" i="8" s="1"/>
  <c r="K26" i="8" a="1"/>
  <c r="K26" i="8" s="1"/>
  <c r="J26" i="8" a="1"/>
  <c r="J26" i="8" s="1"/>
  <c r="I26" i="8" a="1"/>
  <c r="I26" i="8" s="1"/>
  <c r="H26" i="8" a="1"/>
  <c r="H26" i="8" s="1"/>
  <c r="G26" i="8" a="1"/>
  <c r="G26" i="8" s="1"/>
  <c r="F26" i="8" a="1"/>
  <c r="F26" i="8" s="1"/>
  <c r="E26" i="8" a="1"/>
  <c r="E26" i="8" s="1"/>
  <c r="D26" i="8" a="1"/>
  <c r="D26" i="8" s="1"/>
  <c r="K25" i="8" a="1"/>
  <c r="K25" i="8" s="1"/>
  <c r="J25" i="8" a="1"/>
  <c r="J25" i="8" s="1"/>
  <c r="I25" i="8" a="1"/>
  <c r="I25" i="8" s="1"/>
  <c r="H25" i="8" a="1"/>
  <c r="H25" i="8" s="1"/>
  <c r="G25" i="8" a="1"/>
  <c r="G25" i="8" s="1"/>
  <c r="F25" i="8" a="1"/>
  <c r="F25" i="8" s="1"/>
  <c r="E25" i="8" a="1"/>
  <c r="E25" i="8" s="1"/>
  <c r="D25" i="8" a="1"/>
  <c r="D25" i="8" s="1"/>
  <c r="K24" i="8" a="1"/>
  <c r="K24" i="8" s="1"/>
  <c r="J24" i="8" a="1"/>
  <c r="J24" i="8" s="1"/>
  <c r="I24" i="8" a="1"/>
  <c r="I24" i="8" s="1"/>
  <c r="H24" i="8" a="1"/>
  <c r="H24" i="8" s="1"/>
  <c r="G24" i="8" a="1"/>
  <c r="G24" i="8" s="1"/>
  <c r="F24" i="8" a="1"/>
  <c r="F24" i="8" s="1"/>
  <c r="E24" i="8" a="1"/>
  <c r="E24" i="8" s="1"/>
  <c r="D24" i="8" a="1"/>
  <c r="D24" i="8" s="1"/>
  <c r="K23" i="8" a="1"/>
  <c r="K23" i="8" s="1"/>
  <c r="J23" i="8" a="1"/>
  <c r="J23" i="8" s="1"/>
  <c r="I23" i="8" a="1"/>
  <c r="I23" i="8" s="1"/>
  <c r="H23" i="8" a="1"/>
  <c r="H23" i="8" s="1"/>
  <c r="G23" i="8" a="1"/>
  <c r="G23" i="8" s="1"/>
  <c r="F23" i="8" a="1"/>
  <c r="F23" i="8" s="1"/>
  <c r="E23" i="8" a="1"/>
  <c r="E23" i="8" s="1"/>
  <c r="D23" i="8" a="1"/>
  <c r="D23" i="8" s="1"/>
  <c r="K22" i="8" a="1"/>
  <c r="K22" i="8" s="1"/>
  <c r="J22" i="8" a="1"/>
  <c r="J22" i="8" s="1"/>
  <c r="I22" i="8" a="1"/>
  <c r="I22" i="8" s="1"/>
  <c r="H22" i="8" a="1"/>
  <c r="H22" i="8" s="1"/>
  <c r="G22" i="8" a="1"/>
  <c r="G22" i="8" s="1"/>
  <c r="F22" i="8" a="1"/>
  <c r="F22" i="8" s="1"/>
  <c r="E22" i="8" a="1"/>
  <c r="E22" i="8" s="1"/>
  <c r="D22" i="8" a="1"/>
  <c r="D22" i="8" s="1"/>
  <c r="K21" i="8" a="1"/>
  <c r="K21" i="8" s="1"/>
  <c r="J21" i="8" a="1"/>
  <c r="J21" i="8" s="1"/>
  <c r="I21" i="8" a="1"/>
  <c r="I21" i="8" s="1"/>
  <c r="H21" i="8" a="1"/>
  <c r="H21" i="8" s="1"/>
  <c r="G21" i="8" a="1"/>
  <c r="G21" i="8" s="1"/>
  <c r="F21" i="8" a="1"/>
  <c r="F21" i="8" s="1"/>
  <c r="E21" i="8" a="1"/>
  <c r="E21" i="8" s="1"/>
  <c r="D21" i="8" a="1"/>
  <c r="D21" i="8" s="1"/>
  <c r="K20" i="8" a="1"/>
  <c r="K20" i="8" s="1"/>
  <c r="J20" i="8" a="1"/>
  <c r="J20" i="8" s="1"/>
  <c r="I20" i="8" a="1"/>
  <c r="I20" i="8" s="1"/>
  <c r="H20" i="8" a="1"/>
  <c r="H20" i="8" s="1"/>
  <c r="G20" i="8" a="1"/>
  <c r="G20" i="8" s="1"/>
  <c r="F20" i="8" a="1"/>
  <c r="F20" i="8" s="1"/>
  <c r="E20" i="8" a="1"/>
  <c r="E20" i="8" s="1"/>
  <c r="D20" i="8" a="1"/>
  <c r="D20" i="8" s="1"/>
  <c r="K19" i="8" a="1"/>
  <c r="K19" i="8" s="1"/>
  <c r="J19" i="8" a="1"/>
  <c r="J19" i="8" s="1"/>
  <c r="I19" i="8" a="1"/>
  <c r="I19" i="8" s="1"/>
  <c r="H19" i="8" a="1"/>
  <c r="H19" i="8" s="1"/>
  <c r="G19" i="8" a="1"/>
  <c r="G19" i="8" s="1"/>
  <c r="F19" i="8" a="1"/>
  <c r="F19" i="8" s="1"/>
  <c r="E19" i="8" a="1"/>
  <c r="E19" i="8" s="1"/>
  <c r="D19" i="8" a="1"/>
  <c r="D19" i="8" s="1"/>
  <c r="K18" i="8" a="1"/>
  <c r="K18" i="8" s="1"/>
  <c r="J18" i="8" a="1"/>
  <c r="J18" i="8" s="1"/>
  <c r="I18" i="8" a="1"/>
  <c r="I18" i="8" s="1"/>
  <c r="H18" i="8" a="1"/>
  <c r="H18" i="8" s="1"/>
  <c r="G18" i="8" a="1"/>
  <c r="G18" i="8" s="1"/>
  <c r="F18" i="8" a="1"/>
  <c r="F18" i="8" s="1"/>
  <c r="E18" i="8" a="1"/>
  <c r="E18" i="8" s="1"/>
  <c r="D18" i="8" a="1"/>
  <c r="D18" i="8" s="1"/>
  <c r="K17" i="8" a="1"/>
  <c r="K17" i="8" s="1"/>
  <c r="J17" i="8" a="1"/>
  <c r="J17" i="8" s="1"/>
  <c r="I17" i="8" a="1"/>
  <c r="I17" i="8" s="1"/>
  <c r="H17" i="8" a="1"/>
  <c r="H17" i="8" s="1"/>
  <c r="G17" i="8" a="1"/>
  <c r="G17" i="8" s="1"/>
  <c r="F17" i="8" a="1"/>
  <c r="F17" i="8" s="1"/>
  <c r="E17" i="8" a="1"/>
  <c r="E17" i="8" s="1"/>
  <c r="D17" i="8" a="1"/>
  <c r="D17" i="8" s="1"/>
  <c r="K16" i="8" a="1"/>
  <c r="K16" i="8" s="1"/>
  <c r="J16" i="8" a="1"/>
  <c r="J16" i="8" s="1"/>
  <c r="I16" i="8" a="1"/>
  <c r="I16" i="8" s="1"/>
  <c r="H16" i="8" a="1"/>
  <c r="H16" i="8" s="1"/>
  <c r="G16" i="8" a="1"/>
  <c r="G16" i="8" s="1"/>
  <c r="F16" i="8" a="1"/>
  <c r="F16" i="8" s="1"/>
  <c r="E16" i="8" a="1"/>
  <c r="E16" i="8" s="1"/>
  <c r="D16" i="8" a="1"/>
  <c r="D16" i="8" s="1"/>
  <c r="K15" i="8" a="1"/>
  <c r="K15" i="8" s="1"/>
  <c r="J15" i="8" a="1"/>
  <c r="J15" i="8" s="1"/>
  <c r="I15" i="8" a="1"/>
  <c r="I15" i="8" s="1"/>
  <c r="H15" i="8" a="1"/>
  <c r="H15" i="8" s="1"/>
  <c r="G15" i="8" a="1"/>
  <c r="G15" i="8" s="1"/>
  <c r="F15" i="8" a="1"/>
  <c r="F15" i="8" s="1"/>
  <c r="E15" i="8" a="1"/>
  <c r="E15" i="8" s="1"/>
  <c r="D15" i="8" a="1"/>
  <c r="D15" i="8" s="1"/>
  <c r="K14" i="8" a="1"/>
  <c r="K14" i="8" s="1"/>
  <c r="J14" i="8" a="1"/>
  <c r="J14" i="8" s="1"/>
  <c r="I14" i="8" a="1"/>
  <c r="I14" i="8" s="1"/>
  <c r="H14" i="8" a="1"/>
  <c r="H14" i="8" s="1"/>
  <c r="G14" i="8" a="1"/>
  <c r="G14" i="8" s="1"/>
  <c r="F14" i="8" a="1"/>
  <c r="F14" i="8" s="1"/>
  <c r="E14" i="8" a="1"/>
  <c r="E14" i="8" s="1"/>
  <c r="D14" i="8" a="1"/>
  <c r="D14" i="8" s="1"/>
  <c r="K13" i="8" a="1"/>
  <c r="K13" i="8" s="1"/>
  <c r="J13" i="8" a="1"/>
  <c r="J13" i="8" s="1"/>
  <c r="I13" i="8" a="1"/>
  <c r="I13" i="8" s="1"/>
  <c r="H13" i="8" a="1"/>
  <c r="H13" i="8" s="1"/>
  <c r="G13" i="8" a="1"/>
  <c r="G13" i="8" s="1"/>
  <c r="F13" i="8" a="1"/>
  <c r="F13" i="8" s="1"/>
  <c r="E13" i="8" a="1"/>
  <c r="E13" i="8" s="1"/>
  <c r="D13" i="8" a="1"/>
  <c r="D13" i="8" s="1"/>
  <c r="K12" i="8" a="1"/>
  <c r="K12" i="8" s="1"/>
  <c r="J12" i="8" a="1"/>
  <c r="J12" i="8" s="1"/>
  <c r="I12" i="8" a="1"/>
  <c r="I12" i="8" s="1"/>
  <c r="H12" i="8" a="1"/>
  <c r="H12" i="8" s="1"/>
  <c r="G12" i="8" a="1"/>
  <c r="G12" i="8" s="1"/>
  <c r="F12" i="8" a="1"/>
  <c r="F12" i="8" s="1"/>
  <c r="E12" i="8" a="1"/>
  <c r="E12" i="8" s="1"/>
  <c r="D12" i="8" a="1"/>
  <c r="D12" i="8" s="1"/>
  <c r="K11" i="8" a="1"/>
  <c r="K11" i="8" s="1"/>
  <c r="J11" i="8" a="1"/>
  <c r="J11" i="8" s="1"/>
  <c r="I11" i="8" a="1"/>
  <c r="I11" i="8" s="1"/>
  <c r="H11" i="8" a="1"/>
  <c r="H11" i="8" s="1"/>
  <c r="G11" i="8" a="1"/>
  <c r="G11" i="8" s="1"/>
  <c r="F11" i="8" a="1"/>
  <c r="F11" i="8" s="1"/>
  <c r="E11" i="8" a="1"/>
  <c r="E11" i="8" s="1"/>
  <c r="D11" i="8" a="1"/>
  <c r="D11" i="8" s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F10" i="8" a="1"/>
  <c r="F10" i="8" s="1"/>
  <c r="E10" i="8" a="1"/>
  <c r="E10" i="8" s="1"/>
  <c r="D10" i="8" a="1"/>
  <c r="D10" i="8" s="1"/>
  <c r="K9" i="8" a="1"/>
  <c r="K9" i="8" s="1"/>
  <c r="J9" i="8" a="1"/>
  <c r="J9" i="8" s="1"/>
  <c r="I9" i="8" a="1"/>
  <c r="I9" i="8" s="1"/>
  <c r="H9" i="8" a="1"/>
  <c r="H9" i="8" s="1"/>
  <c r="G9" i="8" a="1"/>
  <c r="G9" i="8" s="1"/>
  <c r="F9" i="8" a="1"/>
  <c r="F9" i="8" s="1"/>
  <c r="E9" i="8" a="1"/>
  <c r="E9" i="8" s="1"/>
  <c r="D9" i="8" a="1"/>
  <c r="D9" i="8" s="1"/>
  <c r="K8" i="8" a="1"/>
  <c r="K8" i="8" s="1"/>
  <c r="J8" i="8" a="1"/>
  <c r="J8" i="8" s="1"/>
  <c r="I8" i="8" a="1"/>
  <c r="I8" i="8" s="1"/>
  <c r="H8" i="8" a="1"/>
  <c r="H8" i="8" s="1"/>
  <c r="G8" i="8" a="1"/>
  <c r="G8" i="8" s="1"/>
  <c r="F8" i="8" a="1"/>
  <c r="F8" i="8" s="1"/>
  <c r="E8" i="8" a="1"/>
  <c r="E8" i="8" s="1"/>
  <c r="D8" i="8" a="1"/>
  <c r="D8" i="8" s="1"/>
  <c r="K7" i="8" a="1"/>
  <c r="K7" i="8" s="1"/>
  <c r="J7" i="8" a="1"/>
  <c r="J7" i="8" s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 a="1"/>
  <c r="D7" i="8" s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 a="1"/>
  <c r="F6" i="8" s="1"/>
  <c r="E6" i="8" a="1"/>
  <c r="E6" i="8" s="1"/>
  <c r="D6" i="8" a="1"/>
  <c r="D6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K4" i="8" a="1"/>
  <c r="K4" i="8" s="1"/>
  <c r="J4" i="8" a="1"/>
  <c r="J4" i="8" s="1"/>
  <c r="I4" i="8" a="1"/>
  <c r="I4" i="8" s="1"/>
  <c r="H4" i="8" a="1"/>
  <c r="H4" i="8" s="1"/>
  <c r="G4" i="8" a="1"/>
  <c r="G4" i="8" s="1"/>
  <c r="F4" i="8" a="1"/>
  <c r="F4" i="8" s="1"/>
  <c r="E4" i="8" a="1"/>
  <c r="E4" i="8" s="1"/>
  <c r="D4" i="8" a="1"/>
  <c r="D4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K2" i="8" a="1"/>
  <c r="K2" i="8" s="1"/>
  <c r="J2" i="8" a="1"/>
  <c r="J2" i="8" s="1"/>
  <c r="I2" i="8" a="1"/>
  <c r="I2" i="8" s="1"/>
  <c r="H2" i="8" a="1"/>
  <c r="H2" i="8" s="1"/>
  <c r="G2" i="8" a="1"/>
  <c r="G2" i="8" s="1"/>
  <c r="F2" i="8" a="1"/>
  <c r="F2" i="8" s="1"/>
  <c r="E2" i="8" a="1"/>
  <c r="E2" i="8" s="1"/>
  <c r="D2" i="8" a="1"/>
  <c r="D2" i="8" s="1"/>
  <c r="K113" i="7" a="1"/>
  <c r="K113" i="7"/>
  <c r="J113" i="7" a="1"/>
  <c r="J113" i="7"/>
  <c r="I113" i="7" a="1"/>
  <c r="I113" i="7"/>
  <c r="H113" i="7" a="1"/>
  <c r="H113" i="7"/>
  <c r="G113" i="7" a="1"/>
  <c r="G113" i="7"/>
  <c r="F113" i="7" a="1"/>
  <c r="F113" i="7"/>
  <c r="E113" i="7" a="1"/>
  <c r="E113" i="7"/>
  <c r="D113" i="7" a="1"/>
  <c r="D113" i="7"/>
  <c r="K112" i="7" a="1"/>
  <c r="K112" i="7"/>
  <c r="J112" i="7" a="1"/>
  <c r="J112" i="7"/>
  <c r="I112" i="7" a="1"/>
  <c r="I112" i="7"/>
  <c r="H112" i="7" a="1"/>
  <c r="H112" i="7"/>
  <c r="G112" i="7" a="1"/>
  <c r="G112" i="7"/>
  <c r="F112" i="7" a="1"/>
  <c r="F112" i="7"/>
  <c r="E112" i="7" a="1"/>
  <c r="E112" i="7"/>
  <c r="D112" i="7" a="1"/>
  <c r="D112" i="7"/>
  <c r="K111" i="7" a="1"/>
  <c r="K111" i="7"/>
  <c r="J111" i="7" a="1"/>
  <c r="J111" i="7"/>
  <c r="I111" i="7" a="1"/>
  <c r="I111" i="7"/>
  <c r="H111" i="7" a="1"/>
  <c r="H111" i="7"/>
  <c r="G111" i="7" a="1"/>
  <c r="G111" i="7"/>
  <c r="F111" i="7" a="1"/>
  <c r="F111" i="7"/>
  <c r="E111" i="7" a="1"/>
  <c r="E111" i="7"/>
  <c r="D111" i="7" a="1"/>
  <c r="D111" i="7"/>
  <c r="K110" i="7" a="1"/>
  <c r="K110" i="7"/>
  <c r="J110" i="7" a="1"/>
  <c r="J110" i="7"/>
  <c r="I110" i="7" a="1"/>
  <c r="I110" i="7"/>
  <c r="H110" i="7" a="1"/>
  <c r="H110" i="7"/>
  <c r="G110" i="7" a="1"/>
  <c r="G110" i="7"/>
  <c r="F110" i="7" a="1"/>
  <c r="F110" i="7"/>
  <c r="E110" i="7" a="1"/>
  <c r="E110" i="7"/>
  <c r="D110" i="7" a="1"/>
  <c r="D110" i="7"/>
  <c r="K109" i="7" a="1"/>
  <c r="K109" i="7"/>
  <c r="J109" i="7" a="1"/>
  <c r="J109" i="7"/>
  <c r="I109" i="7" a="1"/>
  <c r="I109" i="7"/>
  <c r="H109" i="7" a="1"/>
  <c r="H109" i="7"/>
  <c r="G109" i="7" a="1"/>
  <c r="G109" i="7"/>
  <c r="F109" i="7" a="1"/>
  <c r="F109" i="7"/>
  <c r="E109" i="7" a="1"/>
  <c r="E109" i="7"/>
  <c r="D109" i="7" a="1"/>
  <c r="D109" i="7"/>
  <c r="K108" i="7" a="1"/>
  <c r="K108" i="7"/>
  <c r="J108" i="7" a="1"/>
  <c r="J108" i="7"/>
  <c r="I108" i="7" a="1"/>
  <c r="I108" i="7"/>
  <c r="H108" i="7" a="1"/>
  <c r="H108" i="7"/>
  <c r="G108" i="7" a="1"/>
  <c r="G108" i="7"/>
  <c r="F108" i="7" a="1"/>
  <c r="F108" i="7"/>
  <c r="E108" i="7" a="1"/>
  <c r="E108" i="7"/>
  <c r="D108" i="7" a="1"/>
  <c r="D108" i="7"/>
  <c r="K107" i="7" a="1"/>
  <c r="K107" i="7"/>
  <c r="J107" i="7" a="1"/>
  <c r="J107" i="7"/>
  <c r="I107" i="7" a="1"/>
  <c r="I107" i="7"/>
  <c r="H107" i="7" a="1"/>
  <c r="H107" i="7"/>
  <c r="G107" i="7" a="1"/>
  <c r="G107" i="7"/>
  <c r="F107" i="7" a="1"/>
  <c r="F107" i="7"/>
  <c r="E107" i="7" a="1"/>
  <c r="E107" i="7"/>
  <c r="D107" i="7" a="1"/>
  <c r="D107" i="7"/>
  <c r="K106" i="7" a="1"/>
  <c r="K106" i="7"/>
  <c r="J106" i="7" a="1"/>
  <c r="J106" i="7"/>
  <c r="I106" i="7" a="1"/>
  <c r="I106" i="7"/>
  <c r="H106" i="7" a="1"/>
  <c r="H106" i="7"/>
  <c r="G106" i="7" a="1"/>
  <c r="G106" i="7"/>
  <c r="F106" i="7" a="1"/>
  <c r="F106" i="7"/>
  <c r="E106" i="7" a="1"/>
  <c r="E106" i="7"/>
  <c r="D106" i="7" a="1"/>
  <c r="D106" i="7"/>
  <c r="K105" i="7" a="1"/>
  <c r="K105" i="7"/>
  <c r="J105" i="7" a="1"/>
  <c r="J105" i="7"/>
  <c r="I105" i="7" a="1"/>
  <c r="I105" i="7"/>
  <c r="H105" i="7" a="1"/>
  <c r="H105" i="7"/>
  <c r="G105" i="7" a="1"/>
  <c r="G105" i="7"/>
  <c r="F105" i="7" a="1"/>
  <c r="F105" i="7"/>
  <c r="E105" i="7" a="1"/>
  <c r="E105" i="7"/>
  <c r="D105" i="7" a="1"/>
  <c r="D105" i="7"/>
  <c r="K104" i="7" a="1"/>
  <c r="K104" i="7"/>
  <c r="J104" i="7" a="1"/>
  <c r="J104" i="7"/>
  <c r="I104" i="7" a="1"/>
  <c r="I104" i="7"/>
  <c r="H104" i="7" a="1"/>
  <c r="H104" i="7"/>
  <c r="G104" i="7" a="1"/>
  <c r="G104" i="7"/>
  <c r="F104" i="7" a="1"/>
  <c r="F104" i="7"/>
  <c r="E104" i="7" a="1"/>
  <c r="E104" i="7"/>
  <c r="D104" i="7" a="1"/>
  <c r="D104" i="7"/>
  <c r="K103" i="7" a="1"/>
  <c r="K103" i="7"/>
  <c r="J103" i="7" a="1"/>
  <c r="J103" i="7"/>
  <c r="I103" i="7" a="1"/>
  <c r="I103" i="7"/>
  <c r="H103" i="7" a="1"/>
  <c r="H103" i="7"/>
  <c r="G103" i="7" a="1"/>
  <c r="G103" i="7"/>
  <c r="F103" i="7" a="1"/>
  <c r="F103" i="7"/>
  <c r="E103" i="7" a="1"/>
  <c r="E103" i="7"/>
  <c r="D103" i="7" a="1"/>
  <c r="D103" i="7"/>
  <c r="K102" i="7" a="1"/>
  <c r="K102" i="7"/>
  <c r="J102" i="7" a="1"/>
  <c r="J102" i="7"/>
  <c r="I102" i="7" a="1"/>
  <c r="I102" i="7"/>
  <c r="H102" i="7" a="1"/>
  <c r="H102" i="7"/>
  <c r="G102" i="7" a="1"/>
  <c r="G102" i="7"/>
  <c r="F102" i="7" a="1"/>
  <c r="F102" i="7"/>
  <c r="E102" i="7" a="1"/>
  <c r="E102" i="7"/>
  <c r="D102" i="7" a="1"/>
  <c r="D102" i="7"/>
  <c r="K101" i="7" a="1"/>
  <c r="K101" i="7"/>
  <c r="J101" i="7" a="1"/>
  <c r="J101" i="7"/>
  <c r="I101" i="7" a="1"/>
  <c r="I101" i="7"/>
  <c r="H101" i="7" a="1"/>
  <c r="H101" i="7"/>
  <c r="G101" i="7" a="1"/>
  <c r="G101" i="7"/>
  <c r="F101" i="7" a="1"/>
  <c r="F101" i="7"/>
  <c r="E101" i="7" a="1"/>
  <c r="E101" i="7"/>
  <c r="D101" i="7" a="1"/>
  <c r="D101" i="7"/>
  <c r="K100" i="7" a="1"/>
  <c r="K100" i="7"/>
  <c r="J100" i="7" a="1"/>
  <c r="J100" i="7"/>
  <c r="I100" i="7" a="1"/>
  <c r="I100" i="7"/>
  <c r="H100" i="7" a="1"/>
  <c r="H100" i="7"/>
  <c r="G100" i="7" a="1"/>
  <c r="G100" i="7"/>
  <c r="F100" i="7" a="1"/>
  <c r="F100" i="7"/>
  <c r="E100" i="7" a="1"/>
  <c r="E100" i="7"/>
  <c r="D100" i="7" a="1"/>
  <c r="D100" i="7"/>
  <c r="K99" i="7" a="1"/>
  <c r="K99" i="7"/>
  <c r="J99" i="7" a="1"/>
  <c r="J99" i="7"/>
  <c r="I99" i="7" a="1"/>
  <c r="I99" i="7"/>
  <c r="H99" i="7" a="1"/>
  <c r="H99" i="7"/>
  <c r="G99" i="7" a="1"/>
  <c r="G99" i="7"/>
  <c r="F99" i="7" a="1"/>
  <c r="F99" i="7"/>
  <c r="E99" i="7" a="1"/>
  <c r="E99" i="7"/>
  <c r="D99" i="7" a="1"/>
  <c r="D99" i="7"/>
  <c r="K98" i="7" a="1"/>
  <c r="K98" i="7"/>
  <c r="J98" i="7" a="1"/>
  <c r="J98" i="7"/>
  <c r="I98" i="7" a="1"/>
  <c r="I98" i="7"/>
  <c r="H98" i="7" a="1"/>
  <c r="H98" i="7"/>
  <c r="G98" i="7" a="1"/>
  <c r="G98" i="7"/>
  <c r="F98" i="7" a="1"/>
  <c r="F98" i="7"/>
  <c r="E98" i="7" a="1"/>
  <c r="E98" i="7"/>
  <c r="D98" i="7" a="1"/>
  <c r="D98" i="7"/>
  <c r="K97" i="7" a="1"/>
  <c r="K97" i="7"/>
  <c r="J97" i="7" a="1"/>
  <c r="J97" i="7"/>
  <c r="I97" i="7" a="1"/>
  <c r="I97" i="7"/>
  <c r="H97" i="7" a="1"/>
  <c r="H97" i="7"/>
  <c r="G97" i="7" a="1"/>
  <c r="G97" i="7"/>
  <c r="F97" i="7" a="1"/>
  <c r="F97" i="7"/>
  <c r="E97" i="7" a="1"/>
  <c r="E97" i="7"/>
  <c r="D97" i="7" a="1"/>
  <c r="D97" i="7"/>
  <c r="K96" i="7" a="1"/>
  <c r="K96" i="7"/>
  <c r="J96" i="7" a="1"/>
  <c r="J96" i="7"/>
  <c r="I96" i="7" a="1"/>
  <c r="I96" i="7"/>
  <c r="H96" i="7" a="1"/>
  <c r="H96" i="7"/>
  <c r="G96" i="7" a="1"/>
  <c r="G96" i="7"/>
  <c r="F96" i="7" a="1"/>
  <c r="F96" i="7"/>
  <c r="E96" i="7" a="1"/>
  <c r="E96" i="7"/>
  <c r="D96" i="7" a="1"/>
  <c r="D96" i="7"/>
  <c r="K95" i="7" a="1"/>
  <c r="K95" i="7"/>
  <c r="J95" i="7" a="1"/>
  <c r="J95" i="7"/>
  <c r="I95" i="7" a="1"/>
  <c r="I95" i="7"/>
  <c r="H95" i="7" a="1"/>
  <c r="H95" i="7"/>
  <c r="G95" i="7" a="1"/>
  <c r="G95" i="7"/>
  <c r="F95" i="7" a="1"/>
  <c r="F95" i="7"/>
  <c r="E95" i="7" a="1"/>
  <c r="E95" i="7"/>
  <c r="D95" i="7" a="1"/>
  <c r="D95" i="7"/>
  <c r="K94" i="7" a="1"/>
  <c r="K94" i="7"/>
  <c r="J94" i="7" a="1"/>
  <c r="J94" i="7"/>
  <c r="I94" i="7" a="1"/>
  <c r="I94" i="7"/>
  <c r="H94" i="7" a="1"/>
  <c r="H94" i="7"/>
  <c r="G94" i="7" a="1"/>
  <c r="G94" i="7"/>
  <c r="F94" i="7" a="1"/>
  <c r="F94" i="7"/>
  <c r="E94" i="7" a="1"/>
  <c r="E94" i="7"/>
  <c r="D94" i="7" a="1"/>
  <c r="D94" i="7"/>
  <c r="K93" i="7" a="1"/>
  <c r="K93" i="7"/>
  <c r="J93" i="7" a="1"/>
  <c r="J93" i="7"/>
  <c r="I93" i="7" a="1"/>
  <c r="I93" i="7"/>
  <c r="H93" i="7" a="1"/>
  <c r="H93" i="7"/>
  <c r="G93" i="7" a="1"/>
  <c r="G93" i="7"/>
  <c r="F93" i="7" a="1"/>
  <c r="F93" i="7"/>
  <c r="E93" i="7" a="1"/>
  <c r="E93" i="7"/>
  <c r="D93" i="7" a="1"/>
  <c r="D93" i="7"/>
  <c r="K92" i="7" a="1"/>
  <c r="K92" i="7"/>
  <c r="J92" i="7" a="1"/>
  <c r="J92" i="7"/>
  <c r="I92" i="7" a="1"/>
  <c r="I92" i="7"/>
  <c r="H92" i="7" a="1"/>
  <c r="H92" i="7"/>
  <c r="G92" i="7" a="1"/>
  <c r="G92" i="7"/>
  <c r="F92" i="7" a="1"/>
  <c r="F92" i="7"/>
  <c r="E92" i="7" a="1"/>
  <c r="E92" i="7"/>
  <c r="D92" i="7" a="1"/>
  <c r="D92" i="7"/>
  <c r="K91" i="7" a="1"/>
  <c r="K91" i="7"/>
  <c r="J91" i="7" a="1"/>
  <c r="J91" i="7"/>
  <c r="I91" i="7" a="1"/>
  <c r="I91" i="7"/>
  <c r="H91" i="7" a="1"/>
  <c r="H91" i="7"/>
  <c r="G91" i="7" a="1"/>
  <c r="G91" i="7"/>
  <c r="F91" i="7" a="1"/>
  <c r="F91" i="7"/>
  <c r="E91" i="7" a="1"/>
  <c r="E91" i="7"/>
  <c r="D91" i="7" a="1"/>
  <c r="D91" i="7"/>
  <c r="K90" i="7" a="1"/>
  <c r="K90" i="7"/>
  <c r="J90" i="7" a="1"/>
  <c r="J90" i="7"/>
  <c r="I90" i="7" a="1"/>
  <c r="I90" i="7"/>
  <c r="H90" i="7" a="1"/>
  <c r="H90" i="7"/>
  <c r="G90" i="7" a="1"/>
  <c r="G90" i="7"/>
  <c r="F90" i="7" a="1"/>
  <c r="F90" i="7"/>
  <c r="E90" i="7" a="1"/>
  <c r="E90" i="7"/>
  <c r="D90" i="7" a="1"/>
  <c r="D90" i="7"/>
  <c r="K89" i="7" a="1"/>
  <c r="K89" i="7"/>
  <c r="J89" i="7" a="1"/>
  <c r="J89" i="7"/>
  <c r="I89" i="7" a="1"/>
  <c r="I89" i="7"/>
  <c r="H89" i="7" a="1"/>
  <c r="H89" i="7"/>
  <c r="G89" i="7" a="1"/>
  <c r="G89" i="7"/>
  <c r="F89" i="7" a="1"/>
  <c r="F89" i="7"/>
  <c r="E89" i="7" a="1"/>
  <c r="E89" i="7"/>
  <c r="D89" i="7" a="1"/>
  <c r="D89" i="7"/>
  <c r="K88" i="7" a="1"/>
  <c r="K88" i="7"/>
  <c r="J88" i="7" a="1"/>
  <c r="J88" i="7"/>
  <c r="I88" i="7" a="1"/>
  <c r="I88" i="7"/>
  <c r="H88" i="7" a="1"/>
  <c r="H88" i="7"/>
  <c r="G88" i="7" a="1"/>
  <c r="G88" i="7"/>
  <c r="F88" i="7" a="1"/>
  <c r="F88" i="7"/>
  <c r="E88" i="7" a="1"/>
  <c r="E88" i="7"/>
  <c r="D88" i="7" a="1"/>
  <c r="D88" i="7"/>
  <c r="K87" i="7" a="1"/>
  <c r="K87" i="7"/>
  <c r="J87" i="7" a="1"/>
  <c r="J87" i="7"/>
  <c r="I87" i="7" a="1"/>
  <c r="I87" i="7"/>
  <c r="H87" i="7" a="1"/>
  <c r="H87" i="7"/>
  <c r="G87" i="7" a="1"/>
  <c r="G87" i="7"/>
  <c r="F87" i="7" a="1"/>
  <c r="F87" i="7"/>
  <c r="E87" i="7" a="1"/>
  <c r="E87" i="7"/>
  <c r="D87" i="7" a="1"/>
  <c r="D87" i="7"/>
  <c r="K86" i="7" a="1"/>
  <c r="K86" i="7"/>
  <c r="J86" i="7" a="1"/>
  <c r="J86" i="7"/>
  <c r="I86" i="7" a="1"/>
  <c r="I86" i="7"/>
  <c r="H86" i="7" a="1"/>
  <c r="H86" i="7"/>
  <c r="G86" i="7" a="1"/>
  <c r="G86" i="7"/>
  <c r="F86" i="7" a="1"/>
  <c r="F86" i="7"/>
  <c r="E86" i="7" a="1"/>
  <c r="E86" i="7"/>
  <c r="D86" i="7" a="1"/>
  <c r="D86" i="7"/>
  <c r="K85" i="7" a="1"/>
  <c r="K85" i="7"/>
  <c r="J85" i="7" a="1"/>
  <c r="J85" i="7"/>
  <c r="I85" i="7" a="1"/>
  <c r="I85" i="7"/>
  <c r="H85" i="7" a="1"/>
  <c r="H85" i="7"/>
  <c r="G85" i="7" a="1"/>
  <c r="G85" i="7"/>
  <c r="F85" i="7" a="1"/>
  <c r="F85" i="7"/>
  <c r="E85" i="7" a="1"/>
  <c r="E85" i="7"/>
  <c r="D85" i="7" a="1"/>
  <c r="D85" i="7"/>
  <c r="K84" i="7" a="1"/>
  <c r="K84" i="7"/>
  <c r="J84" i="7" a="1"/>
  <c r="J84" i="7"/>
  <c r="I84" i="7" a="1"/>
  <c r="I84" i="7"/>
  <c r="H84" i="7" a="1"/>
  <c r="H84" i="7"/>
  <c r="G84" i="7" a="1"/>
  <c r="G84" i="7"/>
  <c r="F84" i="7" a="1"/>
  <c r="F84" i="7"/>
  <c r="E84" i="7" a="1"/>
  <c r="E84" i="7"/>
  <c r="D84" i="7" a="1"/>
  <c r="D84" i="7"/>
  <c r="K83" i="7" a="1"/>
  <c r="K83" i="7"/>
  <c r="J83" i="7" a="1"/>
  <c r="J83" i="7"/>
  <c r="I83" i="7" a="1"/>
  <c r="I83" i="7"/>
  <c r="H83" i="7" a="1"/>
  <c r="H83" i="7"/>
  <c r="G83" i="7" a="1"/>
  <c r="G83" i="7"/>
  <c r="F83" i="7" a="1"/>
  <c r="F83" i="7"/>
  <c r="E83" i="7" a="1"/>
  <c r="E83" i="7"/>
  <c r="D83" i="7" a="1"/>
  <c r="D83" i="7"/>
  <c r="K82" i="7" a="1"/>
  <c r="K82" i="7"/>
  <c r="J82" i="7" a="1"/>
  <c r="J82" i="7"/>
  <c r="I82" i="7" a="1"/>
  <c r="I82" i="7"/>
  <c r="H82" i="7" a="1"/>
  <c r="H82" i="7"/>
  <c r="G82" i="7" a="1"/>
  <c r="G82" i="7"/>
  <c r="F82" i="7" a="1"/>
  <c r="F82" i="7"/>
  <c r="E82" i="7" a="1"/>
  <c r="E82" i="7"/>
  <c r="D82" i="7" a="1"/>
  <c r="D82" i="7"/>
  <c r="K81" i="7" a="1"/>
  <c r="K81" i="7"/>
  <c r="J81" i="7" a="1"/>
  <c r="J81" i="7"/>
  <c r="I81" i="7" a="1"/>
  <c r="I81" i="7"/>
  <c r="H81" i="7" a="1"/>
  <c r="H81" i="7"/>
  <c r="G81" i="7" a="1"/>
  <c r="G81" i="7"/>
  <c r="F81" i="7" a="1"/>
  <c r="F81" i="7"/>
  <c r="E81" i="7" a="1"/>
  <c r="E81" i="7"/>
  <c r="D81" i="7" a="1"/>
  <c r="D81" i="7"/>
  <c r="K80" i="7" a="1"/>
  <c r="K80" i="7"/>
  <c r="J80" i="7" a="1"/>
  <c r="J80" i="7"/>
  <c r="I80" i="7" a="1"/>
  <c r="I80" i="7"/>
  <c r="H80" i="7" a="1"/>
  <c r="H80" i="7"/>
  <c r="G80" i="7" a="1"/>
  <c r="G80" i="7"/>
  <c r="F80" i="7" a="1"/>
  <c r="F80" i="7"/>
  <c r="E80" i="7" a="1"/>
  <c r="E80" i="7"/>
  <c r="D80" i="7" a="1"/>
  <c r="D80" i="7"/>
  <c r="K79" i="7" a="1"/>
  <c r="K79" i="7"/>
  <c r="J79" i="7" a="1"/>
  <c r="J79" i="7"/>
  <c r="I79" i="7" a="1"/>
  <c r="I79" i="7"/>
  <c r="H79" i="7" a="1"/>
  <c r="H79" i="7"/>
  <c r="G79" i="7" a="1"/>
  <c r="G79" i="7"/>
  <c r="F79" i="7" a="1"/>
  <c r="F79" i="7"/>
  <c r="E79" i="7" a="1"/>
  <c r="E79" i="7"/>
  <c r="D79" i="7" a="1"/>
  <c r="D79" i="7"/>
  <c r="K78" i="7" a="1"/>
  <c r="K78" i="7"/>
  <c r="J78" i="7" a="1"/>
  <c r="J78" i="7"/>
  <c r="I78" i="7" a="1"/>
  <c r="I78" i="7"/>
  <c r="H78" i="7" a="1"/>
  <c r="H78" i="7"/>
  <c r="G78" i="7" a="1"/>
  <c r="G78" i="7"/>
  <c r="F78" i="7" a="1"/>
  <c r="F78" i="7"/>
  <c r="E78" i="7" a="1"/>
  <c r="E78" i="7"/>
  <c r="D78" i="7" a="1"/>
  <c r="D78" i="7"/>
  <c r="K77" i="7" a="1"/>
  <c r="K77" i="7"/>
  <c r="J77" i="7" a="1"/>
  <c r="J77" i="7"/>
  <c r="I77" i="7" a="1"/>
  <c r="I77" i="7"/>
  <c r="H77" i="7" a="1"/>
  <c r="H77" i="7"/>
  <c r="G77" i="7" a="1"/>
  <c r="G77" i="7"/>
  <c r="F77" i="7" a="1"/>
  <c r="F77" i="7"/>
  <c r="E77" i="7" a="1"/>
  <c r="E77" i="7"/>
  <c r="D77" i="7" a="1"/>
  <c r="D77" i="7"/>
  <c r="K76" i="7" a="1"/>
  <c r="K76" i="7"/>
  <c r="J76" i="7" a="1"/>
  <c r="J76" i="7"/>
  <c r="I76" i="7" a="1"/>
  <c r="I76" i="7"/>
  <c r="H76" i="7" a="1"/>
  <c r="H76" i="7"/>
  <c r="G76" i="7" a="1"/>
  <c r="G76" i="7"/>
  <c r="F76" i="7" a="1"/>
  <c r="F76" i="7"/>
  <c r="E76" i="7" a="1"/>
  <c r="E76" i="7"/>
  <c r="D76" i="7" a="1"/>
  <c r="D76" i="7"/>
  <c r="K75" i="7" a="1"/>
  <c r="K75" i="7"/>
  <c r="J75" i="7" a="1"/>
  <c r="J75" i="7"/>
  <c r="I75" i="7" a="1"/>
  <c r="I75" i="7"/>
  <c r="H75" i="7" a="1"/>
  <c r="H75" i="7"/>
  <c r="G75" i="7" a="1"/>
  <c r="G75" i="7"/>
  <c r="F75" i="7" a="1"/>
  <c r="F75" i="7"/>
  <c r="E75" i="7" a="1"/>
  <c r="E75" i="7"/>
  <c r="D75" i="7" a="1"/>
  <c r="D75" i="7"/>
  <c r="K74" i="7" a="1"/>
  <c r="K74" i="7"/>
  <c r="J74" i="7" a="1"/>
  <c r="J74" i="7"/>
  <c r="I74" i="7" a="1"/>
  <c r="I74" i="7"/>
  <c r="H74" i="7" a="1"/>
  <c r="H74" i="7"/>
  <c r="G74" i="7" a="1"/>
  <c r="G74" i="7"/>
  <c r="F74" i="7" a="1"/>
  <c r="F74" i="7"/>
  <c r="E74" i="7" a="1"/>
  <c r="E74" i="7"/>
  <c r="D74" i="7" a="1"/>
  <c r="D74" i="7"/>
  <c r="K73" i="7" a="1"/>
  <c r="K73" i="7"/>
  <c r="J73" i="7" a="1"/>
  <c r="J73" i="7"/>
  <c r="I73" i="7" a="1"/>
  <c r="I73" i="7"/>
  <c r="H73" i="7" a="1"/>
  <c r="H73" i="7"/>
  <c r="G73" i="7" a="1"/>
  <c r="G73" i="7"/>
  <c r="F73" i="7" a="1"/>
  <c r="F73" i="7"/>
  <c r="E73" i="7" a="1"/>
  <c r="E73" i="7"/>
  <c r="D73" i="7" a="1"/>
  <c r="D73" i="7"/>
  <c r="K72" i="7" a="1"/>
  <c r="K72" i="7"/>
  <c r="J72" i="7" a="1"/>
  <c r="J72" i="7"/>
  <c r="I72" i="7" a="1"/>
  <c r="I72" i="7"/>
  <c r="H72" i="7" a="1"/>
  <c r="H72" i="7"/>
  <c r="G72" i="7" a="1"/>
  <c r="G72" i="7"/>
  <c r="F72" i="7" a="1"/>
  <c r="F72" i="7"/>
  <c r="E72" i="7" a="1"/>
  <c r="E72" i="7"/>
  <c r="D72" i="7" a="1"/>
  <c r="D72" i="7"/>
  <c r="K71" i="7" a="1"/>
  <c r="K71" i="7"/>
  <c r="J71" i="7" a="1"/>
  <c r="J71" i="7"/>
  <c r="I71" i="7" a="1"/>
  <c r="I71" i="7"/>
  <c r="H71" i="7" a="1"/>
  <c r="H71" i="7"/>
  <c r="G71" i="7" a="1"/>
  <c r="G71" i="7"/>
  <c r="F71" i="7" a="1"/>
  <c r="F71" i="7"/>
  <c r="E71" i="7" a="1"/>
  <c r="E71" i="7"/>
  <c r="D71" i="7" a="1"/>
  <c r="D71" i="7"/>
  <c r="K70" i="7" a="1"/>
  <c r="K70" i="7"/>
  <c r="J70" i="7" a="1"/>
  <c r="J70" i="7"/>
  <c r="I70" i="7" a="1"/>
  <c r="I70" i="7"/>
  <c r="H70" i="7" a="1"/>
  <c r="H70" i="7"/>
  <c r="G70" i="7" a="1"/>
  <c r="G70" i="7"/>
  <c r="F70" i="7" a="1"/>
  <c r="F70" i="7"/>
  <c r="E70" i="7" a="1"/>
  <c r="E70" i="7"/>
  <c r="D70" i="7" a="1"/>
  <c r="D70" i="7"/>
  <c r="K69" i="7" a="1"/>
  <c r="K69" i="7"/>
  <c r="J69" i="7" a="1"/>
  <c r="J69" i="7"/>
  <c r="I69" i="7" a="1"/>
  <c r="I69" i="7"/>
  <c r="H69" i="7" a="1"/>
  <c r="H69" i="7"/>
  <c r="G69" i="7" a="1"/>
  <c r="G69" i="7"/>
  <c r="F69" i="7" a="1"/>
  <c r="F69" i="7"/>
  <c r="E69" i="7" a="1"/>
  <c r="E69" i="7"/>
  <c r="D69" i="7" a="1"/>
  <c r="D69" i="7"/>
  <c r="K68" i="7" a="1"/>
  <c r="K68" i="7"/>
  <c r="J68" i="7" a="1"/>
  <c r="J68" i="7"/>
  <c r="I68" i="7" a="1"/>
  <c r="I68" i="7"/>
  <c r="H68" i="7" a="1"/>
  <c r="H68" i="7"/>
  <c r="G68" i="7" a="1"/>
  <c r="G68" i="7"/>
  <c r="F68" i="7" a="1"/>
  <c r="F68" i="7"/>
  <c r="E68" i="7" a="1"/>
  <c r="E68" i="7"/>
  <c r="D68" i="7" a="1"/>
  <c r="D68" i="7"/>
  <c r="K67" i="7" a="1"/>
  <c r="K67" i="7"/>
  <c r="J67" i="7" a="1"/>
  <c r="J67" i="7"/>
  <c r="I67" i="7" a="1"/>
  <c r="I67" i="7"/>
  <c r="H67" i="7" a="1"/>
  <c r="H67" i="7"/>
  <c r="G67" i="7" a="1"/>
  <c r="G67" i="7"/>
  <c r="F67" i="7" a="1"/>
  <c r="F67" i="7"/>
  <c r="E67" i="7" a="1"/>
  <c r="E67" i="7"/>
  <c r="D67" i="7" a="1"/>
  <c r="D67" i="7"/>
  <c r="K66" i="7" a="1"/>
  <c r="K66" i="7"/>
  <c r="J66" i="7" a="1"/>
  <c r="J66" i="7"/>
  <c r="I66" i="7" a="1"/>
  <c r="I66" i="7"/>
  <c r="H66" i="7" a="1"/>
  <c r="H66" i="7"/>
  <c r="G66" i="7" a="1"/>
  <c r="G66" i="7"/>
  <c r="F66" i="7" a="1"/>
  <c r="F66" i="7"/>
  <c r="E66" i="7" a="1"/>
  <c r="E66" i="7"/>
  <c r="D66" i="7" a="1"/>
  <c r="D66" i="7"/>
  <c r="K65" i="7" a="1"/>
  <c r="K65" i="7"/>
  <c r="J65" i="7" a="1"/>
  <c r="J65" i="7"/>
  <c r="I65" i="7" a="1"/>
  <c r="I65" i="7"/>
  <c r="H65" i="7" a="1"/>
  <c r="H65" i="7"/>
  <c r="G65" i="7" a="1"/>
  <c r="G65" i="7"/>
  <c r="F65" i="7" a="1"/>
  <c r="F65" i="7"/>
  <c r="E65" i="7" a="1"/>
  <c r="E65" i="7"/>
  <c r="D65" i="7" a="1"/>
  <c r="D65" i="7"/>
  <c r="K64" i="7" a="1"/>
  <c r="K64" i="7"/>
  <c r="J64" i="7" a="1"/>
  <c r="J64" i="7"/>
  <c r="I64" i="7" a="1"/>
  <c r="I64" i="7"/>
  <c r="H64" i="7" a="1"/>
  <c r="H64" i="7"/>
  <c r="G64" i="7" a="1"/>
  <c r="G64" i="7"/>
  <c r="F64" i="7" a="1"/>
  <c r="F64" i="7"/>
  <c r="E64" i="7" a="1"/>
  <c r="E64" i="7"/>
  <c r="D64" i="7" a="1"/>
  <c r="D64" i="7"/>
  <c r="K63" i="7" a="1"/>
  <c r="K63" i="7"/>
  <c r="J63" i="7" a="1"/>
  <c r="J63" i="7"/>
  <c r="I63" i="7" a="1"/>
  <c r="I63" i="7"/>
  <c r="H63" i="7" a="1"/>
  <c r="H63" i="7"/>
  <c r="G63" i="7" a="1"/>
  <c r="G63" i="7"/>
  <c r="F63" i="7" a="1"/>
  <c r="F63" i="7"/>
  <c r="E63" i="7" a="1"/>
  <c r="E63" i="7"/>
  <c r="D63" i="7" a="1"/>
  <c r="D63" i="7"/>
  <c r="K62" i="7" a="1"/>
  <c r="K62" i="7"/>
  <c r="J62" i="7" a="1"/>
  <c r="J62" i="7"/>
  <c r="I62" i="7" a="1"/>
  <c r="I62" i="7"/>
  <c r="H62" i="7" a="1"/>
  <c r="H62" i="7"/>
  <c r="G62" i="7" a="1"/>
  <c r="G62" i="7"/>
  <c r="F62" i="7" a="1"/>
  <c r="F62" i="7"/>
  <c r="E62" i="7" a="1"/>
  <c r="E62" i="7"/>
  <c r="D62" i="7" a="1"/>
  <c r="D62" i="7"/>
  <c r="K61" i="7" a="1"/>
  <c r="K61" i="7"/>
  <c r="J61" i="7" a="1"/>
  <c r="J61" i="7"/>
  <c r="I61" i="7" a="1"/>
  <c r="I61" i="7"/>
  <c r="H61" i="7" a="1"/>
  <c r="H61" i="7"/>
  <c r="G61" i="7" a="1"/>
  <c r="G61" i="7"/>
  <c r="F61" i="7" a="1"/>
  <c r="F61" i="7"/>
  <c r="E61" i="7" a="1"/>
  <c r="E61" i="7"/>
  <c r="D61" i="7" a="1"/>
  <c r="D61" i="7"/>
  <c r="K60" i="7" a="1"/>
  <c r="K60" i="7"/>
  <c r="J60" i="7" a="1"/>
  <c r="J60" i="7"/>
  <c r="I60" i="7" a="1"/>
  <c r="I60" i="7"/>
  <c r="H60" i="7" a="1"/>
  <c r="H60" i="7"/>
  <c r="G60" i="7" a="1"/>
  <c r="G60" i="7"/>
  <c r="F60" i="7" a="1"/>
  <c r="F60" i="7"/>
  <c r="E60" i="7" a="1"/>
  <c r="E60" i="7"/>
  <c r="D60" i="7" a="1"/>
  <c r="D60" i="7"/>
  <c r="K59" i="7" a="1"/>
  <c r="K59" i="7"/>
  <c r="J59" i="7" a="1"/>
  <c r="J59" i="7"/>
  <c r="I59" i="7" a="1"/>
  <c r="I59" i="7"/>
  <c r="H59" i="7" a="1"/>
  <c r="H59" i="7"/>
  <c r="G59" i="7" a="1"/>
  <c r="G59" i="7"/>
  <c r="F59" i="7" a="1"/>
  <c r="F59" i="7"/>
  <c r="E59" i="7" a="1"/>
  <c r="E59" i="7"/>
  <c r="D59" i="7" a="1"/>
  <c r="D59" i="7"/>
  <c r="K58" i="7" a="1"/>
  <c r="K58" i="7"/>
  <c r="J58" i="7" a="1"/>
  <c r="J58" i="7"/>
  <c r="I58" i="7" a="1"/>
  <c r="I58" i="7"/>
  <c r="H58" i="7" a="1"/>
  <c r="H58" i="7"/>
  <c r="G58" i="7" a="1"/>
  <c r="G58" i="7"/>
  <c r="F58" i="7" a="1"/>
  <c r="F58" i="7"/>
  <c r="E58" i="7" a="1"/>
  <c r="E58" i="7"/>
  <c r="D58" i="7" a="1"/>
  <c r="D58" i="7"/>
  <c r="K57" i="7" a="1"/>
  <c r="K57" i="7"/>
  <c r="J57" i="7" a="1"/>
  <c r="J57" i="7"/>
  <c r="I57" i="7" a="1"/>
  <c r="I57" i="7"/>
  <c r="H57" i="7" a="1"/>
  <c r="H57" i="7"/>
  <c r="G57" i="7" a="1"/>
  <c r="G57" i="7"/>
  <c r="F57" i="7" a="1"/>
  <c r="F57" i="7"/>
  <c r="E57" i="7" a="1"/>
  <c r="E57" i="7"/>
  <c r="D57" i="7" a="1"/>
  <c r="D57" i="7"/>
  <c r="K56" i="7" a="1"/>
  <c r="K56" i="7"/>
  <c r="J56" i="7" a="1"/>
  <c r="J56" i="7"/>
  <c r="I56" i="7" a="1"/>
  <c r="I56" i="7"/>
  <c r="H56" i="7" a="1"/>
  <c r="H56" i="7"/>
  <c r="G56" i="7" a="1"/>
  <c r="G56" i="7"/>
  <c r="F56" i="7" a="1"/>
  <c r="F56" i="7"/>
  <c r="E56" i="7" a="1"/>
  <c r="E56" i="7"/>
  <c r="D56" i="7" a="1"/>
  <c r="D56" i="7"/>
  <c r="K55" i="7" a="1"/>
  <c r="K55" i="7"/>
  <c r="J55" i="7" a="1"/>
  <c r="J55" i="7"/>
  <c r="I55" i="7" a="1"/>
  <c r="I55" i="7"/>
  <c r="H55" i="7" a="1"/>
  <c r="H55" i="7"/>
  <c r="G55" i="7" a="1"/>
  <c r="G55" i="7"/>
  <c r="F55" i="7" a="1"/>
  <c r="F55" i="7"/>
  <c r="E55" i="7" a="1"/>
  <c r="E55" i="7"/>
  <c r="D55" i="7" a="1"/>
  <c r="D55" i="7"/>
  <c r="K54" i="7" a="1"/>
  <c r="K54" i="7"/>
  <c r="J54" i="7" a="1"/>
  <c r="J54" i="7"/>
  <c r="I54" i="7" a="1"/>
  <c r="I54" i="7"/>
  <c r="H54" i="7" a="1"/>
  <c r="H54" i="7"/>
  <c r="G54" i="7" a="1"/>
  <c r="G54" i="7"/>
  <c r="F54" i="7" a="1"/>
  <c r="F54" i="7"/>
  <c r="E54" i="7" a="1"/>
  <c r="E54" i="7"/>
  <c r="D54" i="7" a="1"/>
  <c r="D54" i="7"/>
  <c r="K53" i="7" a="1"/>
  <c r="K53" i="7"/>
  <c r="J53" i="7" a="1"/>
  <c r="J53" i="7"/>
  <c r="I53" i="7" a="1"/>
  <c r="I53" i="7"/>
  <c r="H53" i="7" a="1"/>
  <c r="H53" i="7"/>
  <c r="G53" i="7" a="1"/>
  <c r="G53" i="7"/>
  <c r="F53" i="7" a="1"/>
  <c r="F53" i="7"/>
  <c r="E53" i="7" a="1"/>
  <c r="E53" i="7"/>
  <c r="D53" i="7" a="1"/>
  <c r="D53" i="7"/>
  <c r="K52" i="7" a="1"/>
  <c r="K52" i="7"/>
  <c r="J52" i="7" a="1"/>
  <c r="J52" i="7"/>
  <c r="I52" i="7" a="1"/>
  <c r="I52" i="7"/>
  <c r="H52" i="7" a="1"/>
  <c r="H52" i="7"/>
  <c r="G52" i="7" a="1"/>
  <c r="G52" i="7"/>
  <c r="F52" i="7" a="1"/>
  <c r="F52" i="7"/>
  <c r="E52" i="7" a="1"/>
  <c r="E52" i="7"/>
  <c r="D52" i="7" a="1"/>
  <c r="D52" i="7"/>
  <c r="K51" i="7" a="1"/>
  <c r="K51" i="7"/>
  <c r="J51" i="7" a="1"/>
  <c r="J51" i="7"/>
  <c r="I51" i="7" a="1"/>
  <c r="I51" i="7"/>
  <c r="H51" i="7" a="1"/>
  <c r="H51" i="7"/>
  <c r="G51" i="7" a="1"/>
  <c r="G51" i="7"/>
  <c r="F51" i="7" a="1"/>
  <c r="F51" i="7"/>
  <c r="E51" i="7" a="1"/>
  <c r="E51" i="7"/>
  <c r="D51" i="7" a="1"/>
  <c r="D51" i="7"/>
  <c r="K50" i="7" a="1"/>
  <c r="K50" i="7"/>
  <c r="J50" i="7" a="1"/>
  <c r="J50" i="7"/>
  <c r="I50" i="7" a="1"/>
  <c r="I50" i="7"/>
  <c r="H50" i="7" a="1"/>
  <c r="H50" i="7"/>
  <c r="G50" i="7" a="1"/>
  <c r="G50" i="7"/>
  <c r="F50" i="7" a="1"/>
  <c r="F50" i="7"/>
  <c r="E50" i="7" a="1"/>
  <c r="E50" i="7"/>
  <c r="D50" i="7" a="1"/>
  <c r="D50" i="7"/>
  <c r="K49" i="7" a="1"/>
  <c r="K49" i="7"/>
  <c r="J49" i="7" a="1"/>
  <c r="J49" i="7"/>
  <c r="I49" i="7" a="1"/>
  <c r="I49" i="7"/>
  <c r="H49" i="7" a="1"/>
  <c r="H49" i="7"/>
  <c r="G49" i="7" a="1"/>
  <c r="G49" i="7"/>
  <c r="F49" i="7" a="1"/>
  <c r="F49" i="7"/>
  <c r="E49" i="7" a="1"/>
  <c r="E49" i="7"/>
  <c r="D49" i="7" a="1"/>
  <c r="D49" i="7"/>
  <c r="K48" i="7" a="1"/>
  <c r="K48" i="7"/>
  <c r="J48" i="7" a="1"/>
  <c r="J48" i="7"/>
  <c r="I48" i="7" a="1"/>
  <c r="I48" i="7"/>
  <c r="H48" i="7" a="1"/>
  <c r="H48" i="7"/>
  <c r="G48" i="7" a="1"/>
  <c r="G48" i="7"/>
  <c r="F48" i="7" a="1"/>
  <c r="F48" i="7"/>
  <c r="E48" i="7" a="1"/>
  <c r="E48" i="7"/>
  <c r="D48" i="7" a="1"/>
  <c r="D48" i="7"/>
  <c r="K47" i="7" a="1"/>
  <c r="K47" i="7"/>
  <c r="J47" i="7" a="1"/>
  <c r="J47" i="7"/>
  <c r="I47" i="7" a="1"/>
  <c r="I47" i="7"/>
  <c r="H47" i="7" a="1"/>
  <c r="H47" i="7"/>
  <c r="G47" i="7" a="1"/>
  <c r="G47" i="7"/>
  <c r="F47" i="7" a="1"/>
  <c r="F47" i="7"/>
  <c r="E47" i="7" a="1"/>
  <c r="E47" i="7"/>
  <c r="D47" i="7" a="1"/>
  <c r="D47" i="7"/>
  <c r="K46" i="7" a="1"/>
  <c r="K46" i="7"/>
  <c r="J46" i="7" a="1"/>
  <c r="J46" i="7"/>
  <c r="I46" i="7" a="1"/>
  <c r="I46" i="7"/>
  <c r="H46" i="7" a="1"/>
  <c r="H46" i="7"/>
  <c r="G46" i="7" a="1"/>
  <c r="G46" i="7"/>
  <c r="F46" i="7" a="1"/>
  <c r="F46" i="7"/>
  <c r="E46" i="7" a="1"/>
  <c r="E46" i="7"/>
  <c r="D46" i="7" a="1"/>
  <c r="D46" i="7"/>
  <c r="K45" i="7" a="1"/>
  <c r="K45" i="7"/>
  <c r="J45" i="7" a="1"/>
  <c r="J45" i="7"/>
  <c r="I45" i="7" a="1"/>
  <c r="I45" i="7"/>
  <c r="H45" i="7" a="1"/>
  <c r="H45" i="7"/>
  <c r="G45" i="7" a="1"/>
  <c r="G45" i="7"/>
  <c r="F45" i="7" a="1"/>
  <c r="F45" i="7"/>
  <c r="E45" i="7" a="1"/>
  <c r="E45" i="7"/>
  <c r="D45" i="7" a="1"/>
  <c r="D45" i="7"/>
  <c r="K44" i="7" a="1"/>
  <c r="K44" i="7"/>
  <c r="J44" i="7" a="1"/>
  <c r="J44" i="7"/>
  <c r="I44" i="7" a="1"/>
  <c r="I44" i="7"/>
  <c r="H44" i="7" a="1"/>
  <c r="H44" i="7"/>
  <c r="G44" i="7" a="1"/>
  <c r="G44" i="7"/>
  <c r="F44" i="7" a="1"/>
  <c r="F44" i="7"/>
  <c r="E44" i="7" a="1"/>
  <c r="E44" i="7"/>
  <c r="D44" i="7" a="1"/>
  <c r="D44" i="7"/>
  <c r="K43" i="7" a="1"/>
  <c r="K43" i="7"/>
  <c r="J43" i="7" a="1"/>
  <c r="J43" i="7"/>
  <c r="I43" i="7" a="1"/>
  <c r="I43" i="7"/>
  <c r="H43" i="7" a="1"/>
  <c r="H43" i="7"/>
  <c r="G43" i="7" a="1"/>
  <c r="G43" i="7"/>
  <c r="F43" i="7" a="1"/>
  <c r="F43" i="7"/>
  <c r="E43" i="7" a="1"/>
  <c r="E43" i="7"/>
  <c r="D43" i="7" a="1"/>
  <c r="D43" i="7"/>
  <c r="K42" i="7" a="1"/>
  <c r="K42" i="7"/>
  <c r="J42" i="7" a="1"/>
  <c r="J42" i="7"/>
  <c r="I42" i="7" a="1"/>
  <c r="I42" i="7"/>
  <c r="H42" i="7" a="1"/>
  <c r="H42" i="7"/>
  <c r="G42" i="7" a="1"/>
  <c r="G42" i="7"/>
  <c r="F42" i="7" a="1"/>
  <c r="F42" i="7"/>
  <c r="E42" i="7" a="1"/>
  <c r="E42" i="7"/>
  <c r="D42" i="7" a="1"/>
  <c r="D42" i="7"/>
  <c r="K41" i="7" a="1"/>
  <c r="K41" i="7"/>
  <c r="J41" i="7" a="1"/>
  <c r="J41" i="7"/>
  <c r="I41" i="7" a="1"/>
  <c r="I41" i="7"/>
  <c r="H41" i="7" a="1"/>
  <c r="H41" i="7"/>
  <c r="G41" i="7" a="1"/>
  <c r="G41" i="7"/>
  <c r="F41" i="7" a="1"/>
  <c r="F41" i="7"/>
  <c r="E41" i="7" a="1"/>
  <c r="E41" i="7"/>
  <c r="D41" i="7" a="1"/>
  <c r="D41" i="7"/>
  <c r="K40" i="7" a="1"/>
  <c r="K40" i="7"/>
  <c r="J40" i="7" a="1"/>
  <c r="J40" i="7"/>
  <c r="I40" i="7" a="1"/>
  <c r="I40" i="7"/>
  <c r="H40" i="7" a="1"/>
  <c r="H40" i="7"/>
  <c r="G40" i="7" a="1"/>
  <c r="G40" i="7"/>
  <c r="F40" i="7" a="1"/>
  <c r="F40" i="7"/>
  <c r="E40" i="7" a="1"/>
  <c r="E40" i="7"/>
  <c r="D40" i="7" a="1"/>
  <c r="D40" i="7"/>
  <c r="K39" i="7" a="1"/>
  <c r="K39" i="7"/>
  <c r="J39" i="7" a="1"/>
  <c r="J39" i="7"/>
  <c r="I39" i="7" a="1"/>
  <c r="I39" i="7"/>
  <c r="H39" i="7" a="1"/>
  <c r="H39" i="7"/>
  <c r="G39" i="7" a="1"/>
  <c r="G39" i="7"/>
  <c r="F39" i="7" a="1"/>
  <c r="F39" i="7"/>
  <c r="E39" i="7" a="1"/>
  <c r="E39" i="7"/>
  <c r="D39" i="7" a="1"/>
  <c r="D39" i="7"/>
  <c r="K38" i="7" a="1"/>
  <c r="K38" i="7"/>
  <c r="J38" i="7" a="1"/>
  <c r="J38" i="7"/>
  <c r="I38" i="7" a="1"/>
  <c r="I38" i="7"/>
  <c r="H38" i="7" a="1"/>
  <c r="H38" i="7"/>
  <c r="G38" i="7" a="1"/>
  <c r="G38" i="7"/>
  <c r="F38" i="7" a="1"/>
  <c r="F38" i="7"/>
  <c r="E38" i="7" a="1"/>
  <c r="E38" i="7"/>
  <c r="D38" i="7" a="1"/>
  <c r="D38" i="7"/>
  <c r="K37" i="7" a="1"/>
  <c r="K37" i="7"/>
  <c r="J37" i="7" a="1"/>
  <c r="J37" i="7"/>
  <c r="I37" i="7" a="1"/>
  <c r="I37" i="7"/>
  <c r="H37" i="7" a="1"/>
  <c r="H37" i="7"/>
  <c r="G37" i="7" a="1"/>
  <c r="G37" i="7"/>
  <c r="F37" i="7" a="1"/>
  <c r="F37" i="7"/>
  <c r="E37" i="7" a="1"/>
  <c r="E37" i="7"/>
  <c r="D37" i="7" a="1"/>
  <c r="D37" i="7"/>
  <c r="K36" i="7" a="1"/>
  <c r="K36" i="7"/>
  <c r="J36" i="7" a="1"/>
  <c r="J36" i="7"/>
  <c r="I36" i="7" a="1"/>
  <c r="I36" i="7"/>
  <c r="H36" i="7" a="1"/>
  <c r="H36" i="7"/>
  <c r="G36" i="7" a="1"/>
  <c r="G36" i="7"/>
  <c r="F36" i="7" a="1"/>
  <c r="F36" i="7"/>
  <c r="E36" i="7" a="1"/>
  <c r="E36" i="7"/>
  <c r="D36" i="7" a="1"/>
  <c r="D36" i="7"/>
  <c r="K35" i="7" a="1"/>
  <c r="K35" i="7"/>
  <c r="J35" i="7" a="1"/>
  <c r="J35" i="7"/>
  <c r="I35" i="7" a="1"/>
  <c r="I35" i="7"/>
  <c r="H35" i="7" a="1"/>
  <c r="H35" i="7"/>
  <c r="G35" i="7" a="1"/>
  <c r="G35" i="7"/>
  <c r="F35" i="7" a="1"/>
  <c r="F35" i="7"/>
  <c r="E35" i="7" a="1"/>
  <c r="E35" i="7"/>
  <c r="D35" i="7" a="1"/>
  <c r="D35" i="7"/>
  <c r="K34" i="7" a="1"/>
  <c r="K34" i="7"/>
  <c r="J34" i="7" a="1"/>
  <c r="J34" i="7"/>
  <c r="I34" i="7" a="1"/>
  <c r="I34" i="7"/>
  <c r="H34" i="7" a="1"/>
  <c r="H34" i="7"/>
  <c r="G34" i="7" a="1"/>
  <c r="G34" i="7"/>
  <c r="F34" i="7" a="1"/>
  <c r="F34" i="7"/>
  <c r="E34" i="7" a="1"/>
  <c r="E34" i="7"/>
  <c r="D34" i="7" a="1"/>
  <c r="D34" i="7"/>
  <c r="K33" i="7" a="1"/>
  <c r="K33" i="7"/>
  <c r="J33" i="7" a="1"/>
  <c r="J33" i="7"/>
  <c r="I33" i="7" a="1"/>
  <c r="I33" i="7"/>
  <c r="H33" i="7" a="1"/>
  <c r="H33" i="7"/>
  <c r="G33" i="7" a="1"/>
  <c r="G33" i="7"/>
  <c r="F33" i="7" a="1"/>
  <c r="F33" i="7"/>
  <c r="E33" i="7" a="1"/>
  <c r="E33" i="7"/>
  <c r="D33" i="7" a="1"/>
  <c r="D33" i="7"/>
  <c r="K32" i="7" a="1"/>
  <c r="K32" i="7"/>
  <c r="J32" i="7" a="1"/>
  <c r="J32" i="7"/>
  <c r="I32" i="7" a="1"/>
  <c r="I32" i="7"/>
  <c r="H32" i="7" a="1"/>
  <c r="H32" i="7"/>
  <c r="G32" i="7" a="1"/>
  <c r="G32" i="7"/>
  <c r="F32" i="7" a="1"/>
  <c r="F32" i="7"/>
  <c r="E32" i="7" a="1"/>
  <c r="E32" i="7"/>
  <c r="D32" i="7" a="1"/>
  <c r="D32" i="7"/>
  <c r="K31" i="7" a="1"/>
  <c r="K31" i="7"/>
  <c r="J31" i="7" a="1"/>
  <c r="J31" i="7"/>
  <c r="I31" i="7" a="1"/>
  <c r="I31" i="7"/>
  <c r="H31" i="7" a="1"/>
  <c r="H31" i="7"/>
  <c r="G31" i="7" a="1"/>
  <c r="G31" i="7"/>
  <c r="F31" i="7" a="1"/>
  <c r="F31" i="7"/>
  <c r="E31" i="7" a="1"/>
  <c r="E31" i="7"/>
  <c r="D31" i="7" a="1"/>
  <c r="D31" i="7"/>
  <c r="K30" i="7" a="1"/>
  <c r="K30" i="7"/>
  <c r="J30" i="7" a="1"/>
  <c r="J30" i="7"/>
  <c r="I30" i="7" a="1"/>
  <c r="I30" i="7"/>
  <c r="H30" i="7" a="1"/>
  <c r="H30" i="7"/>
  <c r="G30" i="7" a="1"/>
  <c r="G30" i="7"/>
  <c r="F30" i="7" a="1"/>
  <c r="F30" i="7"/>
  <c r="E30" i="7" a="1"/>
  <c r="E30" i="7"/>
  <c r="D30" i="7" a="1"/>
  <c r="D30" i="7"/>
  <c r="K29" i="7" a="1"/>
  <c r="K29" i="7"/>
  <c r="J29" i="7" a="1"/>
  <c r="J29" i="7"/>
  <c r="I29" i="7" a="1"/>
  <c r="I29" i="7"/>
  <c r="H29" i="7" a="1"/>
  <c r="H29" i="7"/>
  <c r="G29" i="7" a="1"/>
  <c r="G29" i="7"/>
  <c r="F29" i="7" a="1"/>
  <c r="F29" i="7"/>
  <c r="E29" i="7" a="1"/>
  <c r="E29" i="7"/>
  <c r="D29" i="7" a="1"/>
  <c r="D29" i="7"/>
  <c r="K28" i="7" a="1"/>
  <c r="K28" i="7"/>
  <c r="J28" i="7" a="1"/>
  <c r="J28" i="7"/>
  <c r="I28" i="7" a="1"/>
  <c r="I28" i="7"/>
  <c r="H28" i="7" a="1"/>
  <c r="H28" i="7"/>
  <c r="G28" i="7" a="1"/>
  <c r="G28" i="7"/>
  <c r="F28" i="7" a="1"/>
  <c r="F28" i="7"/>
  <c r="E28" i="7" a="1"/>
  <c r="E28" i="7"/>
  <c r="D28" i="7" a="1"/>
  <c r="D28" i="7"/>
  <c r="K27" i="7" a="1"/>
  <c r="K27" i="7"/>
  <c r="J27" i="7" a="1"/>
  <c r="J27" i="7"/>
  <c r="I27" i="7" a="1"/>
  <c r="I27" i="7"/>
  <c r="H27" i="7" a="1"/>
  <c r="H27" i="7"/>
  <c r="G27" i="7" a="1"/>
  <c r="G27" i="7"/>
  <c r="F27" i="7" a="1"/>
  <c r="F27" i="7"/>
  <c r="E27" i="7" a="1"/>
  <c r="E27" i="7"/>
  <c r="D27" i="7" a="1"/>
  <c r="D27" i="7"/>
  <c r="K26" i="7" a="1"/>
  <c r="K26" i="7"/>
  <c r="J26" i="7" a="1"/>
  <c r="J26" i="7"/>
  <c r="I26" i="7" a="1"/>
  <c r="I26" i="7"/>
  <c r="H26" i="7" a="1"/>
  <c r="H26" i="7"/>
  <c r="G26" i="7" a="1"/>
  <c r="G26" i="7"/>
  <c r="F26" i="7" a="1"/>
  <c r="F26" i="7"/>
  <c r="E26" i="7" a="1"/>
  <c r="E26" i="7"/>
  <c r="D26" i="7" a="1"/>
  <c r="D26" i="7"/>
  <c r="K25" i="7" a="1"/>
  <c r="K25" i="7"/>
  <c r="J25" i="7" a="1"/>
  <c r="J25" i="7"/>
  <c r="I25" i="7" a="1"/>
  <c r="I25" i="7"/>
  <c r="H25" i="7" a="1"/>
  <c r="H25" i="7"/>
  <c r="G25" i="7" a="1"/>
  <c r="G25" i="7"/>
  <c r="F25" i="7" a="1"/>
  <c r="F25" i="7"/>
  <c r="E25" i="7" a="1"/>
  <c r="E25" i="7"/>
  <c r="D25" i="7" a="1"/>
  <c r="D25" i="7"/>
  <c r="K24" i="7" a="1"/>
  <c r="K24" i="7"/>
  <c r="J24" i="7" a="1"/>
  <c r="J24" i="7"/>
  <c r="I24" i="7" a="1"/>
  <c r="I24" i="7"/>
  <c r="H24" i="7" a="1"/>
  <c r="H24" i="7"/>
  <c r="G24" i="7" a="1"/>
  <c r="G24" i="7"/>
  <c r="F24" i="7" a="1"/>
  <c r="F24" i="7"/>
  <c r="E24" i="7" a="1"/>
  <c r="E24" i="7"/>
  <c r="D24" i="7" a="1"/>
  <c r="D24" i="7"/>
  <c r="K23" i="7" a="1"/>
  <c r="K23" i="7"/>
  <c r="J23" i="7" a="1"/>
  <c r="J23" i="7"/>
  <c r="I23" i="7" a="1"/>
  <c r="I23" i="7"/>
  <c r="H23" i="7" a="1"/>
  <c r="H23" i="7"/>
  <c r="G23" i="7" a="1"/>
  <c r="G23" i="7"/>
  <c r="F23" i="7" a="1"/>
  <c r="F23" i="7"/>
  <c r="E23" i="7" a="1"/>
  <c r="E23" i="7"/>
  <c r="D23" i="7" a="1"/>
  <c r="D23" i="7"/>
  <c r="K22" i="7" a="1"/>
  <c r="K22" i="7"/>
  <c r="J22" i="7" a="1"/>
  <c r="J22" i="7"/>
  <c r="I22" i="7" a="1"/>
  <c r="I22" i="7"/>
  <c r="H22" i="7" a="1"/>
  <c r="H22" i="7"/>
  <c r="G22" i="7" a="1"/>
  <c r="G22" i="7"/>
  <c r="F22" i="7" a="1"/>
  <c r="F22" i="7"/>
  <c r="E22" i="7" a="1"/>
  <c r="E22" i="7"/>
  <c r="D22" i="7" a="1"/>
  <c r="D22" i="7"/>
  <c r="K21" i="7" a="1"/>
  <c r="K21" i="7" s="1"/>
  <c r="J21" i="7" a="1"/>
  <c r="J21" i="7"/>
  <c r="I21" i="7" a="1"/>
  <c r="I21" i="7" s="1"/>
  <c r="H21" i="7" a="1"/>
  <c r="H21" i="7"/>
  <c r="G21" i="7" a="1"/>
  <c r="G21" i="7" s="1"/>
  <c r="F21" i="7" a="1"/>
  <c r="F21" i="7"/>
  <c r="E21" i="7" a="1"/>
  <c r="E21" i="7" s="1"/>
  <c r="D21" i="7" a="1"/>
  <c r="D21" i="7"/>
  <c r="K20" i="7" a="1"/>
  <c r="K20" i="7"/>
  <c r="J20" i="7" a="1"/>
  <c r="J20" i="7" s="1"/>
  <c r="I20" i="7" a="1"/>
  <c r="I20" i="7"/>
  <c r="H20" i="7" a="1"/>
  <c r="H20" i="7" s="1"/>
  <c r="G20" i="7" a="1"/>
  <c r="G20" i="7"/>
  <c r="F20" i="7" a="1"/>
  <c r="F20" i="7" s="1"/>
  <c r="E20" i="7" a="1"/>
  <c r="E20" i="7"/>
  <c r="D20" i="7" a="1"/>
  <c r="D20" i="7" s="1"/>
  <c r="K19" i="7" a="1"/>
  <c r="K19" i="7"/>
  <c r="J19" i="7" a="1"/>
  <c r="J19" i="7"/>
  <c r="I19" i="7" a="1"/>
  <c r="I19" i="7"/>
  <c r="H19" i="7" a="1"/>
  <c r="H19" i="7"/>
  <c r="G19" i="7" a="1"/>
  <c r="G19" i="7"/>
  <c r="F19" i="7" a="1"/>
  <c r="F19" i="7"/>
  <c r="E19" i="7" a="1"/>
  <c r="E19" i="7"/>
  <c r="D19" i="7" a="1"/>
  <c r="D19" i="7"/>
  <c r="K18" i="7" a="1"/>
  <c r="K18" i="7"/>
  <c r="J18" i="7" a="1"/>
  <c r="J18" i="7"/>
  <c r="I18" i="7" a="1"/>
  <c r="I18" i="7"/>
  <c r="H18" i="7" a="1"/>
  <c r="H18" i="7"/>
  <c r="G18" i="7" a="1"/>
  <c r="G18" i="7"/>
  <c r="F18" i="7" a="1"/>
  <c r="F18" i="7"/>
  <c r="E18" i="7" a="1"/>
  <c r="E18" i="7"/>
  <c r="D18" i="7" a="1"/>
  <c r="D18" i="7"/>
  <c r="K17" i="7" a="1"/>
  <c r="K17" i="7" s="1"/>
  <c r="J17" i="7" a="1"/>
  <c r="J17" i="7"/>
  <c r="I17" i="7" a="1"/>
  <c r="I17" i="7" s="1"/>
  <c r="H17" i="7" a="1"/>
  <c r="H17" i="7"/>
  <c r="G17" i="7" a="1"/>
  <c r="G17" i="7" s="1"/>
  <c r="F17" i="7" a="1"/>
  <c r="F17" i="7"/>
  <c r="E17" i="7" a="1"/>
  <c r="E17" i="7" s="1"/>
  <c r="D17" i="7" a="1"/>
  <c r="D17" i="7"/>
  <c r="K16" i="7" a="1"/>
  <c r="K16" i="7"/>
  <c r="J16" i="7" a="1"/>
  <c r="J16" i="7" s="1"/>
  <c r="I16" i="7" a="1"/>
  <c r="I16" i="7"/>
  <c r="H16" i="7" a="1"/>
  <c r="H16" i="7" s="1"/>
  <c r="G16" i="7" a="1"/>
  <c r="G16" i="7"/>
  <c r="F16" i="7" a="1"/>
  <c r="F16" i="7" s="1"/>
  <c r="E16" i="7" a="1"/>
  <c r="E16" i="7"/>
  <c r="D16" i="7" a="1"/>
  <c r="D16" i="7" s="1"/>
  <c r="K15" i="7" a="1"/>
  <c r="K15" i="7"/>
  <c r="J15" i="7" a="1"/>
  <c r="J15" i="7"/>
  <c r="I15" i="7" a="1"/>
  <c r="I15" i="7"/>
  <c r="H15" i="7" a="1"/>
  <c r="H15" i="7"/>
  <c r="G15" i="7" a="1"/>
  <c r="G15" i="7"/>
  <c r="F15" i="7" a="1"/>
  <c r="F15" i="7"/>
  <c r="E15" i="7" a="1"/>
  <c r="E15" i="7"/>
  <c r="D15" i="7" a="1"/>
  <c r="D15" i="7"/>
  <c r="K14" i="7" a="1"/>
  <c r="K14" i="7"/>
  <c r="J14" i="7" a="1"/>
  <c r="J14" i="7"/>
  <c r="I14" i="7" a="1"/>
  <c r="I14" i="7"/>
  <c r="H14" i="7" a="1"/>
  <c r="H14" i="7"/>
  <c r="G14" i="7" a="1"/>
  <c r="G14" i="7"/>
  <c r="F14" i="7" a="1"/>
  <c r="F14" i="7"/>
  <c r="E14" i="7" a="1"/>
  <c r="E14" i="7"/>
  <c r="D14" i="7" a="1"/>
  <c r="D14" i="7"/>
  <c r="K13" i="7" a="1"/>
  <c r="K13" i="7" s="1"/>
  <c r="J13" i="7" a="1"/>
  <c r="J13" i="7"/>
  <c r="I13" i="7" a="1"/>
  <c r="I13" i="7" s="1"/>
  <c r="H13" i="7" a="1"/>
  <c r="H13" i="7"/>
  <c r="G13" i="7" a="1"/>
  <c r="G13" i="7" s="1"/>
  <c r="F13" i="7" a="1"/>
  <c r="F13" i="7"/>
  <c r="E13" i="7" a="1"/>
  <c r="E13" i="7" s="1"/>
  <c r="D13" i="7" a="1"/>
  <c r="D13" i="7"/>
  <c r="K12" i="7" a="1"/>
  <c r="K12" i="7"/>
  <c r="J12" i="7" a="1"/>
  <c r="J12" i="7" s="1"/>
  <c r="I12" i="7" a="1"/>
  <c r="I12" i="7"/>
  <c r="H12" i="7" a="1"/>
  <c r="H12" i="7" s="1"/>
  <c r="G12" i="7" a="1"/>
  <c r="G12" i="7"/>
  <c r="F12" i="7" a="1"/>
  <c r="F12" i="7" s="1"/>
  <c r="E12" i="7" a="1"/>
  <c r="E12" i="7"/>
  <c r="D12" i="7" a="1"/>
  <c r="D12" i="7" s="1"/>
  <c r="K11" i="7" a="1"/>
  <c r="K11" i="7"/>
  <c r="J11" i="7" a="1"/>
  <c r="J11" i="7"/>
  <c r="I11" i="7" a="1"/>
  <c r="I11" i="7"/>
  <c r="H11" i="7" a="1"/>
  <c r="H11" i="7"/>
  <c r="G11" i="7" a="1"/>
  <c r="G11" i="7"/>
  <c r="F11" i="7" a="1"/>
  <c r="F11" i="7"/>
  <c r="E11" i="7" a="1"/>
  <c r="E11" i="7"/>
  <c r="D11" i="7" a="1"/>
  <c r="D11" i="7"/>
  <c r="K10" i="7" a="1"/>
  <c r="K10" i="7"/>
  <c r="J10" i="7" a="1"/>
  <c r="J10" i="7"/>
  <c r="I10" i="7" a="1"/>
  <c r="I10" i="7"/>
  <c r="H10" i="7" a="1"/>
  <c r="H10" i="7"/>
  <c r="G10" i="7" a="1"/>
  <c r="G10" i="7"/>
  <c r="F10" i="7" a="1"/>
  <c r="F10" i="7"/>
  <c r="E10" i="7" a="1"/>
  <c r="E10" i="7"/>
  <c r="D10" i="7" a="1"/>
  <c r="D10" i="7"/>
  <c r="K9" i="7" a="1"/>
  <c r="K9" i="7" s="1"/>
  <c r="J9" i="7" a="1"/>
  <c r="J9" i="7"/>
  <c r="I9" i="7" a="1"/>
  <c r="I9" i="7" s="1"/>
  <c r="H9" i="7" a="1"/>
  <c r="H9" i="7"/>
  <c r="G9" i="7" a="1"/>
  <c r="G9" i="7" s="1"/>
  <c r="F9" i="7" a="1"/>
  <c r="F9" i="7"/>
  <c r="E9" i="7" a="1"/>
  <c r="E9" i="7" s="1"/>
  <c r="D9" i="7" a="1"/>
  <c r="D9" i="7"/>
  <c r="K8" i="7" a="1"/>
  <c r="K8" i="7"/>
  <c r="J8" i="7" a="1"/>
  <c r="J8" i="7" s="1"/>
  <c r="I8" i="7" a="1"/>
  <c r="I8" i="7"/>
  <c r="H8" i="7" a="1"/>
  <c r="H8" i="7" s="1"/>
  <c r="G8" i="7" a="1"/>
  <c r="G8" i="7"/>
  <c r="F8" i="7" a="1"/>
  <c r="F8" i="7" s="1"/>
  <c r="E8" i="7" a="1"/>
  <c r="E8" i="7"/>
  <c r="D8" i="7" a="1"/>
  <c r="D8" i="7" s="1"/>
  <c r="K7" i="7" a="1"/>
  <c r="K7" i="7"/>
  <c r="J7" i="7" a="1"/>
  <c r="J7" i="7"/>
  <c r="I7" i="7" a="1"/>
  <c r="I7" i="7"/>
  <c r="H7" i="7" a="1"/>
  <c r="H7" i="7"/>
  <c r="G7" i="7" a="1"/>
  <c r="G7" i="7"/>
  <c r="F7" i="7" a="1"/>
  <c r="F7" i="7"/>
  <c r="E7" i="7" a="1"/>
  <c r="E7" i="7"/>
  <c r="D7" i="7" a="1"/>
  <c r="D7" i="7"/>
  <c r="K6" i="7" a="1"/>
  <c r="K6" i="7"/>
  <c r="J6" i="7" a="1"/>
  <c r="J6" i="7"/>
  <c r="I6" i="7" a="1"/>
  <c r="I6" i="7"/>
  <c r="H6" i="7" a="1"/>
  <c r="H6" i="7"/>
  <c r="G6" i="7" a="1"/>
  <c r="G6" i="7"/>
  <c r="F6" i="7" a="1"/>
  <c r="F6" i="7"/>
  <c r="E6" i="7" a="1"/>
  <c r="E6" i="7"/>
  <c r="D6" i="7" a="1"/>
  <c r="D6" i="7"/>
  <c r="K5" i="7" a="1"/>
  <c r="K5" i="7" s="1"/>
  <c r="J5" i="7" a="1"/>
  <c r="J5" i="7"/>
  <c r="I5" i="7" a="1"/>
  <c r="I5" i="7" s="1"/>
  <c r="H5" i="7" a="1"/>
  <c r="H5" i="7"/>
  <c r="G5" i="7" a="1"/>
  <c r="G5" i="7" s="1"/>
  <c r="F5" i="7" a="1"/>
  <c r="F5" i="7"/>
  <c r="E5" i="7" a="1"/>
  <c r="E5" i="7" s="1"/>
  <c r="D5" i="7" a="1"/>
  <c r="D5" i="7"/>
  <c r="K4" i="7" a="1"/>
  <c r="K4" i="7"/>
  <c r="J4" i="7" a="1"/>
  <c r="J4" i="7" s="1"/>
  <c r="I4" i="7" a="1"/>
  <c r="I4" i="7"/>
  <c r="H4" i="7" a="1"/>
  <c r="H4" i="7" s="1"/>
  <c r="G4" i="7" a="1"/>
  <c r="G4" i="7"/>
  <c r="F4" i="7" a="1"/>
  <c r="F4" i="7" s="1"/>
  <c r="E4" i="7" a="1"/>
  <c r="E4" i="7"/>
  <c r="D4" i="7" a="1"/>
  <c r="D4" i="7" s="1"/>
  <c r="K3" i="7" a="1"/>
  <c r="K3" i="7"/>
  <c r="J3" i="7" a="1"/>
  <c r="J3" i="7"/>
  <c r="I3" i="7" a="1"/>
  <c r="I3" i="7"/>
  <c r="H3" i="7" a="1"/>
  <c r="H3" i="7"/>
  <c r="G3" i="7" a="1"/>
  <c r="G3" i="7"/>
  <c r="F3" i="7" a="1"/>
  <c r="F3" i="7"/>
  <c r="E3" i="7" a="1"/>
  <c r="E3" i="7"/>
  <c r="D3" i="7" a="1"/>
  <c r="D3" i="7"/>
  <c r="K2" i="7" a="1"/>
  <c r="K2" i="7"/>
  <c r="J2" i="7" a="1"/>
  <c r="J2" i="7"/>
  <c r="I2" i="7" a="1"/>
  <c r="I2" i="7"/>
  <c r="H2" i="7" a="1"/>
  <c r="H2" i="7"/>
  <c r="G2" i="7" a="1"/>
  <c r="G2" i="7"/>
  <c r="F2" i="7" a="1"/>
  <c r="F2" i="7"/>
  <c r="E2" i="7" a="1"/>
  <c r="E2" i="7"/>
  <c r="D2" i="7" a="1"/>
  <c r="D2" i="7"/>
  <c r="C119" i="6"/>
  <c r="K117" i="6"/>
  <c r="P117" i="6" s="1"/>
  <c r="J117" i="6"/>
  <c r="J116" i="7" s="1"/>
  <c r="I117" i="6"/>
  <c r="I116" i="7" s="1"/>
  <c r="H117" i="6"/>
  <c r="H116" i="7" s="1"/>
  <c r="G117" i="6"/>
  <c r="G116" i="7" s="1"/>
  <c r="F117" i="6"/>
  <c r="F116" i="7" s="1"/>
  <c r="E117" i="6"/>
  <c r="R114" i="6" s="1"/>
  <c r="N116" i="6"/>
  <c r="R115" i="6"/>
  <c r="Q115" i="6"/>
  <c r="P115" i="6"/>
  <c r="O115" i="6"/>
  <c r="N115" i="6"/>
  <c r="M115" i="6"/>
  <c r="Q114" i="6"/>
  <c r="P114" i="6"/>
  <c r="O114" i="6"/>
  <c r="N114" i="6"/>
  <c r="M114" i="6"/>
  <c r="R113" i="6"/>
  <c r="Q113" i="6"/>
  <c r="P113" i="6"/>
  <c r="O113" i="6"/>
  <c r="N113" i="6"/>
  <c r="M113" i="6"/>
  <c r="Q112" i="6"/>
  <c r="P112" i="6"/>
  <c r="O112" i="6"/>
  <c r="N112" i="6"/>
  <c r="M112" i="6"/>
  <c r="R111" i="6"/>
  <c r="Q111" i="6"/>
  <c r="P111" i="6"/>
  <c r="O111" i="6"/>
  <c r="N111" i="6"/>
  <c r="M111" i="6"/>
  <c r="Q110" i="6"/>
  <c r="P110" i="6"/>
  <c r="O110" i="6"/>
  <c r="N110" i="6"/>
  <c r="M110" i="6"/>
  <c r="R109" i="6"/>
  <c r="Q109" i="6"/>
  <c r="P109" i="6"/>
  <c r="O109" i="6"/>
  <c r="N109" i="6"/>
  <c r="M109" i="6"/>
  <c r="Q108" i="6"/>
  <c r="P108" i="6"/>
  <c r="O108" i="6"/>
  <c r="N108" i="6"/>
  <c r="M108" i="6"/>
  <c r="R107" i="6"/>
  <c r="Q107" i="6"/>
  <c r="P107" i="6"/>
  <c r="O107" i="6"/>
  <c r="N107" i="6"/>
  <c r="M107" i="6"/>
  <c r="Q106" i="6"/>
  <c r="P106" i="6"/>
  <c r="O106" i="6"/>
  <c r="N106" i="6"/>
  <c r="M106" i="6"/>
  <c r="R105" i="6"/>
  <c r="Q105" i="6"/>
  <c r="P105" i="6"/>
  <c r="O105" i="6"/>
  <c r="N105" i="6"/>
  <c r="M105" i="6"/>
  <c r="Q104" i="6"/>
  <c r="P104" i="6"/>
  <c r="O104" i="6"/>
  <c r="N104" i="6"/>
  <c r="M104" i="6"/>
  <c r="R103" i="6"/>
  <c r="Q103" i="6"/>
  <c r="P103" i="6"/>
  <c r="O103" i="6"/>
  <c r="N103" i="6"/>
  <c r="M103" i="6"/>
  <c r="Q102" i="6"/>
  <c r="P102" i="6"/>
  <c r="O102" i="6"/>
  <c r="N102" i="6"/>
  <c r="M102" i="6"/>
  <c r="R101" i="6"/>
  <c r="Q101" i="6"/>
  <c r="P101" i="6"/>
  <c r="O101" i="6"/>
  <c r="N101" i="6"/>
  <c r="M101" i="6"/>
  <c r="Q100" i="6"/>
  <c r="P100" i="6"/>
  <c r="O100" i="6"/>
  <c r="N100" i="6"/>
  <c r="M100" i="6"/>
  <c r="R99" i="6"/>
  <c r="Q99" i="6"/>
  <c r="P99" i="6"/>
  <c r="O99" i="6"/>
  <c r="N99" i="6"/>
  <c r="M99" i="6"/>
  <c r="Q98" i="6"/>
  <c r="P98" i="6"/>
  <c r="O98" i="6"/>
  <c r="N98" i="6"/>
  <c r="M98" i="6"/>
  <c r="R97" i="6"/>
  <c r="Q97" i="6"/>
  <c r="P97" i="6"/>
  <c r="O97" i="6"/>
  <c r="N97" i="6"/>
  <c r="M97" i="6"/>
  <c r="Q96" i="6"/>
  <c r="P96" i="6"/>
  <c r="O96" i="6"/>
  <c r="N96" i="6"/>
  <c r="M96" i="6"/>
  <c r="R95" i="6"/>
  <c r="Q95" i="6"/>
  <c r="P95" i="6"/>
  <c r="O95" i="6"/>
  <c r="N95" i="6"/>
  <c r="M95" i="6"/>
  <c r="Q94" i="6"/>
  <c r="P94" i="6"/>
  <c r="O94" i="6"/>
  <c r="N94" i="6"/>
  <c r="M94" i="6"/>
  <c r="R93" i="6"/>
  <c r="Q93" i="6"/>
  <c r="P93" i="6"/>
  <c r="O93" i="6"/>
  <c r="N93" i="6"/>
  <c r="M93" i="6"/>
  <c r="Q92" i="6"/>
  <c r="P92" i="6"/>
  <c r="O92" i="6"/>
  <c r="N92" i="6"/>
  <c r="M92" i="6"/>
  <c r="R91" i="6"/>
  <c r="Q91" i="6"/>
  <c r="P91" i="6"/>
  <c r="O91" i="6"/>
  <c r="N91" i="6"/>
  <c r="M91" i="6"/>
  <c r="Q90" i="6"/>
  <c r="P90" i="6"/>
  <c r="O90" i="6"/>
  <c r="N90" i="6"/>
  <c r="M90" i="6"/>
  <c r="R89" i="6"/>
  <c r="Q89" i="6"/>
  <c r="P89" i="6"/>
  <c r="O89" i="6"/>
  <c r="N89" i="6"/>
  <c r="M89" i="6"/>
  <c r="Q88" i="6"/>
  <c r="P88" i="6"/>
  <c r="O88" i="6"/>
  <c r="N88" i="6"/>
  <c r="M88" i="6"/>
  <c r="R87" i="6"/>
  <c r="Q87" i="6"/>
  <c r="P87" i="6"/>
  <c r="O87" i="6"/>
  <c r="N87" i="6"/>
  <c r="M87" i="6"/>
  <c r="Q86" i="6"/>
  <c r="P86" i="6"/>
  <c r="O86" i="6"/>
  <c r="N86" i="6"/>
  <c r="M86" i="6"/>
  <c r="R85" i="6"/>
  <c r="Q85" i="6"/>
  <c r="P85" i="6"/>
  <c r="O85" i="6"/>
  <c r="N85" i="6"/>
  <c r="M85" i="6"/>
  <c r="Q84" i="6"/>
  <c r="P84" i="6"/>
  <c r="O84" i="6"/>
  <c r="N84" i="6"/>
  <c r="M84" i="6"/>
  <c r="R83" i="6"/>
  <c r="Q83" i="6"/>
  <c r="P83" i="6"/>
  <c r="O83" i="6"/>
  <c r="N83" i="6"/>
  <c r="M83" i="6"/>
  <c r="Q82" i="6"/>
  <c r="P82" i="6"/>
  <c r="O82" i="6"/>
  <c r="N82" i="6"/>
  <c r="M82" i="6"/>
  <c r="R81" i="6"/>
  <c r="Q81" i="6"/>
  <c r="P81" i="6"/>
  <c r="O81" i="6"/>
  <c r="N81" i="6"/>
  <c r="M81" i="6"/>
  <c r="A81" i="6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Q80" i="6"/>
  <c r="P80" i="6"/>
  <c r="O80" i="6"/>
  <c r="N80" i="6"/>
  <c r="M80" i="6"/>
  <c r="Q79" i="6"/>
  <c r="P79" i="6"/>
  <c r="O79" i="6"/>
  <c r="N79" i="6"/>
  <c r="M79" i="6"/>
  <c r="R78" i="6"/>
  <c r="Q78" i="6"/>
  <c r="P78" i="6"/>
  <c r="O78" i="6"/>
  <c r="N78" i="6"/>
  <c r="M78" i="6"/>
  <c r="Q77" i="6"/>
  <c r="P77" i="6"/>
  <c r="O77" i="6"/>
  <c r="N77" i="6"/>
  <c r="M77" i="6"/>
  <c r="R76" i="6"/>
  <c r="Q76" i="6"/>
  <c r="P76" i="6"/>
  <c r="O76" i="6"/>
  <c r="N76" i="6"/>
  <c r="M76" i="6"/>
  <c r="Q75" i="6"/>
  <c r="P75" i="6"/>
  <c r="O75" i="6"/>
  <c r="N75" i="6"/>
  <c r="M75" i="6"/>
  <c r="R74" i="6"/>
  <c r="Q74" i="6"/>
  <c r="P74" i="6"/>
  <c r="O74" i="6"/>
  <c r="N74" i="6"/>
  <c r="M74" i="6"/>
  <c r="Q73" i="6"/>
  <c r="P73" i="6"/>
  <c r="O73" i="6"/>
  <c r="N73" i="6"/>
  <c r="M73" i="6"/>
  <c r="R72" i="6"/>
  <c r="Q72" i="6"/>
  <c r="P72" i="6"/>
  <c r="O72" i="6"/>
  <c r="N72" i="6"/>
  <c r="M72" i="6"/>
  <c r="Q71" i="6"/>
  <c r="P71" i="6"/>
  <c r="O71" i="6"/>
  <c r="N71" i="6"/>
  <c r="M71" i="6"/>
  <c r="R70" i="6"/>
  <c r="Q70" i="6"/>
  <c r="P70" i="6"/>
  <c r="O70" i="6"/>
  <c r="N70" i="6"/>
  <c r="M70" i="6"/>
  <c r="Q69" i="6"/>
  <c r="P69" i="6"/>
  <c r="O69" i="6"/>
  <c r="N69" i="6"/>
  <c r="M69" i="6"/>
  <c r="R68" i="6"/>
  <c r="Q68" i="6"/>
  <c r="P68" i="6"/>
  <c r="O68" i="6"/>
  <c r="N68" i="6"/>
  <c r="M68" i="6"/>
  <c r="Q67" i="6"/>
  <c r="P67" i="6"/>
  <c r="O67" i="6"/>
  <c r="N67" i="6"/>
  <c r="M67" i="6"/>
  <c r="R66" i="6"/>
  <c r="Q66" i="6"/>
  <c r="P66" i="6"/>
  <c r="O66" i="6"/>
  <c r="N66" i="6"/>
  <c r="M66" i="6"/>
  <c r="Q65" i="6"/>
  <c r="P65" i="6"/>
  <c r="O65" i="6"/>
  <c r="N65" i="6"/>
  <c r="M65" i="6"/>
  <c r="R64" i="6"/>
  <c r="Q64" i="6"/>
  <c r="P64" i="6"/>
  <c r="O64" i="6"/>
  <c r="N64" i="6"/>
  <c r="M64" i="6"/>
  <c r="Q63" i="6"/>
  <c r="P63" i="6"/>
  <c r="O63" i="6"/>
  <c r="N63" i="6"/>
  <c r="M63" i="6"/>
  <c r="R62" i="6"/>
  <c r="Q62" i="6"/>
  <c r="P62" i="6"/>
  <c r="O62" i="6"/>
  <c r="N62" i="6"/>
  <c r="M62" i="6"/>
  <c r="Q61" i="6"/>
  <c r="P61" i="6"/>
  <c r="O61" i="6"/>
  <c r="N61" i="6"/>
  <c r="M61" i="6"/>
  <c r="R60" i="6"/>
  <c r="Q60" i="6"/>
  <c r="P60" i="6"/>
  <c r="O60" i="6"/>
  <c r="N60" i="6"/>
  <c r="M60" i="6"/>
  <c r="Q59" i="6"/>
  <c r="P59" i="6"/>
  <c r="O59" i="6"/>
  <c r="N59" i="6"/>
  <c r="M59" i="6"/>
  <c r="R58" i="6"/>
  <c r="Q58" i="6"/>
  <c r="P58" i="6"/>
  <c r="O58" i="6"/>
  <c r="N58" i="6"/>
  <c r="M58" i="6"/>
  <c r="Q57" i="6"/>
  <c r="P57" i="6"/>
  <c r="O57" i="6"/>
  <c r="N57" i="6"/>
  <c r="M57" i="6"/>
  <c r="R56" i="6"/>
  <c r="Q56" i="6"/>
  <c r="P56" i="6"/>
  <c r="O56" i="6"/>
  <c r="N56" i="6"/>
  <c r="M56" i="6"/>
  <c r="Q55" i="6"/>
  <c r="P55" i="6"/>
  <c r="O55" i="6"/>
  <c r="N55" i="6"/>
  <c r="M55" i="6"/>
  <c r="R54" i="6"/>
  <c r="Q54" i="6"/>
  <c r="P54" i="6"/>
  <c r="O54" i="6"/>
  <c r="N54" i="6"/>
  <c r="M54" i="6"/>
  <c r="Q53" i="6"/>
  <c r="P53" i="6"/>
  <c r="O53" i="6"/>
  <c r="N53" i="6"/>
  <c r="M53" i="6"/>
  <c r="R52" i="6"/>
  <c r="Q52" i="6"/>
  <c r="P52" i="6"/>
  <c r="O52" i="6"/>
  <c r="N52" i="6"/>
  <c r="M52" i="6"/>
  <c r="Q51" i="6"/>
  <c r="P51" i="6"/>
  <c r="O51" i="6"/>
  <c r="N51" i="6"/>
  <c r="M51" i="6"/>
  <c r="R50" i="6"/>
  <c r="Q50" i="6"/>
  <c r="P50" i="6"/>
  <c r="O50" i="6"/>
  <c r="N50" i="6"/>
  <c r="M50" i="6"/>
  <c r="Q49" i="6"/>
  <c r="P49" i="6"/>
  <c r="O49" i="6"/>
  <c r="N49" i="6"/>
  <c r="M49" i="6"/>
  <c r="R48" i="6"/>
  <c r="Q48" i="6"/>
  <c r="P48" i="6"/>
  <c r="O48" i="6"/>
  <c r="N48" i="6"/>
  <c r="M48" i="6"/>
  <c r="Q47" i="6"/>
  <c r="P47" i="6"/>
  <c r="O47" i="6"/>
  <c r="N47" i="6"/>
  <c r="M47" i="6"/>
  <c r="R46" i="6"/>
  <c r="Q46" i="6"/>
  <c r="P46" i="6"/>
  <c r="O46" i="6"/>
  <c r="N46" i="6"/>
  <c r="M46" i="6"/>
  <c r="Q45" i="6"/>
  <c r="P45" i="6"/>
  <c r="O45" i="6"/>
  <c r="N45" i="6"/>
  <c r="M45" i="6"/>
  <c r="R44" i="6"/>
  <c r="Q44" i="6"/>
  <c r="P44" i="6"/>
  <c r="O44" i="6"/>
  <c r="N44" i="6"/>
  <c r="M44" i="6"/>
  <c r="Q43" i="6"/>
  <c r="P43" i="6"/>
  <c r="O43" i="6"/>
  <c r="N43" i="6"/>
  <c r="M43" i="6"/>
  <c r="R42" i="6"/>
  <c r="Q42" i="6"/>
  <c r="P42" i="6"/>
  <c r="O42" i="6"/>
  <c r="N42" i="6"/>
  <c r="M42" i="6"/>
  <c r="Q41" i="6"/>
  <c r="P41" i="6"/>
  <c r="O41" i="6"/>
  <c r="N41" i="6"/>
  <c r="M41" i="6"/>
  <c r="R40" i="6"/>
  <c r="Q40" i="6"/>
  <c r="P40" i="6"/>
  <c r="O40" i="6"/>
  <c r="N40" i="6"/>
  <c r="M40" i="6"/>
  <c r="Q39" i="6"/>
  <c r="P39" i="6"/>
  <c r="O39" i="6"/>
  <c r="N39" i="6"/>
  <c r="M39" i="6"/>
  <c r="R38" i="6"/>
  <c r="Q38" i="6"/>
  <c r="P38" i="6"/>
  <c r="O38" i="6"/>
  <c r="N38" i="6"/>
  <c r="M38" i="6"/>
  <c r="Q37" i="6"/>
  <c r="P37" i="6"/>
  <c r="O37" i="6"/>
  <c r="N37" i="6"/>
  <c r="M37" i="6"/>
  <c r="R36" i="6"/>
  <c r="Q36" i="6"/>
  <c r="P36" i="6"/>
  <c r="O36" i="6"/>
  <c r="N36" i="6"/>
  <c r="M36" i="6"/>
  <c r="Q35" i="6"/>
  <c r="P35" i="6"/>
  <c r="O35" i="6"/>
  <c r="N35" i="6"/>
  <c r="M35" i="6"/>
  <c r="R34" i="6"/>
  <c r="Q34" i="6"/>
  <c r="P34" i="6"/>
  <c r="O34" i="6"/>
  <c r="N34" i="6"/>
  <c r="M34" i="6"/>
  <c r="Q33" i="6"/>
  <c r="P33" i="6"/>
  <c r="O33" i="6"/>
  <c r="N33" i="6"/>
  <c r="M33" i="6"/>
  <c r="R32" i="6"/>
  <c r="Q32" i="6"/>
  <c r="P32" i="6"/>
  <c r="O32" i="6"/>
  <c r="N32" i="6"/>
  <c r="M32" i="6"/>
  <c r="Q31" i="6"/>
  <c r="P31" i="6"/>
  <c r="O31" i="6"/>
  <c r="N31" i="6"/>
  <c r="M31" i="6"/>
  <c r="R30" i="6"/>
  <c r="Q30" i="6"/>
  <c r="P30" i="6"/>
  <c r="O30" i="6"/>
  <c r="N30" i="6"/>
  <c r="M30" i="6"/>
  <c r="Q29" i="6"/>
  <c r="P29" i="6"/>
  <c r="O29" i="6"/>
  <c r="N29" i="6"/>
  <c r="M29" i="6"/>
  <c r="R28" i="6"/>
  <c r="Q28" i="6"/>
  <c r="P28" i="6"/>
  <c r="O28" i="6"/>
  <c r="N28" i="6"/>
  <c r="M28" i="6"/>
  <c r="Q27" i="6"/>
  <c r="P27" i="6"/>
  <c r="O27" i="6"/>
  <c r="N27" i="6"/>
  <c r="M27" i="6"/>
  <c r="R26" i="6"/>
  <c r="Q26" i="6"/>
  <c r="P26" i="6"/>
  <c r="O26" i="6"/>
  <c r="N26" i="6"/>
  <c r="M26" i="6"/>
  <c r="Q25" i="6"/>
  <c r="P25" i="6"/>
  <c r="O25" i="6"/>
  <c r="N25" i="6"/>
  <c r="M25" i="6"/>
  <c r="R24" i="6"/>
  <c r="Q24" i="6"/>
  <c r="P24" i="6"/>
  <c r="O24" i="6"/>
  <c r="N24" i="6"/>
  <c r="M24" i="6"/>
  <c r="Q23" i="6"/>
  <c r="P23" i="6"/>
  <c r="O23" i="6"/>
  <c r="N23" i="6"/>
  <c r="M23" i="6"/>
  <c r="R22" i="6"/>
  <c r="Q22" i="6"/>
  <c r="P22" i="6"/>
  <c r="O22" i="6"/>
  <c r="N22" i="6"/>
  <c r="M22" i="6"/>
  <c r="Q21" i="6"/>
  <c r="P21" i="6"/>
  <c r="O21" i="6"/>
  <c r="N21" i="6"/>
  <c r="M21" i="6"/>
  <c r="R20" i="6"/>
  <c r="Q20" i="6"/>
  <c r="P20" i="6"/>
  <c r="O20" i="6"/>
  <c r="N20" i="6"/>
  <c r="M20" i="6"/>
  <c r="Q19" i="6"/>
  <c r="P19" i="6"/>
  <c r="O19" i="6"/>
  <c r="N19" i="6"/>
  <c r="M19" i="6"/>
  <c r="R18" i="6"/>
  <c r="Q18" i="6"/>
  <c r="P18" i="6"/>
  <c r="O18" i="6"/>
  <c r="N18" i="6"/>
  <c r="M18" i="6"/>
  <c r="Q17" i="6"/>
  <c r="P17" i="6"/>
  <c r="O17" i="6"/>
  <c r="N17" i="6"/>
  <c r="M17" i="6"/>
  <c r="R16" i="6"/>
  <c r="Q16" i="6"/>
  <c r="P16" i="6"/>
  <c r="O16" i="6"/>
  <c r="N16" i="6"/>
  <c r="M16" i="6"/>
  <c r="Q15" i="6"/>
  <c r="P15" i="6"/>
  <c r="O15" i="6"/>
  <c r="N15" i="6"/>
  <c r="M15" i="6"/>
  <c r="R14" i="6"/>
  <c r="Q14" i="6"/>
  <c r="P14" i="6"/>
  <c r="O14" i="6"/>
  <c r="N14" i="6"/>
  <c r="M14" i="6"/>
  <c r="Q13" i="6"/>
  <c r="P13" i="6"/>
  <c r="O13" i="6"/>
  <c r="N13" i="6"/>
  <c r="M13" i="6"/>
  <c r="R12" i="6"/>
  <c r="Q12" i="6"/>
  <c r="P12" i="6"/>
  <c r="O12" i="6"/>
  <c r="N12" i="6"/>
  <c r="M12" i="6"/>
  <c r="Q11" i="6"/>
  <c r="P11" i="6"/>
  <c r="O11" i="6"/>
  <c r="N11" i="6"/>
  <c r="M11" i="6"/>
  <c r="R10" i="6"/>
  <c r="Q10" i="6"/>
  <c r="P10" i="6"/>
  <c r="O10" i="6"/>
  <c r="N10" i="6"/>
  <c r="M10" i="6"/>
  <c r="Q9" i="6"/>
  <c r="P9" i="6"/>
  <c r="O9" i="6"/>
  <c r="N9" i="6"/>
  <c r="M9" i="6"/>
  <c r="R8" i="6"/>
  <c r="Q8" i="6"/>
  <c r="P8" i="6"/>
  <c r="O8" i="6"/>
  <c r="N8" i="6"/>
  <c r="M8" i="6"/>
  <c r="Q7" i="6"/>
  <c r="P7" i="6"/>
  <c r="O7" i="6"/>
  <c r="N7" i="6"/>
  <c r="M7" i="6"/>
  <c r="R6" i="6"/>
  <c r="Q6" i="6"/>
  <c r="P6" i="6"/>
  <c r="O6" i="6"/>
  <c r="N6" i="6"/>
  <c r="M6" i="6"/>
  <c r="Q5" i="6"/>
  <c r="P5" i="6"/>
  <c r="O5" i="6"/>
  <c r="N5" i="6"/>
  <c r="M5" i="6"/>
  <c r="R4" i="6"/>
  <c r="M4" i="6"/>
  <c r="Q3" i="6"/>
  <c r="P3" i="6"/>
  <c r="O3" i="6"/>
  <c r="N3" i="6"/>
  <c r="M3" i="6"/>
  <c r="R2" i="6"/>
  <c r="Q2" i="6"/>
  <c r="P2" i="6"/>
  <c r="O2" i="6"/>
  <c r="N2" i="6"/>
  <c r="M2" i="6"/>
  <c r="A2" i="6"/>
  <c r="A3" i="6" s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C119" i="5"/>
  <c r="R117" i="5"/>
  <c r="P117" i="5"/>
  <c r="K117" i="5"/>
  <c r="Q117" i="5" s="1"/>
  <c r="J117" i="5"/>
  <c r="I117" i="5"/>
  <c r="H117" i="5"/>
  <c r="O117" i="5" s="1"/>
  <c r="G117" i="5"/>
  <c r="F117" i="5"/>
  <c r="E117" i="5"/>
  <c r="R115" i="5" s="1"/>
  <c r="N116" i="5"/>
  <c r="Q115" i="5"/>
  <c r="P115" i="5"/>
  <c r="O115" i="5"/>
  <c r="N115" i="5"/>
  <c r="M115" i="5"/>
  <c r="R114" i="5"/>
  <c r="Q114" i="5"/>
  <c r="P114" i="5"/>
  <c r="O114" i="5"/>
  <c r="N114" i="5"/>
  <c r="M114" i="5"/>
  <c r="R113" i="5"/>
  <c r="Q113" i="5"/>
  <c r="P113" i="5"/>
  <c r="O113" i="5"/>
  <c r="N113" i="5"/>
  <c r="M113" i="5"/>
  <c r="R112" i="5"/>
  <c r="Q112" i="5"/>
  <c r="P112" i="5"/>
  <c r="O112" i="5"/>
  <c r="N112" i="5"/>
  <c r="M112" i="5"/>
  <c r="Q111" i="5"/>
  <c r="P111" i="5"/>
  <c r="O111" i="5"/>
  <c r="N111" i="5"/>
  <c r="M111" i="5"/>
  <c r="R110" i="5"/>
  <c r="Q110" i="5"/>
  <c r="P110" i="5"/>
  <c r="O110" i="5"/>
  <c r="N110" i="5"/>
  <c r="M110" i="5"/>
  <c r="Q109" i="5"/>
  <c r="P109" i="5"/>
  <c r="O109" i="5"/>
  <c r="N109" i="5"/>
  <c r="M109" i="5"/>
  <c r="R108" i="5"/>
  <c r="Q108" i="5"/>
  <c r="P108" i="5"/>
  <c r="O108" i="5"/>
  <c r="N108" i="5"/>
  <c r="M108" i="5"/>
  <c r="R107" i="5"/>
  <c r="Q107" i="5"/>
  <c r="P107" i="5"/>
  <c r="O107" i="5"/>
  <c r="N107" i="5"/>
  <c r="M107" i="5"/>
  <c r="R106" i="5"/>
  <c r="Q106" i="5"/>
  <c r="P106" i="5"/>
  <c r="O106" i="5"/>
  <c r="N106" i="5"/>
  <c r="M106" i="5"/>
  <c r="R105" i="5"/>
  <c r="Q105" i="5"/>
  <c r="P105" i="5"/>
  <c r="O105" i="5"/>
  <c r="N105" i="5"/>
  <c r="M105" i="5"/>
  <c r="R104" i="5"/>
  <c r="Q104" i="5"/>
  <c r="P104" i="5"/>
  <c r="O104" i="5"/>
  <c r="N104" i="5"/>
  <c r="M104" i="5"/>
  <c r="R103" i="5"/>
  <c r="Q103" i="5"/>
  <c r="P103" i="5"/>
  <c r="O103" i="5"/>
  <c r="N103" i="5"/>
  <c r="M103" i="5"/>
  <c r="R102" i="5"/>
  <c r="Q102" i="5"/>
  <c r="P102" i="5"/>
  <c r="O102" i="5"/>
  <c r="N102" i="5"/>
  <c r="M102" i="5"/>
  <c r="R101" i="5"/>
  <c r="Q101" i="5"/>
  <c r="P101" i="5"/>
  <c r="O101" i="5"/>
  <c r="N101" i="5"/>
  <c r="M101" i="5"/>
  <c r="R100" i="5"/>
  <c r="Q100" i="5"/>
  <c r="P100" i="5"/>
  <c r="O100" i="5"/>
  <c r="N100" i="5"/>
  <c r="M100" i="5"/>
  <c r="R99" i="5"/>
  <c r="Q99" i="5"/>
  <c r="P99" i="5"/>
  <c r="O99" i="5"/>
  <c r="N99" i="5"/>
  <c r="M99" i="5"/>
  <c r="R98" i="5"/>
  <c r="Q98" i="5"/>
  <c r="P98" i="5"/>
  <c r="O98" i="5"/>
  <c r="N98" i="5"/>
  <c r="M98" i="5"/>
  <c r="R97" i="5"/>
  <c r="Q97" i="5"/>
  <c r="P97" i="5"/>
  <c r="O97" i="5"/>
  <c r="N97" i="5"/>
  <c r="M97" i="5"/>
  <c r="R96" i="5"/>
  <c r="Q96" i="5"/>
  <c r="P96" i="5"/>
  <c r="O96" i="5"/>
  <c r="N96" i="5"/>
  <c r="M96" i="5"/>
  <c r="R95" i="5"/>
  <c r="Q95" i="5"/>
  <c r="P95" i="5"/>
  <c r="O95" i="5"/>
  <c r="N95" i="5"/>
  <c r="M95" i="5"/>
  <c r="R94" i="5"/>
  <c r="Q94" i="5"/>
  <c r="P94" i="5"/>
  <c r="O94" i="5"/>
  <c r="N94" i="5"/>
  <c r="M94" i="5"/>
  <c r="R93" i="5"/>
  <c r="Q93" i="5"/>
  <c r="P93" i="5"/>
  <c r="O93" i="5"/>
  <c r="N93" i="5"/>
  <c r="M93" i="5"/>
  <c r="R92" i="5"/>
  <c r="Q92" i="5"/>
  <c r="P92" i="5"/>
  <c r="O92" i="5"/>
  <c r="N92" i="5"/>
  <c r="M92" i="5"/>
  <c r="R91" i="5"/>
  <c r="Q91" i="5"/>
  <c r="P91" i="5"/>
  <c r="O91" i="5"/>
  <c r="N91" i="5"/>
  <c r="M91" i="5"/>
  <c r="R90" i="5"/>
  <c r="Q90" i="5"/>
  <c r="P90" i="5"/>
  <c r="O90" i="5"/>
  <c r="N90" i="5"/>
  <c r="M90" i="5"/>
  <c r="R89" i="5"/>
  <c r="Q89" i="5"/>
  <c r="P89" i="5"/>
  <c r="O89" i="5"/>
  <c r="N89" i="5"/>
  <c r="M89" i="5"/>
  <c r="R88" i="5"/>
  <c r="Q88" i="5"/>
  <c r="P88" i="5"/>
  <c r="O88" i="5"/>
  <c r="N88" i="5"/>
  <c r="M88" i="5"/>
  <c r="R87" i="5"/>
  <c r="Q87" i="5"/>
  <c r="P87" i="5"/>
  <c r="O87" i="5"/>
  <c r="N87" i="5"/>
  <c r="M87" i="5"/>
  <c r="R86" i="5"/>
  <c r="Q86" i="5"/>
  <c r="P86" i="5"/>
  <c r="O86" i="5"/>
  <c r="N86" i="5"/>
  <c r="M86" i="5"/>
  <c r="R85" i="5"/>
  <c r="Q85" i="5"/>
  <c r="P85" i="5"/>
  <c r="O85" i="5"/>
  <c r="N85" i="5"/>
  <c r="M85" i="5"/>
  <c r="R84" i="5"/>
  <c r="Q84" i="5"/>
  <c r="P84" i="5"/>
  <c r="O84" i="5"/>
  <c r="N84" i="5"/>
  <c r="M84" i="5"/>
  <c r="R83" i="5"/>
  <c r="Q83" i="5"/>
  <c r="P83" i="5"/>
  <c r="O83" i="5"/>
  <c r="N83" i="5"/>
  <c r="M83" i="5"/>
  <c r="R82" i="5"/>
  <c r="Q82" i="5"/>
  <c r="P82" i="5"/>
  <c r="O82" i="5"/>
  <c r="N82" i="5"/>
  <c r="M82" i="5"/>
  <c r="A82" i="5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R81" i="5"/>
  <c r="Q81" i="5"/>
  <c r="P81" i="5"/>
  <c r="O81" i="5"/>
  <c r="N81" i="5"/>
  <c r="M81" i="5"/>
  <c r="A81" i="5"/>
  <c r="R80" i="5"/>
  <c r="Q80" i="5"/>
  <c r="P80" i="5"/>
  <c r="O80" i="5"/>
  <c r="N80" i="5"/>
  <c r="M80" i="5"/>
  <c r="R79" i="5"/>
  <c r="Q79" i="5"/>
  <c r="P79" i="5"/>
  <c r="O79" i="5"/>
  <c r="N79" i="5"/>
  <c r="M79" i="5"/>
  <c r="R78" i="5"/>
  <c r="Q78" i="5"/>
  <c r="P78" i="5"/>
  <c r="O78" i="5"/>
  <c r="N78" i="5"/>
  <c r="M78" i="5"/>
  <c r="R77" i="5"/>
  <c r="Q77" i="5"/>
  <c r="P77" i="5"/>
  <c r="O77" i="5"/>
  <c r="N77" i="5"/>
  <c r="M77" i="5"/>
  <c r="R76" i="5"/>
  <c r="Q76" i="5"/>
  <c r="P76" i="5"/>
  <c r="O76" i="5"/>
  <c r="N76" i="5"/>
  <c r="M76" i="5"/>
  <c r="R75" i="5"/>
  <c r="Q75" i="5"/>
  <c r="P75" i="5"/>
  <c r="O75" i="5"/>
  <c r="N75" i="5"/>
  <c r="M75" i="5"/>
  <c r="R74" i="5"/>
  <c r="Q74" i="5"/>
  <c r="P74" i="5"/>
  <c r="O74" i="5"/>
  <c r="N74" i="5"/>
  <c r="M74" i="5"/>
  <c r="R73" i="5"/>
  <c r="Q73" i="5"/>
  <c r="P73" i="5"/>
  <c r="O73" i="5"/>
  <c r="N73" i="5"/>
  <c r="M73" i="5"/>
  <c r="R72" i="5"/>
  <c r="Q72" i="5"/>
  <c r="P72" i="5"/>
  <c r="O72" i="5"/>
  <c r="N72" i="5"/>
  <c r="M72" i="5"/>
  <c r="R71" i="5"/>
  <c r="Q71" i="5"/>
  <c r="P71" i="5"/>
  <c r="O71" i="5"/>
  <c r="N71" i="5"/>
  <c r="M71" i="5"/>
  <c r="R70" i="5"/>
  <c r="Q70" i="5"/>
  <c r="P70" i="5"/>
  <c r="O70" i="5"/>
  <c r="N70" i="5"/>
  <c r="M70" i="5"/>
  <c r="R69" i="5"/>
  <c r="Q69" i="5"/>
  <c r="P69" i="5"/>
  <c r="O69" i="5"/>
  <c r="N69" i="5"/>
  <c r="M69" i="5"/>
  <c r="R68" i="5"/>
  <c r="Q68" i="5"/>
  <c r="P68" i="5"/>
  <c r="O68" i="5"/>
  <c r="N68" i="5"/>
  <c r="M68" i="5"/>
  <c r="R67" i="5"/>
  <c r="Q67" i="5"/>
  <c r="P67" i="5"/>
  <c r="O67" i="5"/>
  <c r="N67" i="5"/>
  <c r="M67" i="5"/>
  <c r="R66" i="5"/>
  <c r="Q66" i="5"/>
  <c r="P66" i="5"/>
  <c r="O66" i="5"/>
  <c r="N66" i="5"/>
  <c r="M66" i="5"/>
  <c r="R65" i="5"/>
  <c r="Q65" i="5"/>
  <c r="P65" i="5"/>
  <c r="O65" i="5"/>
  <c r="N65" i="5"/>
  <c r="M65" i="5"/>
  <c r="R64" i="5"/>
  <c r="Q64" i="5"/>
  <c r="P64" i="5"/>
  <c r="O64" i="5"/>
  <c r="N64" i="5"/>
  <c r="M64" i="5"/>
  <c r="R63" i="5"/>
  <c r="Q63" i="5"/>
  <c r="P63" i="5"/>
  <c r="O63" i="5"/>
  <c r="N63" i="5"/>
  <c r="M63" i="5"/>
  <c r="R62" i="5"/>
  <c r="Q62" i="5"/>
  <c r="P62" i="5"/>
  <c r="O62" i="5"/>
  <c r="N62" i="5"/>
  <c r="M62" i="5"/>
  <c r="R61" i="5"/>
  <c r="Q61" i="5"/>
  <c r="P61" i="5"/>
  <c r="O61" i="5"/>
  <c r="N61" i="5"/>
  <c r="M61" i="5"/>
  <c r="R60" i="5"/>
  <c r="Q60" i="5"/>
  <c r="P60" i="5"/>
  <c r="O60" i="5"/>
  <c r="N60" i="5"/>
  <c r="M60" i="5"/>
  <c r="R59" i="5"/>
  <c r="Q59" i="5"/>
  <c r="P59" i="5"/>
  <c r="O59" i="5"/>
  <c r="N59" i="5"/>
  <c r="M59" i="5"/>
  <c r="R58" i="5"/>
  <c r="Q58" i="5"/>
  <c r="P58" i="5"/>
  <c r="O58" i="5"/>
  <c r="N58" i="5"/>
  <c r="M58" i="5"/>
  <c r="R57" i="5"/>
  <c r="Q57" i="5"/>
  <c r="P57" i="5"/>
  <c r="O57" i="5"/>
  <c r="N57" i="5"/>
  <c r="M57" i="5"/>
  <c r="R56" i="5"/>
  <c r="Q56" i="5"/>
  <c r="P56" i="5"/>
  <c r="O56" i="5"/>
  <c r="N56" i="5"/>
  <c r="M56" i="5"/>
  <c r="R55" i="5"/>
  <c r="Q55" i="5"/>
  <c r="P55" i="5"/>
  <c r="O55" i="5"/>
  <c r="N55" i="5"/>
  <c r="M55" i="5"/>
  <c r="R54" i="5"/>
  <c r="Q54" i="5"/>
  <c r="P54" i="5"/>
  <c r="O54" i="5"/>
  <c r="N54" i="5"/>
  <c r="M54" i="5"/>
  <c r="R53" i="5"/>
  <c r="Q53" i="5"/>
  <c r="P53" i="5"/>
  <c r="O53" i="5"/>
  <c r="N53" i="5"/>
  <c r="M53" i="5"/>
  <c r="R52" i="5"/>
  <c r="Q52" i="5"/>
  <c r="P52" i="5"/>
  <c r="O52" i="5"/>
  <c r="N52" i="5"/>
  <c r="M52" i="5"/>
  <c r="R51" i="5"/>
  <c r="Q51" i="5"/>
  <c r="P51" i="5"/>
  <c r="O51" i="5"/>
  <c r="N51" i="5"/>
  <c r="M51" i="5"/>
  <c r="R50" i="5"/>
  <c r="Q50" i="5"/>
  <c r="P50" i="5"/>
  <c r="O50" i="5"/>
  <c r="N50" i="5"/>
  <c r="M50" i="5"/>
  <c r="R49" i="5"/>
  <c r="Q49" i="5"/>
  <c r="P49" i="5"/>
  <c r="O49" i="5"/>
  <c r="N49" i="5"/>
  <c r="M49" i="5"/>
  <c r="R48" i="5"/>
  <c r="Q48" i="5"/>
  <c r="P48" i="5"/>
  <c r="O48" i="5"/>
  <c r="N48" i="5"/>
  <c r="M48" i="5"/>
  <c r="R47" i="5"/>
  <c r="Q47" i="5"/>
  <c r="P47" i="5"/>
  <c r="O47" i="5"/>
  <c r="N47" i="5"/>
  <c r="M47" i="5"/>
  <c r="R46" i="5"/>
  <c r="Q46" i="5"/>
  <c r="P46" i="5"/>
  <c r="O46" i="5"/>
  <c r="N46" i="5"/>
  <c r="M46" i="5"/>
  <c r="R45" i="5"/>
  <c r="Q45" i="5"/>
  <c r="P45" i="5"/>
  <c r="O45" i="5"/>
  <c r="N45" i="5"/>
  <c r="M45" i="5"/>
  <c r="R44" i="5"/>
  <c r="Q44" i="5"/>
  <c r="P44" i="5"/>
  <c r="O44" i="5"/>
  <c r="N44" i="5"/>
  <c r="M44" i="5"/>
  <c r="R43" i="5"/>
  <c r="Q43" i="5"/>
  <c r="P43" i="5"/>
  <c r="O43" i="5"/>
  <c r="N43" i="5"/>
  <c r="M43" i="5"/>
  <c r="R42" i="5"/>
  <c r="Q42" i="5"/>
  <c r="P42" i="5"/>
  <c r="O42" i="5"/>
  <c r="N42" i="5"/>
  <c r="M42" i="5"/>
  <c r="R41" i="5"/>
  <c r="Q41" i="5"/>
  <c r="P41" i="5"/>
  <c r="O41" i="5"/>
  <c r="N41" i="5"/>
  <c r="M41" i="5"/>
  <c r="R40" i="5"/>
  <c r="Q40" i="5"/>
  <c r="P40" i="5"/>
  <c r="O40" i="5"/>
  <c r="N40" i="5"/>
  <c r="M40" i="5"/>
  <c r="R39" i="5"/>
  <c r="Q39" i="5"/>
  <c r="P39" i="5"/>
  <c r="O39" i="5"/>
  <c r="N39" i="5"/>
  <c r="M39" i="5"/>
  <c r="R38" i="5"/>
  <c r="Q38" i="5"/>
  <c r="P38" i="5"/>
  <c r="O38" i="5"/>
  <c r="N38" i="5"/>
  <c r="M38" i="5"/>
  <c r="R37" i="5"/>
  <c r="Q37" i="5"/>
  <c r="P37" i="5"/>
  <c r="O37" i="5"/>
  <c r="N37" i="5"/>
  <c r="M37" i="5"/>
  <c r="R36" i="5"/>
  <c r="Q36" i="5"/>
  <c r="P36" i="5"/>
  <c r="O36" i="5"/>
  <c r="N36" i="5"/>
  <c r="M36" i="5"/>
  <c r="R35" i="5"/>
  <c r="Q35" i="5"/>
  <c r="P35" i="5"/>
  <c r="O35" i="5"/>
  <c r="N35" i="5"/>
  <c r="M35" i="5"/>
  <c r="R34" i="5"/>
  <c r="Q34" i="5"/>
  <c r="P34" i="5"/>
  <c r="O34" i="5"/>
  <c r="N34" i="5"/>
  <c r="M34" i="5"/>
  <c r="R33" i="5"/>
  <c r="Q33" i="5"/>
  <c r="P33" i="5"/>
  <c r="O33" i="5"/>
  <c r="N33" i="5"/>
  <c r="M33" i="5"/>
  <c r="R32" i="5"/>
  <c r="Q32" i="5"/>
  <c r="P32" i="5"/>
  <c r="O32" i="5"/>
  <c r="N32" i="5"/>
  <c r="M32" i="5"/>
  <c r="R31" i="5"/>
  <c r="Q31" i="5"/>
  <c r="P31" i="5"/>
  <c r="O31" i="5"/>
  <c r="N31" i="5"/>
  <c r="M31" i="5"/>
  <c r="R30" i="5"/>
  <c r="Q30" i="5"/>
  <c r="P30" i="5"/>
  <c r="O30" i="5"/>
  <c r="N30" i="5"/>
  <c r="M30" i="5"/>
  <c r="R29" i="5"/>
  <c r="Q29" i="5"/>
  <c r="P29" i="5"/>
  <c r="O29" i="5"/>
  <c r="N29" i="5"/>
  <c r="M29" i="5"/>
  <c r="R28" i="5"/>
  <c r="Q28" i="5"/>
  <c r="P28" i="5"/>
  <c r="O28" i="5"/>
  <c r="N28" i="5"/>
  <c r="M28" i="5"/>
  <c r="R27" i="5"/>
  <c r="Q27" i="5"/>
  <c r="P27" i="5"/>
  <c r="O27" i="5"/>
  <c r="N27" i="5"/>
  <c r="M27" i="5"/>
  <c r="R26" i="5"/>
  <c r="Q26" i="5"/>
  <c r="P26" i="5"/>
  <c r="O26" i="5"/>
  <c r="N26" i="5"/>
  <c r="M26" i="5"/>
  <c r="R25" i="5"/>
  <c r="Q25" i="5"/>
  <c r="P25" i="5"/>
  <c r="O25" i="5"/>
  <c r="N25" i="5"/>
  <c r="M25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Q22" i="5"/>
  <c r="P22" i="5"/>
  <c r="O22" i="5"/>
  <c r="N22" i="5"/>
  <c r="M22" i="5"/>
  <c r="R21" i="5"/>
  <c r="Q21" i="5"/>
  <c r="P21" i="5"/>
  <c r="O21" i="5"/>
  <c r="N21" i="5"/>
  <c r="M21" i="5"/>
  <c r="R20" i="5"/>
  <c r="Q20" i="5"/>
  <c r="P20" i="5"/>
  <c r="O20" i="5"/>
  <c r="N20" i="5"/>
  <c r="M20" i="5"/>
  <c r="R19" i="5"/>
  <c r="Q19" i="5"/>
  <c r="P19" i="5"/>
  <c r="O19" i="5"/>
  <c r="N19" i="5"/>
  <c r="M19" i="5"/>
  <c r="R18" i="5"/>
  <c r="Q18" i="5"/>
  <c r="P18" i="5"/>
  <c r="O18" i="5"/>
  <c r="N18" i="5"/>
  <c r="M18" i="5"/>
  <c r="R17" i="5"/>
  <c r="Q17" i="5"/>
  <c r="P17" i="5"/>
  <c r="O17" i="5"/>
  <c r="N17" i="5"/>
  <c r="M17" i="5"/>
  <c r="R16" i="5"/>
  <c r="Q16" i="5"/>
  <c r="P16" i="5"/>
  <c r="O16" i="5"/>
  <c r="N16" i="5"/>
  <c r="M16" i="5"/>
  <c r="R15" i="5"/>
  <c r="Q15" i="5"/>
  <c r="P15" i="5"/>
  <c r="O15" i="5"/>
  <c r="N15" i="5"/>
  <c r="M15" i="5"/>
  <c r="R14" i="5"/>
  <c r="Q14" i="5"/>
  <c r="P14" i="5"/>
  <c r="O14" i="5"/>
  <c r="N14" i="5"/>
  <c r="M14" i="5"/>
  <c r="R13" i="5"/>
  <c r="Q13" i="5"/>
  <c r="P13" i="5"/>
  <c r="O13" i="5"/>
  <c r="N13" i="5"/>
  <c r="M13" i="5"/>
  <c r="R12" i="5"/>
  <c r="Q12" i="5"/>
  <c r="P12" i="5"/>
  <c r="O12" i="5"/>
  <c r="N12" i="5"/>
  <c r="M12" i="5"/>
  <c r="R11" i="5"/>
  <c r="Q11" i="5"/>
  <c r="P11" i="5"/>
  <c r="O11" i="5"/>
  <c r="N11" i="5"/>
  <c r="M11" i="5"/>
  <c r="R10" i="5"/>
  <c r="Q10" i="5"/>
  <c r="P10" i="5"/>
  <c r="O10" i="5"/>
  <c r="N10" i="5"/>
  <c r="M10" i="5"/>
  <c r="R9" i="5"/>
  <c r="Q9" i="5"/>
  <c r="P9" i="5"/>
  <c r="O9" i="5"/>
  <c r="N9" i="5"/>
  <c r="M9" i="5"/>
  <c r="R8" i="5"/>
  <c r="Q8" i="5"/>
  <c r="P8" i="5"/>
  <c r="O8" i="5"/>
  <c r="N8" i="5"/>
  <c r="M8" i="5"/>
  <c r="R7" i="5"/>
  <c r="Q7" i="5"/>
  <c r="P7" i="5"/>
  <c r="O7" i="5"/>
  <c r="N7" i="5"/>
  <c r="M7" i="5"/>
  <c r="R6" i="5"/>
  <c r="Q6" i="5"/>
  <c r="P6" i="5"/>
  <c r="O6" i="5"/>
  <c r="N6" i="5"/>
  <c r="M6" i="5"/>
  <c r="R5" i="5"/>
  <c r="Q5" i="5"/>
  <c r="P5" i="5"/>
  <c r="O5" i="5"/>
  <c r="N5" i="5"/>
  <c r="M5" i="5"/>
  <c r="R4" i="5"/>
  <c r="M4" i="5"/>
  <c r="R3" i="5"/>
  <c r="Q3" i="5"/>
  <c r="P3" i="5"/>
  <c r="O3" i="5"/>
  <c r="N3" i="5"/>
  <c r="M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R2" i="5"/>
  <c r="Q2" i="5"/>
  <c r="P2" i="5"/>
  <c r="O2" i="5"/>
  <c r="N2" i="5"/>
  <c r="M2" i="5"/>
  <c r="A2" i="5"/>
  <c r="K116" i="4" a="1"/>
  <c r="K116" i="4"/>
  <c r="J116" i="4" a="1"/>
  <c r="J116" i="4"/>
  <c r="I116" i="4" a="1"/>
  <c r="I116" i="4"/>
  <c r="H116" i="4" a="1"/>
  <c r="H116" i="4"/>
  <c r="G116" i="4" a="1"/>
  <c r="G116" i="4"/>
  <c r="F116" i="4" a="1"/>
  <c r="F116" i="4"/>
  <c r="E116" i="4" a="1"/>
  <c r="E116" i="4"/>
  <c r="D116" i="4" a="1"/>
  <c r="D116" i="4"/>
  <c r="K115" i="4" a="1"/>
  <c r="K115" i="4"/>
  <c r="J115" i="4" a="1"/>
  <c r="J115" i="4"/>
  <c r="I115" i="4" a="1"/>
  <c r="I115" i="4"/>
  <c r="H115" i="4" a="1"/>
  <c r="H115" i="4"/>
  <c r="G115" i="4" a="1"/>
  <c r="G115" i="4"/>
  <c r="F115" i="4" a="1"/>
  <c r="F115" i="4"/>
  <c r="E115" i="4" a="1"/>
  <c r="E115" i="4"/>
  <c r="D115" i="4" a="1"/>
  <c r="D115" i="4"/>
  <c r="K114" i="4" a="1"/>
  <c r="K114" i="4"/>
  <c r="J114" i="4" a="1"/>
  <c r="J114" i="4"/>
  <c r="I114" i="4" a="1"/>
  <c r="I114" i="4"/>
  <c r="H114" i="4" a="1"/>
  <c r="H114" i="4"/>
  <c r="G114" i="4" a="1"/>
  <c r="G114" i="4"/>
  <c r="F114" i="4" a="1"/>
  <c r="F114" i="4"/>
  <c r="E114" i="4" a="1"/>
  <c r="E114" i="4"/>
  <c r="D114" i="4" a="1"/>
  <c r="D114" i="4"/>
  <c r="K113" i="4" a="1"/>
  <c r="K113" i="4"/>
  <c r="J113" i="4" a="1"/>
  <c r="J113" i="4"/>
  <c r="I113" i="4" a="1"/>
  <c r="I113" i="4"/>
  <c r="H113" i="4" a="1"/>
  <c r="H113" i="4"/>
  <c r="G113" i="4" a="1"/>
  <c r="G113" i="4"/>
  <c r="F113" i="4" a="1"/>
  <c r="F113" i="4"/>
  <c r="E113" i="4" a="1"/>
  <c r="E113" i="4"/>
  <c r="D113" i="4" a="1"/>
  <c r="D113" i="4"/>
  <c r="K112" i="4" a="1"/>
  <c r="K112" i="4"/>
  <c r="J112" i="4" a="1"/>
  <c r="J112" i="4"/>
  <c r="I112" i="4" a="1"/>
  <c r="I112" i="4"/>
  <c r="H112" i="4" a="1"/>
  <c r="H112" i="4"/>
  <c r="G112" i="4" a="1"/>
  <c r="G112" i="4"/>
  <c r="F112" i="4" a="1"/>
  <c r="F112" i="4"/>
  <c r="E112" i="4" a="1"/>
  <c r="E112" i="4"/>
  <c r="D112" i="4" a="1"/>
  <c r="D112" i="4"/>
  <c r="K111" i="4" a="1"/>
  <c r="K111" i="4"/>
  <c r="J111" i="4" a="1"/>
  <c r="J111" i="4"/>
  <c r="I111" i="4" a="1"/>
  <c r="I111" i="4"/>
  <c r="H111" i="4" a="1"/>
  <c r="H111" i="4"/>
  <c r="G111" i="4" a="1"/>
  <c r="G111" i="4"/>
  <c r="F111" i="4" a="1"/>
  <c r="F111" i="4"/>
  <c r="E111" i="4" a="1"/>
  <c r="E111" i="4"/>
  <c r="D111" i="4" a="1"/>
  <c r="D111" i="4"/>
  <c r="K110" i="4" a="1"/>
  <c r="K110" i="4"/>
  <c r="J110" i="4" a="1"/>
  <c r="J110" i="4"/>
  <c r="I110" i="4" a="1"/>
  <c r="I110" i="4"/>
  <c r="H110" i="4" a="1"/>
  <c r="H110" i="4"/>
  <c r="G110" i="4" a="1"/>
  <c r="G110" i="4"/>
  <c r="F110" i="4" a="1"/>
  <c r="F110" i="4"/>
  <c r="E110" i="4" a="1"/>
  <c r="E110" i="4"/>
  <c r="D110" i="4" a="1"/>
  <c r="D110" i="4"/>
  <c r="K109" i="4" a="1"/>
  <c r="K109" i="4"/>
  <c r="J109" i="4" a="1"/>
  <c r="J109" i="4"/>
  <c r="I109" i="4" a="1"/>
  <c r="I109" i="4"/>
  <c r="H109" i="4" a="1"/>
  <c r="H109" i="4"/>
  <c r="G109" i="4" a="1"/>
  <c r="G109" i="4"/>
  <c r="F109" i="4" a="1"/>
  <c r="F109" i="4"/>
  <c r="E109" i="4" a="1"/>
  <c r="E109" i="4"/>
  <c r="D109" i="4" a="1"/>
  <c r="D109" i="4"/>
  <c r="K108" i="4" a="1"/>
  <c r="K108" i="4"/>
  <c r="J108" i="4" a="1"/>
  <c r="J108" i="4"/>
  <c r="I108" i="4" a="1"/>
  <c r="I108" i="4"/>
  <c r="H108" i="4" a="1"/>
  <c r="H108" i="4"/>
  <c r="G108" i="4" a="1"/>
  <c r="G108" i="4"/>
  <c r="F108" i="4" a="1"/>
  <c r="F108" i="4"/>
  <c r="E108" i="4" a="1"/>
  <c r="E108" i="4"/>
  <c r="D108" i="4" a="1"/>
  <c r="D108" i="4"/>
  <c r="K107" i="4" a="1"/>
  <c r="K107" i="4"/>
  <c r="J107" i="4" a="1"/>
  <c r="J107" i="4"/>
  <c r="I107" i="4" a="1"/>
  <c r="I107" i="4"/>
  <c r="H107" i="4" a="1"/>
  <c r="H107" i="4"/>
  <c r="G107" i="4" a="1"/>
  <c r="G107" i="4"/>
  <c r="F107" i="4" a="1"/>
  <c r="F107" i="4"/>
  <c r="E107" i="4" a="1"/>
  <c r="E107" i="4"/>
  <c r="D107" i="4" a="1"/>
  <c r="D107" i="4"/>
  <c r="K106" i="4" a="1"/>
  <c r="K106" i="4"/>
  <c r="J106" i="4" a="1"/>
  <c r="J106" i="4"/>
  <c r="I106" i="4" a="1"/>
  <c r="I106" i="4"/>
  <c r="H106" i="4" a="1"/>
  <c r="H106" i="4"/>
  <c r="G106" i="4" a="1"/>
  <c r="G106" i="4"/>
  <c r="F106" i="4" a="1"/>
  <c r="F106" i="4"/>
  <c r="E106" i="4" a="1"/>
  <c r="E106" i="4"/>
  <c r="D106" i="4" a="1"/>
  <c r="D106" i="4"/>
  <c r="K105" i="4" a="1"/>
  <c r="K105" i="4"/>
  <c r="J105" i="4" a="1"/>
  <c r="J105" i="4"/>
  <c r="I105" i="4" a="1"/>
  <c r="I105" i="4"/>
  <c r="H105" i="4" a="1"/>
  <c r="H105" i="4" s="1"/>
  <c r="G105" i="4" a="1"/>
  <c r="G105" i="4"/>
  <c r="F105" i="4" a="1"/>
  <c r="F105" i="4" s="1"/>
  <c r="E105" i="4" a="1"/>
  <c r="E105" i="4"/>
  <c r="D105" i="4" a="1"/>
  <c r="D105" i="4" s="1"/>
  <c r="K104" i="4" a="1"/>
  <c r="K104" i="4" s="1"/>
  <c r="J104" i="4" a="1"/>
  <c r="J104" i="4"/>
  <c r="I104" i="4" a="1"/>
  <c r="I104" i="4" s="1"/>
  <c r="H104" i="4" a="1"/>
  <c r="H104" i="4"/>
  <c r="G104" i="4" a="1"/>
  <c r="G104" i="4" s="1"/>
  <c r="F104" i="4" a="1"/>
  <c r="F104" i="4"/>
  <c r="E104" i="4" a="1"/>
  <c r="E104" i="4" s="1"/>
  <c r="D104" i="4" a="1"/>
  <c r="D104" i="4"/>
  <c r="K103" i="4" a="1"/>
  <c r="K103" i="4"/>
  <c r="J103" i="4" a="1"/>
  <c r="J103" i="4" s="1"/>
  <c r="I103" i="4" a="1"/>
  <c r="I103" i="4"/>
  <c r="H103" i="4" a="1"/>
  <c r="H103" i="4" s="1"/>
  <c r="G103" i="4" a="1"/>
  <c r="G103" i="4"/>
  <c r="F103" i="4" a="1"/>
  <c r="F103" i="4" s="1"/>
  <c r="E103" i="4" a="1"/>
  <c r="E103" i="4"/>
  <c r="D103" i="4" a="1"/>
  <c r="D103" i="4" s="1"/>
  <c r="K102" i="4" a="1"/>
  <c r="K102" i="4" s="1"/>
  <c r="J102" i="4" a="1"/>
  <c r="J102" i="4"/>
  <c r="I102" i="4" a="1"/>
  <c r="I102" i="4" s="1"/>
  <c r="H102" i="4" a="1"/>
  <c r="H102" i="4"/>
  <c r="G102" i="4" a="1"/>
  <c r="G102" i="4" s="1"/>
  <c r="F102" i="4" a="1"/>
  <c r="F102" i="4"/>
  <c r="E102" i="4" a="1"/>
  <c r="E102" i="4" s="1"/>
  <c r="D102" i="4" a="1"/>
  <c r="D102" i="4"/>
  <c r="K101" i="4" a="1"/>
  <c r="K101" i="4"/>
  <c r="J101" i="4" a="1"/>
  <c r="J101" i="4" s="1"/>
  <c r="I101" i="4" a="1"/>
  <c r="I101" i="4"/>
  <c r="H101" i="4" a="1"/>
  <c r="H101" i="4" s="1"/>
  <c r="G101" i="4" a="1"/>
  <c r="G101" i="4"/>
  <c r="F101" i="4" a="1"/>
  <c r="F101" i="4" s="1"/>
  <c r="E101" i="4" a="1"/>
  <c r="E101" i="4"/>
  <c r="D101" i="4" a="1"/>
  <c r="D101" i="4" s="1"/>
  <c r="K100" i="4" a="1"/>
  <c r="K100" i="4" s="1"/>
  <c r="J100" i="4" a="1"/>
  <c r="J100" i="4"/>
  <c r="I100" i="4" a="1"/>
  <c r="I100" i="4" s="1"/>
  <c r="H100" i="4" a="1"/>
  <c r="H100" i="4"/>
  <c r="G100" i="4" a="1"/>
  <c r="G100" i="4" s="1"/>
  <c r="F100" i="4" a="1"/>
  <c r="F100" i="4"/>
  <c r="E100" i="4" a="1"/>
  <c r="E100" i="4" s="1"/>
  <c r="D100" i="4" a="1"/>
  <c r="D100" i="4"/>
  <c r="K99" i="4" a="1"/>
  <c r="K99" i="4"/>
  <c r="J99" i="4" a="1"/>
  <c r="J99" i="4" s="1"/>
  <c r="I99" i="4" a="1"/>
  <c r="I99" i="4"/>
  <c r="H99" i="4" a="1"/>
  <c r="H99" i="4" s="1"/>
  <c r="G99" i="4" a="1"/>
  <c r="G99" i="4"/>
  <c r="F99" i="4" a="1"/>
  <c r="F99" i="4" s="1"/>
  <c r="E99" i="4" a="1"/>
  <c r="E99" i="4" s="1"/>
  <c r="D99" i="4" a="1"/>
  <c r="D99" i="4" s="1"/>
  <c r="K98" i="4" a="1"/>
  <c r="K98" i="4" s="1"/>
  <c r="J98" i="4" a="1"/>
  <c r="J98" i="4" s="1"/>
  <c r="I98" i="4" a="1"/>
  <c r="I98" i="4" s="1"/>
  <c r="H98" i="4" a="1"/>
  <c r="H98" i="4" s="1"/>
  <c r="G98" i="4" a="1"/>
  <c r="G98" i="4" s="1"/>
  <c r="F98" i="4" a="1"/>
  <c r="F98" i="4" s="1"/>
  <c r="E98" i="4" a="1"/>
  <c r="E98" i="4" s="1"/>
  <c r="D98" i="4" a="1"/>
  <c r="D98" i="4" s="1"/>
  <c r="K97" i="4" a="1"/>
  <c r="K97" i="4" s="1"/>
  <c r="J97" i="4" a="1"/>
  <c r="J97" i="4" s="1"/>
  <c r="I97" i="4" a="1"/>
  <c r="I97" i="4" s="1"/>
  <c r="H97" i="4" a="1"/>
  <c r="H97" i="4" s="1"/>
  <c r="G97" i="4" a="1"/>
  <c r="G97" i="4" s="1"/>
  <c r="F97" i="4" a="1"/>
  <c r="F97" i="4" s="1"/>
  <c r="E97" i="4" a="1"/>
  <c r="E97" i="4" s="1"/>
  <c r="D97" i="4" a="1"/>
  <c r="D97" i="4" s="1"/>
  <c r="K96" i="4" a="1"/>
  <c r="K96" i="4" s="1"/>
  <c r="J96" i="4" a="1"/>
  <c r="J96" i="4" s="1"/>
  <c r="I96" i="4" a="1"/>
  <c r="I96" i="4" s="1"/>
  <c r="H96" i="4" a="1"/>
  <c r="H96" i="4" s="1"/>
  <c r="G96" i="4" a="1"/>
  <c r="G96" i="4" s="1"/>
  <c r="F96" i="4" a="1"/>
  <c r="F96" i="4" s="1"/>
  <c r="E96" i="4" a="1"/>
  <c r="E96" i="4" s="1"/>
  <c r="D96" i="4" a="1"/>
  <c r="D96" i="4" s="1"/>
  <c r="K95" i="4" a="1"/>
  <c r="K95" i="4" s="1"/>
  <c r="J95" i="4" a="1"/>
  <c r="J95" i="4" s="1"/>
  <c r="I95" i="4" a="1"/>
  <c r="I95" i="4" s="1"/>
  <c r="H95" i="4" a="1"/>
  <c r="H95" i="4" s="1"/>
  <c r="G95" i="4" a="1"/>
  <c r="G95" i="4" s="1"/>
  <c r="F95" i="4" a="1"/>
  <c r="F95" i="4" s="1"/>
  <c r="E95" i="4" a="1"/>
  <c r="E95" i="4" s="1"/>
  <c r="D95" i="4" a="1"/>
  <c r="D95" i="4" s="1"/>
  <c r="K94" i="4" a="1"/>
  <c r="K94" i="4" s="1"/>
  <c r="J94" i="4" a="1"/>
  <c r="J94" i="4" s="1"/>
  <c r="I94" i="4" a="1"/>
  <c r="I94" i="4" s="1"/>
  <c r="H94" i="4" a="1"/>
  <c r="H94" i="4" s="1"/>
  <c r="G94" i="4" a="1"/>
  <c r="G94" i="4" s="1"/>
  <c r="F94" i="4" a="1"/>
  <c r="F94" i="4" s="1"/>
  <c r="E94" i="4" a="1"/>
  <c r="E94" i="4" s="1"/>
  <c r="D94" i="4" a="1"/>
  <c r="D94" i="4" s="1"/>
  <c r="K93" i="4" a="1"/>
  <c r="K93" i="4" s="1"/>
  <c r="J93" i="4" a="1"/>
  <c r="J93" i="4" s="1"/>
  <c r="I93" i="4" a="1"/>
  <c r="I93" i="4" s="1"/>
  <c r="H93" i="4" a="1"/>
  <c r="H93" i="4" s="1"/>
  <c r="G93" i="4" a="1"/>
  <c r="G93" i="4" s="1"/>
  <c r="F93" i="4" a="1"/>
  <c r="F93" i="4" s="1"/>
  <c r="E93" i="4" a="1"/>
  <c r="E93" i="4" s="1"/>
  <c r="D93" i="4" a="1"/>
  <c r="D93" i="4" s="1"/>
  <c r="K92" i="4" a="1"/>
  <c r="K92" i="4" s="1"/>
  <c r="J92" i="4" a="1"/>
  <c r="J92" i="4" s="1"/>
  <c r="I92" i="4" a="1"/>
  <c r="I92" i="4" s="1"/>
  <c r="H92" i="4" a="1"/>
  <c r="H92" i="4" s="1"/>
  <c r="G92" i="4" a="1"/>
  <c r="G92" i="4" s="1"/>
  <c r="F92" i="4" a="1"/>
  <c r="F92" i="4" s="1"/>
  <c r="E92" i="4" a="1"/>
  <c r="E92" i="4" s="1"/>
  <c r="D92" i="4" a="1"/>
  <c r="D92" i="4" s="1"/>
  <c r="K91" i="4" a="1"/>
  <c r="K91" i="4" s="1"/>
  <c r="J91" i="4" a="1"/>
  <c r="J91" i="4" s="1"/>
  <c r="I91" i="4" a="1"/>
  <c r="I91" i="4" s="1"/>
  <c r="H91" i="4" a="1"/>
  <c r="H91" i="4" s="1"/>
  <c r="G91" i="4" a="1"/>
  <c r="G91" i="4" s="1"/>
  <c r="F91" i="4" a="1"/>
  <c r="F91" i="4" s="1"/>
  <c r="E91" i="4" a="1"/>
  <c r="E91" i="4" s="1"/>
  <c r="D91" i="4" a="1"/>
  <c r="D91" i="4" s="1"/>
  <c r="K90" i="4" a="1"/>
  <c r="K90" i="4" s="1"/>
  <c r="J90" i="4" a="1"/>
  <c r="J90" i="4" s="1"/>
  <c r="I90" i="4" a="1"/>
  <c r="I90" i="4" s="1"/>
  <c r="H90" i="4" a="1"/>
  <c r="H90" i="4" s="1"/>
  <c r="G90" i="4" a="1"/>
  <c r="G90" i="4" s="1"/>
  <c r="F90" i="4" a="1"/>
  <c r="F90" i="4" s="1"/>
  <c r="E90" i="4" a="1"/>
  <c r="E90" i="4" s="1"/>
  <c r="D90" i="4" a="1"/>
  <c r="D90" i="4" s="1"/>
  <c r="K89" i="4" a="1"/>
  <c r="K89" i="4" s="1"/>
  <c r="J89" i="4" a="1"/>
  <c r="J89" i="4" s="1"/>
  <c r="I89" i="4" a="1"/>
  <c r="I89" i="4" s="1"/>
  <c r="H89" i="4" a="1"/>
  <c r="H89" i="4" s="1"/>
  <c r="G89" i="4" a="1"/>
  <c r="G89" i="4" s="1"/>
  <c r="F89" i="4" a="1"/>
  <c r="F89" i="4" s="1"/>
  <c r="E89" i="4" a="1"/>
  <c r="E89" i="4" s="1"/>
  <c r="D89" i="4" a="1"/>
  <c r="D89" i="4" s="1"/>
  <c r="K88" i="4" a="1"/>
  <c r="K88" i="4" s="1"/>
  <c r="J88" i="4" a="1"/>
  <c r="J88" i="4" s="1"/>
  <c r="I88" i="4" a="1"/>
  <c r="I88" i="4" s="1"/>
  <c r="H88" i="4" a="1"/>
  <c r="H88" i="4" s="1"/>
  <c r="G88" i="4" a="1"/>
  <c r="G88" i="4" s="1"/>
  <c r="F88" i="4" a="1"/>
  <c r="F88" i="4" s="1"/>
  <c r="E88" i="4" a="1"/>
  <c r="E88" i="4" s="1"/>
  <c r="D88" i="4" a="1"/>
  <c r="D88" i="4" s="1"/>
  <c r="K87" i="4" a="1"/>
  <c r="K87" i="4" s="1"/>
  <c r="J87" i="4" a="1"/>
  <c r="J87" i="4" s="1"/>
  <c r="I87" i="4" a="1"/>
  <c r="I87" i="4" s="1"/>
  <c r="H87" i="4" a="1"/>
  <c r="H87" i="4" s="1"/>
  <c r="G87" i="4" a="1"/>
  <c r="G87" i="4" s="1"/>
  <c r="F87" i="4" a="1"/>
  <c r="F87" i="4" s="1"/>
  <c r="E87" i="4" a="1"/>
  <c r="E87" i="4" s="1"/>
  <c r="D87" i="4" a="1"/>
  <c r="D87" i="4" s="1"/>
  <c r="K86" i="4" a="1"/>
  <c r="K86" i="4" s="1"/>
  <c r="J86" i="4" a="1"/>
  <c r="J86" i="4" s="1"/>
  <c r="I86" i="4" a="1"/>
  <c r="I86" i="4" s="1"/>
  <c r="H86" i="4" a="1"/>
  <c r="H86" i="4" s="1"/>
  <c r="G86" i="4" a="1"/>
  <c r="G86" i="4" s="1"/>
  <c r="F86" i="4" a="1"/>
  <c r="F86" i="4" s="1"/>
  <c r="E86" i="4" a="1"/>
  <c r="E86" i="4" s="1"/>
  <c r="D86" i="4" a="1"/>
  <c r="D86" i="4" s="1"/>
  <c r="K85" i="4" a="1"/>
  <c r="K85" i="4" s="1"/>
  <c r="J85" i="4" a="1"/>
  <c r="J85" i="4" s="1"/>
  <c r="I85" i="4" a="1"/>
  <c r="I85" i="4" s="1"/>
  <c r="H85" i="4" a="1"/>
  <c r="H85" i="4" s="1"/>
  <c r="G85" i="4" a="1"/>
  <c r="G85" i="4" s="1"/>
  <c r="F85" i="4" a="1"/>
  <c r="F85" i="4" s="1"/>
  <c r="E85" i="4" a="1"/>
  <c r="E85" i="4" s="1"/>
  <c r="D85" i="4" a="1"/>
  <c r="D85" i="4" s="1"/>
  <c r="K84" i="4" a="1"/>
  <c r="K84" i="4" s="1"/>
  <c r="J84" i="4" a="1"/>
  <c r="J84" i="4" s="1"/>
  <c r="I84" i="4" a="1"/>
  <c r="I84" i="4" s="1"/>
  <c r="H84" i="4" a="1"/>
  <c r="H84" i="4" s="1"/>
  <c r="G84" i="4" a="1"/>
  <c r="G84" i="4" s="1"/>
  <c r="F84" i="4" a="1"/>
  <c r="F84" i="4" s="1"/>
  <c r="E84" i="4" a="1"/>
  <c r="E84" i="4" s="1"/>
  <c r="D84" i="4" a="1"/>
  <c r="D84" i="4" s="1"/>
  <c r="K83" i="4" a="1"/>
  <c r="K83" i="4" s="1"/>
  <c r="J83" i="4" a="1"/>
  <c r="J83" i="4" s="1"/>
  <c r="I83" i="4" a="1"/>
  <c r="I83" i="4" s="1"/>
  <c r="H83" i="4" a="1"/>
  <c r="H83" i="4" s="1"/>
  <c r="G83" i="4" a="1"/>
  <c r="G83" i="4" s="1"/>
  <c r="F83" i="4" a="1"/>
  <c r="F83" i="4" s="1"/>
  <c r="E83" i="4" a="1"/>
  <c r="E83" i="4" s="1"/>
  <c r="D83" i="4" a="1"/>
  <c r="D83" i="4" s="1"/>
  <c r="K82" i="4" a="1"/>
  <c r="K82" i="4" s="1"/>
  <c r="J82" i="4" a="1"/>
  <c r="J82" i="4" s="1"/>
  <c r="I82" i="4" a="1"/>
  <c r="I82" i="4" s="1"/>
  <c r="H82" i="4" a="1"/>
  <c r="H82" i="4" s="1"/>
  <c r="G82" i="4" a="1"/>
  <c r="G82" i="4" s="1"/>
  <c r="F82" i="4" a="1"/>
  <c r="F82" i="4" s="1"/>
  <c r="E82" i="4" a="1"/>
  <c r="E82" i="4" s="1"/>
  <c r="D82" i="4" a="1"/>
  <c r="D82" i="4" s="1"/>
  <c r="K81" i="4" a="1"/>
  <c r="K81" i="4" s="1"/>
  <c r="J81" i="4" a="1"/>
  <c r="J81" i="4" s="1"/>
  <c r="I81" i="4" a="1"/>
  <c r="I81" i="4" s="1"/>
  <c r="H81" i="4" a="1"/>
  <c r="H81" i="4" s="1"/>
  <c r="G81" i="4" a="1"/>
  <c r="G81" i="4" s="1"/>
  <c r="F81" i="4" a="1"/>
  <c r="F81" i="4" s="1"/>
  <c r="E81" i="4" a="1"/>
  <c r="E81" i="4" s="1"/>
  <c r="D81" i="4" a="1"/>
  <c r="D81" i="4" s="1"/>
  <c r="K80" i="4" a="1"/>
  <c r="K80" i="4" s="1"/>
  <c r="J80" i="4" a="1"/>
  <c r="J80" i="4" s="1"/>
  <c r="I80" i="4" a="1"/>
  <c r="I80" i="4" s="1"/>
  <c r="H80" i="4" a="1"/>
  <c r="H80" i="4" s="1"/>
  <c r="G80" i="4" a="1"/>
  <c r="G80" i="4" s="1"/>
  <c r="F80" i="4" a="1"/>
  <c r="F80" i="4" s="1"/>
  <c r="E80" i="4" a="1"/>
  <c r="E80" i="4" s="1"/>
  <c r="D80" i="4" a="1"/>
  <c r="D80" i="4" s="1"/>
  <c r="K79" i="4" a="1"/>
  <c r="K79" i="4" s="1"/>
  <c r="J79" i="4" a="1"/>
  <c r="J79" i="4" s="1"/>
  <c r="I79" i="4" a="1"/>
  <c r="I79" i="4" s="1"/>
  <c r="H79" i="4" a="1"/>
  <c r="H79" i="4" s="1"/>
  <c r="G79" i="4" a="1"/>
  <c r="G79" i="4" s="1"/>
  <c r="F79" i="4" a="1"/>
  <c r="F79" i="4" s="1"/>
  <c r="E79" i="4" a="1"/>
  <c r="E79" i="4" s="1"/>
  <c r="D79" i="4" a="1"/>
  <c r="D79" i="4" s="1"/>
  <c r="K78" i="4" a="1"/>
  <c r="K78" i="4" s="1"/>
  <c r="J78" i="4" a="1"/>
  <c r="J78" i="4" s="1"/>
  <c r="I78" i="4" a="1"/>
  <c r="I78" i="4" s="1"/>
  <c r="H78" i="4" a="1"/>
  <c r="H78" i="4" s="1"/>
  <c r="G78" i="4" a="1"/>
  <c r="G78" i="4" s="1"/>
  <c r="F78" i="4" a="1"/>
  <c r="F78" i="4" s="1"/>
  <c r="E78" i="4" a="1"/>
  <c r="E78" i="4" s="1"/>
  <c r="D78" i="4" a="1"/>
  <c r="D78" i="4" s="1"/>
  <c r="K77" i="4" a="1"/>
  <c r="K77" i="4" s="1"/>
  <c r="J77" i="4" a="1"/>
  <c r="J77" i="4" s="1"/>
  <c r="I77" i="4" a="1"/>
  <c r="I77" i="4" s="1"/>
  <c r="H77" i="4" a="1"/>
  <c r="H77" i="4" s="1"/>
  <c r="G77" i="4" a="1"/>
  <c r="G77" i="4" s="1"/>
  <c r="F77" i="4" a="1"/>
  <c r="F77" i="4" s="1"/>
  <c r="E77" i="4" a="1"/>
  <c r="E77" i="4" s="1"/>
  <c r="D77" i="4" a="1"/>
  <c r="D77" i="4" s="1"/>
  <c r="K76" i="4" a="1"/>
  <c r="K76" i="4" s="1"/>
  <c r="J76" i="4" a="1"/>
  <c r="J76" i="4" s="1"/>
  <c r="I76" i="4" a="1"/>
  <c r="I76" i="4" s="1"/>
  <c r="H76" i="4" a="1"/>
  <c r="H76" i="4" s="1"/>
  <c r="G76" i="4" a="1"/>
  <c r="G76" i="4" s="1"/>
  <c r="F76" i="4" a="1"/>
  <c r="F76" i="4" s="1"/>
  <c r="E76" i="4" a="1"/>
  <c r="E76" i="4" s="1"/>
  <c r="D76" i="4" a="1"/>
  <c r="D76" i="4" s="1"/>
  <c r="K75" i="4" a="1"/>
  <c r="K75" i="4" s="1"/>
  <c r="J75" i="4" a="1"/>
  <c r="J75" i="4" s="1"/>
  <c r="I75" i="4" a="1"/>
  <c r="I75" i="4" s="1"/>
  <c r="H75" i="4" a="1"/>
  <c r="H75" i="4" s="1"/>
  <c r="G75" i="4" a="1"/>
  <c r="G75" i="4" s="1"/>
  <c r="F75" i="4" a="1"/>
  <c r="F75" i="4" s="1"/>
  <c r="E75" i="4" a="1"/>
  <c r="E75" i="4" s="1"/>
  <c r="D75" i="4" a="1"/>
  <c r="D75" i="4" s="1"/>
  <c r="K74" i="4" a="1"/>
  <c r="K74" i="4" s="1"/>
  <c r="J74" i="4" a="1"/>
  <c r="J74" i="4" s="1"/>
  <c r="I74" i="4" a="1"/>
  <c r="I74" i="4" s="1"/>
  <c r="H74" i="4" a="1"/>
  <c r="H74" i="4" s="1"/>
  <c r="G74" i="4" a="1"/>
  <c r="G74" i="4" s="1"/>
  <c r="F74" i="4" a="1"/>
  <c r="F74" i="4" s="1"/>
  <c r="E74" i="4" a="1"/>
  <c r="E74" i="4" s="1"/>
  <c r="D74" i="4" a="1"/>
  <c r="D74" i="4" s="1"/>
  <c r="K73" i="4" a="1"/>
  <c r="K73" i="4" s="1"/>
  <c r="J73" i="4" a="1"/>
  <c r="J73" i="4" s="1"/>
  <c r="I73" i="4" a="1"/>
  <c r="I73" i="4" s="1"/>
  <c r="H73" i="4" a="1"/>
  <c r="H73" i="4" s="1"/>
  <c r="G73" i="4" a="1"/>
  <c r="G73" i="4" s="1"/>
  <c r="F73" i="4" a="1"/>
  <c r="F73" i="4" s="1"/>
  <c r="E73" i="4" a="1"/>
  <c r="E73" i="4" s="1"/>
  <c r="D73" i="4" a="1"/>
  <c r="D73" i="4" s="1"/>
  <c r="K72" i="4" a="1"/>
  <c r="K72" i="4" s="1"/>
  <c r="J72" i="4" a="1"/>
  <c r="J72" i="4" s="1"/>
  <c r="I72" i="4" a="1"/>
  <c r="I72" i="4" s="1"/>
  <c r="H72" i="4" a="1"/>
  <c r="H72" i="4" s="1"/>
  <c r="G72" i="4" a="1"/>
  <c r="G72" i="4" s="1"/>
  <c r="F72" i="4" a="1"/>
  <c r="F72" i="4" s="1"/>
  <c r="E72" i="4" a="1"/>
  <c r="E72" i="4" s="1"/>
  <c r="D72" i="4" a="1"/>
  <c r="D72" i="4" s="1"/>
  <c r="K71" i="4" a="1"/>
  <c r="K71" i="4" s="1"/>
  <c r="J71" i="4" a="1"/>
  <c r="J71" i="4" s="1"/>
  <c r="I71" i="4" a="1"/>
  <c r="I71" i="4" s="1"/>
  <c r="H71" i="4" a="1"/>
  <c r="H71" i="4" s="1"/>
  <c r="G71" i="4" a="1"/>
  <c r="G71" i="4" s="1"/>
  <c r="F71" i="4" a="1"/>
  <c r="F71" i="4" s="1"/>
  <c r="E71" i="4" a="1"/>
  <c r="E71" i="4" s="1"/>
  <c r="D71" i="4" a="1"/>
  <c r="D71" i="4" s="1"/>
  <c r="K70" i="4" a="1"/>
  <c r="K70" i="4" s="1"/>
  <c r="J70" i="4" a="1"/>
  <c r="J70" i="4" s="1"/>
  <c r="I70" i="4" a="1"/>
  <c r="I70" i="4" s="1"/>
  <c r="H70" i="4" a="1"/>
  <c r="H70" i="4" s="1"/>
  <c r="G70" i="4" a="1"/>
  <c r="G70" i="4" s="1"/>
  <c r="F70" i="4" a="1"/>
  <c r="F70" i="4" s="1"/>
  <c r="E70" i="4" a="1"/>
  <c r="E70" i="4" s="1"/>
  <c r="D70" i="4" a="1"/>
  <c r="D70" i="4" s="1"/>
  <c r="K69" i="4" a="1"/>
  <c r="K69" i="4" s="1"/>
  <c r="J69" i="4" a="1"/>
  <c r="J69" i="4" s="1"/>
  <c r="I69" i="4" a="1"/>
  <c r="I69" i="4" s="1"/>
  <c r="H69" i="4" a="1"/>
  <c r="H69" i="4" s="1"/>
  <c r="G69" i="4" a="1"/>
  <c r="G69" i="4" s="1"/>
  <c r="F69" i="4" a="1"/>
  <c r="F69" i="4" s="1"/>
  <c r="E69" i="4" a="1"/>
  <c r="E69" i="4" s="1"/>
  <c r="D69" i="4" a="1"/>
  <c r="D69" i="4" s="1"/>
  <c r="K68" i="4" a="1"/>
  <c r="K68" i="4" s="1"/>
  <c r="J68" i="4" a="1"/>
  <c r="J68" i="4" s="1"/>
  <c r="I68" i="4" a="1"/>
  <c r="I68" i="4" s="1"/>
  <c r="H68" i="4" a="1"/>
  <c r="H68" i="4" s="1"/>
  <c r="G68" i="4" a="1"/>
  <c r="G68" i="4" s="1"/>
  <c r="F68" i="4" a="1"/>
  <c r="F68" i="4" s="1"/>
  <c r="E68" i="4" a="1"/>
  <c r="E68" i="4" s="1"/>
  <c r="D68" i="4" a="1"/>
  <c r="D68" i="4" s="1"/>
  <c r="K67" i="4" a="1"/>
  <c r="K67" i="4" s="1"/>
  <c r="J67" i="4" a="1"/>
  <c r="J67" i="4" s="1"/>
  <c r="I67" i="4" a="1"/>
  <c r="I67" i="4" s="1"/>
  <c r="H67" i="4" a="1"/>
  <c r="H67" i="4" s="1"/>
  <c r="G67" i="4" a="1"/>
  <c r="G67" i="4" s="1"/>
  <c r="F67" i="4" a="1"/>
  <c r="F67" i="4" s="1"/>
  <c r="E67" i="4" a="1"/>
  <c r="E67" i="4" s="1"/>
  <c r="D67" i="4" a="1"/>
  <c r="D67" i="4" s="1"/>
  <c r="K66" i="4" a="1"/>
  <c r="K66" i="4" s="1"/>
  <c r="J66" i="4" a="1"/>
  <c r="J66" i="4" s="1"/>
  <c r="I66" i="4" a="1"/>
  <c r="I66" i="4" s="1"/>
  <c r="H66" i="4" a="1"/>
  <c r="H66" i="4" s="1"/>
  <c r="G66" i="4" a="1"/>
  <c r="G66" i="4" s="1"/>
  <c r="F66" i="4" a="1"/>
  <c r="F66" i="4" s="1"/>
  <c r="E66" i="4" a="1"/>
  <c r="E66" i="4" s="1"/>
  <c r="D66" i="4" a="1"/>
  <c r="D66" i="4" s="1"/>
  <c r="K65" i="4" a="1"/>
  <c r="K65" i="4" s="1"/>
  <c r="J65" i="4" a="1"/>
  <c r="J65" i="4" s="1"/>
  <c r="I65" i="4" a="1"/>
  <c r="I65" i="4" s="1"/>
  <c r="H65" i="4" a="1"/>
  <c r="H65" i="4" s="1"/>
  <c r="G65" i="4" a="1"/>
  <c r="G65" i="4" s="1"/>
  <c r="F65" i="4" a="1"/>
  <c r="F65" i="4" s="1"/>
  <c r="E65" i="4" a="1"/>
  <c r="E65" i="4" s="1"/>
  <c r="D65" i="4" a="1"/>
  <c r="D65" i="4" s="1"/>
  <c r="K64" i="4" a="1"/>
  <c r="K64" i="4" s="1"/>
  <c r="J64" i="4" a="1"/>
  <c r="J64" i="4" s="1"/>
  <c r="I64" i="4" a="1"/>
  <c r="I64" i="4" s="1"/>
  <c r="H64" i="4" a="1"/>
  <c r="H64" i="4" s="1"/>
  <c r="G64" i="4" a="1"/>
  <c r="G64" i="4" s="1"/>
  <c r="F64" i="4" a="1"/>
  <c r="F64" i="4" s="1"/>
  <c r="E64" i="4" a="1"/>
  <c r="E64" i="4" s="1"/>
  <c r="D64" i="4" a="1"/>
  <c r="D64" i="4" s="1"/>
  <c r="K63" i="4" a="1"/>
  <c r="K63" i="4" s="1"/>
  <c r="J63" i="4" a="1"/>
  <c r="J63" i="4" s="1"/>
  <c r="I63" i="4" a="1"/>
  <c r="I63" i="4" s="1"/>
  <c r="H63" i="4" a="1"/>
  <c r="H63" i="4" s="1"/>
  <c r="G63" i="4" a="1"/>
  <c r="G63" i="4" s="1"/>
  <c r="F63" i="4" a="1"/>
  <c r="F63" i="4" s="1"/>
  <c r="E63" i="4" a="1"/>
  <c r="E63" i="4" s="1"/>
  <c r="D63" i="4" a="1"/>
  <c r="D63" i="4" s="1"/>
  <c r="K62" i="4" a="1"/>
  <c r="K62" i="4" s="1"/>
  <c r="J62" i="4" a="1"/>
  <c r="J62" i="4" s="1"/>
  <c r="I62" i="4" a="1"/>
  <c r="I62" i="4" s="1"/>
  <c r="H62" i="4" a="1"/>
  <c r="H62" i="4" s="1"/>
  <c r="G62" i="4" a="1"/>
  <c r="G62" i="4" s="1"/>
  <c r="F62" i="4" a="1"/>
  <c r="F62" i="4" s="1"/>
  <c r="E62" i="4" a="1"/>
  <c r="E62" i="4" s="1"/>
  <c r="D62" i="4" a="1"/>
  <c r="D62" i="4" s="1"/>
  <c r="K61" i="4" a="1"/>
  <c r="K61" i="4" s="1"/>
  <c r="J61" i="4" a="1"/>
  <c r="J61" i="4" s="1"/>
  <c r="I61" i="4" a="1"/>
  <c r="I61" i="4" s="1"/>
  <c r="H61" i="4" a="1"/>
  <c r="H61" i="4" s="1"/>
  <c r="G61" i="4" a="1"/>
  <c r="G61" i="4" s="1"/>
  <c r="F61" i="4" a="1"/>
  <c r="F61" i="4" s="1"/>
  <c r="E61" i="4" a="1"/>
  <c r="E61" i="4" s="1"/>
  <c r="D61" i="4" a="1"/>
  <c r="D61" i="4" s="1"/>
  <c r="K60" i="4" a="1"/>
  <c r="K60" i="4" s="1"/>
  <c r="J60" i="4" a="1"/>
  <c r="J60" i="4" s="1"/>
  <c r="I60" i="4" a="1"/>
  <c r="I60" i="4" s="1"/>
  <c r="H60" i="4" a="1"/>
  <c r="H60" i="4" s="1"/>
  <c r="G60" i="4" a="1"/>
  <c r="G60" i="4" s="1"/>
  <c r="F60" i="4" a="1"/>
  <c r="F60" i="4" s="1"/>
  <c r="E60" i="4" a="1"/>
  <c r="E60" i="4" s="1"/>
  <c r="D60" i="4" a="1"/>
  <c r="D60" i="4" s="1"/>
  <c r="K59" i="4" a="1"/>
  <c r="K59" i="4" s="1"/>
  <c r="J59" i="4" a="1"/>
  <c r="J59" i="4" s="1"/>
  <c r="I59" i="4" a="1"/>
  <c r="I59" i="4" s="1"/>
  <c r="H59" i="4" a="1"/>
  <c r="H59" i="4" s="1"/>
  <c r="G59" i="4" a="1"/>
  <c r="G59" i="4" s="1"/>
  <c r="F59" i="4" a="1"/>
  <c r="F59" i="4" s="1"/>
  <c r="E59" i="4" a="1"/>
  <c r="E59" i="4" s="1"/>
  <c r="D59" i="4" a="1"/>
  <c r="D59" i="4" s="1"/>
  <c r="K58" i="4" a="1"/>
  <c r="K58" i="4" s="1"/>
  <c r="J58" i="4" a="1"/>
  <c r="J58" i="4" s="1"/>
  <c r="I58" i="4" a="1"/>
  <c r="I58" i="4" s="1"/>
  <c r="H58" i="4" a="1"/>
  <c r="H58" i="4" s="1"/>
  <c r="G58" i="4" a="1"/>
  <c r="G58" i="4" s="1"/>
  <c r="F58" i="4" a="1"/>
  <c r="F58" i="4" s="1"/>
  <c r="E58" i="4" a="1"/>
  <c r="E58" i="4" s="1"/>
  <c r="D58" i="4" a="1"/>
  <c r="D58" i="4" s="1"/>
  <c r="K57" i="4" a="1"/>
  <c r="K57" i="4" s="1"/>
  <c r="J57" i="4" a="1"/>
  <c r="J57" i="4" s="1"/>
  <c r="I57" i="4" a="1"/>
  <c r="I57" i="4" s="1"/>
  <c r="H57" i="4" a="1"/>
  <c r="H57" i="4" s="1"/>
  <c r="G57" i="4" a="1"/>
  <c r="G57" i="4" s="1"/>
  <c r="F57" i="4" a="1"/>
  <c r="F57" i="4" s="1"/>
  <c r="E57" i="4" a="1"/>
  <c r="E57" i="4" s="1"/>
  <c r="D57" i="4" a="1"/>
  <c r="D57" i="4" s="1"/>
  <c r="K56" i="4" a="1"/>
  <c r="K56" i="4" s="1"/>
  <c r="J56" i="4" a="1"/>
  <c r="J56" i="4" s="1"/>
  <c r="I56" i="4" a="1"/>
  <c r="I56" i="4" s="1"/>
  <c r="H56" i="4" a="1"/>
  <c r="H56" i="4" s="1"/>
  <c r="G56" i="4" a="1"/>
  <c r="G56" i="4" s="1"/>
  <c r="F56" i="4" a="1"/>
  <c r="F56" i="4" s="1"/>
  <c r="E56" i="4" a="1"/>
  <c r="E56" i="4" s="1"/>
  <c r="D56" i="4" a="1"/>
  <c r="D56" i="4" s="1"/>
  <c r="K55" i="4" a="1"/>
  <c r="K55" i="4" s="1"/>
  <c r="J55" i="4" a="1"/>
  <c r="J55" i="4" s="1"/>
  <c r="I55" i="4" a="1"/>
  <c r="I55" i="4" s="1"/>
  <c r="H55" i="4" a="1"/>
  <c r="H55" i="4" s="1"/>
  <c r="G55" i="4" a="1"/>
  <c r="G55" i="4" s="1"/>
  <c r="F55" i="4" a="1"/>
  <c r="F55" i="4" s="1"/>
  <c r="E55" i="4" a="1"/>
  <c r="E55" i="4" s="1"/>
  <c r="D55" i="4" a="1"/>
  <c r="D55" i="4" s="1"/>
  <c r="K54" i="4" a="1"/>
  <c r="K54" i="4" s="1"/>
  <c r="J54" i="4" a="1"/>
  <c r="J54" i="4" s="1"/>
  <c r="I54" i="4" a="1"/>
  <c r="I54" i="4" s="1"/>
  <c r="H54" i="4" a="1"/>
  <c r="H54" i="4" s="1"/>
  <c r="G54" i="4" a="1"/>
  <c r="G54" i="4" s="1"/>
  <c r="F54" i="4" a="1"/>
  <c r="F54" i="4" s="1"/>
  <c r="E54" i="4" a="1"/>
  <c r="E54" i="4" s="1"/>
  <c r="D54" i="4" a="1"/>
  <c r="D54" i="4" s="1"/>
  <c r="K53" i="4" a="1"/>
  <c r="K53" i="4" s="1"/>
  <c r="J53" i="4" a="1"/>
  <c r="J53" i="4" s="1"/>
  <c r="I53" i="4" a="1"/>
  <c r="I53" i="4" s="1"/>
  <c r="H53" i="4" a="1"/>
  <c r="H53" i="4" s="1"/>
  <c r="G53" i="4" a="1"/>
  <c r="G53" i="4" s="1"/>
  <c r="F53" i="4" a="1"/>
  <c r="F53" i="4" s="1"/>
  <c r="E53" i="4" a="1"/>
  <c r="E53" i="4" s="1"/>
  <c r="D53" i="4" a="1"/>
  <c r="D53" i="4" s="1"/>
  <c r="K52" i="4" a="1"/>
  <c r="K52" i="4" s="1"/>
  <c r="J52" i="4" a="1"/>
  <c r="J52" i="4" s="1"/>
  <c r="I52" i="4" a="1"/>
  <c r="I52" i="4" s="1"/>
  <c r="H52" i="4" a="1"/>
  <c r="H52" i="4" s="1"/>
  <c r="G52" i="4" a="1"/>
  <c r="G52" i="4" s="1"/>
  <c r="F52" i="4" a="1"/>
  <c r="F52" i="4" s="1"/>
  <c r="E52" i="4" a="1"/>
  <c r="E52" i="4" s="1"/>
  <c r="D52" i="4" a="1"/>
  <c r="D52" i="4" s="1"/>
  <c r="K51" i="4" a="1"/>
  <c r="K51" i="4" s="1"/>
  <c r="J51" i="4" a="1"/>
  <c r="J51" i="4" s="1"/>
  <c r="I51" i="4" a="1"/>
  <c r="I51" i="4" s="1"/>
  <c r="H51" i="4" a="1"/>
  <c r="H51" i="4" s="1"/>
  <c r="G51" i="4" a="1"/>
  <c r="G51" i="4" s="1"/>
  <c r="F51" i="4" a="1"/>
  <c r="F51" i="4" s="1"/>
  <c r="E51" i="4" a="1"/>
  <c r="E51" i="4" s="1"/>
  <c r="D51" i="4" a="1"/>
  <c r="D51" i="4" s="1"/>
  <c r="K50" i="4" a="1"/>
  <c r="K50" i="4" s="1"/>
  <c r="J50" i="4" a="1"/>
  <c r="J50" i="4" s="1"/>
  <c r="I50" i="4" a="1"/>
  <c r="I50" i="4" s="1"/>
  <c r="H50" i="4" a="1"/>
  <c r="H50" i="4" s="1"/>
  <c r="G50" i="4" a="1"/>
  <c r="G50" i="4" s="1"/>
  <c r="F50" i="4" a="1"/>
  <c r="F50" i="4" s="1"/>
  <c r="E50" i="4" a="1"/>
  <c r="E50" i="4" s="1"/>
  <c r="D50" i="4" a="1"/>
  <c r="D50" i="4" s="1"/>
  <c r="K49" i="4" a="1"/>
  <c r="K49" i="4" s="1"/>
  <c r="J49" i="4" a="1"/>
  <c r="J49" i="4" s="1"/>
  <c r="I49" i="4" a="1"/>
  <c r="I49" i="4" s="1"/>
  <c r="H49" i="4" a="1"/>
  <c r="H49" i="4" s="1"/>
  <c r="G49" i="4" a="1"/>
  <c r="G49" i="4" s="1"/>
  <c r="F49" i="4" a="1"/>
  <c r="F49" i="4" s="1"/>
  <c r="E49" i="4" a="1"/>
  <c r="E49" i="4" s="1"/>
  <c r="D49" i="4" a="1"/>
  <c r="D49" i="4" s="1"/>
  <c r="K48" i="4" a="1"/>
  <c r="K48" i="4" s="1"/>
  <c r="J48" i="4" a="1"/>
  <c r="J48" i="4" s="1"/>
  <c r="I48" i="4" a="1"/>
  <c r="I48" i="4" s="1"/>
  <c r="H48" i="4" a="1"/>
  <c r="H48" i="4" s="1"/>
  <c r="G48" i="4" a="1"/>
  <c r="G48" i="4" s="1"/>
  <c r="F48" i="4" a="1"/>
  <c r="F48" i="4" s="1"/>
  <c r="E48" i="4" a="1"/>
  <c r="E48" i="4" s="1"/>
  <c r="D48" i="4" a="1"/>
  <c r="D48" i="4" s="1"/>
  <c r="K47" i="4" a="1"/>
  <c r="K47" i="4" s="1"/>
  <c r="J47" i="4" a="1"/>
  <c r="J47" i="4" s="1"/>
  <c r="I47" i="4" a="1"/>
  <c r="I47" i="4" s="1"/>
  <c r="H47" i="4" a="1"/>
  <c r="H47" i="4" s="1"/>
  <c r="G47" i="4" a="1"/>
  <c r="G47" i="4" s="1"/>
  <c r="F47" i="4" a="1"/>
  <c r="F47" i="4" s="1"/>
  <c r="E47" i="4" a="1"/>
  <c r="E47" i="4" s="1"/>
  <c r="D47" i="4" a="1"/>
  <c r="D47" i="4" s="1"/>
  <c r="K46" i="4" a="1"/>
  <c r="K46" i="4" s="1"/>
  <c r="J46" i="4" a="1"/>
  <c r="J46" i="4" s="1"/>
  <c r="I46" i="4" a="1"/>
  <c r="I46" i="4" s="1"/>
  <c r="H46" i="4" a="1"/>
  <c r="H46" i="4" s="1"/>
  <c r="G46" i="4" a="1"/>
  <c r="G46" i="4" s="1"/>
  <c r="F46" i="4" a="1"/>
  <c r="F46" i="4" s="1"/>
  <c r="E46" i="4" a="1"/>
  <c r="E46" i="4" s="1"/>
  <c r="D46" i="4" a="1"/>
  <c r="D46" i="4" s="1"/>
  <c r="K45" i="4" a="1"/>
  <c r="K45" i="4" s="1"/>
  <c r="J45" i="4" a="1"/>
  <c r="J45" i="4" s="1"/>
  <c r="I45" i="4" a="1"/>
  <c r="I45" i="4" s="1"/>
  <c r="H45" i="4" a="1"/>
  <c r="H45" i="4" s="1"/>
  <c r="G45" i="4" a="1"/>
  <c r="G45" i="4" s="1"/>
  <c r="F45" i="4" a="1"/>
  <c r="F45" i="4" s="1"/>
  <c r="E45" i="4" a="1"/>
  <c r="E45" i="4" s="1"/>
  <c r="D45" i="4" a="1"/>
  <c r="D45" i="4" s="1"/>
  <c r="K44" i="4" a="1"/>
  <c r="K44" i="4" s="1"/>
  <c r="J44" i="4" a="1"/>
  <c r="J44" i="4" s="1"/>
  <c r="I44" i="4" a="1"/>
  <c r="I44" i="4" s="1"/>
  <c r="H44" i="4" a="1"/>
  <c r="H44" i="4" s="1"/>
  <c r="G44" i="4" a="1"/>
  <c r="G44" i="4" s="1"/>
  <c r="F44" i="4" a="1"/>
  <c r="F44" i="4" s="1"/>
  <c r="E44" i="4" a="1"/>
  <c r="E44" i="4" s="1"/>
  <c r="D44" i="4" a="1"/>
  <c r="D44" i="4" s="1"/>
  <c r="K43" i="4" a="1"/>
  <c r="K43" i="4" s="1"/>
  <c r="J43" i="4" a="1"/>
  <c r="J43" i="4" s="1"/>
  <c r="I43" i="4" a="1"/>
  <c r="I43" i="4" s="1"/>
  <c r="H43" i="4" a="1"/>
  <c r="H43" i="4" s="1"/>
  <c r="G43" i="4" a="1"/>
  <c r="G43" i="4" s="1"/>
  <c r="F43" i="4" a="1"/>
  <c r="F43" i="4" s="1"/>
  <c r="E43" i="4" a="1"/>
  <c r="E43" i="4" s="1"/>
  <c r="D43" i="4" a="1"/>
  <c r="D43" i="4" s="1"/>
  <c r="K42" i="4" a="1"/>
  <c r="K42" i="4" s="1"/>
  <c r="J42" i="4" a="1"/>
  <c r="J42" i="4" s="1"/>
  <c r="I42" i="4" a="1"/>
  <c r="I42" i="4" s="1"/>
  <c r="H42" i="4" a="1"/>
  <c r="H42" i="4" s="1"/>
  <c r="G42" i="4" a="1"/>
  <c r="G42" i="4" s="1"/>
  <c r="F42" i="4" a="1"/>
  <c r="F42" i="4" s="1"/>
  <c r="E42" i="4" a="1"/>
  <c r="E42" i="4" s="1"/>
  <c r="D42" i="4" a="1"/>
  <c r="D42" i="4" s="1"/>
  <c r="K41" i="4" a="1"/>
  <c r="K41" i="4" s="1"/>
  <c r="J41" i="4" a="1"/>
  <c r="J41" i="4" s="1"/>
  <c r="I41" i="4" a="1"/>
  <c r="I41" i="4" s="1"/>
  <c r="H41" i="4" a="1"/>
  <c r="H41" i="4" s="1"/>
  <c r="G41" i="4" a="1"/>
  <c r="G41" i="4" s="1"/>
  <c r="F41" i="4" a="1"/>
  <c r="F41" i="4" s="1"/>
  <c r="E41" i="4" a="1"/>
  <c r="E41" i="4" s="1"/>
  <c r="D41" i="4" a="1"/>
  <c r="D41" i="4" s="1"/>
  <c r="K40" i="4" a="1"/>
  <c r="K40" i="4" s="1"/>
  <c r="J40" i="4" a="1"/>
  <c r="J40" i="4" s="1"/>
  <c r="I40" i="4" a="1"/>
  <c r="I40" i="4" s="1"/>
  <c r="H40" i="4" a="1"/>
  <c r="H40" i="4" s="1"/>
  <c r="G40" i="4" a="1"/>
  <c r="G40" i="4" s="1"/>
  <c r="F40" i="4" a="1"/>
  <c r="F40" i="4" s="1"/>
  <c r="E40" i="4" a="1"/>
  <c r="E40" i="4" s="1"/>
  <c r="D40" i="4" a="1"/>
  <c r="D40" i="4" s="1"/>
  <c r="K39" i="4" a="1"/>
  <c r="K39" i="4" s="1"/>
  <c r="J39" i="4" a="1"/>
  <c r="J39" i="4" s="1"/>
  <c r="I39" i="4" a="1"/>
  <c r="I39" i="4" s="1"/>
  <c r="H39" i="4" a="1"/>
  <c r="H39" i="4" s="1"/>
  <c r="G39" i="4" a="1"/>
  <c r="G39" i="4" s="1"/>
  <c r="F39" i="4" a="1"/>
  <c r="F39" i="4" s="1"/>
  <c r="E39" i="4" a="1"/>
  <c r="E39" i="4" s="1"/>
  <c r="D39" i="4" a="1"/>
  <c r="D39" i="4" s="1"/>
  <c r="K38" i="4" a="1"/>
  <c r="K38" i="4" s="1"/>
  <c r="J38" i="4" a="1"/>
  <c r="J38" i="4" s="1"/>
  <c r="I38" i="4" a="1"/>
  <c r="I38" i="4" s="1"/>
  <c r="H38" i="4" a="1"/>
  <c r="H38" i="4" s="1"/>
  <c r="G38" i="4" a="1"/>
  <c r="G38" i="4" s="1"/>
  <c r="F38" i="4" a="1"/>
  <c r="F38" i="4" s="1"/>
  <c r="E38" i="4" a="1"/>
  <c r="E38" i="4" s="1"/>
  <c r="D38" i="4" a="1"/>
  <c r="D38" i="4" s="1"/>
  <c r="K37" i="4" a="1"/>
  <c r="K37" i="4" s="1"/>
  <c r="J37" i="4" a="1"/>
  <c r="J37" i="4" s="1"/>
  <c r="I37" i="4" a="1"/>
  <c r="I37" i="4" s="1"/>
  <c r="H37" i="4" a="1"/>
  <c r="H37" i="4" s="1"/>
  <c r="G37" i="4" a="1"/>
  <c r="G37" i="4" s="1"/>
  <c r="F37" i="4" a="1"/>
  <c r="F37" i="4" s="1"/>
  <c r="E37" i="4" a="1"/>
  <c r="E37" i="4" s="1"/>
  <c r="D37" i="4" a="1"/>
  <c r="D37" i="4" s="1"/>
  <c r="K36" i="4" a="1"/>
  <c r="K36" i="4" s="1"/>
  <c r="J36" i="4" a="1"/>
  <c r="J36" i="4" s="1"/>
  <c r="I36" i="4" a="1"/>
  <c r="I36" i="4" s="1"/>
  <c r="H36" i="4" a="1"/>
  <c r="H36" i="4" s="1"/>
  <c r="G36" i="4" a="1"/>
  <c r="G36" i="4" s="1"/>
  <c r="F36" i="4" a="1"/>
  <c r="F36" i="4" s="1"/>
  <c r="E36" i="4" a="1"/>
  <c r="E36" i="4" s="1"/>
  <c r="D36" i="4" a="1"/>
  <c r="D36" i="4" s="1"/>
  <c r="K35" i="4" a="1"/>
  <c r="K35" i="4" s="1"/>
  <c r="J35" i="4" a="1"/>
  <c r="J35" i="4" s="1"/>
  <c r="I35" i="4" a="1"/>
  <c r="I35" i="4" s="1"/>
  <c r="H35" i="4" a="1"/>
  <c r="H35" i="4" s="1"/>
  <c r="G35" i="4" a="1"/>
  <c r="G35" i="4" s="1"/>
  <c r="F35" i="4" a="1"/>
  <c r="F35" i="4" s="1"/>
  <c r="E35" i="4" a="1"/>
  <c r="E35" i="4" s="1"/>
  <c r="D35" i="4" a="1"/>
  <c r="D35" i="4" s="1"/>
  <c r="K34" i="4" a="1"/>
  <c r="K34" i="4" s="1"/>
  <c r="J34" i="4" a="1"/>
  <c r="J34" i="4" s="1"/>
  <c r="I34" i="4" a="1"/>
  <c r="I34" i="4" s="1"/>
  <c r="H34" i="4" a="1"/>
  <c r="H34" i="4" s="1"/>
  <c r="G34" i="4" a="1"/>
  <c r="G34" i="4" s="1"/>
  <c r="F34" i="4" a="1"/>
  <c r="F34" i="4" s="1"/>
  <c r="E34" i="4" a="1"/>
  <c r="E34" i="4" s="1"/>
  <c r="D34" i="4" a="1"/>
  <c r="D34" i="4" s="1"/>
  <c r="K33" i="4" a="1"/>
  <c r="K33" i="4" s="1"/>
  <c r="J33" i="4" a="1"/>
  <c r="J33" i="4" s="1"/>
  <c r="I33" i="4" a="1"/>
  <c r="I33" i="4" s="1"/>
  <c r="H33" i="4" a="1"/>
  <c r="H33" i="4" s="1"/>
  <c r="G33" i="4" a="1"/>
  <c r="G33" i="4" s="1"/>
  <c r="F33" i="4" a="1"/>
  <c r="F33" i="4" s="1"/>
  <c r="E33" i="4" a="1"/>
  <c r="E33" i="4" s="1"/>
  <c r="D33" i="4" a="1"/>
  <c r="D33" i="4" s="1"/>
  <c r="K32" i="4" a="1"/>
  <c r="K32" i="4" s="1"/>
  <c r="J32" i="4" a="1"/>
  <c r="J32" i="4" s="1"/>
  <c r="I32" i="4" a="1"/>
  <c r="I32" i="4" s="1"/>
  <c r="H32" i="4" a="1"/>
  <c r="H32" i="4" s="1"/>
  <c r="G32" i="4" a="1"/>
  <c r="G32" i="4" s="1"/>
  <c r="F32" i="4" a="1"/>
  <c r="F32" i="4" s="1"/>
  <c r="E32" i="4" a="1"/>
  <c r="E32" i="4" s="1"/>
  <c r="D32" i="4" a="1"/>
  <c r="D32" i="4" s="1"/>
  <c r="K31" i="4" a="1"/>
  <c r="K31" i="4" s="1"/>
  <c r="J31" i="4" a="1"/>
  <c r="J31" i="4" s="1"/>
  <c r="I31" i="4" a="1"/>
  <c r="I31" i="4" s="1"/>
  <c r="H31" i="4" a="1"/>
  <c r="H31" i="4" s="1"/>
  <c r="G31" i="4" a="1"/>
  <c r="G31" i="4" s="1"/>
  <c r="F31" i="4" a="1"/>
  <c r="F31" i="4" s="1"/>
  <c r="E31" i="4" a="1"/>
  <c r="E31" i="4" s="1"/>
  <c r="D31" i="4" a="1"/>
  <c r="D31" i="4" s="1"/>
  <c r="K30" i="4" a="1"/>
  <c r="K30" i="4" s="1"/>
  <c r="J30" i="4" a="1"/>
  <c r="J30" i="4" s="1"/>
  <c r="I30" i="4" a="1"/>
  <c r="I30" i="4" s="1"/>
  <c r="H30" i="4" a="1"/>
  <c r="H30" i="4" s="1"/>
  <c r="G30" i="4" a="1"/>
  <c r="G30" i="4" s="1"/>
  <c r="F30" i="4" a="1"/>
  <c r="F30" i="4" s="1"/>
  <c r="E30" i="4" a="1"/>
  <c r="E30" i="4" s="1"/>
  <c r="D30" i="4" a="1"/>
  <c r="D30" i="4" s="1"/>
  <c r="K29" i="4" a="1"/>
  <c r="K29" i="4" s="1"/>
  <c r="J29" i="4" a="1"/>
  <c r="J29" i="4" s="1"/>
  <c r="I29" i="4" a="1"/>
  <c r="I29" i="4" s="1"/>
  <c r="H29" i="4" a="1"/>
  <c r="H29" i="4" s="1"/>
  <c r="G29" i="4" a="1"/>
  <c r="G29" i="4" s="1"/>
  <c r="F29" i="4" a="1"/>
  <c r="F29" i="4" s="1"/>
  <c r="E29" i="4" a="1"/>
  <c r="E29" i="4" s="1"/>
  <c r="D29" i="4" a="1"/>
  <c r="D29" i="4" s="1"/>
  <c r="K28" i="4" a="1"/>
  <c r="K28" i="4" s="1"/>
  <c r="J28" i="4" a="1"/>
  <c r="J28" i="4" s="1"/>
  <c r="I28" i="4" a="1"/>
  <c r="I28" i="4" s="1"/>
  <c r="H28" i="4" a="1"/>
  <c r="H28" i="4" s="1"/>
  <c r="G28" i="4" a="1"/>
  <c r="G28" i="4" s="1"/>
  <c r="F28" i="4" a="1"/>
  <c r="F28" i="4" s="1"/>
  <c r="E28" i="4" a="1"/>
  <c r="E28" i="4" s="1"/>
  <c r="D28" i="4" a="1"/>
  <c r="D28" i="4" s="1"/>
  <c r="K27" i="4" a="1"/>
  <c r="K27" i="4" s="1"/>
  <c r="J27" i="4" a="1"/>
  <c r="J27" i="4" s="1"/>
  <c r="I27" i="4" a="1"/>
  <c r="I27" i="4" s="1"/>
  <c r="H27" i="4" a="1"/>
  <c r="H27" i="4" s="1"/>
  <c r="G27" i="4" a="1"/>
  <c r="G27" i="4" s="1"/>
  <c r="F27" i="4" a="1"/>
  <c r="F27" i="4" s="1"/>
  <c r="E27" i="4" a="1"/>
  <c r="E27" i="4" s="1"/>
  <c r="D27" i="4" a="1"/>
  <c r="D27" i="4" s="1"/>
  <c r="K26" i="4" a="1"/>
  <c r="K26" i="4" s="1"/>
  <c r="J26" i="4" a="1"/>
  <c r="J26" i="4" s="1"/>
  <c r="I26" i="4" a="1"/>
  <c r="I26" i="4" s="1"/>
  <c r="H26" i="4" a="1"/>
  <c r="H26" i="4" s="1"/>
  <c r="G26" i="4" a="1"/>
  <c r="G26" i="4" s="1"/>
  <c r="F26" i="4" a="1"/>
  <c r="F26" i="4" s="1"/>
  <c r="E26" i="4" a="1"/>
  <c r="E26" i="4" s="1"/>
  <c r="D26" i="4" a="1"/>
  <c r="D26" i="4" s="1"/>
  <c r="K25" i="4" a="1"/>
  <c r="K25" i="4" s="1"/>
  <c r="J25" i="4" a="1"/>
  <c r="J25" i="4" s="1"/>
  <c r="I25" i="4" a="1"/>
  <c r="I25" i="4" s="1"/>
  <c r="H25" i="4" a="1"/>
  <c r="H25" i="4" s="1"/>
  <c r="G25" i="4" a="1"/>
  <c r="G25" i="4" s="1"/>
  <c r="F25" i="4" a="1"/>
  <c r="F25" i="4" s="1"/>
  <c r="E25" i="4" a="1"/>
  <c r="E25" i="4" s="1"/>
  <c r="D25" i="4" a="1"/>
  <c r="D25" i="4" s="1"/>
  <c r="K24" i="4" a="1"/>
  <c r="K24" i="4" s="1"/>
  <c r="J24" i="4" a="1"/>
  <c r="J24" i="4" s="1"/>
  <c r="I24" i="4" a="1"/>
  <c r="I24" i="4" s="1"/>
  <c r="H24" i="4" a="1"/>
  <c r="H24" i="4" s="1"/>
  <c r="G24" i="4" a="1"/>
  <c r="G24" i="4" s="1"/>
  <c r="F24" i="4" a="1"/>
  <c r="F24" i="4" s="1"/>
  <c r="E24" i="4" a="1"/>
  <c r="E24" i="4" s="1"/>
  <c r="D24" i="4" a="1"/>
  <c r="D24" i="4" s="1"/>
  <c r="K23" i="4" a="1"/>
  <c r="K23" i="4" s="1"/>
  <c r="J23" i="4" a="1"/>
  <c r="J23" i="4" s="1"/>
  <c r="I23" i="4" a="1"/>
  <c r="I23" i="4" s="1"/>
  <c r="H23" i="4" a="1"/>
  <c r="H23" i="4" s="1"/>
  <c r="G23" i="4" a="1"/>
  <c r="G23" i="4" s="1"/>
  <c r="F23" i="4" a="1"/>
  <c r="F23" i="4" s="1"/>
  <c r="E23" i="4" a="1"/>
  <c r="E23" i="4" s="1"/>
  <c r="D23" i="4" a="1"/>
  <c r="D23" i="4" s="1"/>
  <c r="K22" i="4" a="1"/>
  <c r="K22" i="4" s="1"/>
  <c r="J22" i="4" a="1"/>
  <c r="J22" i="4" s="1"/>
  <c r="I22" i="4" a="1"/>
  <c r="I22" i="4" s="1"/>
  <c r="H22" i="4" a="1"/>
  <c r="H22" i="4" s="1"/>
  <c r="G22" i="4" a="1"/>
  <c r="G22" i="4" s="1"/>
  <c r="F22" i="4" a="1"/>
  <c r="F22" i="4" s="1"/>
  <c r="E22" i="4" a="1"/>
  <c r="E22" i="4" s="1"/>
  <c r="D22" i="4" a="1"/>
  <c r="D22" i="4" s="1"/>
  <c r="K21" i="4" a="1"/>
  <c r="K21" i="4" s="1"/>
  <c r="J21" i="4" a="1"/>
  <c r="J21" i="4" s="1"/>
  <c r="I21" i="4" a="1"/>
  <c r="I21" i="4" s="1"/>
  <c r="H21" i="4" a="1"/>
  <c r="H21" i="4" s="1"/>
  <c r="G21" i="4" a="1"/>
  <c r="G21" i="4" s="1"/>
  <c r="F21" i="4" a="1"/>
  <c r="F21" i="4" s="1"/>
  <c r="E21" i="4" a="1"/>
  <c r="E21" i="4" s="1"/>
  <c r="D21" i="4" a="1"/>
  <c r="D21" i="4" s="1"/>
  <c r="K20" i="4" a="1"/>
  <c r="K20" i="4" s="1"/>
  <c r="J20" i="4" a="1"/>
  <c r="J20" i="4" s="1"/>
  <c r="I20" i="4" a="1"/>
  <c r="I20" i="4" s="1"/>
  <c r="H20" i="4" a="1"/>
  <c r="H20" i="4" s="1"/>
  <c r="G20" i="4" a="1"/>
  <c r="G20" i="4" s="1"/>
  <c r="F20" i="4" a="1"/>
  <c r="F20" i="4" s="1"/>
  <c r="E20" i="4" a="1"/>
  <c r="E20" i="4" s="1"/>
  <c r="D20" i="4" a="1"/>
  <c r="D20" i="4" s="1"/>
  <c r="K19" i="4" a="1"/>
  <c r="K19" i="4" s="1"/>
  <c r="J19" i="4" a="1"/>
  <c r="J19" i="4" s="1"/>
  <c r="I19" i="4" a="1"/>
  <c r="I19" i="4" s="1"/>
  <c r="H19" i="4" a="1"/>
  <c r="H19" i="4" s="1"/>
  <c r="G19" i="4" a="1"/>
  <c r="G19" i="4" s="1"/>
  <c r="F19" i="4" a="1"/>
  <c r="F19" i="4" s="1"/>
  <c r="E19" i="4" a="1"/>
  <c r="E19" i="4" s="1"/>
  <c r="D19" i="4" a="1"/>
  <c r="D19" i="4" s="1"/>
  <c r="K18" i="4" a="1"/>
  <c r="K18" i="4" s="1"/>
  <c r="J18" i="4" a="1"/>
  <c r="J18" i="4" s="1"/>
  <c r="I18" i="4" a="1"/>
  <c r="I18" i="4" s="1"/>
  <c r="H18" i="4" a="1"/>
  <c r="H18" i="4" s="1"/>
  <c r="G18" i="4" a="1"/>
  <c r="G18" i="4" s="1"/>
  <c r="F18" i="4" a="1"/>
  <c r="F18" i="4" s="1"/>
  <c r="E18" i="4" a="1"/>
  <c r="E18" i="4" s="1"/>
  <c r="D18" i="4" a="1"/>
  <c r="D18" i="4" s="1"/>
  <c r="K17" i="4" a="1"/>
  <c r="K17" i="4" s="1"/>
  <c r="J17" i="4" a="1"/>
  <c r="J17" i="4" s="1"/>
  <c r="I17" i="4" a="1"/>
  <c r="I17" i="4" s="1"/>
  <c r="H17" i="4" a="1"/>
  <c r="H17" i="4" s="1"/>
  <c r="G17" i="4" a="1"/>
  <c r="G17" i="4" s="1"/>
  <c r="F17" i="4" a="1"/>
  <c r="F17" i="4" s="1"/>
  <c r="E17" i="4" a="1"/>
  <c r="E17" i="4" s="1"/>
  <c r="D17" i="4" a="1"/>
  <c r="D17" i="4" s="1"/>
  <c r="K16" i="4" a="1"/>
  <c r="K16" i="4" s="1"/>
  <c r="J16" i="4" a="1"/>
  <c r="J16" i="4" s="1"/>
  <c r="I16" i="4" a="1"/>
  <c r="I16" i="4" s="1"/>
  <c r="H16" i="4" a="1"/>
  <c r="H16" i="4" s="1"/>
  <c r="G16" i="4" a="1"/>
  <c r="G16" i="4" s="1"/>
  <c r="F16" i="4" a="1"/>
  <c r="F16" i="4" s="1"/>
  <c r="E16" i="4" a="1"/>
  <c r="E16" i="4" s="1"/>
  <c r="D16" i="4" a="1"/>
  <c r="D16" i="4" s="1"/>
  <c r="K15" i="4" a="1"/>
  <c r="K15" i="4" s="1"/>
  <c r="J15" i="4" a="1"/>
  <c r="J15" i="4" s="1"/>
  <c r="I15" i="4" a="1"/>
  <c r="I15" i="4" s="1"/>
  <c r="H15" i="4" a="1"/>
  <c r="H15" i="4" s="1"/>
  <c r="G15" i="4" a="1"/>
  <c r="G15" i="4" s="1"/>
  <c r="F15" i="4" a="1"/>
  <c r="F15" i="4" s="1"/>
  <c r="E15" i="4" a="1"/>
  <c r="E15" i="4" s="1"/>
  <c r="D15" i="4" a="1"/>
  <c r="D15" i="4" s="1"/>
  <c r="K14" i="4" a="1"/>
  <c r="K14" i="4" s="1"/>
  <c r="J14" i="4" a="1"/>
  <c r="J14" i="4" s="1"/>
  <c r="I14" i="4" a="1"/>
  <c r="I14" i="4" s="1"/>
  <c r="H14" i="4" a="1"/>
  <c r="H14" i="4" s="1"/>
  <c r="G14" i="4" a="1"/>
  <c r="G14" i="4" s="1"/>
  <c r="F14" i="4" a="1"/>
  <c r="F14" i="4" s="1"/>
  <c r="E14" i="4" a="1"/>
  <c r="E14" i="4" s="1"/>
  <c r="D14" i="4" a="1"/>
  <c r="D14" i="4" s="1"/>
  <c r="K13" i="4" a="1"/>
  <c r="K13" i="4" s="1"/>
  <c r="J13" i="4" a="1"/>
  <c r="J13" i="4" s="1"/>
  <c r="I13" i="4" a="1"/>
  <c r="I13" i="4" s="1"/>
  <c r="H13" i="4" a="1"/>
  <c r="H13" i="4" s="1"/>
  <c r="G13" i="4" a="1"/>
  <c r="G13" i="4" s="1"/>
  <c r="F13" i="4" a="1"/>
  <c r="F13" i="4" s="1"/>
  <c r="E13" i="4" a="1"/>
  <c r="E13" i="4" s="1"/>
  <c r="D13" i="4" a="1"/>
  <c r="D13" i="4" s="1"/>
  <c r="K12" i="4" a="1"/>
  <c r="K12" i="4" s="1"/>
  <c r="J12" i="4" a="1"/>
  <c r="J12" i="4" s="1"/>
  <c r="I12" i="4" a="1"/>
  <c r="I12" i="4" s="1"/>
  <c r="H12" i="4" a="1"/>
  <c r="H12" i="4" s="1"/>
  <c r="G12" i="4" a="1"/>
  <c r="G12" i="4" s="1"/>
  <c r="F12" i="4" a="1"/>
  <c r="F12" i="4" s="1"/>
  <c r="E12" i="4" a="1"/>
  <c r="E12" i="4" s="1"/>
  <c r="D12" i="4" a="1"/>
  <c r="D12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K2" i="4" a="1"/>
  <c r="K2" i="4" s="1"/>
  <c r="J2" i="4" a="1"/>
  <c r="J2" i="4" s="1"/>
  <c r="I2" i="4" a="1"/>
  <c r="I2" i="4" s="1"/>
  <c r="H2" i="4" a="1"/>
  <c r="H2" i="4" s="1"/>
  <c r="G2" i="4" a="1"/>
  <c r="G2" i="4" s="1"/>
  <c r="F2" i="4" a="1"/>
  <c r="F2" i="4" s="1"/>
  <c r="E2" i="4" a="1"/>
  <c r="E2" i="4" s="1"/>
  <c r="D2" i="4" a="1"/>
  <c r="D2" i="4" s="1"/>
  <c r="C120" i="3"/>
  <c r="Q118" i="3"/>
  <c r="K118" i="3"/>
  <c r="O118" i="3" s="1"/>
  <c r="J118" i="3"/>
  <c r="J119" i="4" s="1"/>
  <c r="I118" i="3"/>
  <c r="I119" i="4" s="1"/>
  <c r="H118" i="3"/>
  <c r="H119" i="4" s="1"/>
  <c r="G118" i="3"/>
  <c r="G119" i="4" s="1"/>
  <c r="F118" i="3"/>
  <c r="F119" i="4" s="1"/>
  <c r="E118" i="3"/>
  <c r="R108" i="3" s="1"/>
  <c r="N117" i="3"/>
  <c r="Q116" i="3"/>
  <c r="P116" i="3"/>
  <c r="O116" i="3"/>
  <c r="N116" i="3"/>
  <c r="M116" i="3"/>
  <c r="Q115" i="3"/>
  <c r="P115" i="3"/>
  <c r="O115" i="3"/>
  <c r="N115" i="3"/>
  <c r="M115" i="3"/>
  <c r="R114" i="3"/>
  <c r="Q114" i="3"/>
  <c r="P114" i="3"/>
  <c r="O114" i="3"/>
  <c r="N114" i="3"/>
  <c r="M114" i="3"/>
  <c r="Q113" i="3"/>
  <c r="P113" i="3"/>
  <c r="O113" i="3"/>
  <c r="N113" i="3"/>
  <c r="M113" i="3"/>
  <c r="Q112" i="3"/>
  <c r="P112" i="3"/>
  <c r="O112" i="3"/>
  <c r="N112" i="3"/>
  <c r="M112" i="3"/>
  <c r="Q111" i="3"/>
  <c r="P111" i="3"/>
  <c r="O111" i="3"/>
  <c r="N111" i="3"/>
  <c r="M111" i="3"/>
  <c r="Q110" i="3"/>
  <c r="P110" i="3"/>
  <c r="O110" i="3"/>
  <c r="N110" i="3"/>
  <c r="M110" i="3"/>
  <c r="Q109" i="3"/>
  <c r="P109" i="3"/>
  <c r="O109" i="3"/>
  <c r="N109" i="3"/>
  <c r="M109" i="3"/>
  <c r="Q108" i="3"/>
  <c r="P108" i="3"/>
  <c r="O108" i="3"/>
  <c r="N108" i="3"/>
  <c r="M108" i="3"/>
  <c r="Q107" i="3"/>
  <c r="P107" i="3"/>
  <c r="O107" i="3"/>
  <c r="N107" i="3"/>
  <c r="M107" i="3"/>
  <c r="Q106" i="3"/>
  <c r="P106" i="3"/>
  <c r="O106" i="3"/>
  <c r="N106" i="3"/>
  <c r="M106" i="3"/>
  <c r="Q105" i="3"/>
  <c r="P105" i="3"/>
  <c r="O105" i="3"/>
  <c r="N105" i="3"/>
  <c r="M105" i="3"/>
  <c r="Q104" i="3"/>
  <c r="P104" i="3"/>
  <c r="O104" i="3"/>
  <c r="N104" i="3"/>
  <c r="M104" i="3"/>
  <c r="Q103" i="3"/>
  <c r="P103" i="3"/>
  <c r="O103" i="3"/>
  <c r="N103" i="3"/>
  <c r="M103" i="3"/>
  <c r="Q102" i="3"/>
  <c r="P102" i="3"/>
  <c r="O102" i="3"/>
  <c r="N102" i="3"/>
  <c r="M102" i="3"/>
  <c r="Q101" i="3"/>
  <c r="P101" i="3"/>
  <c r="O101" i="3"/>
  <c r="N101" i="3"/>
  <c r="M101" i="3"/>
  <c r="Q100" i="3"/>
  <c r="P100" i="3"/>
  <c r="O100" i="3"/>
  <c r="N100" i="3"/>
  <c r="M100" i="3"/>
  <c r="Q99" i="3"/>
  <c r="P99" i="3"/>
  <c r="O99" i="3"/>
  <c r="N99" i="3"/>
  <c r="M99" i="3"/>
  <c r="Q98" i="3"/>
  <c r="P98" i="3"/>
  <c r="O98" i="3"/>
  <c r="N98" i="3"/>
  <c r="M98" i="3"/>
  <c r="Q97" i="3"/>
  <c r="P97" i="3"/>
  <c r="O97" i="3"/>
  <c r="N97" i="3"/>
  <c r="M97" i="3"/>
  <c r="Q96" i="3"/>
  <c r="P96" i="3"/>
  <c r="O96" i="3"/>
  <c r="N96" i="3"/>
  <c r="M96" i="3"/>
  <c r="Q95" i="3"/>
  <c r="P95" i="3"/>
  <c r="O95" i="3"/>
  <c r="N95" i="3"/>
  <c r="M95" i="3"/>
  <c r="R94" i="3"/>
  <c r="Q94" i="3"/>
  <c r="P94" i="3"/>
  <c r="O94" i="3"/>
  <c r="N94" i="3"/>
  <c r="M94" i="3"/>
  <c r="Q93" i="3"/>
  <c r="P93" i="3"/>
  <c r="O93" i="3"/>
  <c r="N93" i="3"/>
  <c r="M93" i="3"/>
  <c r="R92" i="3"/>
  <c r="Q92" i="3"/>
  <c r="P92" i="3"/>
  <c r="O92" i="3"/>
  <c r="N92" i="3"/>
  <c r="M92" i="3"/>
  <c r="R91" i="3"/>
  <c r="Q91" i="3"/>
  <c r="P91" i="3"/>
  <c r="O91" i="3"/>
  <c r="N91" i="3"/>
  <c r="M91" i="3"/>
  <c r="R90" i="3"/>
  <c r="Q90" i="3"/>
  <c r="P90" i="3"/>
  <c r="O90" i="3"/>
  <c r="N90" i="3"/>
  <c r="M90" i="3"/>
  <c r="Q89" i="3"/>
  <c r="P89" i="3"/>
  <c r="O89" i="3"/>
  <c r="N89" i="3"/>
  <c r="M89" i="3"/>
  <c r="R88" i="3"/>
  <c r="Q88" i="3"/>
  <c r="P88" i="3"/>
  <c r="O88" i="3"/>
  <c r="N88" i="3"/>
  <c r="M88" i="3"/>
  <c r="R87" i="3"/>
  <c r="Q87" i="3"/>
  <c r="P87" i="3"/>
  <c r="O87" i="3"/>
  <c r="N87" i="3"/>
  <c r="M87" i="3"/>
  <c r="R86" i="3"/>
  <c r="Q86" i="3"/>
  <c r="P86" i="3"/>
  <c r="O86" i="3"/>
  <c r="N86" i="3"/>
  <c r="M86" i="3"/>
  <c r="Q85" i="3"/>
  <c r="P85" i="3"/>
  <c r="O85" i="3"/>
  <c r="N85" i="3"/>
  <c r="M85" i="3"/>
  <c r="R84" i="3"/>
  <c r="Q84" i="3"/>
  <c r="P84" i="3"/>
  <c r="O84" i="3"/>
  <c r="N84" i="3"/>
  <c r="M84" i="3"/>
  <c r="R83" i="3"/>
  <c r="Q83" i="3"/>
  <c r="P83" i="3"/>
  <c r="O83" i="3"/>
  <c r="N83" i="3"/>
  <c r="M83" i="3"/>
  <c r="R82" i="3"/>
  <c r="Q82" i="3"/>
  <c r="P82" i="3"/>
  <c r="O82" i="3"/>
  <c r="N82" i="3"/>
  <c r="M82" i="3"/>
  <c r="Q81" i="3"/>
  <c r="P81" i="3"/>
  <c r="O81" i="3"/>
  <c r="N81" i="3"/>
  <c r="M81" i="3"/>
  <c r="R80" i="3"/>
  <c r="Q80" i="3"/>
  <c r="P80" i="3"/>
  <c r="O80" i="3"/>
  <c r="N80" i="3"/>
  <c r="M80" i="3"/>
  <c r="R79" i="3"/>
  <c r="Q79" i="3"/>
  <c r="P79" i="3"/>
  <c r="O79" i="3"/>
  <c r="N79" i="3"/>
  <c r="M79" i="3"/>
  <c r="R78" i="3"/>
  <c r="Q78" i="3"/>
  <c r="P78" i="3"/>
  <c r="O78" i="3"/>
  <c r="N78" i="3"/>
  <c r="M78" i="3"/>
  <c r="Q77" i="3"/>
  <c r="P77" i="3"/>
  <c r="O77" i="3"/>
  <c r="N77" i="3"/>
  <c r="M77" i="3"/>
  <c r="R76" i="3"/>
  <c r="Q76" i="3"/>
  <c r="P76" i="3"/>
  <c r="O76" i="3"/>
  <c r="N76" i="3"/>
  <c r="M76" i="3"/>
  <c r="R75" i="3"/>
  <c r="Q75" i="3"/>
  <c r="P75" i="3"/>
  <c r="O75" i="3"/>
  <c r="N75" i="3"/>
  <c r="M75" i="3"/>
  <c r="R74" i="3"/>
  <c r="Q74" i="3"/>
  <c r="P74" i="3"/>
  <c r="O74" i="3"/>
  <c r="N74" i="3"/>
  <c r="M74" i="3"/>
  <c r="Q73" i="3"/>
  <c r="P73" i="3"/>
  <c r="O73" i="3"/>
  <c r="N73" i="3"/>
  <c r="M73" i="3"/>
  <c r="R72" i="3"/>
  <c r="Q72" i="3"/>
  <c r="P72" i="3"/>
  <c r="O72" i="3"/>
  <c r="N72" i="3"/>
  <c r="M72" i="3"/>
  <c r="R71" i="3"/>
  <c r="Q71" i="3"/>
  <c r="P71" i="3"/>
  <c r="O71" i="3"/>
  <c r="N71" i="3"/>
  <c r="M71" i="3"/>
  <c r="R70" i="3"/>
  <c r="Q70" i="3"/>
  <c r="P70" i="3"/>
  <c r="O70" i="3"/>
  <c r="N70" i="3"/>
  <c r="M70" i="3"/>
  <c r="Q69" i="3"/>
  <c r="P69" i="3"/>
  <c r="O69" i="3"/>
  <c r="N69" i="3"/>
  <c r="M69" i="3"/>
  <c r="R68" i="3"/>
  <c r="Q68" i="3"/>
  <c r="P68" i="3"/>
  <c r="O68" i="3"/>
  <c r="N68" i="3"/>
  <c r="M68" i="3"/>
  <c r="R67" i="3"/>
  <c r="Q67" i="3"/>
  <c r="P67" i="3"/>
  <c r="O67" i="3"/>
  <c r="N67" i="3"/>
  <c r="M67" i="3"/>
  <c r="R66" i="3"/>
  <c r="Q66" i="3"/>
  <c r="P66" i="3"/>
  <c r="O66" i="3"/>
  <c r="N66" i="3"/>
  <c r="M66" i="3"/>
  <c r="Q65" i="3"/>
  <c r="P65" i="3"/>
  <c r="O65" i="3"/>
  <c r="N65" i="3"/>
  <c r="M65" i="3"/>
  <c r="R64" i="3"/>
  <c r="Q64" i="3"/>
  <c r="P64" i="3"/>
  <c r="O64" i="3"/>
  <c r="N64" i="3"/>
  <c r="M64" i="3"/>
  <c r="R63" i="3"/>
  <c r="Q63" i="3"/>
  <c r="P63" i="3"/>
  <c r="O63" i="3"/>
  <c r="N63" i="3"/>
  <c r="M63" i="3"/>
  <c r="R62" i="3"/>
  <c r="Q62" i="3"/>
  <c r="P62" i="3"/>
  <c r="O62" i="3"/>
  <c r="N62" i="3"/>
  <c r="M62" i="3"/>
  <c r="Q61" i="3"/>
  <c r="P61" i="3"/>
  <c r="O61" i="3"/>
  <c r="N61" i="3"/>
  <c r="M61" i="3"/>
  <c r="R60" i="3"/>
  <c r="M60" i="3"/>
  <c r="R59" i="3"/>
  <c r="Q59" i="3"/>
  <c r="P59" i="3"/>
  <c r="O59" i="3"/>
  <c r="N59" i="3"/>
  <c r="M59" i="3"/>
  <c r="R58" i="3"/>
  <c r="Q58" i="3"/>
  <c r="P58" i="3"/>
  <c r="O58" i="3"/>
  <c r="N58" i="3"/>
  <c r="M58" i="3"/>
  <c r="Q57" i="3"/>
  <c r="P57" i="3"/>
  <c r="O57" i="3"/>
  <c r="N57" i="3"/>
  <c r="M57" i="3"/>
  <c r="R56" i="3"/>
  <c r="Q56" i="3"/>
  <c r="P56" i="3"/>
  <c r="O56" i="3"/>
  <c r="N56" i="3"/>
  <c r="M56" i="3"/>
  <c r="R55" i="3"/>
  <c r="Q55" i="3"/>
  <c r="P55" i="3"/>
  <c r="O55" i="3"/>
  <c r="N55" i="3"/>
  <c r="M55" i="3"/>
  <c r="R54" i="3"/>
  <c r="Q54" i="3"/>
  <c r="P54" i="3"/>
  <c r="O54" i="3"/>
  <c r="N54" i="3"/>
  <c r="M54" i="3"/>
  <c r="Q53" i="3"/>
  <c r="P53" i="3"/>
  <c r="O53" i="3"/>
  <c r="N53" i="3"/>
  <c r="M53" i="3"/>
  <c r="R52" i="3"/>
  <c r="Q52" i="3"/>
  <c r="P52" i="3"/>
  <c r="O52" i="3"/>
  <c r="N52" i="3"/>
  <c r="M52" i="3"/>
  <c r="R51" i="3"/>
  <c r="Q51" i="3"/>
  <c r="P51" i="3"/>
  <c r="O51" i="3"/>
  <c r="N51" i="3"/>
  <c r="M51" i="3"/>
  <c r="R50" i="3"/>
  <c r="Q50" i="3"/>
  <c r="P50" i="3"/>
  <c r="O50" i="3"/>
  <c r="N50" i="3"/>
  <c r="M50" i="3"/>
  <c r="A50" i="3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Q49" i="3"/>
  <c r="P49" i="3"/>
  <c r="O49" i="3"/>
  <c r="N49" i="3"/>
  <c r="M49" i="3"/>
  <c r="A49" i="3"/>
  <c r="Q48" i="3"/>
  <c r="P48" i="3"/>
  <c r="O48" i="3"/>
  <c r="N48" i="3"/>
  <c r="M48" i="3"/>
  <c r="R47" i="3"/>
  <c r="Q47" i="3"/>
  <c r="P47" i="3"/>
  <c r="O47" i="3"/>
  <c r="N47" i="3"/>
  <c r="M47" i="3"/>
  <c r="R46" i="3"/>
  <c r="Q46" i="3"/>
  <c r="P46" i="3"/>
  <c r="O46" i="3"/>
  <c r="N46" i="3"/>
  <c r="M46" i="3"/>
  <c r="R45" i="3"/>
  <c r="Q45" i="3"/>
  <c r="P45" i="3"/>
  <c r="O45" i="3"/>
  <c r="N45" i="3"/>
  <c r="M45" i="3"/>
  <c r="Q44" i="3"/>
  <c r="P44" i="3"/>
  <c r="O44" i="3"/>
  <c r="N44" i="3"/>
  <c r="M44" i="3"/>
  <c r="R43" i="3"/>
  <c r="Q43" i="3"/>
  <c r="P43" i="3"/>
  <c r="O43" i="3"/>
  <c r="N43" i="3"/>
  <c r="M43" i="3"/>
  <c r="R42" i="3"/>
  <c r="Q42" i="3"/>
  <c r="P42" i="3"/>
  <c r="O42" i="3"/>
  <c r="N42" i="3"/>
  <c r="M42" i="3"/>
  <c r="R41" i="3"/>
  <c r="Q41" i="3"/>
  <c r="P41" i="3"/>
  <c r="O41" i="3"/>
  <c r="N41" i="3"/>
  <c r="M41" i="3"/>
  <c r="Q40" i="3"/>
  <c r="P40" i="3"/>
  <c r="O40" i="3"/>
  <c r="N40" i="3"/>
  <c r="M40" i="3"/>
  <c r="R39" i="3"/>
  <c r="Q39" i="3"/>
  <c r="P39" i="3"/>
  <c r="O39" i="3"/>
  <c r="N39" i="3"/>
  <c r="M39" i="3"/>
  <c r="R38" i="3"/>
  <c r="Q38" i="3"/>
  <c r="P38" i="3"/>
  <c r="O38" i="3"/>
  <c r="N38" i="3"/>
  <c r="M38" i="3"/>
  <c r="R37" i="3"/>
  <c r="Q37" i="3"/>
  <c r="P37" i="3"/>
  <c r="O37" i="3"/>
  <c r="N37" i="3"/>
  <c r="M37" i="3"/>
  <c r="Q36" i="3"/>
  <c r="P36" i="3"/>
  <c r="O36" i="3"/>
  <c r="N36" i="3"/>
  <c r="M36" i="3"/>
  <c r="R35" i="3"/>
  <c r="Q35" i="3"/>
  <c r="P35" i="3"/>
  <c r="O35" i="3"/>
  <c r="N35" i="3"/>
  <c r="M35" i="3"/>
  <c r="R34" i="3"/>
  <c r="Q34" i="3"/>
  <c r="P34" i="3"/>
  <c r="O34" i="3"/>
  <c r="N34" i="3"/>
  <c r="M34" i="3"/>
  <c r="R33" i="3"/>
  <c r="Q33" i="3"/>
  <c r="P33" i="3"/>
  <c r="O33" i="3"/>
  <c r="N33" i="3"/>
  <c r="M33" i="3"/>
  <c r="Q32" i="3"/>
  <c r="P32" i="3"/>
  <c r="O32" i="3"/>
  <c r="N32" i="3"/>
  <c r="M32" i="3"/>
  <c r="R31" i="3"/>
  <c r="Q31" i="3"/>
  <c r="P31" i="3"/>
  <c r="O31" i="3"/>
  <c r="N31" i="3"/>
  <c r="M31" i="3"/>
  <c r="R30" i="3"/>
  <c r="Q30" i="3"/>
  <c r="P30" i="3"/>
  <c r="O30" i="3"/>
  <c r="N30" i="3"/>
  <c r="M30" i="3"/>
  <c r="R29" i="3"/>
  <c r="Q29" i="3"/>
  <c r="P29" i="3"/>
  <c r="O29" i="3"/>
  <c r="N29" i="3"/>
  <c r="M29" i="3"/>
  <c r="Q28" i="3"/>
  <c r="P28" i="3"/>
  <c r="O28" i="3"/>
  <c r="N28" i="3"/>
  <c r="M28" i="3"/>
  <c r="R27" i="3"/>
  <c r="Q27" i="3"/>
  <c r="P27" i="3"/>
  <c r="O27" i="3"/>
  <c r="N27" i="3"/>
  <c r="M27" i="3"/>
  <c r="R26" i="3"/>
  <c r="Q26" i="3"/>
  <c r="P26" i="3"/>
  <c r="O26" i="3"/>
  <c r="N26" i="3"/>
  <c r="M26" i="3"/>
  <c r="Q25" i="3"/>
  <c r="P25" i="3"/>
  <c r="O25" i="3"/>
  <c r="N25" i="3"/>
  <c r="M25" i="3"/>
  <c r="Q24" i="3"/>
  <c r="P24" i="3"/>
  <c r="O24" i="3"/>
  <c r="N24" i="3"/>
  <c r="M24" i="3"/>
  <c r="Q23" i="3"/>
  <c r="P23" i="3"/>
  <c r="O23" i="3"/>
  <c r="N23" i="3"/>
  <c r="M23" i="3"/>
  <c r="R22" i="3"/>
  <c r="Q22" i="3"/>
  <c r="P22" i="3"/>
  <c r="O22" i="3"/>
  <c r="N22" i="3"/>
  <c r="M22" i="3"/>
  <c r="Q21" i="3"/>
  <c r="P21" i="3"/>
  <c r="O21" i="3"/>
  <c r="N21" i="3"/>
  <c r="M21" i="3"/>
  <c r="Q20" i="3"/>
  <c r="P20" i="3"/>
  <c r="O20" i="3"/>
  <c r="N20" i="3"/>
  <c r="M20" i="3"/>
  <c r="Q19" i="3"/>
  <c r="P19" i="3"/>
  <c r="O19" i="3"/>
  <c r="N19" i="3"/>
  <c r="M19" i="3"/>
  <c r="R18" i="3"/>
  <c r="Q18" i="3"/>
  <c r="P18" i="3"/>
  <c r="O18" i="3"/>
  <c r="N18" i="3"/>
  <c r="M18" i="3"/>
  <c r="Q17" i="3"/>
  <c r="P17" i="3"/>
  <c r="O17" i="3"/>
  <c r="N17" i="3"/>
  <c r="M17" i="3"/>
  <c r="Q16" i="3"/>
  <c r="P16" i="3"/>
  <c r="O16" i="3"/>
  <c r="N16" i="3"/>
  <c r="M16" i="3"/>
  <c r="Q15" i="3"/>
  <c r="P15" i="3"/>
  <c r="O15" i="3"/>
  <c r="N15" i="3"/>
  <c r="M15" i="3"/>
  <c r="R14" i="3"/>
  <c r="Q14" i="3"/>
  <c r="P14" i="3"/>
  <c r="O14" i="3"/>
  <c r="N14" i="3"/>
  <c r="M14" i="3"/>
  <c r="Q13" i="3"/>
  <c r="P13" i="3"/>
  <c r="O13" i="3"/>
  <c r="N13" i="3"/>
  <c r="M13" i="3"/>
  <c r="Q12" i="3"/>
  <c r="P12" i="3"/>
  <c r="O12" i="3"/>
  <c r="N12" i="3"/>
  <c r="M12" i="3"/>
  <c r="Q11" i="3"/>
  <c r="P11" i="3"/>
  <c r="O11" i="3"/>
  <c r="N11" i="3"/>
  <c r="M11" i="3"/>
  <c r="R10" i="3"/>
  <c r="Q10" i="3"/>
  <c r="P10" i="3"/>
  <c r="O10" i="3"/>
  <c r="N10" i="3"/>
  <c r="M10" i="3"/>
  <c r="Q9" i="3"/>
  <c r="P9" i="3"/>
  <c r="O9" i="3"/>
  <c r="N9" i="3"/>
  <c r="M9" i="3"/>
  <c r="Q8" i="3"/>
  <c r="P8" i="3"/>
  <c r="O8" i="3"/>
  <c r="N8" i="3"/>
  <c r="M8" i="3"/>
  <c r="Q7" i="3"/>
  <c r="P7" i="3"/>
  <c r="O7" i="3"/>
  <c r="N7" i="3"/>
  <c r="M7" i="3"/>
  <c r="R6" i="3"/>
  <c r="Q6" i="3"/>
  <c r="P6" i="3"/>
  <c r="O6" i="3"/>
  <c r="N6" i="3"/>
  <c r="M6" i="3"/>
  <c r="Q5" i="3"/>
  <c r="P5" i="3"/>
  <c r="O5" i="3"/>
  <c r="N5" i="3"/>
  <c r="M5" i="3"/>
  <c r="R4" i="3"/>
  <c r="Q4" i="3"/>
  <c r="P4" i="3"/>
  <c r="O4" i="3"/>
  <c r="N4" i="3"/>
  <c r="M4" i="3"/>
  <c r="Q3" i="3"/>
  <c r="P3" i="3"/>
  <c r="O3" i="3"/>
  <c r="N3" i="3"/>
  <c r="M3" i="3"/>
  <c r="R2" i="3"/>
  <c r="Q2" i="3"/>
  <c r="P2" i="3"/>
  <c r="O2" i="3"/>
  <c r="N2" i="3"/>
  <c r="M2" i="3"/>
  <c r="A2" i="3"/>
  <c r="A3" i="3" s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C120" i="2"/>
  <c r="S118" i="2"/>
  <c r="P118" i="2"/>
  <c r="K118" i="2"/>
  <c r="Q118" i="2" s="1"/>
  <c r="J118" i="2"/>
  <c r="I118" i="2"/>
  <c r="H118" i="2"/>
  <c r="N118" i="2" s="1"/>
  <c r="G118" i="2"/>
  <c r="F118" i="2"/>
  <c r="E118" i="2"/>
  <c r="R116" i="2" s="1"/>
  <c r="N117" i="2"/>
  <c r="Q116" i="2"/>
  <c r="P116" i="2"/>
  <c r="O116" i="2"/>
  <c r="N116" i="2"/>
  <c r="M116" i="2"/>
  <c r="R115" i="2"/>
  <c r="Q115" i="2"/>
  <c r="P115" i="2"/>
  <c r="O115" i="2"/>
  <c r="N115" i="2"/>
  <c r="M115" i="2"/>
  <c r="R114" i="2"/>
  <c r="Q114" i="2"/>
  <c r="P114" i="2"/>
  <c r="O114" i="2"/>
  <c r="N114" i="2"/>
  <c r="M114" i="2"/>
  <c r="R113" i="2"/>
  <c r="Q113" i="2"/>
  <c r="P113" i="2"/>
  <c r="O113" i="2"/>
  <c r="N113" i="2"/>
  <c r="M113" i="2"/>
  <c r="R112" i="2"/>
  <c r="Q112" i="2"/>
  <c r="P112" i="2"/>
  <c r="O112" i="2"/>
  <c r="N112" i="2"/>
  <c r="M112" i="2"/>
  <c r="R111" i="2"/>
  <c r="Q111" i="2"/>
  <c r="P111" i="2"/>
  <c r="O111" i="2"/>
  <c r="N111" i="2"/>
  <c r="M111" i="2"/>
  <c r="R110" i="2"/>
  <c r="Q110" i="2"/>
  <c r="P110" i="2"/>
  <c r="O110" i="2"/>
  <c r="N110" i="2"/>
  <c r="M110" i="2"/>
  <c r="R109" i="2"/>
  <c r="Q109" i="2"/>
  <c r="P109" i="2"/>
  <c r="O109" i="2"/>
  <c r="N109" i="2"/>
  <c r="M109" i="2"/>
  <c r="R108" i="2"/>
  <c r="Q108" i="2"/>
  <c r="P108" i="2"/>
  <c r="O108" i="2"/>
  <c r="N108" i="2"/>
  <c r="M108" i="2"/>
  <c r="R107" i="2"/>
  <c r="Q107" i="2"/>
  <c r="P107" i="2"/>
  <c r="O107" i="2"/>
  <c r="N107" i="2"/>
  <c r="M107" i="2"/>
  <c r="R106" i="2"/>
  <c r="Q106" i="2"/>
  <c r="P106" i="2"/>
  <c r="O106" i="2"/>
  <c r="N106" i="2"/>
  <c r="M106" i="2"/>
  <c r="R105" i="2"/>
  <c r="Q105" i="2"/>
  <c r="P105" i="2"/>
  <c r="O105" i="2"/>
  <c r="N105" i="2"/>
  <c r="M105" i="2"/>
  <c r="R104" i="2"/>
  <c r="Q104" i="2"/>
  <c r="P104" i="2"/>
  <c r="O104" i="2"/>
  <c r="N104" i="2"/>
  <c r="M104" i="2"/>
  <c r="R103" i="2"/>
  <c r="Q103" i="2"/>
  <c r="P103" i="2"/>
  <c r="O103" i="2"/>
  <c r="N103" i="2"/>
  <c r="M103" i="2"/>
  <c r="R102" i="2"/>
  <c r="Q102" i="2"/>
  <c r="P102" i="2"/>
  <c r="O102" i="2"/>
  <c r="N102" i="2"/>
  <c r="M102" i="2"/>
  <c r="R101" i="2"/>
  <c r="Q101" i="2"/>
  <c r="P101" i="2"/>
  <c r="O101" i="2"/>
  <c r="N101" i="2"/>
  <c r="M101" i="2"/>
  <c r="R100" i="2"/>
  <c r="Q100" i="2"/>
  <c r="P100" i="2"/>
  <c r="O100" i="2"/>
  <c r="N100" i="2"/>
  <c r="M100" i="2"/>
  <c r="R99" i="2"/>
  <c r="Q99" i="2"/>
  <c r="P99" i="2"/>
  <c r="O99" i="2"/>
  <c r="N99" i="2"/>
  <c r="M99" i="2"/>
  <c r="R98" i="2"/>
  <c r="Q98" i="2"/>
  <c r="P98" i="2"/>
  <c r="O98" i="2"/>
  <c r="N98" i="2"/>
  <c r="M98" i="2"/>
  <c r="R97" i="2"/>
  <c r="Q97" i="2"/>
  <c r="P97" i="2"/>
  <c r="O97" i="2"/>
  <c r="N97" i="2"/>
  <c r="M97" i="2"/>
  <c r="R96" i="2"/>
  <c r="Q96" i="2"/>
  <c r="P96" i="2"/>
  <c r="O96" i="2"/>
  <c r="N96" i="2"/>
  <c r="M96" i="2"/>
  <c r="R95" i="2"/>
  <c r="Q95" i="2"/>
  <c r="P95" i="2"/>
  <c r="O95" i="2"/>
  <c r="N95" i="2"/>
  <c r="M95" i="2"/>
  <c r="R94" i="2"/>
  <c r="Q94" i="2"/>
  <c r="P94" i="2"/>
  <c r="O94" i="2"/>
  <c r="N94" i="2"/>
  <c r="M94" i="2"/>
  <c r="R93" i="2"/>
  <c r="Q93" i="2"/>
  <c r="P93" i="2"/>
  <c r="O93" i="2"/>
  <c r="N93" i="2"/>
  <c r="M93" i="2"/>
  <c r="R92" i="2"/>
  <c r="Q92" i="2"/>
  <c r="P92" i="2"/>
  <c r="O92" i="2"/>
  <c r="N92" i="2"/>
  <c r="M92" i="2"/>
  <c r="R91" i="2"/>
  <c r="Q91" i="2"/>
  <c r="P91" i="2"/>
  <c r="O91" i="2"/>
  <c r="N91" i="2"/>
  <c r="M91" i="2"/>
  <c r="R90" i="2"/>
  <c r="Q90" i="2"/>
  <c r="P90" i="2"/>
  <c r="O90" i="2"/>
  <c r="N90" i="2"/>
  <c r="M90" i="2"/>
  <c r="R89" i="2"/>
  <c r="Q89" i="2"/>
  <c r="P89" i="2"/>
  <c r="O89" i="2"/>
  <c r="N89" i="2"/>
  <c r="M89" i="2"/>
  <c r="R88" i="2"/>
  <c r="Q88" i="2"/>
  <c r="P88" i="2"/>
  <c r="O88" i="2"/>
  <c r="N88" i="2"/>
  <c r="M88" i="2"/>
  <c r="R87" i="2"/>
  <c r="Q87" i="2"/>
  <c r="P87" i="2"/>
  <c r="O87" i="2"/>
  <c r="N87" i="2"/>
  <c r="M87" i="2"/>
  <c r="R86" i="2"/>
  <c r="Q86" i="2"/>
  <c r="P86" i="2"/>
  <c r="O86" i="2"/>
  <c r="N86" i="2"/>
  <c r="M86" i="2"/>
  <c r="R85" i="2"/>
  <c r="Q85" i="2"/>
  <c r="P85" i="2"/>
  <c r="O85" i="2"/>
  <c r="N85" i="2"/>
  <c r="M85" i="2"/>
  <c r="R84" i="2"/>
  <c r="Q84" i="2"/>
  <c r="P84" i="2"/>
  <c r="O84" i="2"/>
  <c r="N84" i="2"/>
  <c r="M84" i="2"/>
  <c r="R83" i="2"/>
  <c r="Q83" i="2"/>
  <c r="P83" i="2"/>
  <c r="O83" i="2"/>
  <c r="N83" i="2"/>
  <c r="M83" i="2"/>
  <c r="R82" i="2"/>
  <c r="Q82" i="2"/>
  <c r="P82" i="2"/>
  <c r="O82" i="2"/>
  <c r="N82" i="2"/>
  <c r="M82" i="2"/>
  <c r="R81" i="2"/>
  <c r="Q81" i="2"/>
  <c r="P81" i="2"/>
  <c r="O81" i="2"/>
  <c r="N81" i="2"/>
  <c r="M81" i="2"/>
  <c r="R80" i="2"/>
  <c r="Q80" i="2"/>
  <c r="P80" i="2"/>
  <c r="O80" i="2"/>
  <c r="N80" i="2"/>
  <c r="M80" i="2"/>
  <c r="R79" i="2"/>
  <c r="Q79" i="2"/>
  <c r="P79" i="2"/>
  <c r="O79" i="2"/>
  <c r="N79" i="2"/>
  <c r="M79" i="2"/>
  <c r="R78" i="2"/>
  <c r="Q78" i="2"/>
  <c r="P78" i="2"/>
  <c r="O78" i="2"/>
  <c r="N78" i="2"/>
  <c r="M78" i="2"/>
  <c r="R77" i="2"/>
  <c r="Q77" i="2"/>
  <c r="P77" i="2"/>
  <c r="O77" i="2"/>
  <c r="N77" i="2"/>
  <c r="M77" i="2"/>
  <c r="R76" i="2"/>
  <c r="Q76" i="2"/>
  <c r="P76" i="2"/>
  <c r="O76" i="2"/>
  <c r="N76" i="2"/>
  <c r="M76" i="2"/>
  <c r="R75" i="2"/>
  <c r="Q75" i="2"/>
  <c r="P75" i="2"/>
  <c r="O75" i="2"/>
  <c r="N75" i="2"/>
  <c r="M75" i="2"/>
  <c r="R74" i="2"/>
  <c r="Q74" i="2"/>
  <c r="P74" i="2"/>
  <c r="O74" i="2"/>
  <c r="N74" i="2"/>
  <c r="M74" i="2"/>
  <c r="R73" i="2"/>
  <c r="Q73" i="2"/>
  <c r="P73" i="2"/>
  <c r="O73" i="2"/>
  <c r="N73" i="2"/>
  <c r="M73" i="2"/>
  <c r="R72" i="2"/>
  <c r="Q72" i="2"/>
  <c r="P72" i="2"/>
  <c r="O72" i="2"/>
  <c r="N72" i="2"/>
  <c r="M72" i="2"/>
  <c r="R71" i="2"/>
  <c r="Q71" i="2"/>
  <c r="P71" i="2"/>
  <c r="O71" i="2"/>
  <c r="N71" i="2"/>
  <c r="M71" i="2"/>
  <c r="R70" i="2"/>
  <c r="Q70" i="2"/>
  <c r="P70" i="2"/>
  <c r="O70" i="2"/>
  <c r="N70" i="2"/>
  <c r="M70" i="2"/>
  <c r="R69" i="2"/>
  <c r="Q69" i="2"/>
  <c r="P69" i="2"/>
  <c r="O69" i="2"/>
  <c r="N69" i="2"/>
  <c r="M69" i="2"/>
  <c r="R68" i="2"/>
  <c r="Q68" i="2"/>
  <c r="P68" i="2"/>
  <c r="O68" i="2"/>
  <c r="N68" i="2"/>
  <c r="M68" i="2"/>
  <c r="R67" i="2"/>
  <c r="Q67" i="2"/>
  <c r="P67" i="2"/>
  <c r="O67" i="2"/>
  <c r="N67" i="2"/>
  <c r="M67" i="2"/>
  <c r="R66" i="2"/>
  <c r="Q66" i="2"/>
  <c r="P66" i="2"/>
  <c r="O66" i="2"/>
  <c r="N66" i="2"/>
  <c r="M66" i="2"/>
  <c r="R65" i="2"/>
  <c r="Q65" i="2"/>
  <c r="P65" i="2"/>
  <c r="O65" i="2"/>
  <c r="N65" i="2"/>
  <c r="M65" i="2"/>
  <c r="R64" i="2"/>
  <c r="Q64" i="2"/>
  <c r="P64" i="2"/>
  <c r="O64" i="2"/>
  <c r="N64" i="2"/>
  <c r="M64" i="2"/>
  <c r="R63" i="2"/>
  <c r="Q63" i="2"/>
  <c r="P63" i="2"/>
  <c r="O63" i="2"/>
  <c r="N63" i="2"/>
  <c r="M63" i="2"/>
  <c r="R62" i="2"/>
  <c r="Q62" i="2"/>
  <c r="P62" i="2"/>
  <c r="O62" i="2"/>
  <c r="N62" i="2"/>
  <c r="M62" i="2"/>
  <c r="R61" i="2"/>
  <c r="Q61" i="2"/>
  <c r="P61" i="2"/>
  <c r="O61" i="2"/>
  <c r="N61" i="2"/>
  <c r="M61" i="2"/>
  <c r="R60" i="2"/>
  <c r="M60" i="2"/>
  <c r="R59" i="2"/>
  <c r="Q59" i="2"/>
  <c r="P59" i="2"/>
  <c r="O59" i="2"/>
  <c r="N59" i="2"/>
  <c r="M59" i="2"/>
  <c r="R58" i="2"/>
  <c r="Q58" i="2"/>
  <c r="P58" i="2"/>
  <c r="O58" i="2"/>
  <c r="N58" i="2"/>
  <c r="M58" i="2"/>
  <c r="R57" i="2"/>
  <c r="Q57" i="2"/>
  <c r="P57" i="2"/>
  <c r="O57" i="2"/>
  <c r="N57" i="2"/>
  <c r="M57" i="2"/>
  <c r="R56" i="2"/>
  <c r="Q56" i="2"/>
  <c r="P56" i="2"/>
  <c r="O56" i="2"/>
  <c r="N56" i="2"/>
  <c r="M56" i="2"/>
  <c r="R55" i="2"/>
  <c r="Q55" i="2"/>
  <c r="P55" i="2"/>
  <c r="O55" i="2"/>
  <c r="N55" i="2"/>
  <c r="M55" i="2"/>
  <c r="R54" i="2"/>
  <c r="Q54" i="2"/>
  <c r="P54" i="2"/>
  <c r="O54" i="2"/>
  <c r="N54" i="2"/>
  <c r="M54" i="2"/>
  <c r="R53" i="2"/>
  <c r="Q53" i="2"/>
  <c r="P53" i="2"/>
  <c r="O53" i="2"/>
  <c r="N53" i="2"/>
  <c r="M53" i="2"/>
  <c r="R52" i="2"/>
  <c r="Q52" i="2"/>
  <c r="P52" i="2"/>
  <c r="O52" i="2"/>
  <c r="N52" i="2"/>
  <c r="M52" i="2"/>
  <c r="R51" i="2"/>
  <c r="Q51" i="2"/>
  <c r="P51" i="2"/>
  <c r="O51" i="2"/>
  <c r="N51" i="2"/>
  <c r="M51" i="2"/>
  <c r="R50" i="2"/>
  <c r="Q50" i="2"/>
  <c r="P50" i="2"/>
  <c r="O50" i="2"/>
  <c r="N50" i="2"/>
  <c r="M50" i="2"/>
  <c r="R49" i="2"/>
  <c r="Q49" i="2"/>
  <c r="P49" i="2"/>
  <c r="O49" i="2"/>
  <c r="N49" i="2"/>
  <c r="M49" i="2"/>
  <c r="R48" i="2"/>
  <c r="Q48" i="2"/>
  <c r="P48" i="2"/>
  <c r="O48" i="2"/>
  <c r="N48" i="2"/>
  <c r="M48" i="2"/>
  <c r="R47" i="2"/>
  <c r="Q47" i="2"/>
  <c r="P47" i="2"/>
  <c r="O47" i="2"/>
  <c r="N47" i="2"/>
  <c r="M47" i="2"/>
  <c r="R46" i="2"/>
  <c r="Q46" i="2"/>
  <c r="P46" i="2"/>
  <c r="O46" i="2"/>
  <c r="N46" i="2"/>
  <c r="M46" i="2"/>
  <c r="R45" i="2"/>
  <c r="Q45" i="2"/>
  <c r="P45" i="2"/>
  <c r="O45" i="2"/>
  <c r="N45" i="2"/>
  <c r="M45" i="2"/>
  <c r="R44" i="2"/>
  <c r="Q44" i="2"/>
  <c r="P44" i="2"/>
  <c r="O44" i="2"/>
  <c r="N44" i="2"/>
  <c r="M44" i="2"/>
  <c r="R43" i="2"/>
  <c r="Q43" i="2"/>
  <c r="P43" i="2"/>
  <c r="O43" i="2"/>
  <c r="N43" i="2"/>
  <c r="M43" i="2"/>
  <c r="R42" i="2"/>
  <c r="Q42" i="2"/>
  <c r="P42" i="2"/>
  <c r="O42" i="2"/>
  <c r="N42" i="2"/>
  <c r="M42" i="2"/>
  <c r="R41" i="2"/>
  <c r="Q41" i="2"/>
  <c r="P41" i="2"/>
  <c r="O41" i="2"/>
  <c r="N41" i="2"/>
  <c r="M41" i="2"/>
  <c r="R40" i="2"/>
  <c r="Q40" i="2"/>
  <c r="P40" i="2"/>
  <c r="O40" i="2"/>
  <c r="N40" i="2"/>
  <c r="M40" i="2"/>
  <c r="R39" i="2"/>
  <c r="Q39" i="2"/>
  <c r="P39" i="2"/>
  <c r="O39" i="2"/>
  <c r="N39" i="2"/>
  <c r="M39" i="2"/>
  <c r="R38" i="2"/>
  <c r="Q38" i="2"/>
  <c r="P38" i="2"/>
  <c r="O38" i="2"/>
  <c r="N38" i="2"/>
  <c r="M38" i="2"/>
  <c r="R37" i="2"/>
  <c r="Q37" i="2"/>
  <c r="P37" i="2"/>
  <c r="O37" i="2"/>
  <c r="N37" i="2"/>
  <c r="M37" i="2"/>
  <c r="A37" i="2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R36" i="2"/>
  <c r="Q36" i="2"/>
  <c r="P36" i="2"/>
  <c r="O36" i="2"/>
  <c r="N36" i="2"/>
  <c r="M36" i="2"/>
  <c r="A36" i="2"/>
  <c r="R35" i="2"/>
  <c r="Q35" i="2"/>
  <c r="P35" i="2"/>
  <c r="O35" i="2"/>
  <c r="N35" i="2"/>
  <c r="M35" i="2"/>
  <c r="R34" i="2"/>
  <c r="Q34" i="2"/>
  <c r="P34" i="2"/>
  <c r="O34" i="2"/>
  <c r="N34" i="2"/>
  <c r="M34" i="2"/>
  <c r="R33" i="2"/>
  <c r="Q33" i="2"/>
  <c r="P33" i="2"/>
  <c r="O33" i="2"/>
  <c r="N33" i="2"/>
  <c r="M33" i="2"/>
  <c r="R32" i="2"/>
  <c r="Q32" i="2"/>
  <c r="P32" i="2"/>
  <c r="O32" i="2"/>
  <c r="N32" i="2"/>
  <c r="M32" i="2"/>
  <c r="R31" i="2"/>
  <c r="Q31" i="2"/>
  <c r="P31" i="2"/>
  <c r="O31" i="2"/>
  <c r="N31" i="2"/>
  <c r="M31" i="2"/>
  <c r="R30" i="2"/>
  <c r="Q30" i="2"/>
  <c r="P30" i="2"/>
  <c r="O30" i="2"/>
  <c r="N30" i="2"/>
  <c r="M30" i="2"/>
  <c r="R29" i="2"/>
  <c r="Q29" i="2"/>
  <c r="P29" i="2"/>
  <c r="O29" i="2"/>
  <c r="N29" i="2"/>
  <c r="M29" i="2"/>
  <c r="R28" i="2"/>
  <c r="Q28" i="2"/>
  <c r="P28" i="2"/>
  <c r="O28" i="2"/>
  <c r="N28" i="2"/>
  <c r="M28" i="2"/>
  <c r="R27" i="2"/>
  <c r="Q27" i="2"/>
  <c r="P27" i="2"/>
  <c r="O27" i="2"/>
  <c r="N27" i="2"/>
  <c r="M27" i="2"/>
  <c r="R26" i="2"/>
  <c r="Q26" i="2"/>
  <c r="P26" i="2"/>
  <c r="O26" i="2"/>
  <c r="N26" i="2"/>
  <c r="M26" i="2"/>
  <c r="R25" i="2"/>
  <c r="Q25" i="2"/>
  <c r="P25" i="2"/>
  <c r="O25" i="2"/>
  <c r="N25" i="2"/>
  <c r="M25" i="2"/>
  <c r="R24" i="2"/>
  <c r="Q24" i="2"/>
  <c r="P24" i="2"/>
  <c r="O24" i="2"/>
  <c r="N24" i="2"/>
  <c r="M24" i="2"/>
  <c r="R23" i="2"/>
  <c r="Q23" i="2"/>
  <c r="P23" i="2"/>
  <c r="O23" i="2"/>
  <c r="N23" i="2"/>
  <c r="M23" i="2"/>
  <c r="R22" i="2"/>
  <c r="Q22" i="2"/>
  <c r="P22" i="2"/>
  <c r="O22" i="2"/>
  <c r="N22" i="2"/>
  <c r="M22" i="2"/>
  <c r="R21" i="2"/>
  <c r="Q21" i="2"/>
  <c r="P21" i="2"/>
  <c r="O21" i="2"/>
  <c r="N21" i="2"/>
  <c r="M21" i="2"/>
  <c r="R20" i="2"/>
  <c r="Q20" i="2"/>
  <c r="P20" i="2"/>
  <c r="O20" i="2"/>
  <c r="N20" i="2"/>
  <c r="M20" i="2"/>
  <c r="R19" i="2"/>
  <c r="Q19" i="2"/>
  <c r="P19" i="2"/>
  <c r="O19" i="2"/>
  <c r="N19" i="2"/>
  <c r="M19" i="2"/>
  <c r="R18" i="2"/>
  <c r="Q18" i="2"/>
  <c r="P18" i="2"/>
  <c r="O18" i="2"/>
  <c r="N18" i="2"/>
  <c r="M18" i="2"/>
  <c r="R17" i="2"/>
  <c r="Q17" i="2"/>
  <c r="P17" i="2"/>
  <c r="O17" i="2"/>
  <c r="N17" i="2"/>
  <c r="M17" i="2"/>
  <c r="R16" i="2"/>
  <c r="Q16" i="2"/>
  <c r="P16" i="2"/>
  <c r="O16" i="2"/>
  <c r="N16" i="2"/>
  <c r="M16" i="2"/>
  <c r="R15" i="2"/>
  <c r="Q15" i="2"/>
  <c r="P15" i="2"/>
  <c r="O15" i="2"/>
  <c r="N15" i="2"/>
  <c r="M15" i="2"/>
  <c r="R14" i="2"/>
  <c r="Q14" i="2"/>
  <c r="P14" i="2"/>
  <c r="O14" i="2"/>
  <c r="N14" i="2"/>
  <c r="M14" i="2"/>
  <c r="R13" i="2"/>
  <c r="Q13" i="2"/>
  <c r="P13" i="2"/>
  <c r="O13" i="2"/>
  <c r="N13" i="2"/>
  <c r="M13" i="2"/>
  <c r="R12" i="2"/>
  <c r="Q12" i="2"/>
  <c r="P12" i="2"/>
  <c r="O12" i="2"/>
  <c r="N12" i="2"/>
  <c r="M12" i="2"/>
  <c r="R11" i="2"/>
  <c r="Q11" i="2"/>
  <c r="P11" i="2"/>
  <c r="O11" i="2"/>
  <c r="N11" i="2"/>
  <c r="M11" i="2"/>
  <c r="R10" i="2"/>
  <c r="Q10" i="2"/>
  <c r="P10" i="2"/>
  <c r="O10" i="2"/>
  <c r="N10" i="2"/>
  <c r="M10" i="2"/>
  <c r="R9" i="2"/>
  <c r="Q9" i="2"/>
  <c r="P9" i="2"/>
  <c r="O9" i="2"/>
  <c r="N9" i="2"/>
  <c r="M9" i="2"/>
  <c r="R8" i="2"/>
  <c r="Q8" i="2"/>
  <c r="P8" i="2"/>
  <c r="O8" i="2"/>
  <c r="N8" i="2"/>
  <c r="M8" i="2"/>
  <c r="R7" i="2"/>
  <c r="Q7" i="2"/>
  <c r="P7" i="2"/>
  <c r="O7" i="2"/>
  <c r="N7" i="2"/>
  <c r="M7" i="2"/>
  <c r="R6" i="2"/>
  <c r="Q6" i="2"/>
  <c r="P6" i="2"/>
  <c r="O6" i="2"/>
  <c r="N6" i="2"/>
  <c r="M6" i="2"/>
  <c r="R5" i="2"/>
  <c r="Q5" i="2"/>
  <c r="P5" i="2"/>
  <c r="O5" i="2"/>
  <c r="N5" i="2"/>
  <c r="M5" i="2"/>
  <c r="R4" i="2"/>
  <c r="Q4" i="2"/>
  <c r="P4" i="2"/>
  <c r="O4" i="2"/>
  <c r="N4" i="2"/>
  <c r="M4" i="2"/>
  <c r="R3" i="2"/>
  <c r="Q3" i="2"/>
  <c r="P3" i="2"/>
  <c r="O3" i="2"/>
  <c r="N3" i="2"/>
  <c r="M3" i="2"/>
  <c r="R2" i="2"/>
  <c r="Q2" i="2"/>
  <c r="P2" i="2"/>
  <c r="O2" i="2"/>
  <c r="N2" i="2"/>
  <c r="M2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Z433" i="1"/>
  <c r="Y433" i="1"/>
  <c r="V433" i="1"/>
  <c r="U433" i="1"/>
  <c r="S433" i="1"/>
  <c r="Q433" i="1"/>
  <c r="P433" i="1"/>
  <c r="O433" i="1"/>
  <c r="N433" i="1"/>
  <c r="M433" i="1"/>
  <c r="L433" i="1"/>
  <c r="K433" i="1"/>
  <c r="J433" i="1"/>
  <c r="I433" i="1"/>
  <c r="H433" i="1"/>
  <c r="G433" i="1"/>
  <c r="F433" i="1"/>
  <c r="E433" i="1"/>
  <c r="D433" i="1"/>
  <c r="C433" i="1"/>
  <c r="B433" i="1"/>
  <c r="A433" i="1"/>
  <c r="Z432" i="1"/>
  <c r="Y432" i="1"/>
  <c r="V432" i="1"/>
  <c r="U432" i="1"/>
  <c r="S432" i="1"/>
  <c r="O432" i="1"/>
  <c r="N432" i="1"/>
  <c r="M432" i="1"/>
  <c r="L432" i="1"/>
  <c r="K432" i="1"/>
  <c r="J432" i="1"/>
  <c r="I432" i="1"/>
  <c r="H432" i="1"/>
  <c r="G432" i="1"/>
  <c r="F432" i="1"/>
  <c r="E432" i="1"/>
  <c r="D432" i="1"/>
  <c r="C432" i="1"/>
  <c r="B432" i="1"/>
  <c r="A432" i="1"/>
  <c r="Z431" i="1"/>
  <c r="Y431" i="1"/>
  <c r="V431" i="1"/>
  <c r="U431" i="1"/>
  <c r="S431" i="1"/>
  <c r="Q431" i="1"/>
  <c r="P431" i="1"/>
  <c r="O431" i="1"/>
  <c r="N431" i="1"/>
  <c r="M431" i="1"/>
  <c r="L431" i="1"/>
  <c r="K431" i="1"/>
  <c r="J431" i="1"/>
  <c r="I431" i="1"/>
  <c r="H431" i="1"/>
  <c r="G431" i="1"/>
  <c r="F431" i="1"/>
  <c r="E431" i="1"/>
  <c r="D431" i="1"/>
  <c r="C431" i="1"/>
  <c r="B431" i="1"/>
  <c r="A431" i="1"/>
  <c r="X430" i="1"/>
  <c r="W430" i="1"/>
  <c r="V430" i="1"/>
  <c r="U430" i="1"/>
  <c r="S430" i="1"/>
  <c r="R430" i="1"/>
  <c r="O430" i="1"/>
  <c r="N430" i="1"/>
  <c r="M430" i="1"/>
  <c r="L430" i="1"/>
  <c r="K430" i="1"/>
  <c r="J430" i="1"/>
  <c r="I430" i="1"/>
  <c r="H430" i="1"/>
  <c r="G430" i="1"/>
  <c r="F430" i="1"/>
  <c r="E430" i="1"/>
  <c r="D430" i="1"/>
  <c r="C430" i="1"/>
  <c r="B430" i="1"/>
  <c r="A430" i="1"/>
  <c r="Z429" i="1"/>
  <c r="Y429" i="1"/>
  <c r="V429" i="1"/>
  <c r="U429" i="1"/>
  <c r="S429" i="1"/>
  <c r="O429" i="1"/>
  <c r="N429" i="1"/>
  <c r="M429" i="1"/>
  <c r="L429" i="1"/>
  <c r="K429" i="1"/>
  <c r="J429" i="1"/>
  <c r="I429" i="1"/>
  <c r="H429" i="1"/>
  <c r="G429" i="1"/>
  <c r="F429" i="1"/>
  <c r="E429" i="1"/>
  <c r="D429" i="1"/>
  <c r="C429" i="1"/>
  <c r="B429" i="1"/>
  <c r="A429" i="1"/>
  <c r="V428" i="1"/>
  <c r="U428" i="1"/>
  <c r="S428" i="1"/>
  <c r="O428" i="1"/>
  <c r="N428" i="1"/>
  <c r="M428" i="1"/>
  <c r="L428" i="1"/>
  <c r="K428" i="1"/>
  <c r="J428" i="1"/>
  <c r="I428" i="1"/>
  <c r="H428" i="1"/>
  <c r="G428" i="1"/>
  <c r="F428" i="1"/>
  <c r="E428" i="1"/>
  <c r="D428" i="1"/>
  <c r="C428" i="1"/>
  <c r="B428" i="1"/>
  <c r="A428" i="1"/>
  <c r="Z427" i="1"/>
  <c r="Y427" i="1"/>
  <c r="V427" i="1"/>
  <c r="U427" i="1"/>
  <c r="S427" i="1"/>
  <c r="Q427" i="1"/>
  <c r="P427" i="1"/>
  <c r="O427" i="1"/>
  <c r="N427" i="1"/>
  <c r="M427" i="1"/>
  <c r="L427" i="1"/>
  <c r="K427" i="1"/>
  <c r="J427" i="1"/>
  <c r="I427" i="1"/>
  <c r="H427" i="1"/>
  <c r="G427" i="1"/>
  <c r="F427" i="1"/>
  <c r="E427" i="1"/>
  <c r="D427" i="1"/>
  <c r="C427" i="1"/>
  <c r="B427" i="1"/>
  <c r="A427" i="1"/>
  <c r="Z426" i="1"/>
  <c r="Y426" i="1"/>
  <c r="V426" i="1"/>
  <c r="U426" i="1"/>
  <c r="S426" i="1"/>
  <c r="O426" i="1"/>
  <c r="N426" i="1"/>
  <c r="M426" i="1"/>
  <c r="L426" i="1"/>
  <c r="K426" i="1"/>
  <c r="J426" i="1"/>
  <c r="I426" i="1"/>
  <c r="H426" i="1"/>
  <c r="G426" i="1"/>
  <c r="F426" i="1"/>
  <c r="E426" i="1"/>
  <c r="D426" i="1"/>
  <c r="C426" i="1"/>
  <c r="B426" i="1"/>
  <c r="A426" i="1"/>
  <c r="V425" i="1"/>
  <c r="U425" i="1"/>
  <c r="T425" i="1"/>
  <c r="S425" i="1"/>
  <c r="O425" i="1"/>
  <c r="N425" i="1"/>
  <c r="M425" i="1"/>
  <c r="L425" i="1"/>
  <c r="K425" i="1"/>
  <c r="J425" i="1"/>
  <c r="I425" i="1"/>
  <c r="H425" i="1"/>
  <c r="G425" i="1"/>
  <c r="F425" i="1"/>
  <c r="E425" i="1"/>
  <c r="D425" i="1"/>
  <c r="C425" i="1"/>
  <c r="B425" i="1"/>
  <c r="A425" i="1"/>
  <c r="X424" i="1"/>
  <c r="W424" i="1"/>
  <c r="V424" i="1"/>
  <c r="U424" i="1"/>
  <c r="S424" i="1"/>
  <c r="R424" i="1"/>
  <c r="P424" i="1"/>
  <c r="O424" i="1"/>
  <c r="N424" i="1"/>
  <c r="M424" i="1"/>
  <c r="L424" i="1"/>
  <c r="K424" i="1"/>
  <c r="J424" i="1"/>
  <c r="I424" i="1"/>
  <c r="H424" i="1"/>
  <c r="G424" i="1"/>
  <c r="F424" i="1"/>
  <c r="E424" i="1"/>
  <c r="D424" i="1"/>
  <c r="C424" i="1"/>
  <c r="B424" i="1"/>
  <c r="A424" i="1"/>
  <c r="Z423" i="1"/>
  <c r="Y423" i="1"/>
  <c r="V423" i="1"/>
  <c r="U423" i="1"/>
  <c r="T423" i="1"/>
  <c r="S423" i="1"/>
  <c r="O423" i="1"/>
  <c r="N423" i="1"/>
  <c r="M423" i="1"/>
  <c r="L423" i="1"/>
  <c r="K423" i="1"/>
  <c r="J423" i="1"/>
  <c r="I423" i="1"/>
  <c r="H423" i="1"/>
  <c r="G423" i="1"/>
  <c r="F423" i="1"/>
  <c r="E423" i="1"/>
  <c r="D423" i="1"/>
  <c r="C423" i="1"/>
  <c r="B423" i="1"/>
  <c r="A423" i="1"/>
  <c r="Z422" i="1"/>
  <c r="Y422" i="1"/>
  <c r="V422" i="1"/>
  <c r="U422" i="1"/>
  <c r="S422" i="1"/>
  <c r="Q422" i="1"/>
  <c r="P422" i="1"/>
  <c r="O422" i="1"/>
  <c r="N422" i="1"/>
  <c r="M422" i="1"/>
  <c r="L422" i="1"/>
  <c r="K422" i="1"/>
  <c r="J422" i="1"/>
  <c r="I422" i="1"/>
  <c r="H422" i="1"/>
  <c r="G422" i="1"/>
  <c r="F422" i="1"/>
  <c r="E422" i="1"/>
  <c r="D422" i="1"/>
  <c r="C422" i="1"/>
  <c r="B422" i="1"/>
  <c r="A422" i="1"/>
  <c r="Z421" i="1"/>
  <c r="Y421" i="1"/>
  <c r="V421" i="1"/>
  <c r="U421" i="1"/>
  <c r="S421" i="1"/>
  <c r="Q421" i="1"/>
  <c r="P421" i="1"/>
  <c r="O421" i="1"/>
  <c r="N421" i="1"/>
  <c r="M421" i="1"/>
  <c r="L421" i="1"/>
  <c r="K421" i="1"/>
  <c r="J421" i="1"/>
  <c r="I421" i="1"/>
  <c r="H421" i="1"/>
  <c r="G421" i="1"/>
  <c r="F421" i="1"/>
  <c r="E421" i="1"/>
  <c r="D421" i="1"/>
  <c r="C421" i="1"/>
  <c r="B421" i="1"/>
  <c r="A421" i="1"/>
  <c r="Z420" i="1"/>
  <c r="Y420" i="1"/>
  <c r="V420" i="1"/>
  <c r="U420" i="1"/>
  <c r="S420" i="1"/>
  <c r="Q420" i="1"/>
  <c r="P420" i="1"/>
  <c r="O420" i="1"/>
  <c r="N420" i="1"/>
  <c r="M420" i="1"/>
  <c r="L420" i="1"/>
  <c r="K420" i="1"/>
  <c r="J420" i="1"/>
  <c r="I420" i="1"/>
  <c r="H420" i="1"/>
  <c r="G420" i="1"/>
  <c r="F420" i="1"/>
  <c r="E420" i="1"/>
  <c r="D420" i="1"/>
  <c r="C420" i="1"/>
  <c r="B420" i="1"/>
  <c r="A420" i="1"/>
  <c r="X419" i="1"/>
  <c r="W419" i="1"/>
  <c r="V419" i="1"/>
  <c r="U419" i="1"/>
  <c r="R419" i="1"/>
  <c r="O419" i="1"/>
  <c r="N419" i="1"/>
  <c r="M419" i="1"/>
  <c r="L419" i="1"/>
  <c r="K419" i="1"/>
  <c r="J419" i="1"/>
  <c r="I419" i="1"/>
  <c r="H419" i="1"/>
  <c r="G419" i="1"/>
  <c r="F419" i="1"/>
  <c r="E419" i="1"/>
  <c r="D419" i="1"/>
  <c r="C419" i="1"/>
  <c r="B419" i="1"/>
  <c r="A419" i="1"/>
  <c r="Z418" i="1"/>
  <c r="Y418" i="1"/>
  <c r="V418" i="1"/>
  <c r="U418" i="1"/>
  <c r="O418" i="1"/>
  <c r="N418" i="1"/>
  <c r="M418" i="1"/>
  <c r="L418" i="1"/>
  <c r="K418" i="1"/>
  <c r="J418" i="1"/>
  <c r="I418" i="1"/>
  <c r="H418" i="1"/>
  <c r="G418" i="1"/>
  <c r="F418" i="1"/>
  <c r="E418" i="1"/>
  <c r="D418" i="1"/>
  <c r="C418" i="1"/>
  <c r="B418" i="1"/>
  <c r="A418" i="1"/>
  <c r="V417" i="1"/>
  <c r="U417" i="1"/>
  <c r="O417" i="1"/>
  <c r="N417" i="1"/>
  <c r="M417" i="1"/>
  <c r="L417" i="1"/>
  <c r="K417" i="1"/>
  <c r="J417" i="1"/>
  <c r="I417" i="1"/>
  <c r="H417" i="1"/>
  <c r="G417" i="1"/>
  <c r="F417" i="1"/>
  <c r="E417" i="1"/>
  <c r="D417" i="1"/>
  <c r="C417" i="1"/>
  <c r="B417" i="1"/>
  <c r="A417" i="1"/>
  <c r="AC416" i="1"/>
  <c r="Z416" i="1"/>
  <c r="Y416" i="1"/>
  <c r="X416" i="1"/>
  <c r="W416" i="1"/>
  <c r="V416" i="1"/>
  <c r="U416" i="1"/>
  <c r="S416" i="1"/>
  <c r="R416" i="1"/>
  <c r="Q416" i="1"/>
  <c r="P416" i="1"/>
  <c r="O416" i="1"/>
  <c r="N416" i="1"/>
  <c r="M416" i="1"/>
  <c r="L416" i="1"/>
  <c r="K416" i="1"/>
  <c r="J416" i="1"/>
  <c r="I416" i="1"/>
  <c r="H416" i="1"/>
  <c r="G416" i="1"/>
  <c r="F416" i="1"/>
  <c r="E416" i="1"/>
  <c r="D416" i="1"/>
  <c r="C416" i="1"/>
  <c r="B416" i="1"/>
  <c r="A416" i="1"/>
  <c r="AC415" i="1"/>
  <c r="Z415" i="1"/>
  <c r="Y415" i="1"/>
  <c r="X415" i="1"/>
  <c r="W415" i="1"/>
  <c r="V415" i="1"/>
  <c r="U415" i="1"/>
  <c r="S415" i="1"/>
  <c r="R415" i="1"/>
  <c r="Q415" i="1"/>
  <c r="P415" i="1"/>
  <c r="O415" i="1"/>
  <c r="N415" i="1"/>
  <c r="M415" i="1"/>
  <c r="L415" i="1"/>
  <c r="K415" i="1"/>
  <c r="J415" i="1"/>
  <c r="I415" i="1"/>
  <c r="H415" i="1"/>
  <c r="G415" i="1"/>
  <c r="F415" i="1"/>
  <c r="E415" i="1"/>
  <c r="D415" i="1"/>
  <c r="C415" i="1"/>
  <c r="B415" i="1"/>
  <c r="A415" i="1"/>
  <c r="AC414" i="1"/>
  <c r="X414" i="1"/>
  <c r="W414" i="1"/>
  <c r="V414" i="1"/>
  <c r="U414" i="1"/>
  <c r="S414" i="1"/>
  <c r="R414" i="1"/>
  <c r="P414" i="1"/>
  <c r="O414" i="1"/>
  <c r="N414" i="1"/>
  <c r="M414" i="1"/>
  <c r="L414" i="1"/>
  <c r="K414" i="1"/>
  <c r="J414" i="1"/>
  <c r="I414" i="1"/>
  <c r="H414" i="1"/>
  <c r="G414" i="1"/>
  <c r="F414" i="1"/>
  <c r="E414" i="1"/>
  <c r="D414" i="1"/>
  <c r="C414" i="1"/>
  <c r="B414" i="1"/>
  <c r="A414" i="1"/>
  <c r="Z413" i="1"/>
  <c r="Y413" i="1"/>
  <c r="V413" i="1"/>
  <c r="U413" i="1"/>
  <c r="O413" i="1"/>
  <c r="N413" i="1"/>
  <c r="M413" i="1"/>
  <c r="L413" i="1"/>
  <c r="K413" i="1"/>
  <c r="I413" i="1"/>
  <c r="H413" i="1"/>
  <c r="G413" i="1"/>
  <c r="F413" i="1"/>
  <c r="E413" i="1"/>
  <c r="D413" i="1"/>
  <c r="C413" i="1"/>
  <c r="B413" i="1"/>
  <c r="A413" i="1"/>
  <c r="AC412" i="1"/>
  <c r="Z412" i="1"/>
  <c r="Y412" i="1"/>
  <c r="V412" i="1"/>
  <c r="U412" i="1"/>
  <c r="O412" i="1"/>
  <c r="N412" i="1"/>
  <c r="M412" i="1"/>
  <c r="L412" i="1"/>
  <c r="K412" i="1"/>
  <c r="I412" i="1"/>
  <c r="H412" i="1"/>
  <c r="G412" i="1"/>
  <c r="F412" i="1"/>
  <c r="E412" i="1"/>
  <c r="D412" i="1"/>
  <c r="C412" i="1"/>
  <c r="B412" i="1"/>
  <c r="A412" i="1"/>
  <c r="Z411" i="1"/>
  <c r="Y411" i="1"/>
  <c r="V411" i="1"/>
  <c r="U411" i="1"/>
  <c r="O411" i="1"/>
  <c r="N411" i="1"/>
  <c r="M411" i="1"/>
  <c r="L411" i="1"/>
  <c r="K411" i="1"/>
  <c r="J411" i="1"/>
  <c r="I411" i="1"/>
  <c r="H411" i="1"/>
  <c r="G411" i="1"/>
  <c r="F411" i="1"/>
  <c r="E411" i="1"/>
  <c r="D411" i="1"/>
  <c r="C411" i="1"/>
  <c r="B411" i="1"/>
  <c r="A411" i="1"/>
  <c r="X410" i="1"/>
  <c r="W410" i="1"/>
  <c r="V410" i="1"/>
  <c r="U410" i="1"/>
  <c r="R410" i="1"/>
  <c r="O410" i="1"/>
  <c r="N410" i="1"/>
  <c r="M410" i="1"/>
  <c r="L410" i="1"/>
  <c r="K410" i="1"/>
  <c r="J410" i="1"/>
  <c r="I410" i="1"/>
  <c r="H410" i="1"/>
  <c r="G410" i="1"/>
  <c r="F410" i="1"/>
  <c r="E410" i="1"/>
  <c r="D410" i="1"/>
  <c r="C410" i="1"/>
  <c r="B410" i="1"/>
  <c r="A410" i="1"/>
  <c r="AC409" i="1"/>
  <c r="Z409" i="1"/>
  <c r="Y409" i="1"/>
  <c r="V409" i="1"/>
  <c r="U409" i="1"/>
  <c r="S409" i="1"/>
  <c r="O409" i="1"/>
  <c r="N409" i="1"/>
  <c r="M409" i="1"/>
  <c r="L409" i="1"/>
  <c r="K409" i="1"/>
  <c r="J409" i="1"/>
  <c r="I409" i="1"/>
  <c r="H409" i="1"/>
  <c r="G409" i="1"/>
  <c r="F409" i="1"/>
  <c r="E409" i="1"/>
  <c r="D409" i="1"/>
  <c r="C409" i="1"/>
  <c r="B409" i="1"/>
  <c r="A409" i="1"/>
  <c r="Z408" i="1"/>
  <c r="Y408" i="1"/>
  <c r="V408" i="1"/>
  <c r="U408" i="1"/>
  <c r="S408" i="1"/>
  <c r="O408" i="1"/>
  <c r="N408" i="1"/>
  <c r="M408" i="1"/>
  <c r="L408" i="1"/>
  <c r="K408" i="1"/>
  <c r="J408" i="1"/>
  <c r="I408" i="1"/>
  <c r="H408" i="1"/>
  <c r="G408" i="1"/>
  <c r="F408" i="1"/>
  <c r="E408" i="1"/>
  <c r="D408" i="1"/>
  <c r="C408" i="1"/>
  <c r="B408" i="1"/>
  <c r="A408" i="1"/>
  <c r="Z407" i="1"/>
  <c r="Y407" i="1"/>
  <c r="V407" i="1"/>
  <c r="U407" i="1"/>
  <c r="S407" i="1"/>
  <c r="O407" i="1"/>
  <c r="N407" i="1"/>
  <c r="M407" i="1"/>
  <c r="L407" i="1"/>
  <c r="K407" i="1"/>
  <c r="J407" i="1"/>
  <c r="I407" i="1"/>
  <c r="H407" i="1"/>
  <c r="G407" i="1"/>
  <c r="F407" i="1"/>
  <c r="E407" i="1"/>
  <c r="D407" i="1"/>
  <c r="C407" i="1"/>
  <c r="B407" i="1"/>
  <c r="A407" i="1"/>
  <c r="V406" i="1"/>
  <c r="U406" i="1"/>
  <c r="S406" i="1"/>
  <c r="O406" i="1"/>
  <c r="N406" i="1"/>
  <c r="M406" i="1"/>
  <c r="L406" i="1"/>
  <c r="K406" i="1"/>
  <c r="J406" i="1"/>
  <c r="I406" i="1"/>
  <c r="H406" i="1"/>
  <c r="G406" i="1"/>
  <c r="F406" i="1"/>
  <c r="E406" i="1"/>
  <c r="D406" i="1"/>
  <c r="C406" i="1"/>
  <c r="B406" i="1"/>
  <c r="A406" i="1"/>
  <c r="V405" i="1"/>
  <c r="U405" i="1"/>
  <c r="S405" i="1"/>
  <c r="O405" i="1"/>
  <c r="N405" i="1"/>
  <c r="M405" i="1"/>
  <c r="L405" i="1"/>
  <c r="K405" i="1"/>
  <c r="J405" i="1"/>
  <c r="I405" i="1"/>
  <c r="H405" i="1"/>
  <c r="G405" i="1"/>
  <c r="F405" i="1"/>
  <c r="E405" i="1"/>
  <c r="D405" i="1"/>
  <c r="C405" i="1"/>
  <c r="B405" i="1"/>
  <c r="A405" i="1"/>
  <c r="V404" i="1"/>
  <c r="U404" i="1"/>
  <c r="S404" i="1"/>
  <c r="O404" i="1"/>
  <c r="N404" i="1"/>
  <c r="M404" i="1"/>
  <c r="L404" i="1"/>
  <c r="K404" i="1"/>
  <c r="J404" i="1"/>
  <c r="I404" i="1"/>
  <c r="H404" i="1"/>
  <c r="G404" i="1"/>
  <c r="F404" i="1"/>
  <c r="E404" i="1"/>
  <c r="D404" i="1"/>
  <c r="C404" i="1"/>
  <c r="B404" i="1"/>
  <c r="A404" i="1"/>
  <c r="V403" i="1"/>
  <c r="U403" i="1"/>
  <c r="S403" i="1"/>
  <c r="O403" i="1"/>
  <c r="N403" i="1"/>
  <c r="M403" i="1"/>
  <c r="L403" i="1"/>
  <c r="K403" i="1"/>
  <c r="J403" i="1"/>
  <c r="I403" i="1"/>
  <c r="H403" i="1"/>
  <c r="G403" i="1"/>
  <c r="F403" i="1"/>
  <c r="E403" i="1"/>
  <c r="D403" i="1"/>
  <c r="C403" i="1"/>
  <c r="B403" i="1"/>
  <c r="A403" i="1"/>
  <c r="V402" i="1"/>
  <c r="U402" i="1"/>
  <c r="S402" i="1"/>
  <c r="O402" i="1"/>
  <c r="N402" i="1"/>
  <c r="M402" i="1"/>
  <c r="L402" i="1"/>
  <c r="K402" i="1"/>
  <c r="J402" i="1"/>
  <c r="I402" i="1"/>
  <c r="H402" i="1"/>
  <c r="G402" i="1"/>
  <c r="F402" i="1"/>
  <c r="E402" i="1"/>
  <c r="D402" i="1"/>
  <c r="C402" i="1"/>
  <c r="B402" i="1"/>
  <c r="A402" i="1"/>
  <c r="V401" i="1"/>
  <c r="U401" i="1"/>
  <c r="S401" i="1"/>
  <c r="O401" i="1"/>
  <c r="N401" i="1"/>
  <c r="M401" i="1"/>
  <c r="L401" i="1"/>
  <c r="K401" i="1"/>
  <c r="J401" i="1"/>
  <c r="I401" i="1"/>
  <c r="H401" i="1"/>
  <c r="G401" i="1"/>
  <c r="F401" i="1"/>
  <c r="E401" i="1"/>
  <c r="D401" i="1"/>
  <c r="C401" i="1"/>
  <c r="B401" i="1"/>
  <c r="A401" i="1"/>
  <c r="V400" i="1"/>
  <c r="U400" i="1"/>
  <c r="O400" i="1"/>
  <c r="N400" i="1"/>
  <c r="M400" i="1"/>
  <c r="L400" i="1"/>
  <c r="K400" i="1"/>
  <c r="J400" i="1"/>
  <c r="I400" i="1"/>
  <c r="H400" i="1"/>
  <c r="G400" i="1"/>
  <c r="F400" i="1"/>
  <c r="E400" i="1"/>
  <c r="D400" i="1"/>
  <c r="C400" i="1"/>
  <c r="B400" i="1"/>
  <c r="A400" i="1"/>
  <c r="V399" i="1"/>
  <c r="U399" i="1"/>
  <c r="O399" i="1"/>
  <c r="N399" i="1"/>
  <c r="M399" i="1"/>
  <c r="L399" i="1"/>
  <c r="K399" i="1"/>
  <c r="J399" i="1"/>
  <c r="I399" i="1"/>
  <c r="H399" i="1"/>
  <c r="G399" i="1"/>
  <c r="F399" i="1"/>
  <c r="E399" i="1"/>
  <c r="D399" i="1"/>
  <c r="C399" i="1"/>
  <c r="B399" i="1"/>
  <c r="A399" i="1"/>
  <c r="Z398" i="1"/>
  <c r="Y398" i="1"/>
  <c r="V398" i="1"/>
  <c r="U398" i="1"/>
  <c r="T398" i="1"/>
  <c r="Q398" i="1"/>
  <c r="P398" i="1"/>
  <c r="O398" i="1"/>
  <c r="N398" i="1"/>
  <c r="M398" i="1"/>
  <c r="L398" i="1"/>
  <c r="K398" i="1"/>
  <c r="J398" i="1"/>
  <c r="I398" i="1"/>
  <c r="H398" i="1"/>
  <c r="G398" i="1"/>
  <c r="F398" i="1"/>
  <c r="E398" i="1"/>
  <c r="D398" i="1"/>
  <c r="C398" i="1"/>
  <c r="B398" i="1"/>
  <c r="A398" i="1"/>
  <c r="V397" i="1"/>
  <c r="U397" i="1"/>
  <c r="O397" i="1"/>
  <c r="N397" i="1"/>
  <c r="M397" i="1"/>
  <c r="L397" i="1"/>
  <c r="K397" i="1"/>
  <c r="J397" i="1"/>
  <c r="I397" i="1"/>
  <c r="H397" i="1"/>
  <c r="G397" i="1"/>
  <c r="F397" i="1"/>
  <c r="E397" i="1"/>
  <c r="D397" i="1"/>
  <c r="C397" i="1"/>
  <c r="B397" i="1"/>
  <c r="A397" i="1"/>
  <c r="Z396" i="1"/>
  <c r="Y396" i="1"/>
  <c r="V396" i="1"/>
  <c r="U396" i="1"/>
  <c r="O396" i="1"/>
  <c r="N396" i="1"/>
  <c r="M396" i="1"/>
  <c r="L396" i="1"/>
  <c r="K396" i="1"/>
  <c r="J396" i="1"/>
  <c r="I396" i="1"/>
  <c r="H396" i="1"/>
  <c r="G396" i="1"/>
  <c r="F396" i="1"/>
  <c r="E396" i="1"/>
  <c r="D396" i="1"/>
  <c r="C396" i="1"/>
  <c r="B396" i="1"/>
  <c r="A396" i="1"/>
  <c r="AC395" i="1"/>
  <c r="V395" i="1"/>
  <c r="U395" i="1"/>
  <c r="O395" i="1"/>
  <c r="N395" i="1"/>
  <c r="M395" i="1"/>
  <c r="L395" i="1"/>
  <c r="K395" i="1"/>
  <c r="J395" i="1"/>
  <c r="I395" i="1"/>
  <c r="H395" i="1"/>
  <c r="G395" i="1"/>
  <c r="F395" i="1"/>
  <c r="E395" i="1"/>
  <c r="D395" i="1"/>
  <c r="C395" i="1"/>
  <c r="B395" i="1"/>
  <c r="A395" i="1"/>
  <c r="Z394" i="1"/>
  <c r="Y394" i="1"/>
  <c r="V394" i="1"/>
  <c r="U394" i="1"/>
  <c r="O394" i="1"/>
  <c r="N394" i="1"/>
  <c r="M394" i="1"/>
  <c r="L394" i="1"/>
  <c r="K394" i="1"/>
  <c r="J394" i="1"/>
  <c r="I394" i="1"/>
  <c r="H394" i="1"/>
  <c r="G394" i="1"/>
  <c r="F394" i="1"/>
  <c r="E394" i="1"/>
  <c r="D394" i="1"/>
  <c r="C394" i="1"/>
  <c r="B394" i="1"/>
  <c r="A394" i="1"/>
  <c r="Z393" i="1"/>
  <c r="Y393" i="1"/>
  <c r="V393" i="1"/>
  <c r="U393" i="1"/>
  <c r="O393" i="1"/>
  <c r="N393" i="1"/>
  <c r="M393" i="1"/>
  <c r="L393" i="1"/>
  <c r="K393" i="1"/>
  <c r="J393" i="1"/>
  <c r="I393" i="1"/>
  <c r="H393" i="1"/>
  <c r="G393" i="1"/>
  <c r="F393" i="1"/>
  <c r="E393" i="1"/>
  <c r="D393" i="1"/>
  <c r="C393" i="1"/>
  <c r="B393" i="1"/>
  <c r="A393" i="1"/>
  <c r="Z392" i="1"/>
  <c r="Y392" i="1"/>
  <c r="V392" i="1"/>
  <c r="U392" i="1"/>
  <c r="O392" i="1"/>
  <c r="N392" i="1"/>
  <c r="M392" i="1"/>
  <c r="L392" i="1"/>
  <c r="K392" i="1"/>
  <c r="J392" i="1"/>
  <c r="I392" i="1"/>
  <c r="H392" i="1"/>
  <c r="G392" i="1"/>
  <c r="F392" i="1"/>
  <c r="E392" i="1"/>
  <c r="D392" i="1"/>
  <c r="C392" i="1"/>
  <c r="B392" i="1"/>
  <c r="A392" i="1"/>
  <c r="Z391" i="1"/>
  <c r="Y391" i="1"/>
  <c r="V391" i="1"/>
  <c r="U391" i="1"/>
  <c r="O391" i="1"/>
  <c r="N391" i="1"/>
  <c r="M391" i="1"/>
  <c r="L391" i="1"/>
  <c r="K391" i="1"/>
  <c r="J391" i="1"/>
  <c r="I391" i="1"/>
  <c r="H391" i="1"/>
  <c r="G391" i="1"/>
  <c r="F391" i="1"/>
  <c r="E391" i="1"/>
  <c r="D391" i="1"/>
  <c r="C391" i="1"/>
  <c r="B391" i="1"/>
  <c r="A391" i="1"/>
  <c r="Z390" i="1"/>
  <c r="Y390" i="1"/>
  <c r="V390" i="1"/>
  <c r="U390" i="1"/>
  <c r="O390" i="1"/>
  <c r="M390" i="1"/>
  <c r="L390" i="1"/>
  <c r="K390" i="1"/>
  <c r="J390" i="1"/>
  <c r="I390" i="1"/>
  <c r="H390" i="1"/>
  <c r="G390" i="1"/>
  <c r="F390" i="1"/>
  <c r="E390" i="1"/>
  <c r="D390" i="1"/>
  <c r="C390" i="1"/>
  <c r="B390" i="1"/>
  <c r="A390" i="1"/>
  <c r="AB389" i="1"/>
  <c r="Z389" i="1"/>
  <c r="Y389" i="1"/>
  <c r="X389" i="1"/>
  <c r="W389" i="1"/>
  <c r="V389" i="1"/>
  <c r="U389" i="1"/>
  <c r="R389" i="1"/>
  <c r="P389" i="1"/>
  <c r="O389" i="1"/>
  <c r="N389" i="1"/>
  <c r="M389" i="1"/>
  <c r="L389" i="1"/>
  <c r="K389" i="1"/>
  <c r="J389" i="1"/>
  <c r="I389" i="1"/>
  <c r="H389" i="1"/>
  <c r="G389" i="1"/>
  <c r="F389" i="1"/>
  <c r="E389" i="1"/>
  <c r="D389" i="1"/>
  <c r="C389" i="1"/>
  <c r="B389" i="1"/>
  <c r="A389" i="1"/>
  <c r="AB388" i="1"/>
  <c r="Z388" i="1"/>
  <c r="Y388" i="1"/>
  <c r="X388" i="1"/>
  <c r="W388" i="1"/>
  <c r="V388" i="1"/>
  <c r="U388" i="1"/>
  <c r="R388" i="1"/>
  <c r="P388" i="1"/>
  <c r="O388" i="1"/>
  <c r="N388" i="1"/>
  <c r="M388" i="1"/>
  <c r="L388" i="1"/>
  <c r="K388" i="1"/>
  <c r="J388" i="1"/>
  <c r="I388" i="1"/>
  <c r="H388" i="1"/>
  <c r="G388" i="1"/>
  <c r="F388" i="1"/>
  <c r="E388" i="1"/>
  <c r="D388" i="1"/>
  <c r="C388" i="1"/>
  <c r="B388" i="1"/>
  <c r="A388" i="1"/>
  <c r="AB387" i="1"/>
  <c r="Z387" i="1"/>
  <c r="Y387" i="1"/>
  <c r="X387" i="1"/>
  <c r="W387" i="1"/>
  <c r="V387" i="1"/>
  <c r="U387" i="1"/>
  <c r="R387" i="1"/>
  <c r="P387" i="1"/>
  <c r="O387" i="1"/>
  <c r="N387" i="1"/>
  <c r="M387" i="1"/>
  <c r="L387" i="1"/>
  <c r="K387" i="1"/>
  <c r="J387" i="1"/>
  <c r="I387" i="1"/>
  <c r="H387" i="1"/>
  <c r="G387" i="1"/>
  <c r="F387" i="1"/>
  <c r="E387" i="1"/>
  <c r="D387" i="1"/>
  <c r="C387" i="1"/>
  <c r="B387" i="1"/>
  <c r="A387" i="1"/>
  <c r="AB386" i="1"/>
  <c r="Z386" i="1"/>
  <c r="Y386" i="1"/>
  <c r="X386" i="1"/>
  <c r="W386" i="1"/>
  <c r="V386" i="1"/>
  <c r="U386" i="1"/>
  <c r="R386" i="1"/>
  <c r="P386" i="1"/>
  <c r="O386" i="1"/>
  <c r="N386" i="1"/>
  <c r="M386" i="1"/>
  <c r="L386" i="1"/>
  <c r="K386" i="1"/>
  <c r="J386" i="1"/>
  <c r="I386" i="1"/>
  <c r="H386" i="1"/>
  <c r="G386" i="1"/>
  <c r="F386" i="1"/>
  <c r="E386" i="1"/>
  <c r="D386" i="1"/>
  <c r="C386" i="1"/>
  <c r="B386" i="1"/>
  <c r="A386" i="1"/>
  <c r="AB385" i="1"/>
  <c r="Z385" i="1"/>
  <c r="Y385" i="1"/>
  <c r="X385" i="1"/>
  <c r="W385" i="1"/>
  <c r="V385" i="1"/>
  <c r="U385" i="1"/>
  <c r="R385" i="1"/>
  <c r="P385" i="1"/>
  <c r="O385" i="1"/>
  <c r="N385" i="1"/>
  <c r="M385" i="1"/>
  <c r="L385" i="1"/>
  <c r="K385" i="1"/>
  <c r="J385" i="1"/>
  <c r="I385" i="1"/>
  <c r="H385" i="1"/>
  <c r="G385" i="1"/>
  <c r="F385" i="1"/>
  <c r="E385" i="1"/>
  <c r="D385" i="1"/>
  <c r="C385" i="1"/>
  <c r="B385" i="1"/>
  <c r="A385" i="1"/>
  <c r="X384" i="1"/>
  <c r="W384" i="1"/>
  <c r="V384" i="1"/>
  <c r="U384" i="1"/>
  <c r="S384" i="1"/>
  <c r="R384" i="1"/>
  <c r="P384" i="1"/>
  <c r="O384" i="1"/>
  <c r="N384" i="1"/>
  <c r="M384" i="1"/>
  <c r="L384" i="1"/>
  <c r="K384" i="1"/>
  <c r="J384" i="1"/>
  <c r="I384" i="1"/>
  <c r="H384" i="1"/>
  <c r="G384" i="1"/>
  <c r="F384" i="1"/>
  <c r="E384" i="1"/>
  <c r="D384" i="1"/>
  <c r="C384" i="1"/>
  <c r="B384" i="1"/>
  <c r="A384" i="1"/>
  <c r="Z383" i="1"/>
  <c r="Y383" i="1"/>
  <c r="V383" i="1"/>
  <c r="U383" i="1"/>
  <c r="S383" i="1"/>
  <c r="O383" i="1"/>
  <c r="N383" i="1"/>
  <c r="M383" i="1"/>
  <c r="L383" i="1"/>
  <c r="K383" i="1"/>
  <c r="J383" i="1"/>
  <c r="I383" i="1"/>
  <c r="H383" i="1"/>
  <c r="G383" i="1"/>
  <c r="F383" i="1"/>
  <c r="E383" i="1"/>
  <c r="D383" i="1"/>
  <c r="C383" i="1"/>
  <c r="B383" i="1"/>
  <c r="A383" i="1"/>
  <c r="Z382" i="1"/>
  <c r="Y382" i="1"/>
  <c r="V382" i="1"/>
  <c r="U382" i="1"/>
  <c r="O382" i="1"/>
  <c r="N382" i="1"/>
  <c r="M382" i="1"/>
  <c r="L382" i="1"/>
  <c r="K382" i="1"/>
  <c r="J382" i="1"/>
  <c r="I382" i="1"/>
  <c r="H382" i="1"/>
  <c r="G382" i="1"/>
  <c r="F382" i="1"/>
  <c r="E382" i="1"/>
  <c r="D382" i="1"/>
  <c r="C382" i="1"/>
  <c r="B382" i="1"/>
  <c r="A382" i="1"/>
  <c r="Z381" i="1"/>
  <c r="Y381" i="1"/>
  <c r="V381" i="1"/>
  <c r="U381" i="1"/>
  <c r="Q381" i="1"/>
  <c r="P381" i="1"/>
  <c r="O381" i="1"/>
  <c r="N381" i="1"/>
  <c r="M381" i="1"/>
  <c r="L381" i="1"/>
  <c r="K381" i="1"/>
  <c r="J381" i="1"/>
  <c r="I381" i="1"/>
  <c r="H381" i="1"/>
  <c r="G381" i="1"/>
  <c r="F381" i="1"/>
  <c r="E381" i="1"/>
  <c r="D381" i="1"/>
  <c r="C381" i="1"/>
  <c r="B381" i="1"/>
  <c r="A381" i="1"/>
  <c r="Z380" i="1"/>
  <c r="Y380" i="1"/>
  <c r="V380" i="1"/>
  <c r="U380" i="1"/>
  <c r="T380" i="1"/>
  <c r="S380" i="1"/>
  <c r="O380" i="1"/>
  <c r="N380" i="1"/>
  <c r="M380" i="1"/>
  <c r="L380" i="1"/>
  <c r="K380" i="1"/>
  <c r="J380" i="1"/>
  <c r="I380" i="1"/>
  <c r="H380" i="1"/>
  <c r="G380" i="1"/>
  <c r="F380" i="1"/>
  <c r="E380" i="1"/>
  <c r="D380" i="1"/>
  <c r="C380" i="1"/>
  <c r="B380" i="1"/>
  <c r="A380" i="1"/>
  <c r="Z379" i="1"/>
  <c r="Y379" i="1"/>
  <c r="V379" i="1"/>
  <c r="U379" i="1"/>
  <c r="S379" i="1"/>
  <c r="Q379" i="1"/>
  <c r="P379" i="1"/>
  <c r="O379" i="1"/>
  <c r="N379" i="1"/>
  <c r="M379" i="1"/>
  <c r="L379" i="1"/>
  <c r="K379" i="1"/>
  <c r="J379" i="1"/>
  <c r="I379" i="1"/>
  <c r="H379" i="1"/>
  <c r="G379" i="1"/>
  <c r="F379" i="1"/>
  <c r="E379" i="1"/>
  <c r="D379" i="1"/>
  <c r="C379" i="1"/>
  <c r="B379" i="1"/>
  <c r="A379" i="1"/>
  <c r="Z378" i="1"/>
  <c r="Y378" i="1"/>
  <c r="V378" i="1"/>
  <c r="U378" i="1"/>
  <c r="S378" i="1"/>
  <c r="O378" i="1"/>
  <c r="N378" i="1"/>
  <c r="M378" i="1"/>
  <c r="L378" i="1"/>
  <c r="K378" i="1"/>
  <c r="J378" i="1"/>
  <c r="I378" i="1"/>
  <c r="H378" i="1"/>
  <c r="G378" i="1"/>
  <c r="F378" i="1"/>
  <c r="E378" i="1"/>
  <c r="D378" i="1"/>
  <c r="C378" i="1"/>
  <c r="B378" i="1"/>
  <c r="A378" i="1"/>
  <c r="AC377" i="1"/>
  <c r="Z377" i="1"/>
  <c r="Y377" i="1"/>
  <c r="V377" i="1"/>
  <c r="U377" i="1"/>
  <c r="S377" i="1"/>
  <c r="O377" i="1"/>
  <c r="N377" i="1"/>
  <c r="M377" i="1"/>
  <c r="L377" i="1"/>
  <c r="K377" i="1"/>
  <c r="J377" i="1"/>
  <c r="I377" i="1"/>
  <c r="H377" i="1"/>
  <c r="G377" i="1"/>
  <c r="F377" i="1"/>
  <c r="E377" i="1"/>
  <c r="D377" i="1"/>
  <c r="C377" i="1"/>
  <c r="B377" i="1"/>
  <c r="A377" i="1"/>
  <c r="AC376" i="1"/>
  <c r="Z376" i="1"/>
  <c r="Y376" i="1"/>
  <c r="V376" i="1"/>
  <c r="U376" i="1"/>
  <c r="S376" i="1"/>
  <c r="O376" i="1"/>
  <c r="N376" i="1"/>
  <c r="M376" i="1"/>
  <c r="L376" i="1"/>
  <c r="K376" i="1"/>
  <c r="J376" i="1"/>
  <c r="I376" i="1"/>
  <c r="H376" i="1"/>
  <c r="G376" i="1"/>
  <c r="F376" i="1"/>
  <c r="E376" i="1"/>
  <c r="D376" i="1"/>
  <c r="C376" i="1"/>
  <c r="B376" i="1"/>
  <c r="A376" i="1"/>
  <c r="Z375" i="1"/>
  <c r="Y375" i="1"/>
  <c r="V375" i="1"/>
  <c r="U375" i="1"/>
  <c r="S375" i="1"/>
  <c r="O375" i="1"/>
  <c r="N375" i="1"/>
  <c r="M375" i="1"/>
  <c r="L375" i="1"/>
  <c r="K375" i="1"/>
  <c r="J375" i="1"/>
  <c r="I375" i="1"/>
  <c r="H375" i="1"/>
  <c r="G375" i="1"/>
  <c r="F375" i="1"/>
  <c r="E375" i="1"/>
  <c r="D375" i="1"/>
  <c r="C375" i="1"/>
  <c r="B375" i="1"/>
  <c r="A375" i="1"/>
  <c r="AC374" i="1"/>
  <c r="Z374" i="1"/>
  <c r="Y374" i="1"/>
  <c r="V374" i="1"/>
  <c r="U374" i="1"/>
  <c r="S374" i="1"/>
  <c r="O374" i="1"/>
  <c r="N374" i="1"/>
  <c r="M374" i="1"/>
  <c r="L374" i="1"/>
  <c r="K374" i="1"/>
  <c r="J374" i="1"/>
  <c r="I374" i="1"/>
  <c r="H374" i="1"/>
  <c r="G374" i="1"/>
  <c r="F374" i="1"/>
  <c r="E374" i="1"/>
  <c r="D374" i="1"/>
  <c r="C374" i="1"/>
  <c r="B374" i="1"/>
  <c r="A374" i="1"/>
  <c r="AC373" i="1"/>
  <c r="Z373" i="1"/>
  <c r="Y373" i="1"/>
  <c r="V373" i="1"/>
  <c r="U373" i="1"/>
  <c r="S373" i="1"/>
  <c r="Q373" i="1"/>
  <c r="P373" i="1"/>
  <c r="O373" i="1"/>
  <c r="N373" i="1"/>
  <c r="M373" i="1"/>
  <c r="L373" i="1"/>
  <c r="K373" i="1"/>
  <c r="J373" i="1"/>
  <c r="I373" i="1"/>
  <c r="H373" i="1"/>
  <c r="G373" i="1"/>
  <c r="F373" i="1"/>
  <c r="E373" i="1"/>
  <c r="D373" i="1"/>
  <c r="C373" i="1"/>
  <c r="B373" i="1"/>
  <c r="A373" i="1"/>
  <c r="Z372" i="1"/>
  <c r="Y372" i="1"/>
  <c r="V372" i="1"/>
  <c r="U372" i="1"/>
  <c r="S372" i="1"/>
  <c r="O372" i="1"/>
  <c r="N372" i="1"/>
  <c r="M372" i="1"/>
  <c r="L372" i="1"/>
  <c r="K372" i="1"/>
  <c r="J372" i="1"/>
  <c r="I372" i="1"/>
  <c r="H372" i="1"/>
  <c r="G372" i="1"/>
  <c r="F372" i="1"/>
  <c r="E372" i="1"/>
  <c r="D372" i="1"/>
  <c r="C372" i="1"/>
  <c r="B372" i="1"/>
  <c r="A372" i="1"/>
  <c r="X371" i="1"/>
  <c r="W371" i="1"/>
  <c r="V371" i="1"/>
  <c r="U371" i="1"/>
  <c r="S371" i="1"/>
  <c r="R371" i="1"/>
  <c r="P371" i="1"/>
  <c r="O371" i="1"/>
  <c r="N371" i="1"/>
  <c r="M371" i="1"/>
  <c r="L371" i="1"/>
  <c r="K371" i="1"/>
  <c r="J371" i="1"/>
  <c r="I371" i="1"/>
  <c r="H371" i="1"/>
  <c r="G371" i="1"/>
  <c r="F371" i="1"/>
  <c r="E371" i="1"/>
  <c r="D371" i="1"/>
  <c r="C371" i="1"/>
  <c r="B371" i="1"/>
  <c r="A371" i="1"/>
  <c r="Z370" i="1"/>
  <c r="Y370" i="1"/>
  <c r="V370" i="1"/>
  <c r="U370" i="1"/>
  <c r="S370" i="1"/>
  <c r="O370" i="1"/>
  <c r="N370" i="1"/>
  <c r="M370" i="1"/>
  <c r="L370" i="1"/>
  <c r="K370" i="1"/>
  <c r="J370" i="1"/>
  <c r="I370" i="1"/>
  <c r="H370" i="1"/>
  <c r="G370" i="1"/>
  <c r="F370" i="1"/>
  <c r="E370" i="1"/>
  <c r="D370" i="1"/>
  <c r="C370" i="1"/>
  <c r="B370" i="1"/>
  <c r="A370" i="1"/>
  <c r="Z369" i="1"/>
  <c r="Y369" i="1"/>
  <c r="V369" i="1"/>
  <c r="U369" i="1"/>
  <c r="S369" i="1"/>
  <c r="O369" i="1"/>
  <c r="N369" i="1"/>
  <c r="M369" i="1"/>
  <c r="L369" i="1"/>
  <c r="K369" i="1"/>
  <c r="J369" i="1"/>
  <c r="I369" i="1"/>
  <c r="H369" i="1"/>
  <c r="G369" i="1"/>
  <c r="F369" i="1"/>
  <c r="E369" i="1"/>
  <c r="D369" i="1"/>
  <c r="C369" i="1"/>
  <c r="B369" i="1"/>
  <c r="A369" i="1"/>
  <c r="Z368" i="1"/>
  <c r="Y368" i="1"/>
  <c r="V368" i="1"/>
  <c r="U368" i="1"/>
  <c r="Q368" i="1"/>
  <c r="P368" i="1"/>
  <c r="O368" i="1"/>
  <c r="N368" i="1"/>
  <c r="M368" i="1"/>
  <c r="L368" i="1"/>
  <c r="K368" i="1"/>
  <c r="J368" i="1"/>
  <c r="I368" i="1"/>
  <c r="H368" i="1"/>
  <c r="G368" i="1"/>
  <c r="F368" i="1"/>
  <c r="E368" i="1"/>
  <c r="D368" i="1"/>
  <c r="C368" i="1"/>
  <c r="B368" i="1"/>
  <c r="A368" i="1"/>
  <c r="Z367" i="1"/>
  <c r="Y367" i="1"/>
  <c r="V367" i="1"/>
  <c r="U367" i="1"/>
  <c r="O367" i="1"/>
  <c r="N367" i="1"/>
  <c r="M367" i="1"/>
  <c r="L367" i="1"/>
  <c r="K367" i="1"/>
  <c r="J367" i="1"/>
  <c r="I367" i="1"/>
  <c r="H367" i="1"/>
  <c r="G367" i="1"/>
  <c r="F367" i="1"/>
  <c r="E367" i="1"/>
  <c r="D367" i="1"/>
  <c r="C367" i="1"/>
  <c r="B367" i="1"/>
  <c r="A367" i="1"/>
  <c r="AC366" i="1"/>
  <c r="Z366" i="1"/>
  <c r="Y366" i="1"/>
  <c r="V366" i="1"/>
  <c r="U366" i="1"/>
  <c r="O366" i="1"/>
  <c r="N366" i="1"/>
  <c r="M366" i="1"/>
  <c r="L366" i="1"/>
  <c r="K366" i="1"/>
  <c r="J366" i="1"/>
  <c r="I366" i="1"/>
  <c r="H366" i="1"/>
  <c r="G366" i="1"/>
  <c r="F366" i="1"/>
  <c r="E366" i="1"/>
  <c r="D366" i="1"/>
  <c r="C366" i="1"/>
  <c r="B366" i="1"/>
  <c r="A366" i="1"/>
  <c r="Z365" i="1"/>
  <c r="Y365" i="1"/>
  <c r="V365" i="1"/>
  <c r="U365" i="1"/>
  <c r="O365" i="1"/>
  <c r="N365" i="1"/>
  <c r="M365" i="1"/>
  <c r="L365" i="1"/>
  <c r="K365" i="1"/>
  <c r="J365" i="1"/>
  <c r="I365" i="1"/>
  <c r="H365" i="1"/>
  <c r="G365" i="1"/>
  <c r="F365" i="1"/>
  <c r="E365" i="1"/>
  <c r="D365" i="1"/>
  <c r="C365" i="1"/>
  <c r="B365" i="1"/>
  <c r="A365" i="1"/>
  <c r="Z364" i="1"/>
  <c r="Y364" i="1"/>
  <c r="V364" i="1"/>
  <c r="U364" i="1"/>
  <c r="O364" i="1"/>
  <c r="N364" i="1"/>
  <c r="M364" i="1"/>
  <c r="L364" i="1"/>
  <c r="K364" i="1"/>
  <c r="J364" i="1"/>
  <c r="I364" i="1"/>
  <c r="H364" i="1"/>
  <c r="G364" i="1"/>
  <c r="F364" i="1"/>
  <c r="E364" i="1"/>
  <c r="D364" i="1"/>
  <c r="C364" i="1"/>
  <c r="B364" i="1"/>
  <c r="A364" i="1"/>
  <c r="Z363" i="1"/>
  <c r="Y363" i="1"/>
  <c r="V363" i="1"/>
  <c r="U363" i="1"/>
  <c r="O363" i="1"/>
  <c r="N363" i="1"/>
  <c r="M363" i="1"/>
  <c r="L363" i="1"/>
  <c r="K363" i="1"/>
  <c r="J363" i="1"/>
  <c r="I363" i="1"/>
  <c r="H363" i="1"/>
  <c r="G363" i="1"/>
  <c r="F363" i="1"/>
  <c r="E363" i="1"/>
  <c r="D363" i="1"/>
  <c r="C363" i="1"/>
  <c r="B363" i="1"/>
  <c r="A363" i="1"/>
  <c r="Z362" i="1"/>
  <c r="Y362" i="1"/>
  <c r="V362" i="1"/>
  <c r="U362" i="1"/>
  <c r="O362" i="1"/>
  <c r="N362" i="1"/>
  <c r="M362" i="1"/>
  <c r="L362" i="1"/>
  <c r="K362" i="1"/>
  <c r="J362" i="1"/>
  <c r="I362" i="1"/>
  <c r="H362" i="1"/>
  <c r="G362" i="1"/>
  <c r="F362" i="1"/>
  <c r="E362" i="1"/>
  <c r="D362" i="1"/>
  <c r="C362" i="1"/>
  <c r="B362" i="1"/>
  <c r="A362" i="1"/>
  <c r="Z361" i="1"/>
  <c r="Y361" i="1"/>
  <c r="V361" i="1"/>
  <c r="U361" i="1"/>
  <c r="O361" i="1"/>
  <c r="N361" i="1"/>
  <c r="M361" i="1"/>
  <c r="L361" i="1"/>
  <c r="K361" i="1"/>
  <c r="J361" i="1"/>
  <c r="I361" i="1"/>
  <c r="H361" i="1"/>
  <c r="G361" i="1"/>
  <c r="F361" i="1"/>
  <c r="E361" i="1"/>
  <c r="D361" i="1"/>
  <c r="C361" i="1"/>
  <c r="B361" i="1"/>
  <c r="A361" i="1"/>
  <c r="AC360" i="1"/>
  <c r="Z360" i="1"/>
  <c r="Y360" i="1"/>
  <c r="V360" i="1"/>
  <c r="U360" i="1"/>
  <c r="O360" i="1"/>
  <c r="N360" i="1"/>
  <c r="M360" i="1"/>
  <c r="L360" i="1"/>
  <c r="K360" i="1"/>
  <c r="J360" i="1"/>
  <c r="I360" i="1"/>
  <c r="H360" i="1"/>
  <c r="G360" i="1"/>
  <c r="F360" i="1"/>
  <c r="E360" i="1"/>
  <c r="D360" i="1"/>
  <c r="C360" i="1"/>
  <c r="B360" i="1"/>
  <c r="A360" i="1"/>
  <c r="Z359" i="1"/>
  <c r="Y359" i="1"/>
  <c r="V359" i="1"/>
  <c r="U359" i="1"/>
  <c r="T359" i="1"/>
  <c r="O359" i="1"/>
  <c r="N359" i="1"/>
  <c r="M359" i="1"/>
  <c r="L359" i="1"/>
  <c r="K359" i="1"/>
  <c r="J359" i="1"/>
  <c r="I359" i="1"/>
  <c r="H359" i="1"/>
  <c r="G359" i="1"/>
  <c r="F359" i="1"/>
  <c r="E359" i="1"/>
  <c r="D359" i="1"/>
  <c r="C359" i="1"/>
  <c r="B359" i="1"/>
  <c r="A359" i="1"/>
  <c r="V358" i="1"/>
  <c r="U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A358" i="1"/>
  <c r="AC357" i="1"/>
  <c r="Z357" i="1"/>
  <c r="Y357" i="1"/>
  <c r="V357" i="1"/>
  <c r="U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A357" i="1"/>
  <c r="Z356" i="1"/>
  <c r="Y356" i="1"/>
  <c r="V356" i="1"/>
  <c r="U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  <c r="A356" i="1"/>
  <c r="Z355" i="1"/>
  <c r="Y355" i="1"/>
  <c r="V355" i="1"/>
  <c r="U355" i="1"/>
  <c r="O355" i="1"/>
  <c r="N355" i="1"/>
  <c r="M355" i="1"/>
  <c r="L355" i="1"/>
  <c r="K355" i="1"/>
  <c r="J355" i="1"/>
  <c r="I355" i="1"/>
  <c r="H355" i="1"/>
  <c r="G355" i="1"/>
  <c r="F355" i="1"/>
  <c r="E355" i="1"/>
  <c r="D355" i="1"/>
  <c r="C355" i="1"/>
  <c r="B355" i="1"/>
  <c r="A355" i="1"/>
  <c r="AC354" i="1"/>
  <c r="Z354" i="1"/>
  <c r="Y354" i="1"/>
  <c r="V354" i="1"/>
  <c r="U354" i="1"/>
  <c r="S354" i="1"/>
  <c r="O354" i="1"/>
  <c r="N354" i="1"/>
  <c r="M354" i="1"/>
  <c r="L354" i="1"/>
  <c r="K354" i="1"/>
  <c r="J354" i="1"/>
  <c r="I354" i="1"/>
  <c r="H354" i="1"/>
  <c r="G354" i="1"/>
  <c r="F354" i="1"/>
  <c r="E354" i="1"/>
  <c r="D354" i="1"/>
  <c r="C354" i="1"/>
  <c r="B354" i="1"/>
  <c r="A354" i="1"/>
  <c r="AC353" i="1"/>
  <c r="X353" i="1"/>
  <c r="W353" i="1"/>
  <c r="V353" i="1"/>
  <c r="U353" i="1"/>
  <c r="S353" i="1"/>
  <c r="R353" i="1"/>
  <c r="P353" i="1"/>
  <c r="O353" i="1"/>
  <c r="N353" i="1"/>
  <c r="M353" i="1"/>
  <c r="L353" i="1"/>
  <c r="K353" i="1"/>
  <c r="J353" i="1"/>
  <c r="I353" i="1"/>
  <c r="H353" i="1"/>
  <c r="G353" i="1"/>
  <c r="F353" i="1"/>
  <c r="E353" i="1"/>
  <c r="D353" i="1"/>
  <c r="C353" i="1"/>
  <c r="B353" i="1"/>
  <c r="A353" i="1"/>
  <c r="AC352" i="1"/>
  <c r="Z352" i="1"/>
  <c r="Y352" i="1"/>
  <c r="V352" i="1"/>
  <c r="U352" i="1"/>
  <c r="S352" i="1"/>
  <c r="Q352" i="1"/>
  <c r="P352" i="1"/>
  <c r="O352" i="1"/>
  <c r="N352" i="1"/>
  <c r="M352" i="1"/>
  <c r="L352" i="1"/>
  <c r="K352" i="1"/>
  <c r="J352" i="1"/>
  <c r="I352" i="1"/>
  <c r="H352" i="1"/>
  <c r="G352" i="1"/>
  <c r="F352" i="1"/>
  <c r="E352" i="1"/>
  <c r="D352" i="1"/>
  <c r="C352" i="1"/>
  <c r="B352" i="1"/>
  <c r="A352" i="1"/>
  <c r="AC351" i="1"/>
  <c r="Z351" i="1"/>
  <c r="Y351" i="1"/>
  <c r="V351" i="1"/>
  <c r="U351" i="1"/>
  <c r="S351" i="1"/>
  <c r="P351" i="1"/>
  <c r="O351" i="1"/>
  <c r="N351" i="1"/>
  <c r="M351" i="1"/>
  <c r="L351" i="1"/>
  <c r="K351" i="1"/>
  <c r="J351" i="1"/>
  <c r="I351" i="1"/>
  <c r="H351" i="1"/>
  <c r="G351" i="1"/>
  <c r="F351" i="1"/>
  <c r="E351" i="1"/>
  <c r="D351" i="1"/>
  <c r="C351" i="1"/>
  <c r="B351" i="1"/>
  <c r="A351" i="1"/>
  <c r="AC350" i="1"/>
  <c r="Z350" i="1"/>
  <c r="Y350" i="1"/>
  <c r="V350" i="1"/>
  <c r="U350" i="1"/>
  <c r="S350" i="1"/>
  <c r="P350" i="1"/>
  <c r="O350" i="1"/>
  <c r="N350" i="1"/>
  <c r="M350" i="1"/>
  <c r="L350" i="1"/>
  <c r="K350" i="1"/>
  <c r="J350" i="1"/>
  <c r="I350" i="1"/>
  <c r="H350" i="1"/>
  <c r="G350" i="1"/>
  <c r="F350" i="1"/>
  <c r="E350" i="1"/>
  <c r="D350" i="1"/>
  <c r="C350" i="1"/>
  <c r="B350" i="1"/>
  <c r="A350" i="1"/>
  <c r="AC349" i="1"/>
  <c r="Z349" i="1"/>
  <c r="Y349" i="1"/>
  <c r="V349" i="1"/>
  <c r="U349" i="1"/>
  <c r="S349" i="1"/>
  <c r="P349" i="1"/>
  <c r="O349" i="1"/>
  <c r="N349" i="1"/>
  <c r="M349" i="1"/>
  <c r="L349" i="1"/>
  <c r="K349" i="1"/>
  <c r="J349" i="1"/>
  <c r="I349" i="1"/>
  <c r="H349" i="1"/>
  <c r="G349" i="1"/>
  <c r="F349" i="1"/>
  <c r="E349" i="1"/>
  <c r="D349" i="1"/>
  <c r="C349" i="1"/>
  <c r="B349" i="1"/>
  <c r="A349" i="1"/>
  <c r="AC348" i="1"/>
  <c r="Z348" i="1"/>
  <c r="Y348" i="1"/>
  <c r="V348" i="1"/>
  <c r="U348" i="1"/>
  <c r="S348" i="1"/>
  <c r="O348" i="1"/>
  <c r="N348" i="1"/>
  <c r="M348" i="1"/>
  <c r="L348" i="1"/>
  <c r="K348" i="1"/>
  <c r="J348" i="1"/>
  <c r="I348" i="1"/>
  <c r="H348" i="1"/>
  <c r="G348" i="1"/>
  <c r="F348" i="1"/>
  <c r="E348" i="1"/>
  <c r="D348" i="1"/>
  <c r="C348" i="1"/>
  <c r="B348" i="1"/>
  <c r="A348" i="1"/>
  <c r="Z347" i="1"/>
  <c r="Y347" i="1"/>
  <c r="V347" i="1"/>
  <c r="U347" i="1"/>
  <c r="S347" i="1"/>
  <c r="O347" i="1"/>
  <c r="N347" i="1"/>
  <c r="M347" i="1"/>
  <c r="L347" i="1"/>
  <c r="K347" i="1"/>
  <c r="J347" i="1"/>
  <c r="I347" i="1"/>
  <c r="H347" i="1"/>
  <c r="G347" i="1"/>
  <c r="F347" i="1"/>
  <c r="E347" i="1"/>
  <c r="D347" i="1"/>
  <c r="C347" i="1"/>
  <c r="B347" i="1"/>
  <c r="A347" i="1"/>
  <c r="Z346" i="1"/>
  <c r="Y346" i="1"/>
  <c r="V346" i="1"/>
  <c r="U346" i="1"/>
  <c r="S346" i="1"/>
  <c r="O346" i="1"/>
  <c r="N346" i="1"/>
  <c r="M346" i="1"/>
  <c r="L346" i="1"/>
  <c r="K346" i="1"/>
  <c r="J346" i="1"/>
  <c r="I346" i="1"/>
  <c r="H346" i="1"/>
  <c r="G346" i="1"/>
  <c r="F346" i="1"/>
  <c r="E346" i="1"/>
  <c r="D346" i="1"/>
  <c r="C346" i="1"/>
  <c r="B346" i="1"/>
  <c r="A346" i="1"/>
  <c r="Z345" i="1"/>
  <c r="Y345" i="1"/>
  <c r="V345" i="1"/>
  <c r="U345" i="1"/>
  <c r="S345" i="1"/>
  <c r="O345" i="1"/>
  <c r="N345" i="1"/>
  <c r="M345" i="1"/>
  <c r="L345" i="1"/>
  <c r="K345" i="1"/>
  <c r="J345" i="1"/>
  <c r="I345" i="1"/>
  <c r="H345" i="1"/>
  <c r="G345" i="1"/>
  <c r="F345" i="1"/>
  <c r="E345" i="1"/>
  <c r="D345" i="1"/>
  <c r="C345" i="1"/>
  <c r="B345" i="1"/>
  <c r="A345" i="1"/>
  <c r="Z344" i="1"/>
  <c r="Y344" i="1"/>
  <c r="V344" i="1"/>
  <c r="U344" i="1"/>
  <c r="S344" i="1"/>
  <c r="O344" i="1"/>
  <c r="N344" i="1"/>
  <c r="M344" i="1"/>
  <c r="L344" i="1"/>
  <c r="K344" i="1"/>
  <c r="J344" i="1"/>
  <c r="I344" i="1"/>
  <c r="H344" i="1"/>
  <c r="G344" i="1"/>
  <c r="F344" i="1"/>
  <c r="E344" i="1"/>
  <c r="D344" i="1"/>
  <c r="C344" i="1"/>
  <c r="B344" i="1"/>
  <c r="A344" i="1"/>
  <c r="X343" i="1"/>
  <c r="W343" i="1"/>
  <c r="V343" i="1"/>
  <c r="U343" i="1"/>
  <c r="R343" i="1"/>
  <c r="O343" i="1"/>
  <c r="N343" i="1"/>
  <c r="M343" i="1"/>
  <c r="L343" i="1"/>
  <c r="K343" i="1"/>
  <c r="J343" i="1"/>
  <c r="I343" i="1"/>
  <c r="H343" i="1"/>
  <c r="G343" i="1"/>
  <c r="F343" i="1"/>
  <c r="E343" i="1"/>
  <c r="D343" i="1"/>
  <c r="C343" i="1"/>
  <c r="B343" i="1"/>
  <c r="A343" i="1"/>
  <c r="Z342" i="1"/>
  <c r="Y342" i="1"/>
  <c r="V342" i="1"/>
  <c r="U342" i="1"/>
  <c r="O342" i="1"/>
  <c r="N342" i="1"/>
  <c r="M342" i="1"/>
  <c r="L342" i="1"/>
  <c r="K342" i="1"/>
  <c r="J342" i="1"/>
  <c r="I342" i="1"/>
  <c r="H342" i="1"/>
  <c r="G342" i="1"/>
  <c r="F342" i="1"/>
  <c r="E342" i="1"/>
  <c r="D342" i="1"/>
  <c r="C342" i="1"/>
  <c r="B342" i="1"/>
  <c r="A342" i="1"/>
  <c r="AC341" i="1"/>
  <c r="Z341" i="1"/>
  <c r="Y341" i="1"/>
  <c r="V341" i="1"/>
  <c r="U341" i="1"/>
  <c r="P341" i="1"/>
  <c r="O341" i="1"/>
  <c r="N341" i="1"/>
  <c r="M341" i="1"/>
  <c r="L341" i="1"/>
  <c r="K341" i="1"/>
  <c r="J341" i="1"/>
  <c r="I341" i="1"/>
  <c r="H341" i="1"/>
  <c r="G341" i="1"/>
  <c r="F341" i="1"/>
  <c r="E341" i="1"/>
  <c r="D341" i="1"/>
  <c r="C341" i="1"/>
  <c r="B341" i="1"/>
  <c r="A341" i="1"/>
  <c r="Z340" i="1"/>
  <c r="Y340" i="1"/>
  <c r="V340" i="1"/>
  <c r="U340" i="1"/>
  <c r="O340" i="1"/>
  <c r="N340" i="1"/>
  <c r="M340" i="1"/>
  <c r="L340" i="1"/>
  <c r="K340" i="1"/>
  <c r="J340" i="1"/>
  <c r="I340" i="1"/>
  <c r="H340" i="1"/>
  <c r="G340" i="1"/>
  <c r="F340" i="1"/>
  <c r="E340" i="1"/>
  <c r="D340" i="1"/>
  <c r="C340" i="1"/>
  <c r="B340" i="1"/>
  <c r="A340" i="1"/>
  <c r="Z339" i="1"/>
  <c r="Y339" i="1"/>
  <c r="V339" i="1"/>
  <c r="U339" i="1"/>
  <c r="O339" i="1"/>
  <c r="N339" i="1"/>
  <c r="M339" i="1"/>
  <c r="L339" i="1"/>
  <c r="K339" i="1"/>
  <c r="J339" i="1"/>
  <c r="I339" i="1"/>
  <c r="H339" i="1"/>
  <c r="G339" i="1"/>
  <c r="F339" i="1"/>
  <c r="E339" i="1"/>
  <c r="D339" i="1"/>
  <c r="C339" i="1"/>
  <c r="B339" i="1"/>
  <c r="A339" i="1"/>
  <c r="X338" i="1"/>
  <c r="W338" i="1"/>
  <c r="V338" i="1"/>
  <c r="U338" i="1"/>
  <c r="R338" i="1"/>
  <c r="P338" i="1"/>
  <c r="O338" i="1"/>
  <c r="N338" i="1"/>
  <c r="M338" i="1"/>
  <c r="L338" i="1"/>
  <c r="K338" i="1"/>
  <c r="J338" i="1"/>
  <c r="I338" i="1"/>
  <c r="H338" i="1"/>
  <c r="G338" i="1"/>
  <c r="F338" i="1"/>
  <c r="E338" i="1"/>
  <c r="D338" i="1"/>
  <c r="C338" i="1"/>
  <c r="B338" i="1"/>
  <c r="A338" i="1"/>
  <c r="Z337" i="1"/>
  <c r="Y337" i="1"/>
  <c r="V337" i="1"/>
  <c r="U337" i="1"/>
  <c r="O337" i="1"/>
  <c r="N337" i="1"/>
  <c r="M337" i="1"/>
  <c r="L337" i="1"/>
  <c r="K337" i="1"/>
  <c r="J337" i="1"/>
  <c r="I337" i="1"/>
  <c r="H337" i="1"/>
  <c r="G337" i="1"/>
  <c r="F337" i="1"/>
  <c r="E337" i="1"/>
  <c r="D337" i="1"/>
  <c r="C337" i="1"/>
  <c r="B337" i="1"/>
  <c r="A337" i="1"/>
  <c r="Z336" i="1"/>
  <c r="Y336" i="1"/>
  <c r="V336" i="1"/>
  <c r="U336" i="1"/>
  <c r="O336" i="1"/>
  <c r="N336" i="1"/>
  <c r="M336" i="1"/>
  <c r="L336" i="1"/>
  <c r="K336" i="1"/>
  <c r="J336" i="1"/>
  <c r="I336" i="1"/>
  <c r="H336" i="1"/>
  <c r="G336" i="1"/>
  <c r="F336" i="1"/>
  <c r="E336" i="1"/>
  <c r="D336" i="1"/>
  <c r="C336" i="1"/>
  <c r="B336" i="1"/>
  <c r="A336" i="1"/>
  <c r="Z335" i="1"/>
  <c r="Y335" i="1"/>
  <c r="V335" i="1"/>
  <c r="U335" i="1"/>
  <c r="O335" i="1"/>
  <c r="N335" i="1"/>
  <c r="M335" i="1"/>
  <c r="L335" i="1"/>
  <c r="K335" i="1"/>
  <c r="J335" i="1"/>
  <c r="I335" i="1"/>
  <c r="H335" i="1"/>
  <c r="G335" i="1"/>
  <c r="F335" i="1"/>
  <c r="E335" i="1"/>
  <c r="D335" i="1"/>
  <c r="C335" i="1"/>
  <c r="B335" i="1"/>
  <c r="A335" i="1"/>
  <c r="Z334" i="1"/>
  <c r="Y334" i="1"/>
  <c r="V334" i="1"/>
  <c r="U334" i="1"/>
  <c r="O334" i="1"/>
  <c r="N334" i="1"/>
  <c r="M334" i="1"/>
  <c r="L334" i="1"/>
  <c r="K334" i="1"/>
  <c r="J334" i="1"/>
  <c r="I334" i="1"/>
  <c r="H334" i="1"/>
  <c r="G334" i="1"/>
  <c r="F334" i="1"/>
  <c r="E334" i="1"/>
  <c r="D334" i="1"/>
  <c r="C334" i="1"/>
  <c r="B334" i="1"/>
  <c r="A334" i="1"/>
  <c r="Z333" i="1"/>
  <c r="Y333" i="1"/>
  <c r="V333" i="1"/>
  <c r="U333" i="1"/>
  <c r="O333" i="1"/>
  <c r="N333" i="1"/>
  <c r="M333" i="1"/>
  <c r="L333" i="1"/>
  <c r="K333" i="1"/>
  <c r="J333" i="1"/>
  <c r="I333" i="1"/>
  <c r="H333" i="1"/>
  <c r="G333" i="1"/>
  <c r="F333" i="1"/>
  <c r="E333" i="1"/>
  <c r="D333" i="1"/>
  <c r="C333" i="1"/>
  <c r="B333" i="1"/>
  <c r="A333" i="1"/>
  <c r="Z332" i="1"/>
  <c r="Y332" i="1"/>
  <c r="V332" i="1"/>
  <c r="U332" i="1"/>
  <c r="O332" i="1"/>
  <c r="N332" i="1"/>
  <c r="M332" i="1"/>
  <c r="L332" i="1"/>
  <c r="K332" i="1"/>
  <c r="J332" i="1"/>
  <c r="I332" i="1"/>
  <c r="H332" i="1"/>
  <c r="G332" i="1"/>
  <c r="F332" i="1"/>
  <c r="E332" i="1"/>
  <c r="D332" i="1"/>
  <c r="C332" i="1"/>
  <c r="B332" i="1"/>
  <c r="A332" i="1"/>
  <c r="Z331" i="1"/>
  <c r="Y331" i="1"/>
  <c r="V331" i="1"/>
  <c r="U331" i="1"/>
  <c r="S331" i="1"/>
  <c r="O331" i="1"/>
  <c r="N331" i="1"/>
  <c r="M331" i="1"/>
  <c r="L331" i="1"/>
  <c r="K331" i="1"/>
  <c r="J331" i="1"/>
  <c r="I331" i="1"/>
  <c r="H331" i="1"/>
  <c r="G331" i="1"/>
  <c r="F331" i="1"/>
  <c r="E331" i="1"/>
  <c r="D331" i="1"/>
  <c r="C331" i="1"/>
  <c r="B331" i="1"/>
  <c r="A331" i="1"/>
  <c r="X330" i="1"/>
  <c r="W330" i="1"/>
  <c r="V330" i="1"/>
  <c r="U330" i="1"/>
  <c r="S330" i="1"/>
  <c r="R330" i="1"/>
  <c r="P330" i="1"/>
  <c r="O330" i="1"/>
  <c r="N330" i="1"/>
  <c r="M330" i="1"/>
  <c r="L330" i="1"/>
  <c r="K330" i="1"/>
  <c r="J330" i="1"/>
  <c r="I330" i="1"/>
  <c r="H330" i="1"/>
  <c r="G330" i="1"/>
  <c r="F330" i="1"/>
  <c r="E330" i="1"/>
  <c r="D330" i="1"/>
  <c r="C330" i="1"/>
  <c r="B330" i="1"/>
  <c r="A330" i="1"/>
  <c r="AC329" i="1"/>
  <c r="Z329" i="1"/>
  <c r="Y329" i="1"/>
  <c r="V329" i="1"/>
  <c r="U329" i="1"/>
  <c r="S329" i="1"/>
  <c r="O329" i="1"/>
  <c r="N329" i="1"/>
  <c r="M329" i="1"/>
  <c r="L329" i="1"/>
  <c r="K329" i="1"/>
  <c r="J329" i="1"/>
  <c r="I329" i="1"/>
  <c r="H329" i="1"/>
  <c r="G329" i="1"/>
  <c r="F329" i="1"/>
  <c r="E329" i="1"/>
  <c r="D329" i="1"/>
  <c r="C329" i="1"/>
  <c r="B329" i="1"/>
  <c r="A329" i="1"/>
  <c r="Z328" i="1"/>
  <c r="Y328" i="1"/>
  <c r="X328" i="1"/>
  <c r="W328" i="1"/>
  <c r="V328" i="1"/>
  <c r="U328" i="1"/>
  <c r="S328" i="1"/>
  <c r="R328" i="1"/>
  <c r="Q328" i="1"/>
  <c r="P328" i="1"/>
  <c r="O328" i="1"/>
  <c r="N328" i="1"/>
  <c r="M328" i="1"/>
  <c r="L328" i="1"/>
  <c r="K328" i="1"/>
  <c r="J328" i="1"/>
  <c r="I328" i="1"/>
  <c r="H328" i="1"/>
  <c r="G328" i="1"/>
  <c r="F328" i="1"/>
  <c r="E328" i="1"/>
  <c r="D328" i="1"/>
  <c r="C328" i="1"/>
  <c r="B328" i="1"/>
  <c r="A328" i="1"/>
  <c r="Z327" i="1"/>
  <c r="Y327" i="1"/>
  <c r="X327" i="1"/>
  <c r="W327" i="1"/>
  <c r="V327" i="1"/>
  <c r="U327" i="1"/>
  <c r="S327" i="1"/>
  <c r="R327" i="1"/>
  <c r="Q327" i="1"/>
  <c r="P327" i="1"/>
  <c r="O327" i="1"/>
  <c r="N327" i="1"/>
  <c r="M327" i="1"/>
  <c r="L327" i="1"/>
  <c r="K327" i="1"/>
  <c r="J327" i="1"/>
  <c r="I327" i="1"/>
  <c r="H327" i="1"/>
  <c r="G327" i="1"/>
  <c r="F327" i="1"/>
  <c r="E327" i="1"/>
  <c r="D327" i="1"/>
  <c r="C327" i="1"/>
  <c r="B327" i="1"/>
  <c r="A327" i="1"/>
  <c r="Z326" i="1"/>
  <c r="Y326" i="1"/>
  <c r="X326" i="1"/>
  <c r="W326" i="1"/>
  <c r="V326" i="1"/>
  <c r="U326" i="1"/>
  <c r="S326" i="1"/>
  <c r="R326" i="1"/>
  <c r="Q326" i="1"/>
  <c r="P326" i="1"/>
  <c r="O326" i="1"/>
  <c r="N326" i="1"/>
  <c r="M326" i="1"/>
  <c r="L326" i="1"/>
  <c r="K326" i="1"/>
  <c r="J326" i="1"/>
  <c r="I326" i="1"/>
  <c r="H326" i="1"/>
  <c r="G326" i="1"/>
  <c r="F326" i="1"/>
  <c r="E326" i="1"/>
  <c r="D326" i="1"/>
  <c r="C326" i="1"/>
  <c r="B326" i="1"/>
  <c r="A326" i="1"/>
  <c r="Z325" i="1"/>
  <c r="Y325" i="1"/>
  <c r="X325" i="1"/>
  <c r="W325" i="1"/>
  <c r="V325" i="1"/>
  <c r="U325" i="1"/>
  <c r="S325" i="1"/>
  <c r="R325" i="1"/>
  <c r="Q325" i="1"/>
  <c r="P325" i="1"/>
  <c r="O325" i="1"/>
  <c r="N325" i="1"/>
  <c r="M325" i="1"/>
  <c r="L325" i="1"/>
  <c r="K325" i="1"/>
  <c r="J325" i="1"/>
  <c r="I325" i="1"/>
  <c r="H325" i="1"/>
  <c r="G325" i="1"/>
  <c r="F325" i="1"/>
  <c r="E325" i="1"/>
  <c r="D325" i="1"/>
  <c r="C325" i="1"/>
  <c r="B325" i="1"/>
  <c r="A325" i="1"/>
  <c r="Z324" i="1"/>
  <c r="Y324" i="1"/>
  <c r="X324" i="1"/>
  <c r="W324" i="1"/>
  <c r="V324" i="1"/>
  <c r="U324" i="1"/>
  <c r="S324" i="1"/>
  <c r="R324" i="1"/>
  <c r="Q324" i="1"/>
  <c r="P324" i="1"/>
  <c r="O324" i="1"/>
  <c r="N324" i="1"/>
  <c r="M324" i="1"/>
  <c r="L324" i="1"/>
  <c r="K324" i="1"/>
  <c r="J324" i="1"/>
  <c r="I324" i="1"/>
  <c r="H324" i="1"/>
  <c r="G324" i="1"/>
  <c r="F324" i="1"/>
  <c r="E324" i="1"/>
  <c r="D324" i="1"/>
  <c r="C324" i="1"/>
  <c r="B324" i="1"/>
  <c r="A324" i="1"/>
  <c r="AC323" i="1"/>
  <c r="Z323" i="1"/>
  <c r="Y323" i="1"/>
  <c r="V323" i="1"/>
  <c r="U323" i="1"/>
  <c r="S323" i="1"/>
  <c r="Q323" i="1"/>
  <c r="P323" i="1"/>
  <c r="O323" i="1"/>
  <c r="N323" i="1"/>
  <c r="M323" i="1"/>
  <c r="L323" i="1"/>
  <c r="K323" i="1"/>
  <c r="J323" i="1"/>
  <c r="I323" i="1"/>
  <c r="H323" i="1"/>
  <c r="G323" i="1"/>
  <c r="F323" i="1"/>
  <c r="E323" i="1"/>
  <c r="D323" i="1"/>
  <c r="C323" i="1"/>
  <c r="B323" i="1"/>
  <c r="A323" i="1"/>
  <c r="AC322" i="1"/>
  <c r="Z322" i="1"/>
  <c r="Y322" i="1"/>
  <c r="V322" i="1"/>
  <c r="U322" i="1"/>
  <c r="S322" i="1"/>
  <c r="Q322" i="1"/>
  <c r="P322" i="1"/>
  <c r="O322" i="1"/>
  <c r="N322" i="1"/>
  <c r="M322" i="1"/>
  <c r="L322" i="1"/>
  <c r="K322" i="1"/>
  <c r="J322" i="1"/>
  <c r="I322" i="1"/>
  <c r="H322" i="1"/>
  <c r="G322" i="1"/>
  <c r="F322" i="1"/>
  <c r="E322" i="1"/>
  <c r="D322" i="1"/>
  <c r="C322" i="1"/>
  <c r="B322" i="1"/>
  <c r="A322" i="1"/>
  <c r="AC321" i="1"/>
  <c r="V321" i="1"/>
  <c r="U321" i="1"/>
  <c r="S321" i="1"/>
  <c r="O321" i="1"/>
  <c r="N321" i="1"/>
  <c r="M321" i="1"/>
  <c r="L321" i="1"/>
  <c r="K321" i="1"/>
  <c r="J321" i="1"/>
  <c r="I321" i="1"/>
  <c r="H321" i="1"/>
  <c r="G321" i="1"/>
  <c r="F321" i="1"/>
  <c r="E321" i="1"/>
  <c r="D321" i="1"/>
  <c r="C321" i="1"/>
  <c r="B321" i="1"/>
  <c r="A321" i="1"/>
  <c r="AC320" i="1"/>
  <c r="Z320" i="1"/>
  <c r="Y320" i="1"/>
  <c r="V320" i="1"/>
  <c r="U320" i="1"/>
  <c r="S320" i="1"/>
  <c r="Q320" i="1"/>
  <c r="O320" i="1"/>
  <c r="N320" i="1"/>
  <c r="M320" i="1"/>
  <c r="L320" i="1"/>
  <c r="K320" i="1"/>
  <c r="J320" i="1"/>
  <c r="I320" i="1"/>
  <c r="H320" i="1"/>
  <c r="G320" i="1"/>
  <c r="F320" i="1"/>
  <c r="E320" i="1"/>
  <c r="D320" i="1"/>
  <c r="C320" i="1"/>
  <c r="B320" i="1"/>
  <c r="A320" i="1"/>
  <c r="V319" i="1"/>
  <c r="U319" i="1"/>
  <c r="S319" i="1"/>
  <c r="O319" i="1"/>
  <c r="N319" i="1"/>
  <c r="M319" i="1"/>
  <c r="L319" i="1"/>
  <c r="K319" i="1"/>
  <c r="J319" i="1"/>
  <c r="I319" i="1"/>
  <c r="H319" i="1"/>
  <c r="G319" i="1"/>
  <c r="F319" i="1"/>
  <c r="E319" i="1"/>
  <c r="D319" i="1"/>
  <c r="C319" i="1"/>
  <c r="B319" i="1"/>
  <c r="A319" i="1"/>
  <c r="Z318" i="1"/>
  <c r="Y318" i="1"/>
  <c r="V318" i="1"/>
  <c r="U318" i="1"/>
  <c r="S318" i="1"/>
  <c r="O318" i="1"/>
  <c r="N318" i="1"/>
  <c r="M318" i="1"/>
  <c r="L318" i="1"/>
  <c r="K318" i="1"/>
  <c r="J318" i="1"/>
  <c r="I318" i="1"/>
  <c r="H318" i="1"/>
  <c r="G318" i="1"/>
  <c r="F318" i="1"/>
  <c r="E318" i="1"/>
  <c r="D318" i="1"/>
  <c r="C318" i="1"/>
  <c r="B318" i="1"/>
  <c r="A318" i="1"/>
  <c r="Z317" i="1"/>
  <c r="Y317" i="1"/>
  <c r="V317" i="1"/>
  <c r="U317" i="1"/>
  <c r="S317" i="1"/>
  <c r="O317" i="1"/>
  <c r="N317" i="1"/>
  <c r="M317" i="1"/>
  <c r="L317" i="1"/>
  <c r="K317" i="1"/>
  <c r="J317" i="1"/>
  <c r="I317" i="1"/>
  <c r="H317" i="1"/>
  <c r="G317" i="1"/>
  <c r="F317" i="1"/>
  <c r="E317" i="1"/>
  <c r="D317" i="1"/>
  <c r="C317" i="1"/>
  <c r="B317" i="1"/>
  <c r="A317" i="1"/>
  <c r="AC316" i="1"/>
  <c r="Z316" i="1"/>
  <c r="Y316" i="1"/>
  <c r="V316" i="1"/>
  <c r="U316" i="1"/>
  <c r="T316" i="1"/>
  <c r="S316" i="1"/>
  <c r="O316" i="1"/>
  <c r="N316" i="1"/>
  <c r="M316" i="1"/>
  <c r="L316" i="1"/>
  <c r="K316" i="1"/>
  <c r="J316" i="1"/>
  <c r="I316" i="1"/>
  <c r="H316" i="1"/>
  <c r="G316" i="1"/>
  <c r="F316" i="1"/>
  <c r="E316" i="1"/>
  <c r="D316" i="1"/>
  <c r="C316" i="1"/>
  <c r="B316" i="1"/>
  <c r="A316" i="1"/>
  <c r="Z315" i="1"/>
  <c r="Y315" i="1"/>
  <c r="X315" i="1"/>
  <c r="W315" i="1"/>
  <c r="V315" i="1"/>
  <c r="U315" i="1"/>
  <c r="S315" i="1"/>
  <c r="R315" i="1"/>
  <c r="P315" i="1"/>
  <c r="O315" i="1"/>
  <c r="N315" i="1"/>
  <c r="M315" i="1"/>
  <c r="L315" i="1"/>
  <c r="K315" i="1"/>
  <c r="J315" i="1"/>
  <c r="I315" i="1"/>
  <c r="H315" i="1"/>
  <c r="G315" i="1"/>
  <c r="F315" i="1"/>
  <c r="E315" i="1"/>
  <c r="D315" i="1"/>
  <c r="C315" i="1"/>
  <c r="B315" i="1"/>
  <c r="A315" i="1"/>
  <c r="Z314" i="1"/>
  <c r="Y314" i="1"/>
  <c r="V314" i="1"/>
  <c r="U314" i="1"/>
  <c r="S314" i="1"/>
  <c r="O314" i="1"/>
  <c r="N314" i="1"/>
  <c r="M314" i="1"/>
  <c r="L314" i="1"/>
  <c r="K314" i="1"/>
  <c r="J314" i="1"/>
  <c r="I314" i="1"/>
  <c r="H314" i="1"/>
  <c r="G314" i="1"/>
  <c r="F314" i="1"/>
  <c r="E314" i="1"/>
  <c r="D314" i="1"/>
  <c r="C314" i="1"/>
  <c r="B314" i="1"/>
  <c r="A314" i="1"/>
  <c r="Z313" i="1"/>
  <c r="Y313" i="1"/>
  <c r="V313" i="1"/>
  <c r="U313" i="1"/>
  <c r="S313" i="1"/>
  <c r="O313" i="1"/>
  <c r="N313" i="1"/>
  <c r="M313" i="1"/>
  <c r="L313" i="1"/>
  <c r="K313" i="1"/>
  <c r="J313" i="1"/>
  <c r="I313" i="1"/>
  <c r="H313" i="1"/>
  <c r="G313" i="1"/>
  <c r="F313" i="1"/>
  <c r="E313" i="1"/>
  <c r="D313" i="1"/>
  <c r="C313" i="1"/>
  <c r="B313" i="1"/>
  <c r="A313" i="1"/>
  <c r="AC312" i="1"/>
  <c r="Z312" i="1"/>
  <c r="Y312" i="1"/>
  <c r="V312" i="1"/>
  <c r="U312" i="1"/>
  <c r="S312" i="1"/>
  <c r="O312" i="1"/>
  <c r="N312" i="1"/>
  <c r="M312" i="1"/>
  <c r="L312" i="1"/>
  <c r="K312" i="1"/>
  <c r="J312" i="1"/>
  <c r="I312" i="1"/>
  <c r="H312" i="1"/>
  <c r="G312" i="1"/>
  <c r="F312" i="1"/>
  <c r="E312" i="1"/>
  <c r="D312" i="1"/>
  <c r="C312" i="1"/>
  <c r="B312" i="1"/>
  <c r="A312" i="1"/>
  <c r="X311" i="1"/>
  <c r="W311" i="1"/>
  <c r="V311" i="1"/>
  <c r="U311" i="1"/>
  <c r="S311" i="1"/>
  <c r="R311" i="1"/>
  <c r="P311" i="1"/>
  <c r="O311" i="1"/>
  <c r="N311" i="1"/>
  <c r="M311" i="1"/>
  <c r="L311" i="1"/>
  <c r="K311" i="1"/>
  <c r="J311" i="1"/>
  <c r="I311" i="1"/>
  <c r="H311" i="1"/>
  <c r="G311" i="1"/>
  <c r="F311" i="1"/>
  <c r="E311" i="1"/>
  <c r="D311" i="1"/>
  <c r="C311" i="1"/>
  <c r="B311" i="1"/>
  <c r="A311" i="1"/>
  <c r="X310" i="1"/>
  <c r="W310" i="1"/>
  <c r="V310" i="1"/>
  <c r="U310" i="1"/>
  <c r="S310" i="1"/>
  <c r="R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A310" i="1"/>
  <c r="X309" i="1"/>
  <c r="W309" i="1"/>
  <c r="V309" i="1"/>
  <c r="U309" i="1"/>
  <c r="S309" i="1"/>
  <c r="R309" i="1"/>
  <c r="P309" i="1"/>
  <c r="O309" i="1"/>
  <c r="N309" i="1"/>
  <c r="M309" i="1"/>
  <c r="L309" i="1"/>
  <c r="K309" i="1"/>
  <c r="J309" i="1"/>
  <c r="I309" i="1"/>
  <c r="H309" i="1"/>
  <c r="G309" i="1"/>
  <c r="F309" i="1"/>
  <c r="E309" i="1"/>
  <c r="D309" i="1"/>
  <c r="C309" i="1"/>
  <c r="B309" i="1"/>
  <c r="A309" i="1"/>
  <c r="X308" i="1"/>
  <c r="W308" i="1"/>
  <c r="V308" i="1"/>
  <c r="U308" i="1"/>
  <c r="S308" i="1"/>
  <c r="R308" i="1"/>
  <c r="P308" i="1"/>
  <c r="O308" i="1"/>
  <c r="N308" i="1"/>
  <c r="M308" i="1"/>
  <c r="L308" i="1"/>
  <c r="K308" i="1"/>
  <c r="J308" i="1"/>
  <c r="I308" i="1"/>
  <c r="H308" i="1"/>
  <c r="G308" i="1"/>
  <c r="F308" i="1"/>
  <c r="E308" i="1"/>
  <c r="D308" i="1"/>
  <c r="C308" i="1"/>
  <c r="B308" i="1"/>
  <c r="A308" i="1"/>
  <c r="X307" i="1"/>
  <c r="W307" i="1"/>
  <c r="V307" i="1"/>
  <c r="U307" i="1"/>
  <c r="S307" i="1"/>
  <c r="R307" i="1"/>
  <c r="P307" i="1"/>
  <c r="O307" i="1"/>
  <c r="N307" i="1"/>
  <c r="M307" i="1"/>
  <c r="L307" i="1"/>
  <c r="K307" i="1"/>
  <c r="J307" i="1"/>
  <c r="I307" i="1"/>
  <c r="H307" i="1"/>
  <c r="G307" i="1"/>
  <c r="F307" i="1"/>
  <c r="E307" i="1"/>
  <c r="D307" i="1"/>
  <c r="C307" i="1"/>
  <c r="B307" i="1"/>
  <c r="A307" i="1"/>
  <c r="X306" i="1"/>
  <c r="W306" i="1"/>
  <c r="V306" i="1"/>
  <c r="U306" i="1"/>
  <c r="S306" i="1"/>
  <c r="R306" i="1"/>
  <c r="P306" i="1"/>
  <c r="O306" i="1"/>
  <c r="N306" i="1"/>
  <c r="M306" i="1"/>
  <c r="L306" i="1"/>
  <c r="K306" i="1"/>
  <c r="J306" i="1"/>
  <c r="I306" i="1"/>
  <c r="H306" i="1"/>
  <c r="G306" i="1"/>
  <c r="F306" i="1"/>
  <c r="E306" i="1"/>
  <c r="D306" i="1"/>
  <c r="C306" i="1"/>
  <c r="B306" i="1"/>
  <c r="A306" i="1"/>
  <c r="Z305" i="1"/>
  <c r="Y305" i="1"/>
  <c r="V305" i="1"/>
  <c r="U305" i="1"/>
  <c r="O305" i="1"/>
  <c r="N305" i="1"/>
  <c r="M305" i="1"/>
  <c r="L305" i="1"/>
  <c r="K305" i="1"/>
  <c r="J305" i="1"/>
  <c r="I305" i="1"/>
  <c r="H305" i="1"/>
  <c r="G305" i="1"/>
  <c r="F305" i="1"/>
  <c r="E305" i="1"/>
  <c r="D305" i="1"/>
  <c r="C305" i="1"/>
  <c r="B305" i="1"/>
  <c r="A305" i="1"/>
  <c r="Z304" i="1"/>
  <c r="Y304" i="1"/>
  <c r="V304" i="1"/>
  <c r="U304" i="1"/>
  <c r="O304" i="1"/>
  <c r="N304" i="1"/>
  <c r="M304" i="1"/>
  <c r="L304" i="1"/>
  <c r="K304" i="1"/>
  <c r="J304" i="1"/>
  <c r="I304" i="1"/>
  <c r="H304" i="1"/>
  <c r="G304" i="1"/>
  <c r="F304" i="1"/>
  <c r="E304" i="1"/>
  <c r="D304" i="1"/>
  <c r="C304" i="1"/>
  <c r="B304" i="1"/>
  <c r="A304" i="1"/>
  <c r="Z303" i="1"/>
  <c r="Y303" i="1"/>
  <c r="V303" i="1"/>
  <c r="U303" i="1"/>
  <c r="O303" i="1"/>
  <c r="N303" i="1"/>
  <c r="M303" i="1"/>
  <c r="L303" i="1"/>
  <c r="K303" i="1"/>
  <c r="J303" i="1"/>
  <c r="I303" i="1"/>
  <c r="H303" i="1"/>
  <c r="G303" i="1"/>
  <c r="F303" i="1"/>
  <c r="E303" i="1"/>
  <c r="D303" i="1"/>
  <c r="C303" i="1"/>
  <c r="B303" i="1"/>
  <c r="A303" i="1"/>
  <c r="Z302" i="1"/>
  <c r="Y302" i="1"/>
  <c r="V302" i="1"/>
  <c r="U302" i="1"/>
  <c r="O302" i="1"/>
  <c r="N302" i="1"/>
  <c r="M302" i="1"/>
  <c r="L302" i="1"/>
  <c r="K302" i="1"/>
  <c r="J302" i="1"/>
  <c r="I302" i="1"/>
  <c r="H302" i="1"/>
  <c r="G302" i="1"/>
  <c r="F302" i="1"/>
  <c r="E302" i="1"/>
  <c r="D302" i="1"/>
  <c r="C302" i="1"/>
  <c r="B302" i="1"/>
  <c r="A302" i="1"/>
  <c r="Z301" i="1"/>
  <c r="Y301" i="1"/>
  <c r="V301" i="1"/>
  <c r="U301" i="1"/>
  <c r="S301" i="1"/>
  <c r="Q301" i="1"/>
  <c r="P301" i="1"/>
  <c r="O301" i="1"/>
  <c r="N301" i="1"/>
  <c r="M301" i="1"/>
  <c r="L301" i="1"/>
  <c r="K301" i="1"/>
  <c r="J301" i="1"/>
  <c r="I301" i="1"/>
  <c r="H301" i="1"/>
  <c r="G301" i="1"/>
  <c r="F301" i="1"/>
  <c r="E301" i="1"/>
  <c r="D301" i="1"/>
  <c r="C301" i="1"/>
  <c r="B301" i="1"/>
  <c r="A301" i="1"/>
  <c r="Z300" i="1"/>
  <c r="Y300" i="1"/>
  <c r="V300" i="1"/>
  <c r="U300" i="1"/>
  <c r="S300" i="1"/>
  <c r="Q300" i="1"/>
  <c r="P300" i="1"/>
  <c r="O300" i="1"/>
  <c r="N300" i="1"/>
  <c r="M300" i="1"/>
  <c r="L300" i="1"/>
  <c r="K300" i="1"/>
  <c r="J300" i="1"/>
  <c r="I300" i="1"/>
  <c r="H300" i="1"/>
  <c r="G300" i="1"/>
  <c r="F300" i="1"/>
  <c r="E300" i="1"/>
  <c r="D300" i="1"/>
  <c r="C300" i="1"/>
  <c r="B300" i="1"/>
  <c r="A300" i="1"/>
  <c r="X299" i="1"/>
  <c r="W299" i="1"/>
  <c r="V299" i="1"/>
  <c r="U299" i="1"/>
  <c r="S299" i="1"/>
  <c r="R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B299" i="1"/>
  <c r="A299" i="1"/>
  <c r="Z298" i="1"/>
  <c r="Y298" i="1"/>
  <c r="V298" i="1"/>
  <c r="U298" i="1"/>
  <c r="S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B298" i="1"/>
  <c r="A298" i="1"/>
  <c r="Z297" i="1"/>
  <c r="Y297" i="1"/>
  <c r="V297" i="1"/>
  <c r="U297" i="1"/>
  <c r="S297" i="1"/>
  <c r="Q297" i="1"/>
  <c r="P297" i="1"/>
  <c r="O297" i="1"/>
  <c r="N297" i="1"/>
  <c r="M297" i="1"/>
  <c r="L297" i="1"/>
  <c r="K297" i="1"/>
  <c r="J297" i="1"/>
  <c r="I297" i="1"/>
  <c r="H297" i="1"/>
  <c r="G297" i="1"/>
  <c r="F297" i="1"/>
  <c r="E297" i="1"/>
  <c r="D297" i="1"/>
  <c r="C297" i="1"/>
  <c r="B297" i="1"/>
  <c r="A297" i="1"/>
  <c r="AC296" i="1"/>
  <c r="Z296" i="1"/>
  <c r="Y296" i="1"/>
  <c r="V296" i="1"/>
  <c r="U296" i="1"/>
  <c r="S296" i="1"/>
  <c r="O296" i="1"/>
  <c r="N296" i="1"/>
  <c r="M296" i="1"/>
  <c r="L296" i="1"/>
  <c r="K296" i="1"/>
  <c r="J296" i="1"/>
  <c r="I296" i="1"/>
  <c r="H296" i="1"/>
  <c r="G296" i="1"/>
  <c r="F296" i="1"/>
  <c r="E296" i="1"/>
  <c r="D296" i="1"/>
  <c r="C296" i="1"/>
  <c r="B296" i="1"/>
  <c r="A296" i="1"/>
  <c r="Z295" i="1"/>
  <c r="Y295" i="1"/>
  <c r="V295" i="1"/>
  <c r="U295" i="1"/>
  <c r="S295" i="1"/>
  <c r="O295" i="1"/>
  <c r="N295" i="1"/>
  <c r="M295" i="1"/>
  <c r="L295" i="1"/>
  <c r="K295" i="1"/>
  <c r="J295" i="1"/>
  <c r="I295" i="1"/>
  <c r="H295" i="1"/>
  <c r="G295" i="1"/>
  <c r="F295" i="1"/>
  <c r="E295" i="1"/>
  <c r="D295" i="1"/>
  <c r="C295" i="1"/>
  <c r="B295" i="1"/>
  <c r="A295" i="1"/>
  <c r="AC294" i="1"/>
  <c r="X294" i="1"/>
  <c r="W294" i="1"/>
  <c r="V294" i="1"/>
  <c r="U294" i="1"/>
  <c r="S294" i="1"/>
  <c r="R294" i="1"/>
  <c r="P294" i="1"/>
  <c r="O294" i="1"/>
  <c r="N294" i="1"/>
  <c r="M294" i="1"/>
  <c r="L294" i="1"/>
  <c r="K294" i="1"/>
  <c r="J294" i="1"/>
  <c r="I294" i="1"/>
  <c r="H294" i="1"/>
  <c r="G294" i="1"/>
  <c r="F294" i="1"/>
  <c r="E294" i="1"/>
  <c r="D294" i="1"/>
  <c r="C294" i="1"/>
  <c r="B294" i="1"/>
  <c r="A294" i="1"/>
  <c r="Z293" i="1"/>
  <c r="Y293" i="1"/>
  <c r="V293" i="1"/>
  <c r="U293" i="1"/>
  <c r="S293" i="1"/>
  <c r="O293" i="1"/>
  <c r="N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A293" i="1"/>
  <c r="AC292" i="1"/>
  <c r="Z292" i="1"/>
  <c r="Y292" i="1"/>
  <c r="V292" i="1"/>
  <c r="U292" i="1"/>
  <c r="T292" i="1"/>
  <c r="O292" i="1"/>
  <c r="N292" i="1"/>
  <c r="M292" i="1"/>
  <c r="L292" i="1"/>
  <c r="K292" i="1"/>
  <c r="J292" i="1"/>
  <c r="I292" i="1"/>
  <c r="H292" i="1"/>
  <c r="G292" i="1"/>
  <c r="F292" i="1"/>
  <c r="E292" i="1"/>
  <c r="D292" i="1"/>
  <c r="C292" i="1"/>
  <c r="B292" i="1"/>
  <c r="A292" i="1"/>
  <c r="Z291" i="1"/>
  <c r="Y291" i="1"/>
  <c r="V291" i="1"/>
  <c r="U291" i="1"/>
  <c r="Q291" i="1"/>
  <c r="P291" i="1"/>
  <c r="O291" i="1"/>
  <c r="N291" i="1"/>
  <c r="M291" i="1"/>
  <c r="L291" i="1"/>
  <c r="K291" i="1"/>
  <c r="J291" i="1"/>
  <c r="I291" i="1"/>
  <c r="H291" i="1"/>
  <c r="G291" i="1"/>
  <c r="F291" i="1"/>
  <c r="E291" i="1"/>
  <c r="D291" i="1"/>
  <c r="C291" i="1"/>
  <c r="B291" i="1"/>
  <c r="A291" i="1"/>
  <c r="V290" i="1"/>
  <c r="U290" i="1"/>
  <c r="O290" i="1"/>
  <c r="N290" i="1"/>
  <c r="M290" i="1"/>
  <c r="L290" i="1"/>
  <c r="K290" i="1"/>
  <c r="J290" i="1"/>
  <c r="I290" i="1"/>
  <c r="H290" i="1"/>
  <c r="G290" i="1"/>
  <c r="F290" i="1"/>
  <c r="E290" i="1"/>
  <c r="D290" i="1"/>
  <c r="C290" i="1"/>
  <c r="B290" i="1"/>
  <c r="A290" i="1"/>
  <c r="V289" i="1"/>
  <c r="U289" i="1"/>
  <c r="O289" i="1"/>
  <c r="N289" i="1"/>
  <c r="M289" i="1"/>
  <c r="L289" i="1"/>
  <c r="K289" i="1"/>
  <c r="J289" i="1"/>
  <c r="I289" i="1"/>
  <c r="H289" i="1"/>
  <c r="G289" i="1"/>
  <c r="F289" i="1"/>
  <c r="E289" i="1"/>
  <c r="D289" i="1"/>
  <c r="C289" i="1"/>
  <c r="B289" i="1"/>
  <c r="A289" i="1"/>
  <c r="Z288" i="1"/>
  <c r="Y288" i="1"/>
  <c r="V288" i="1"/>
  <c r="U288" i="1"/>
  <c r="Q288" i="1"/>
  <c r="P288" i="1"/>
  <c r="O288" i="1"/>
  <c r="N288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A288" i="1"/>
  <c r="Z287" i="1"/>
  <c r="Y287" i="1"/>
  <c r="V287" i="1"/>
  <c r="U287" i="1"/>
  <c r="O287" i="1"/>
  <c r="N287" i="1"/>
  <c r="M287" i="1"/>
  <c r="L287" i="1"/>
  <c r="K287" i="1"/>
  <c r="J287" i="1"/>
  <c r="I287" i="1"/>
  <c r="H287" i="1"/>
  <c r="G287" i="1"/>
  <c r="F287" i="1"/>
  <c r="E287" i="1"/>
  <c r="D287" i="1"/>
  <c r="C287" i="1"/>
  <c r="B287" i="1"/>
  <c r="A287" i="1"/>
  <c r="X286" i="1"/>
  <c r="W286" i="1"/>
  <c r="V286" i="1"/>
  <c r="U286" i="1"/>
  <c r="R286" i="1"/>
  <c r="P286" i="1"/>
  <c r="O286" i="1"/>
  <c r="N286" i="1"/>
  <c r="M286" i="1"/>
  <c r="L286" i="1"/>
  <c r="K286" i="1"/>
  <c r="J286" i="1"/>
  <c r="I286" i="1"/>
  <c r="H286" i="1"/>
  <c r="G286" i="1"/>
  <c r="F286" i="1"/>
  <c r="E286" i="1"/>
  <c r="D286" i="1"/>
  <c r="C286" i="1"/>
  <c r="B286" i="1"/>
  <c r="A286" i="1"/>
  <c r="X285" i="1"/>
  <c r="W285" i="1"/>
  <c r="V285" i="1"/>
  <c r="U285" i="1"/>
  <c r="R285" i="1"/>
  <c r="P285" i="1"/>
  <c r="O285" i="1"/>
  <c r="N285" i="1"/>
  <c r="M285" i="1"/>
  <c r="L285" i="1"/>
  <c r="K285" i="1"/>
  <c r="J285" i="1"/>
  <c r="I285" i="1"/>
  <c r="H285" i="1"/>
  <c r="G285" i="1"/>
  <c r="F285" i="1"/>
  <c r="E285" i="1"/>
  <c r="D285" i="1"/>
  <c r="C285" i="1"/>
  <c r="B285" i="1"/>
  <c r="A285" i="1"/>
  <c r="Z284" i="1"/>
  <c r="Y284" i="1"/>
  <c r="V284" i="1"/>
  <c r="U284" i="1"/>
  <c r="O284" i="1"/>
  <c r="N284" i="1"/>
  <c r="M284" i="1"/>
  <c r="L284" i="1"/>
  <c r="K284" i="1"/>
  <c r="J284" i="1"/>
  <c r="I284" i="1"/>
  <c r="H284" i="1"/>
  <c r="G284" i="1"/>
  <c r="F284" i="1"/>
  <c r="E284" i="1"/>
  <c r="D284" i="1"/>
  <c r="C284" i="1"/>
  <c r="B284" i="1"/>
  <c r="A284" i="1"/>
  <c r="V283" i="1"/>
  <c r="U283" i="1"/>
  <c r="O283" i="1"/>
  <c r="N283" i="1"/>
  <c r="M283" i="1"/>
  <c r="L283" i="1"/>
  <c r="K283" i="1"/>
  <c r="J283" i="1"/>
  <c r="I283" i="1"/>
  <c r="H283" i="1"/>
  <c r="G283" i="1"/>
  <c r="F283" i="1"/>
  <c r="E283" i="1"/>
  <c r="D283" i="1"/>
  <c r="C283" i="1"/>
  <c r="B283" i="1"/>
  <c r="A283" i="1"/>
  <c r="Z282" i="1"/>
  <c r="Y282" i="1"/>
  <c r="V282" i="1"/>
  <c r="U282" i="1"/>
  <c r="O282" i="1"/>
  <c r="N282" i="1"/>
  <c r="M282" i="1"/>
  <c r="L282" i="1"/>
  <c r="K282" i="1"/>
  <c r="J282" i="1"/>
  <c r="I282" i="1"/>
  <c r="H282" i="1"/>
  <c r="G282" i="1"/>
  <c r="F282" i="1"/>
  <c r="E282" i="1"/>
  <c r="D282" i="1"/>
  <c r="C282" i="1"/>
  <c r="B282" i="1"/>
  <c r="A282" i="1"/>
  <c r="AC281" i="1"/>
  <c r="Z281" i="1"/>
  <c r="Y281" i="1"/>
  <c r="V281" i="1"/>
  <c r="U281" i="1"/>
  <c r="Q281" i="1"/>
  <c r="P281" i="1"/>
  <c r="O281" i="1"/>
  <c r="N281" i="1"/>
  <c r="M281" i="1"/>
  <c r="L281" i="1"/>
  <c r="K281" i="1"/>
  <c r="J281" i="1"/>
  <c r="I281" i="1"/>
  <c r="H281" i="1"/>
  <c r="G281" i="1"/>
  <c r="F281" i="1"/>
  <c r="E281" i="1"/>
  <c r="D281" i="1"/>
  <c r="C281" i="1"/>
  <c r="B281" i="1"/>
  <c r="A281" i="1"/>
  <c r="Z280" i="1"/>
  <c r="Y280" i="1"/>
  <c r="V280" i="1"/>
  <c r="U280" i="1"/>
  <c r="S280" i="1"/>
  <c r="O280" i="1"/>
  <c r="N280" i="1"/>
  <c r="M280" i="1"/>
  <c r="L280" i="1"/>
  <c r="K280" i="1"/>
  <c r="J280" i="1"/>
  <c r="I280" i="1"/>
  <c r="H280" i="1"/>
  <c r="G280" i="1"/>
  <c r="F280" i="1"/>
  <c r="E280" i="1"/>
  <c r="D280" i="1"/>
  <c r="C280" i="1"/>
  <c r="B280" i="1"/>
  <c r="A280" i="1"/>
  <c r="Z279" i="1"/>
  <c r="Y279" i="1"/>
  <c r="V279" i="1"/>
  <c r="U279" i="1"/>
  <c r="S279" i="1"/>
  <c r="O279" i="1"/>
  <c r="N279" i="1"/>
  <c r="M279" i="1"/>
  <c r="L279" i="1"/>
  <c r="K279" i="1"/>
  <c r="J279" i="1"/>
  <c r="I279" i="1"/>
  <c r="H279" i="1"/>
  <c r="G279" i="1"/>
  <c r="F279" i="1"/>
  <c r="E279" i="1"/>
  <c r="D279" i="1"/>
  <c r="C279" i="1"/>
  <c r="B279" i="1"/>
  <c r="A279" i="1"/>
  <c r="Z278" i="1"/>
  <c r="Y278" i="1"/>
  <c r="V278" i="1"/>
  <c r="U278" i="1"/>
  <c r="S278" i="1"/>
  <c r="O278" i="1"/>
  <c r="N278" i="1"/>
  <c r="M278" i="1"/>
  <c r="L278" i="1"/>
  <c r="K278" i="1"/>
  <c r="J278" i="1"/>
  <c r="I278" i="1"/>
  <c r="H278" i="1"/>
  <c r="G278" i="1"/>
  <c r="F278" i="1"/>
  <c r="E278" i="1"/>
  <c r="D278" i="1"/>
  <c r="C278" i="1"/>
  <c r="B278" i="1"/>
  <c r="A278" i="1"/>
  <c r="Z277" i="1"/>
  <c r="Y277" i="1"/>
  <c r="V277" i="1"/>
  <c r="U277" i="1"/>
  <c r="S277" i="1"/>
  <c r="O277" i="1"/>
  <c r="N277" i="1"/>
  <c r="M277" i="1"/>
  <c r="L277" i="1"/>
  <c r="K277" i="1"/>
  <c r="J277" i="1"/>
  <c r="I277" i="1"/>
  <c r="H277" i="1"/>
  <c r="G277" i="1"/>
  <c r="F277" i="1"/>
  <c r="E277" i="1"/>
  <c r="D277" i="1"/>
  <c r="C277" i="1"/>
  <c r="B277" i="1"/>
  <c r="A277" i="1"/>
  <c r="AB276" i="1"/>
  <c r="V276" i="1"/>
  <c r="U276" i="1"/>
  <c r="S276" i="1"/>
  <c r="O276" i="1"/>
  <c r="N276" i="1"/>
  <c r="M276" i="1"/>
  <c r="L276" i="1"/>
  <c r="K276" i="1"/>
  <c r="J276" i="1"/>
  <c r="I276" i="1"/>
  <c r="H276" i="1"/>
  <c r="G276" i="1"/>
  <c r="F276" i="1"/>
  <c r="E276" i="1"/>
  <c r="D276" i="1"/>
  <c r="C276" i="1"/>
  <c r="B276" i="1"/>
  <c r="A276" i="1"/>
  <c r="Z275" i="1"/>
  <c r="Y275" i="1"/>
  <c r="V275" i="1"/>
  <c r="U275" i="1"/>
  <c r="S275" i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A275" i="1"/>
  <c r="Z274" i="1"/>
  <c r="Y274" i="1"/>
  <c r="V274" i="1"/>
  <c r="U274" i="1"/>
  <c r="S274" i="1"/>
  <c r="O274" i="1"/>
  <c r="N274" i="1"/>
  <c r="M274" i="1"/>
  <c r="L274" i="1"/>
  <c r="K274" i="1"/>
  <c r="J274" i="1"/>
  <c r="I274" i="1"/>
  <c r="H274" i="1"/>
  <c r="G274" i="1"/>
  <c r="F274" i="1"/>
  <c r="E274" i="1"/>
  <c r="D274" i="1"/>
  <c r="C274" i="1"/>
  <c r="B274" i="1"/>
  <c r="A274" i="1"/>
  <c r="Z273" i="1"/>
  <c r="Y273" i="1"/>
  <c r="V273" i="1"/>
  <c r="U273" i="1"/>
  <c r="S273" i="1"/>
  <c r="O273" i="1"/>
  <c r="N273" i="1"/>
  <c r="M273" i="1"/>
  <c r="L273" i="1"/>
  <c r="K273" i="1"/>
  <c r="J273" i="1"/>
  <c r="I273" i="1"/>
  <c r="H273" i="1"/>
  <c r="G273" i="1"/>
  <c r="F273" i="1"/>
  <c r="E273" i="1"/>
  <c r="D273" i="1"/>
  <c r="C273" i="1"/>
  <c r="B273" i="1"/>
  <c r="A273" i="1"/>
  <c r="V272" i="1"/>
  <c r="U272" i="1"/>
  <c r="S272" i="1"/>
  <c r="O272" i="1"/>
  <c r="N272" i="1"/>
  <c r="M272" i="1"/>
  <c r="L272" i="1"/>
  <c r="K272" i="1"/>
  <c r="J272" i="1"/>
  <c r="I272" i="1"/>
  <c r="H272" i="1"/>
  <c r="G272" i="1"/>
  <c r="F272" i="1"/>
  <c r="E272" i="1"/>
  <c r="D272" i="1"/>
  <c r="C272" i="1"/>
  <c r="B272" i="1"/>
  <c r="A272" i="1"/>
  <c r="Z271" i="1"/>
  <c r="Y271" i="1"/>
  <c r="V271" i="1"/>
  <c r="U271" i="1"/>
  <c r="S271" i="1"/>
  <c r="O271" i="1"/>
  <c r="N271" i="1"/>
  <c r="M271" i="1"/>
  <c r="L271" i="1"/>
  <c r="K271" i="1"/>
  <c r="J271" i="1"/>
  <c r="I271" i="1"/>
  <c r="H271" i="1"/>
  <c r="G271" i="1"/>
  <c r="F271" i="1"/>
  <c r="E271" i="1"/>
  <c r="D271" i="1"/>
  <c r="C271" i="1"/>
  <c r="B271" i="1"/>
  <c r="A271" i="1"/>
  <c r="Z270" i="1"/>
  <c r="Y270" i="1"/>
  <c r="V270" i="1"/>
  <c r="U270" i="1"/>
  <c r="S270" i="1"/>
  <c r="Q270" i="1"/>
  <c r="P270" i="1"/>
  <c r="O270" i="1"/>
  <c r="N270" i="1"/>
  <c r="M270" i="1"/>
  <c r="L270" i="1"/>
  <c r="K270" i="1"/>
  <c r="J270" i="1"/>
  <c r="I270" i="1"/>
  <c r="H270" i="1"/>
  <c r="G270" i="1"/>
  <c r="F270" i="1"/>
  <c r="E270" i="1"/>
  <c r="D270" i="1"/>
  <c r="C270" i="1"/>
  <c r="B270" i="1"/>
  <c r="A270" i="1"/>
  <c r="Z269" i="1"/>
  <c r="Y269" i="1"/>
  <c r="V269" i="1"/>
  <c r="U269" i="1"/>
  <c r="S269" i="1"/>
  <c r="O269" i="1"/>
  <c r="N269" i="1"/>
  <c r="M269" i="1"/>
  <c r="L269" i="1"/>
  <c r="K269" i="1"/>
  <c r="J269" i="1"/>
  <c r="I269" i="1"/>
  <c r="H269" i="1"/>
  <c r="G269" i="1"/>
  <c r="F269" i="1"/>
  <c r="E269" i="1"/>
  <c r="D269" i="1"/>
  <c r="C269" i="1"/>
  <c r="B269" i="1"/>
  <c r="A269" i="1"/>
  <c r="Z268" i="1"/>
  <c r="Y268" i="1"/>
  <c r="V268" i="1"/>
  <c r="U268" i="1"/>
  <c r="S268" i="1"/>
  <c r="O268" i="1"/>
  <c r="N268" i="1"/>
  <c r="M268" i="1"/>
  <c r="L268" i="1"/>
  <c r="K268" i="1"/>
  <c r="J268" i="1"/>
  <c r="I268" i="1"/>
  <c r="H268" i="1"/>
  <c r="G268" i="1"/>
  <c r="F268" i="1"/>
  <c r="E268" i="1"/>
  <c r="D268" i="1"/>
  <c r="C268" i="1"/>
  <c r="B268" i="1"/>
  <c r="A268" i="1"/>
  <c r="V267" i="1"/>
  <c r="U267" i="1"/>
  <c r="S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C267" i="1"/>
  <c r="B267" i="1"/>
  <c r="A267" i="1"/>
  <c r="Z266" i="1"/>
  <c r="Y266" i="1"/>
  <c r="V266" i="1"/>
  <c r="U266" i="1"/>
  <c r="T266" i="1"/>
  <c r="O266" i="1"/>
  <c r="N266" i="1"/>
  <c r="M266" i="1"/>
  <c r="L266" i="1"/>
  <c r="K266" i="1"/>
  <c r="J266" i="1"/>
  <c r="I266" i="1"/>
  <c r="H266" i="1"/>
  <c r="G266" i="1"/>
  <c r="F266" i="1"/>
  <c r="E266" i="1"/>
  <c r="D266" i="1"/>
  <c r="C266" i="1"/>
  <c r="B266" i="1"/>
  <c r="A266" i="1"/>
  <c r="Z265" i="1"/>
  <c r="Y265" i="1"/>
  <c r="V265" i="1"/>
  <c r="U265" i="1"/>
  <c r="R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C265" i="1"/>
  <c r="B265" i="1"/>
  <c r="A265" i="1"/>
  <c r="Z264" i="1"/>
  <c r="Y264" i="1"/>
  <c r="V264" i="1"/>
  <c r="U264" i="1"/>
  <c r="T264" i="1"/>
  <c r="O264" i="1"/>
  <c r="N264" i="1"/>
  <c r="M264" i="1"/>
  <c r="L264" i="1"/>
  <c r="K264" i="1"/>
  <c r="J264" i="1"/>
  <c r="I264" i="1"/>
  <c r="H264" i="1"/>
  <c r="G264" i="1"/>
  <c r="F264" i="1"/>
  <c r="E264" i="1"/>
  <c r="D264" i="1"/>
  <c r="C264" i="1"/>
  <c r="B264" i="1"/>
  <c r="A264" i="1"/>
  <c r="Z263" i="1"/>
  <c r="Y263" i="1"/>
  <c r="V263" i="1"/>
  <c r="U263" i="1"/>
  <c r="O263" i="1"/>
  <c r="N263" i="1"/>
  <c r="M263" i="1"/>
  <c r="L263" i="1"/>
  <c r="K263" i="1"/>
  <c r="J263" i="1"/>
  <c r="I263" i="1"/>
  <c r="H263" i="1"/>
  <c r="G263" i="1"/>
  <c r="F263" i="1"/>
  <c r="E263" i="1"/>
  <c r="D263" i="1"/>
  <c r="C263" i="1"/>
  <c r="B263" i="1"/>
  <c r="A263" i="1"/>
  <c r="Z262" i="1"/>
  <c r="Y262" i="1"/>
  <c r="V262" i="1"/>
  <c r="U262" i="1"/>
  <c r="S262" i="1"/>
  <c r="O262" i="1"/>
  <c r="N262" i="1"/>
  <c r="M262" i="1"/>
  <c r="L262" i="1"/>
  <c r="K262" i="1"/>
  <c r="J262" i="1"/>
  <c r="I262" i="1"/>
  <c r="H262" i="1"/>
  <c r="G262" i="1"/>
  <c r="F262" i="1"/>
  <c r="E262" i="1"/>
  <c r="D262" i="1"/>
  <c r="C262" i="1"/>
  <c r="B262" i="1"/>
  <c r="A262" i="1"/>
  <c r="Z261" i="1"/>
  <c r="Y261" i="1"/>
  <c r="V261" i="1"/>
  <c r="U261" i="1"/>
  <c r="S261" i="1"/>
  <c r="O261" i="1"/>
  <c r="N261" i="1"/>
  <c r="M261" i="1"/>
  <c r="L261" i="1"/>
  <c r="K261" i="1"/>
  <c r="J261" i="1"/>
  <c r="I261" i="1"/>
  <c r="H261" i="1"/>
  <c r="G261" i="1"/>
  <c r="F261" i="1"/>
  <c r="E261" i="1"/>
  <c r="D261" i="1"/>
  <c r="C261" i="1"/>
  <c r="B261" i="1"/>
  <c r="A261" i="1"/>
  <c r="Z260" i="1"/>
  <c r="Y260" i="1"/>
  <c r="V260" i="1"/>
  <c r="U260" i="1"/>
  <c r="S260" i="1"/>
  <c r="O260" i="1"/>
  <c r="N260" i="1"/>
  <c r="M260" i="1"/>
  <c r="L260" i="1"/>
  <c r="K260" i="1"/>
  <c r="J260" i="1"/>
  <c r="I260" i="1"/>
  <c r="H260" i="1"/>
  <c r="G260" i="1"/>
  <c r="F260" i="1"/>
  <c r="E260" i="1"/>
  <c r="D260" i="1"/>
  <c r="C260" i="1"/>
  <c r="B260" i="1"/>
  <c r="A260" i="1"/>
  <c r="V259" i="1"/>
  <c r="U259" i="1"/>
  <c r="S259" i="1"/>
  <c r="O259" i="1"/>
  <c r="N259" i="1"/>
  <c r="M259" i="1"/>
  <c r="L259" i="1"/>
  <c r="K259" i="1"/>
  <c r="J259" i="1"/>
  <c r="I259" i="1"/>
  <c r="H259" i="1"/>
  <c r="G259" i="1"/>
  <c r="F259" i="1"/>
  <c r="E259" i="1"/>
  <c r="D259" i="1"/>
  <c r="C259" i="1"/>
  <c r="B259" i="1"/>
  <c r="A259" i="1"/>
  <c r="Z258" i="1"/>
  <c r="Y258" i="1"/>
  <c r="V258" i="1"/>
  <c r="U258" i="1"/>
  <c r="S258" i="1"/>
  <c r="O258" i="1"/>
  <c r="N258" i="1"/>
  <c r="M258" i="1"/>
  <c r="L258" i="1"/>
  <c r="K258" i="1"/>
  <c r="J258" i="1"/>
  <c r="I258" i="1"/>
  <c r="H258" i="1"/>
  <c r="G258" i="1"/>
  <c r="F258" i="1"/>
  <c r="E258" i="1"/>
  <c r="D258" i="1"/>
  <c r="C258" i="1"/>
  <c r="B258" i="1"/>
  <c r="A258" i="1"/>
  <c r="X257" i="1"/>
  <c r="W257" i="1"/>
  <c r="V257" i="1"/>
  <c r="U257" i="1"/>
  <c r="S257" i="1"/>
  <c r="R257" i="1"/>
  <c r="O257" i="1"/>
  <c r="N257" i="1"/>
  <c r="M257" i="1"/>
  <c r="L257" i="1"/>
  <c r="K257" i="1"/>
  <c r="J257" i="1"/>
  <c r="I257" i="1"/>
  <c r="H257" i="1"/>
  <c r="G257" i="1"/>
  <c r="F257" i="1"/>
  <c r="E257" i="1"/>
  <c r="D257" i="1"/>
  <c r="C257" i="1"/>
  <c r="B257" i="1"/>
  <c r="A257" i="1"/>
  <c r="V256" i="1"/>
  <c r="U256" i="1"/>
  <c r="S256" i="1"/>
  <c r="O256" i="1"/>
  <c r="N256" i="1"/>
  <c r="M256" i="1"/>
  <c r="L256" i="1"/>
  <c r="K256" i="1"/>
  <c r="J256" i="1"/>
  <c r="I256" i="1"/>
  <c r="H256" i="1"/>
  <c r="G256" i="1"/>
  <c r="F256" i="1"/>
  <c r="E256" i="1"/>
  <c r="D256" i="1"/>
  <c r="C256" i="1"/>
  <c r="B256" i="1"/>
  <c r="A256" i="1"/>
  <c r="Z255" i="1"/>
  <c r="Y255" i="1"/>
  <c r="V255" i="1"/>
  <c r="U255" i="1"/>
  <c r="S255" i="1"/>
  <c r="O255" i="1"/>
  <c r="N255" i="1"/>
  <c r="M255" i="1"/>
  <c r="L255" i="1"/>
  <c r="K255" i="1"/>
  <c r="J255" i="1"/>
  <c r="I255" i="1"/>
  <c r="H255" i="1"/>
  <c r="G255" i="1"/>
  <c r="F255" i="1"/>
  <c r="E255" i="1"/>
  <c r="D255" i="1"/>
  <c r="C255" i="1"/>
  <c r="B255" i="1"/>
  <c r="A255" i="1"/>
  <c r="Z254" i="1"/>
  <c r="Y254" i="1"/>
  <c r="V254" i="1"/>
  <c r="U254" i="1"/>
  <c r="O254" i="1"/>
  <c r="N254" i="1"/>
  <c r="M254" i="1"/>
  <c r="L254" i="1"/>
  <c r="K254" i="1"/>
  <c r="J254" i="1"/>
  <c r="I254" i="1"/>
  <c r="H254" i="1"/>
  <c r="G254" i="1"/>
  <c r="F254" i="1"/>
  <c r="E254" i="1"/>
  <c r="D254" i="1"/>
  <c r="C254" i="1"/>
  <c r="B254" i="1"/>
  <c r="A254" i="1"/>
  <c r="Z253" i="1"/>
  <c r="Y253" i="1"/>
  <c r="V253" i="1"/>
  <c r="U253" i="1"/>
  <c r="T253" i="1"/>
  <c r="O253" i="1"/>
  <c r="N253" i="1"/>
  <c r="M253" i="1"/>
  <c r="L253" i="1"/>
  <c r="K253" i="1"/>
  <c r="J253" i="1"/>
  <c r="I253" i="1"/>
  <c r="H253" i="1"/>
  <c r="G253" i="1"/>
  <c r="F253" i="1"/>
  <c r="E253" i="1"/>
  <c r="D253" i="1"/>
  <c r="C253" i="1"/>
  <c r="B253" i="1"/>
  <c r="A253" i="1"/>
  <c r="Z252" i="1"/>
  <c r="Y252" i="1"/>
  <c r="V252" i="1"/>
  <c r="U252" i="1"/>
  <c r="O252" i="1"/>
  <c r="N252" i="1"/>
  <c r="M252" i="1"/>
  <c r="L252" i="1"/>
  <c r="K252" i="1"/>
  <c r="J252" i="1"/>
  <c r="I252" i="1"/>
  <c r="H252" i="1"/>
  <c r="G252" i="1"/>
  <c r="F252" i="1"/>
  <c r="E252" i="1"/>
  <c r="D252" i="1"/>
  <c r="C252" i="1"/>
  <c r="B252" i="1"/>
  <c r="A252" i="1"/>
  <c r="Z251" i="1"/>
  <c r="Y251" i="1"/>
  <c r="V251" i="1"/>
  <c r="U251" i="1"/>
  <c r="O251" i="1"/>
  <c r="N251" i="1"/>
  <c r="M251" i="1"/>
  <c r="L251" i="1"/>
  <c r="K251" i="1"/>
  <c r="J251" i="1"/>
  <c r="I251" i="1"/>
  <c r="H251" i="1"/>
  <c r="G251" i="1"/>
  <c r="F251" i="1"/>
  <c r="E251" i="1"/>
  <c r="D251" i="1"/>
  <c r="C251" i="1"/>
  <c r="B251" i="1"/>
  <c r="A251" i="1"/>
  <c r="Z250" i="1"/>
  <c r="Y250" i="1"/>
  <c r="V250" i="1"/>
  <c r="U250" i="1"/>
  <c r="O250" i="1"/>
  <c r="N250" i="1"/>
  <c r="M250" i="1"/>
  <c r="L250" i="1"/>
  <c r="K250" i="1"/>
  <c r="J250" i="1"/>
  <c r="I250" i="1"/>
  <c r="H250" i="1"/>
  <c r="G250" i="1"/>
  <c r="F250" i="1"/>
  <c r="E250" i="1"/>
  <c r="D250" i="1"/>
  <c r="C250" i="1"/>
  <c r="B250" i="1"/>
  <c r="A250" i="1"/>
  <c r="V249" i="1"/>
  <c r="U249" i="1"/>
  <c r="O249" i="1"/>
  <c r="N249" i="1"/>
  <c r="M249" i="1"/>
  <c r="L249" i="1"/>
  <c r="K249" i="1"/>
  <c r="J249" i="1"/>
  <c r="I249" i="1"/>
  <c r="H249" i="1"/>
  <c r="G249" i="1"/>
  <c r="F249" i="1"/>
  <c r="E249" i="1"/>
  <c r="D249" i="1"/>
  <c r="C249" i="1"/>
  <c r="B249" i="1"/>
  <c r="A249" i="1"/>
  <c r="Z248" i="1"/>
  <c r="Y248" i="1"/>
  <c r="V248" i="1"/>
  <c r="U248" i="1"/>
  <c r="Q248" i="1"/>
  <c r="P248" i="1"/>
  <c r="O248" i="1"/>
  <c r="N248" i="1"/>
  <c r="M248" i="1"/>
  <c r="L248" i="1"/>
  <c r="K248" i="1"/>
  <c r="J248" i="1"/>
  <c r="I248" i="1"/>
  <c r="H248" i="1"/>
  <c r="G248" i="1"/>
  <c r="F248" i="1"/>
  <c r="E248" i="1"/>
  <c r="D248" i="1"/>
  <c r="C248" i="1"/>
  <c r="B248" i="1"/>
  <c r="A248" i="1"/>
  <c r="X247" i="1"/>
  <c r="W247" i="1"/>
  <c r="V247" i="1"/>
  <c r="U247" i="1"/>
  <c r="R247" i="1"/>
  <c r="P247" i="1"/>
  <c r="O247" i="1"/>
  <c r="N247" i="1"/>
  <c r="M247" i="1"/>
  <c r="L247" i="1"/>
  <c r="K247" i="1"/>
  <c r="J247" i="1"/>
  <c r="I247" i="1"/>
  <c r="H247" i="1"/>
  <c r="G247" i="1"/>
  <c r="F247" i="1"/>
  <c r="E247" i="1"/>
  <c r="D247" i="1"/>
  <c r="C247" i="1"/>
  <c r="B247" i="1"/>
  <c r="A247" i="1"/>
  <c r="Z246" i="1"/>
  <c r="Y246" i="1"/>
  <c r="V246" i="1"/>
  <c r="U246" i="1"/>
  <c r="S246" i="1"/>
  <c r="O246" i="1"/>
  <c r="N246" i="1"/>
  <c r="M246" i="1"/>
  <c r="L246" i="1"/>
  <c r="K246" i="1"/>
  <c r="J246" i="1"/>
  <c r="I246" i="1"/>
  <c r="H246" i="1"/>
  <c r="G246" i="1"/>
  <c r="F246" i="1"/>
  <c r="E246" i="1"/>
  <c r="D246" i="1"/>
  <c r="C246" i="1"/>
  <c r="B246" i="1"/>
  <c r="A246" i="1"/>
  <c r="Z245" i="1"/>
  <c r="Y245" i="1"/>
  <c r="V245" i="1"/>
  <c r="U245" i="1"/>
  <c r="S245" i="1"/>
  <c r="O245" i="1"/>
  <c r="N245" i="1"/>
  <c r="M245" i="1"/>
  <c r="L245" i="1"/>
  <c r="K245" i="1"/>
  <c r="J245" i="1"/>
  <c r="I245" i="1"/>
  <c r="H245" i="1"/>
  <c r="G245" i="1"/>
  <c r="F245" i="1"/>
  <c r="E245" i="1"/>
  <c r="D245" i="1"/>
  <c r="C245" i="1"/>
  <c r="B245" i="1"/>
  <c r="A245" i="1"/>
  <c r="Z244" i="1"/>
  <c r="Y244" i="1"/>
  <c r="V244" i="1"/>
  <c r="U244" i="1"/>
  <c r="S244" i="1"/>
  <c r="O244" i="1"/>
  <c r="N244" i="1"/>
  <c r="M244" i="1"/>
  <c r="L244" i="1"/>
  <c r="K244" i="1"/>
  <c r="J244" i="1"/>
  <c r="I244" i="1"/>
  <c r="H244" i="1"/>
  <c r="G244" i="1"/>
  <c r="F244" i="1"/>
  <c r="E244" i="1"/>
  <c r="D244" i="1"/>
  <c r="C244" i="1"/>
  <c r="B244" i="1"/>
  <c r="A244" i="1"/>
  <c r="Z243" i="1"/>
  <c r="Y243" i="1"/>
  <c r="V243" i="1"/>
  <c r="U243" i="1"/>
  <c r="S243" i="1"/>
  <c r="O243" i="1"/>
  <c r="N243" i="1"/>
  <c r="M243" i="1"/>
  <c r="L243" i="1"/>
  <c r="K243" i="1"/>
  <c r="J243" i="1"/>
  <c r="I243" i="1"/>
  <c r="H243" i="1"/>
  <c r="G243" i="1"/>
  <c r="F243" i="1"/>
  <c r="E243" i="1"/>
  <c r="D243" i="1"/>
  <c r="C243" i="1"/>
  <c r="B243" i="1"/>
  <c r="A243" i="1"/>
  <c r="Z242" i="1"/>
  <c r="Y242" i="1"/>
  <c r="V242" i="1"/>
  <c r="U242" i="1"/>
  <c r="S242" i="1"/>
  <c r="O242" i="1"/>
  <c r="N242" i="1"/>
  <c r="M242" i="1"/>
  <c r="L242" i="1"/>
  <c r="K242" i="1"/>
  <c r="J242" i="1"/>
  <c r="I242" i="1"/>
  <c r="H242" i="1"/>
  <c r="G242" i="1"/>
  <c r="F242" i="1"/>
  <c r="E242" i="1"/>
  <c r="D242" i="1"/>
  <c r="C242" i="1"/>
  <c r="B242" i="1"/>
  <c r="A242" i="1"/>
  <c r="Z241" i="1"/>
  <c r="Y241" i="1"/>
  <c r="V241" i="1"/>
  <c r="U241" i="1"/>
  <c r="S241" i="1"/>
  <c r="O241" i="1"/>
  <c r="N241" i="1"/>
  <c r="M241" i="1"/>
  <c r="L241" i="1"/>
  <c r="K241" i="1"/>
  <c r="J241" i="1"/>
  <c r="I241" i="1"/>
  <c r="H241" i="1"/>
  <c r="G241" i="1"/>
  <c r="F241" i="1"/>
  <c r="E241" i="1"/>
  <c r="D241" i="1"/>
  <c r="C241" i="1"/>
  <c r="B241" i="1"/>
  <c r="A241" i="1"/>
  <c r="Z240" i="1"/>
  <c r="Y240" i="1"/>
  <c r="V240" i="1"/>
  <c r="U240" i="1"/>
  <c r="S240" i="1"/>
  <c r="O240" i="1"/>
  <c r="N240" i="1"/>
  <c r="M240" i="1"/>
  <c r="L240" i="1"/>
  <c r="K240" i="1"/>
  <c r="J240" i="1"/>
  <c r="I240" i="1"/>
  <c r="H240" i="1"/>
  <c r="G240" i="1"/>
  <c r="F240" i="1"/>
  <c r="E240" i="1"/>
  <c r="D240" i="1"/>
  <c r="C240" i="1"/>
  <c r="B240" i="1"/>
  <c r="A240" i="1"/>
  <c r="X239" i="1"/>
  <c r="W239" i="1"/>
  <c r="V239" i="1"/>
  <c r="U239" i="1"/>
  <c r="S239" i="1"/>
  <c r="R239" i="1"/>
  <c r="P239" i="1"/>
  <c r="O239" i="1"/>
  <c r="M239" i="1"/>
  <c r="L239" i="1"/>
  <c r="K239" i="1"/>
  <c r="J239" i="1"/>
  <c r="I239" i="1"/>
  <c r="H239" i="1"/>
  <c r="G239" i="1"/>
  <c r="F239" i="1"/>
  <c r="E239" i="1"/>
  <c r="D239" i="1"/>
  <c r="C239" i="1"/>
  <c r="B239" i="1"/>
  <c r="A239" i="1"/>
  <c r="Z238" i="1"/>
  <c r="Y238" i="1"/>
  <c r="V238" i="1"/>
  <c r="U238" i="1"/>
  <c r="S238" i="1"/>
  <c r="O238" i="1"/>
  <c r="M238" i="1"/>
  <c r="L238" i="1"/>
  <c r="K238" i="1"/>
  <c r="J238" i="1"/>
  <c r="I238" i="1"/>
  <c r="H238" i="1"/>
  <c r="G238" i="1"/>
  <c r="F238" i="1"/>
  <c r="E238" i="1"/>
  <c r="D238" i="1"/>
  <c r="C238" i="1"/>
  <c r="B238" i="1"/>
  <c r="A238" i="1"/>
  <c r="Z237" i="1"/>
  <c r="Y237" i="1"/>
  <c r="V237" i="1"/>
  <c r="U237" i="1"/>
  <c r="S237" i="1"/>
  <c r="O237" i="1"/>
  <c r="M237" i="1"/>
  <c r="L237" i="1"/>
  <c r="K237" i="1"/>
  <c r="J237" i="1"/>
  <c r="I237" i="1"/>
  <c r="H237" i="1"/>
  <c r="G237" i="1"/>
  <c r="F237" i="1"/>
  <c r="E237" i="1"/>
  <c r="D237" i="1"/>
  <c r="C237" i="1"/>
  <c r="B237" i="1"/>
  <c r="A237" i="1"/>
  <c r="Z236" i="1"/>
  <c r="Y236" i="1"/>
  <c r="V236" i="1"/>
  <c r="U236" i="1"/>
  <c r="S236" i="1"/>
  <c r="O236" i="1"/>
  <c r="M236" i="1"/>
  <c r="L236" i="1"/>
  <c r="K236" i="1"/>
  <c r="J236" i="1"/>
  <c r="I236" i="1"/>
  <c r="H236" i="1"/>
  <c r="G236" i="1"/>
  <c r="F236" i="1"/>
  <c r="E236" i="1"/>
  <c r="D236" i="1"/>
  <c r="C236" i="1"/>
  <c r="B236" i="1"/>
  <c r="A236" i="1"/>
  <c r="V235" i="1"/>
  <c r="U235" i="1"/>
  <c r="O235" i="1"/>
  <c r="M235" i="1"/>
  <c r="L235" i="1"/>
  <c r="K235" i="1"/>
  <c r="J235" i="1"/>
  <c r="I235" i="1"/>
  <c r="H235" i="1"/>
  <c r="G235" i="1"/>
  <c r="F235" i="1"/>
  <c r="E235" i="1"/>
  <c r="D235" i="1"/>
  <c r="C235" i="1"/>
  <c r="B235" i="1"/>
  <c r="A235" i="1"/>
  <c r="Z234" i="1"/>
  <c r="Y234" i="1"/>
  <c r="V234" i="1"/>
  <c r="U234" i="1"/>
  <c r="P234" i="1"/>
  <c r="O234" i="1"/>
  <c r="M234" i="1"/>
  <c r="L234" i="1"/>
  <c r="K234" i="1"/>
  <c r="J234" i="1"/>
  <c r="I234" i="1"/>
  <c r="H234" i="1"/>
  <c r="G234" i="1"/>
  <c r="F234" i="1"/>
  <c r="E234" i="1"/>
  <c r="D234" i="1"/>
  <c r="C234" i="1"/>
  <c r="B234" i="1"/>
  <c r="A234" i="1"/>
  <c r="X233" i="1"/>
  <c r="W233" i="1"/>
  <c r="V233" i="1"/>
  <c r="U233" i="1"/>
  <c r="R233" i="1"/>
  <c r="P233" i="1"/>
  <c r="O233" i="1"/>
  <c r="M233" i="1"/>
  <c r="L233" i="1"/>
  <c r="K233" i="1"/>
  <c r="J233" i="1"/>
  <c r="I233" i="1"/>
  <c r="H233" i="1"/>
  <c r="G233" i="1"/>
  <c r="F233" i="1"/>
  <c r="E233" i="1"/>
  <c r="D233" i="1"/>
  <c r="C233" i="1"/>
  <c r="B233" i="1"/>
  <c r="A233" i="1"/>
  <c r="Z232" i="1"/>
  <c r="Y232" i="1"/>
  <c r="V232" i="1"/>
  <c r="U232" i="1"/>
  <c r="O232" i="1"/>
  <c r="N232" i="1"/>
  <c r="M232" i="1"/>
  <c r="L232" i="1"/>
  <c r="K232" i="1"/>
  <c r="J232" i="1"/>
  <c r="I232" i="1"/>
  <c r="H232" i="1"/>
  <c r="G232" i="1"/>
  <c r="F232" i="1"/>
  <c r="E232" i="1"/>
  <c r="D232" i="1"/>
  <c r="C232" i="1"/>
  <c r="B232" i="1"/>
  <c r="A232" i="1"/>
  <c r="X231" i="1"/>
  <c r="W231" i="1"/>
  <c r="V231" i="1"/>
  <c r="U231" i="1"/>
  <c r="R231" i="1"/>
  <c r="P231" i="1"/>
  <c r="O231" i="1"/>
  <c r="N231" i="1"/>
  <c r="M231" i="1"/>
  <c r="L231" i="1"/>
  <c r="K231" i="1"/>
  <c r="J231" i="1"/>
  <c r="I231" i="1"/>
  <c r="H231" i="1"/>
  <c r="G231" i="1"/>
  <c r="F231" i="1"/>
  <c r="E231" i="1"/>
  <c r="D231" i="1"/>
  <c r="C231" i="1"/>
  <c r="B231" i="1"/>
  <c r="A231" i="1"/>
  <c r="X230" i="1"/>
  <c r="W230" i="1"/>
  <c r="V230" i="1"/>
  <c r="U230" i="1"/>
  <c r="R230" i="1"/>
  <c r="P230" i="1"/>
  <c r="O230" i="1"/>
  <c r="N230" i="1"/>
  <c r="M230" i="1"/>
  <c r="L230" i="1"/>
  <c r="K230" i="1"/>
  <c r="J230" i="1"/>
  <c r="I230" i="1"/>
  <c r="H230" i="1"/>
  <c r="G230" i="1"/>
  <c r="F230" i="1"/>
  <c r="E230" i="1"/>
  <c r="D230" i="1"/>
  <c r="C230" i="1"/>
  <c r="B230" i="1"/>
  <c r="A230" i="1"/>
  <c r="Z229" i="1"/>
  <c r="Y229" i="1"/>
  <c r="V229" i="1"/>
  <c r="U229" i="1"/>
  <c r="O229" i="1"/>
  <c r="N229" i="1"/>
  <c r="M229" i="1"/>
  <c r="L229" i="1"/>
  <c r="K229" i="1"/>
  <c r="J229" i="1"/>
  <c r="I229" i="1"/>
  <c r="H229" i="1"/>
  <c r="G229" i="1"/>
  <c r="F229" i="1"/>
  <c r="E229" i="1"/>
  <c r="D229" i="1"/>
  <c r="C229" i="1"/>
  <c r="B229" i="1"/>
  <c r="A229" i="1"/>
  <c r="Z228" i="1"/>
  <c r="Y228" i="1"/>
  <c r="V228" i="1"/>
  <c r="U228" i="1"/>
  <c r="O228" i="1"/>
  <c r="N228" i="1"/>
  <c r="M228" i="1"/>
  <c r="L228" i="1"/>
  <c r="K228" i="1"/>
  <c r="J228" i="1"/>
  <c r="I228" i="1"/>
  <c r="H228" i="1"/>
  <c r="G228" i="1"/>
  <c r="F228" i="1"/>
  <c r="E228" i="1"/>
  <c r="D228" i="1"/>
  <c r="C228" i="1"/>
  <c r="B228" i="1"/>
  <c r="A228" i="1"/>
  <c r="Z227" i="1"/>
  <c r="Y227" i="1"/>
  <c r="V227" i="1"/>
  <c r="U227" i="1"/>
  <c r="O227" i="1"/>
  <c r="N227" i="1"/>
  <c r="M227" i="1"/>
  <c r="L227" i="1"/>
  <c r="K227" i="1"/>
  <c r="J227" i="1"/>
  <c r="I227" i="1"/>
  <c r="H227" i="1"/>
  <c r="G227" i="1"/>
  <c r="F227" i="1"/>
  <c r="E227" i="1"/>
  <c r="D227" i="1"/>
  <c r="C227" i="1"/>
  <c r="B227" i="1"/>
  <c r="A227" i="1"/>
  <c r="Z226" i="1"/>
  <c r="Y226" i="1"/>
  <c r="V226" i="1"/>
  <c r="U226" i="1"/>
  <c r="T226" i="1"/>
  <c r="O226" i="1"/>
  <c r="N226" i="1"/>
  <c r="M226" i="1"/>
  <c r="L226" i="1"/>
  <c r="K226" i="1"/>
  <c r="J226" i="1"/>
  <c r="I226" i="1"/>
  <c r="H226" i="1"/>
  <c r="G226" i="1"/>
  <c r="F226" i="1"/>
  <c r="E226" i="1"/>
  <c r="D226" i="1"/>
  <c r="C226" i="1"/>
  <c r="B226" i="1"/>
  <c r="A226" i="1"/>
  <c r="Z225" i="1"/>
  <c r="Y225" i="1"/>
  <c r="V225" i="1"/>
  <c r="U225" i="1"/>
  <c r="O225" i="1"/>
  <c r="N225" i="1"/>
  <c r="M225" i="1"/>
  <c r="L225" i="1"/>
  <c r="K225" i="1"/>
  <c r="J225" i="1"/>
  <c r="I225" i="1"/>
  <c r="H225" i="1"/>
  <c r="G225" i="1"/>
  <c r="F225" i="1"/>
  <c r="E225" i="1"/>
  <c r="D225" i="1"/>
  <c r="C225" i="1"/>
  <c r="B225" i="1"/>
  <c r="A225" i="1"/>
  <c r="Z224" i="1"/>
  <c r="Y224" i="1"/>
  <c r="V224" i="1"/>
  <c r="U224" i="1"/>
  <c r="O224" i="1"/>
  <c r="N224" i="1"/>
  <c r="M224" i="1"/>
  <c r="L224" i="1"/>
  <c r="K224" i="1"/>
  <c r="J224" i="1"/>
  <c r="I224" i="1"/>
  <c r="H224" i="1"/>
  <c r="G224" i="1"/>
  <c r="F224" i="1"/>
  <c r="E224" i="1"/>
  <c r="D224" i="1"/>
  <c r="C224" i="1"/>
  <c r="B224" i="1"/>
  <c r="A224" i="1"/>
  <c r="V223" i="1"/>
  <c r="U223" i="1"/>
  <c r="O223" i="1"/>
  <c r="N223" i="1"/>
  <c r="M223" i="1"/>
  <c r="L223" i="1"/>
  <c r="K223" i="1"/>
  <c r="J223" i="1"/>
  <c r="I223" i="1"/>
  <c r="H223" i="1"/>
  <c r="G223" i="1"/>
  <c r="F223" i="1"/>
  <c r="E223" i="1"/>
  <c r="D223" i="1"/>
  <c r="C223" i="1"/>
  <c r="B223" i="1"/>
  <c r="A223" i="1"/>
  <c r="Z222" i="1"/>
  <c r="Y222" i="1"/>
  <c r="V222" i="1"/>
  <c r="U222" i="1"/>
  <c r="S222" i="1"/>
  <c r="Q222" i="1"/>
  <c r="P222" i="1"/>
  <c r="O222" i="1"/>
  <c r="N222" i="1"/>
  <c r="M222" i="1"/>
  <c r="L222" i="1"/>
  <c r="K222" i="1"/>
  <c r="J222" i="1"/>
  <c r="I222" i="1"/>
  <c r="H222" i="1"/>
  <c r="G222" i="1"/>
  <c r="F222" i="1"/>
  <c r="E222" i="1"/>
  <c r="D222" i="1"/>
  <c r="C222" i="1"/>
  <c r="B222" i="1"/>
  <c r="A222" i="1"/>
  <c r="Z221" i="1"/>
  <c r="Y221" i="1"/>
  <c r="V221" i="1"/>
  <c r="U221" i="1"/>
  <c r="S221" i="1"/>
  <c r="Q221" i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A221" i="1"/>
  <c r="Z220" i="1"/>
  <c r="Y220" i="1"/>
  <c r="V220" i="1"/>
  <c r="U220" i="1"/>
  <c r="S220" i="1"/>
  <c r="O220" i="1"/>
  <c r="N220" i="1"/>
  <c r="M220" i="1"/>
  <c r="L220" i="1"/>
  <c r="K220" i="1"/>
  <c r="J220" i="1"/>
  <c r="I220" i="1"/>
  <c r="H220" i="1"/>
  <c r="G220" i="1"/>
  <c r="F220" i="1"/>
  <c r="E220" i="1"/>
  <c r="D220" i="1"/>
  <c r="C220" i="1"/>
  <c r="B220" i="1"/>
  <c r="A220" i="1"/>
  <c r="X219" i="1"/>
  <c r="W219" i="1"/>
  <c r="V219" i="1"/>
  <c r="U219" i="1"/>
  <c r="R219" i="1"/>
  <c r="O219" i="1"/>
  <c r="M219" i="1"/>
  <c r="L219" i="1"/>
  <c r="K219" i="1"/>
  <c r="J219" i="1"/>
  <c r="I219" i="1"/>
  <c r="H219" i="1"/>
  <c r="G219" i="1"/>
  <c r="F219" i="1"/>
  <c r="E219" i="1"/>
  <c r="D219" i="1"/>
  <c r="C219" i="1"/>
  <c r="B219" i="1"/>
  <c r="A219" i="1"/>
  <c r="Z218" i="1"/>
  <c r="Y218" i="1"/>
  <c r="V218" i="1"/>
  <c r="U218" i="1"/>
  <c r="O218" i="1"/>
  <c r="M218" i="1"/>
  <c r="L218" i="1"/>
  <c r="K218" i="1"/>
  <c r="J218" i="1"/>
  <c r="I218" i="1"/>
  <c r="H218" i="1"/>
  <c r="G218" i="1"/>
  <c r="F218" i="1"/>
  <c r="E218" i="1"/>
  <c r="D218" i="1"/>
  <c r="C218" i="1"/>
  <c r="B218" i="1"/>
  <c r="A218" i="1"/>
  <c r="Z217" i="1"/>
  <c r="Y217" i="1"/>
  <c r="V217" i="1"/>
  <c r="U217" i="1"/>
  <c r="O217" i="1"/>
  <c r="N217" i="1"/>
  <c r="M217" i="1"/>
  <c r="L217" i="1"/>
  <c r="K217" i="1"/>
  <c r="J217" i="1"/>
  <c r="I217" i="1"/>
  <c r="H217" i="1"/>
  <c r="G217" i="1"/>
  <c r="F217" i="1"/>
  <c r="E217" i="1"/>
  <c r="D217" i="1"/>
  <c r="C217" i="1"/>
  <c r="B217" i="1"/>
  <c r="A217" i="1"/>
  <c r="Z216" i="1"/>
  <c r="Y216" i="1"/>
  <c r="V216" i="1"/>
  <c r="U216" i="1"/>
  <c r="O216" i="1"/>
  <c r="N216" i="1"/>
  <c r="M216" i="1"/>
  <c r="L216" i="1"/>
  <c r="K216" i="1"/>
  <c r="J216" i="1"/>
  <c r="I216" i="1"/>
  <c r="H216" i="1"/>
  <c r="G216" i="1"/>
  <c r="F216" i="1"/>
  <c r="E216" i="1"/>
  <c r="D216" i="1"/>
  <c r="C216" i="1"/>
  <c r="B216" i="1"/>
  <c r="A216" i="1"/>
  <c r="Z215" i="1"/>
  <c r="Y215" i="1"/>
  <c r="V215" i="1"/>
  <c r="U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A215" i="1"/>
  <c r="X214" i="1"/>
  <c r="W214" i="1"/>
  <c r="V214" i="1"/>
  <c r="U214" i="1"/>
  <c r="S214" i="1"/>
  <c r="R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  <c r="A214" i="1"/>
  <c r="X213" i="1"/>
  <c r="W213" i="1"/>
  <c r="V213" i="1"/>
  <c r="U213" i="1"/>
  <c r="S213" i="1"/>
  <c r="R213" i="1"/>
  <c r="P213" i="1"/>
  <c r="O213" i="1"/>
  <c r="N213" i="1"/>
  <c r="M213" i="1"/>
  <c r="L213" i="1"/>
  <c r="K213" i="1"/>
  <c r="J213" i="1"/>
  <c r="I213" i="1"/>
  <c r="H213" i="1"/>
  <c r="G213" i="1"/>
  <c r="F213" i="1"/>
  <c r="E213" i="1"/>
  <c r="D213" i="1"/>
  <c r="C213" i="1"/>
  <c r="B213" i="1"/>
  <c r="A213" i="1"/>
  <c r="X212" i="1"/>
  <c r="W212" i="1"/>
  <c r="V212" i="1"/>
  <c r="U212" i="1"/>
  <c r="S212" i="1"/>
  <c r="R212" i="1"/>
  <c r="P212" i="1"/>
  <c r="O212" i="1"/>
  <c r="N212" i="1"/>
  <c r="M212" i="1"/>
  <c r="L212" i="1"/>
  <c r="K212" i="1"/>
  <c r="J212" i="1"/>
  <c r="I212" i="1"/>
  <c r="H212" i="1"/>
  <c r="G212" i="1"/>
  <c r="F212" i="1"/>
  <c r="E212" i="1"/>
  <c r="D212" i="1"/>
  <c r="C212" i="1"/>
  <c r="B212" i="1"/>
  <c r="A212" i="1"/>
  <c r="X211" i="1"/>
  <c r="W211" i="1"/>
  <c r="V211" i="1"/>
  <c r="U211" i="1"/>
  <c r="S211" i="1"/>
  <c r="R211" i="1"/>
  <c r="P211" i="1"/>
  <c r="O211" i="1"/>
  <c r="N211" i="1"/>
  <c r="M211" i="1"/>
  <c r="L211" i="1"/>
  <c r="K211" i="1"/>
  <c r="J211" i="1"/>
  <c r="I211" i="1"/>
  <c r="H211" i="1"/>
  <c r="G211" i="1"/>
  <c r="F211" i="1"/>
  <c r="E211" i="1"/>
  <c r="D211" i="1"/>
  <c r="C211" i="1"/>
  <c r="B211" i="1"/>
  <c r="A211" i="1"/>
  <c r="X210" i="1"/>
  <c r="W210" i="1"/>
  <c r="V210" i="1"/>
  <c r="U210" i="1"/>
  <c r="S210" i="1"/>
  <c r="R210" i="1"/>
  <c r="P210" i="1"/>
  <c r="O210" i="1"/>
  <c r="N210" i="1"/>
  <c r="M210" i="1"/>
  <c r="L210" i="1"/>
  <c r="K210" i="1"/>
  <c r="J210" i="1"/>
  <c r="I210" i="1"/>
  <c r="H210" i="1"/>
  <c r="G210" i="1"/>
  <c r="F210" i="1"/>
  <c r="E210" i="1"/>
  <c r="D210" i="1"/>
  <c r="C210" i="1"/>
  <c r="B210" i="1"/>
  <c r="A210" i="1"/>
  <c r="AC209" i="1"/>
  <c r="Z209" i="1"/>
  <c r="Y209" i="1"/>
  <c r="V209" i="1"/>
  <c r="U209" i="1"/>
  <c r="Q209" i="1"/>
  <c r="P209" i="1"/>
  <c r="O209" i="1"/>
  <c r="N209" i="1"/>
  <c r="M209" i="1"/>
  <c r="L209" i="1"/>
  <c r="K209" i="1"/>
  <c r="J209" i="1"/>
  <c r="I209" i="1"/>
  <c r="H209" i="1"/>
  <c r="G209" i="1"/>
  <c r="F209" i="1"/>
  <c r="E209" i="1"/>
  <c r="D209" i="1"/>
  <c r="C209" i="1"/>
  <c r="B209" i="1"/>
  <c r="A209" i="1"/>
  <c r="AC208" i="1"/>
  <c r="Z208" i="1"/>
  <c r="Y208" i="1"/>
  <c r="V208" i="1"/>
  <c r="U208" i="1"/>
  <c r="O208" i="1"/>
  <c r="N208" i="1"/>
  <c r="M208" i="1"/>
  <c r="L208" i="1"/>
  <c r="K208" i="1"/>
  <c r="J208" i="1"/>
  <c r="I208" i="1"/>
  <c r="H208" i="1"/>
  <c r="G208" i="1"/>
  <c r="F208" i="1"/>
  <c r="E208" i="1"/>
  <c r="D208" i="1"/>
  <c r="C208" i="1"/>
  <c r="B208" i="1"/>
  <c r="A208" i="1"/>
  <c r="Z207" i="1"/>
  <c r="Y207" i="1"/>
  <c r="V207" i="1"/>
  <c r="U207" i="1"/>
  <c r="O207" i="1"/>
  <c r="N207" i="1"/>
  <c r="M207" i="1"/>
  <c r="L207" i="1"/>
  <c r="K207" i="1"/>
  <c r="I207" i="1"/>
  <c r="H207" i="1"/>
  <c r="G207" i="1"/>
  <c r="F207" i="1"/>
  <c r="E207" i="1"/>
  <c r="D207" i="1"/>
  <c r="C207" i="1"/>
  <c r="B207" i="1"/>
  <c r="A207" i="1"/>
  <c r="Z206" i="1"/>
  <c r="Y206" i="1"/>
  <c r="V206" i="1"/>
  <c r="U206" i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  <c r="A206" i="1"/>
  <c r="V205" i="1"/>
  <c r="U205" i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Z204" i="1"/>
  <c r="Y204" i="1"/>
  <c r="V204" i="1"/>
  <c r="U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  <c r="AC203" i="1"/>
  <c r="Z203" i="1"/>
  <c r="Y203" i="1"/>
  <c r="V203" i="1"/>
  <c r="U203" i="1"/>
  <c r="S203" i="1"/>
  <c r="O203" i="1"/>
  <c r="N203" i="1"/>
  <c r="M203" i="1"/>
  <c r="L203" i="1"/>
  <c r="K203" i="1"/>
  <c r="J203" i="1"/>
  <c r="I203" i="1"/>
  <c r="H203" i="1"/>
  <c r="G203" i="1"/>
  <c r="F203" i="1"/>
  <c r="E203" i="1"/>
  <c r="D203" i="1"/>
  <c r="C203" i="1"/>
  <c r="B203" i="1"/>
  <c r="A203" i="1"/>
  <c r="Z202" i="1"/>
  <c r="Y202" i="1"/>
  <c r="V202" i="1"/>
  <c r="U202" i="1"/>
  <c r="T202" i="1"/>
  <c r="S202" i="1"/>
  <c r="O202" i="1"/>
  <c r="N202" i="1"/>
  <c r="M202" i="1"/>
  <c r="L202" i="1"/>
  <c r="K202" i="1"/>
  <c r="J202" i="1"/>
  <c r="I202" i="1"/>
  <c r="H202" i="1"/>
  <c r="G202" i="1"/>
  <c r="F202" i="1"/>
  <c r="E202" i="1"/>
  <c r="D202" i="1"/>
  <c r="C202" i="1"/>
  <c r="B202" i="1"/>
  <c r="A202" i="1"/>
  <c r="Z201" i="1"/>
  <c r="Y201" i="1"/>
  <c r="V201" i="1"/>
  <c r="U201" i="1"/>
  <c r="S201" i="1"/>
  <c r="O201" i="1"/>
  <c r="N201" i="1"/>
  <c r="M201" i="1"/>
  <c r="L201" i="1"/>
  <c r="K201" i="1"/>
  <c r="J201" i="1"/>
  <c r="I201" i="1"/>
  <c r="H201" i="1"/>
  <c r="G201" i="1"/>
  <c r="F201" i="1"/>
  <c r="E201" i="1"/>
  <c r="D201" i="1"/>
  <c r="C201" i="1"/>
  <c r="B201" i="1"/>
  <c r="A201" i="1"/>
  <c r="AC200" i="1"/>
  <c r="Z200" i="1"/>
  <c r="Y200" i="1"/>
  <c r="V200" i="1"/>
  <c r="U200" i="1"/>
  <c r="S200" i="1"/>
  <c r="Q200" i="1"/>
  <c r="P200" i="1"/>
  <c r="O200" i="1"/>
  <c r="N200" i="1"/>
  <c r="M200" i="1"/>
  <c r="L200" i="1"/>
  <c r="K200" i="1"/>
  <c r="J200" i="1"/>
  <c r="I200" i="1"/>
  <c r="H200" i="1"/>
  <c r="G200" i="1"/>
  <c r="F200" i="1"/>
  <c r="E200" i="1"/>
  <c r="D200" i="1"/>
  <c r="C200" i="1"/>
  <c r="B200" i="1"/>
  <c r="A200" i="1"/>
  <c r="Z199" i="1"/>
  <c r="Y199" i="1"/>
  <c r="V199" i="1"/>
  <c r="U199" i="1"/>
  <c r="S199" i="1"/>
  <c r="O199" i="1"/>
  <c r="N199" i="1"/>
  <c r="M199" i="1"/>
  <c r="L199" i="1"/>
  <c r="K199" i="1"/>
  <c r="J199" i="1"/>
  <c r="I199" i="1"/>
  <c r="H199" i="1"/>
  <c r="G199" i="1"/>
  <c r="F199" i="1"/>
  <c r="E199" i="1"/>
  <c r="D199" i="1"/>
  <c r="C199" i="1"/>
  <c r="B199" i="1"/>
  <c r="A199" i="1"/>
  <c r="Z198" i="1"/>
  <c r="Y198" i="1"/>
  <c r="V198" i="1"/>
  <c r="U198" i="1"/>
  <c r="S198" i="1"/>
  <c r="O198" i="1"/>
  <c r="N198" i="1"/>
  <c r="M198" i="1"/>
  <c r="L198" i="1"/>
  <c r="K198" i="1"/>
  <c r="J198" i="1"/>
  <c r="I198" i="1"/>
  <c r="H198" i="1"/>
  <c r="G198" i="1"/>
  <c r="F198" i="1"/>
  <c r="E198" i="1"/>
  <c r="D198" i="1"/>
  <c r="C198" i="1"/>
  <c r="B198" i="1"/>
  <c r="A198" i="1"/>
  <c r="Z197" i="1"/>
  <c r="Y197" i="1"/>
  <c r="V197" i="1"/>
  <c r="U197" i="1"/>
  <c r="S197" i="1"/>
  <c r="O197" i="1"/>
  <c r="N197" i="1"/>
  <c r="M197" i="1"/>
  <c r="L197" i="1"/>
  <c r="K197" i="1"/>
  <c r="J197" i="1"/>
  <c r="I197" i="1"/>
  <c r="H197" i="1"/>
  <c r="G197" i="1"/>
  <c r="F197" i="1"/>
  <c r="E197" i="1"/>
  <c r="D197" i="1"/>
  <c r="C197" i="1"/>
  <c r="B197" i="1"/>
  <c r="A197" i="1"/>
  <c r="AC196" i="1"/>
  <c r="X196" i="1"/>
  <c r="W196" i="1"/>
  <c r="V196" i="1"/>
  <c r="U196" i="1"/>
  <c r="S196" i="1"/>
  <c r="R196" i="1"/>
  <c r="P196" i="1"/>
  <c r="O196" i="1"/>
  <c r="N196" i="1"/>
  <c r="M196" i="1"/>
  <c r="L196" i="1"/>
  <c r="K196" i="1"/>
  <c r="J196" i="1"/>
  <c r="I196" i="1"/>
  <c r="H196" i="1"/>
  <c r="G196" i="1"/>
  <c r="F196" i="1"/>
  <c r="E196" i="1"/>
  <c r="D196" i="1"/>
  <c r="C196" i="1"/>
  <c r="B196" i="1"/>
  <c r="A196" i="1"/>
  <c r="Z195" i="1"/>
  <c r="Y195" i="1"/>
  <c r="V195" i="1"/>
  <c r="U195" i="1"/>
  <c r="S195" i="1"/>
  <c r="O195" i="1"/>
  <c r="N195" i="1"/>
  <c r="M195" i="1"/>
  <c r="L195" i="1"/>
  <c r="K195" i="1"/>
  <c r="J195" i="1"/>
  <c r="I195" i="1"/>
  <c r="H195" i="1"/>
  <c r="G195" i="1"/>
  <c r="F195" i="1"/>
  <c r="E195" i="1"/>
  <c r="D195" i="1"/>
  <c r="C195" i="1"/>
  <c r="B195" i="1"/>
  <c r="A195" i="1"/>
  <c r="Z194" i="1"/>
  <c r="Y194" i="1"/>
  <c r="V194" i="1"/>
  <c r="U194" i="1"/>
  <c r="S194" i="1"/>
  <c r="Q194" i="1"/>
  <c r="P194" i="1"/>
  <c r="O194" i="1"/>
  <c r="N194" i="1"/>
  <c r="M194" i="1"/>
  <c r="L194" i="1"/>
  <c r="K194" i="1"/>
  <c r="J194" i="1"/>
  <c r="I194" i="1"/>
  <c r="H194" i="1"/>
  <c r="G194" i="1"/>
  <c r="F194" i="1"/>
  <c r="E194" i="1"/>
  <c r="D194" i="1"/>
  <c r="C194" i="1"/>
  <c r="B194" i="1"/>
  <c r="A194" i="1"/>
  <c r="Z193" i="1"/>
  <c r="Y193" i="1"/>
  <c r="V193" i="1"/>
  <c r="U193" i="1"/>
  <c r="O193" i="1"/>
  <c r="N193" i="1"/>
  <c r="M193" i="1"/>
  <c r="L193" i="1"/>
  <c r="K193" i="1"/>
  <c r="J193" i="1"/>
  <c r="I193" i="1"/>
  <c r="H193" i="1"/>
  <c r="G193" i="1"/>
  <c r="F193" i="1"/>
  <c r="E193" i="1"/>
  <c r="D193" i="1"/>
  <c r="C193" i="1"/>
  <c r="B193" i="1"/>
  <c r="A193" i="1"/>
  <c r="Z192" i="1"/>
  <c r="Y192" i="1"/>
  <c r="V192" i="1"/>
  <c r="U192" i="1"/>
  <c r="O192" i="1"/>
  <c r="N192" i="1"/>
  <c r="M192" i="1"/>
  <c r="L192" i="1"/>
  <c r="K192" i="1"/>
  <c r="J192" i="1"/>
  <c r="I192" i="1"/>
  <c r="H192" i="1"/>
  <c r="G192" i="1"/>
  <c r="F192" i="1"/>
  <c r="E192" i="1"/>
  <c r="D192" i="1"/>
  <c r="C192" i="1"/>
  <c r="B192" i="1"/>
  <c r="A192" i="1"/>
  <c r="Z191" i="1"/>
  <c r="Y191" i="1"/>
  <c r="V191" i="1"/>
  <c r="U191" i="1"/>
  <c r="Q191" i="1"/>
  <c r="P191" i="1"/>
  <c r="O191" i="1"/>
  <c r="N191" i="1"/>
  <c r="M191" i="1"/>
  <c r="L191" i="1"/>
  <c r="K191" i="1"/>
  <c r="J191" i="1"/>
  <c r="I191" i="1"/>
  <c r="H191" i="1"/>
  <c r="G191" i="1"/>
  <c r="F191" i="1"/>
  <c r="E191" i="1"/>
  <c r="D191" i="1"/>
  <c r="C191" i="1"/>
  <c r="B191" i="1"/>
  <c r="A191" i="1"/>
  <c r="AC190" i="1"/>
  <c r="X190" i="1"/>
  <c r="W190" i="1"/>
  <c r="V190" i="1"/>
  <c r="U190" i="1"/>
  <c r="R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A190" i="1"/>
  <c r="Z189" i="1"/>
  <c r="Y189" i="1"/>
  <c r="V189" i="1"/>
  <c r="U189" i="1"/>
  <c r="T189" i="1"/>
  <c r="S189" i="1"/>
  <c r="Q189" i="1"/>
  <c r="P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B189" i="1"/>
  <c r="A189" i="1"/>
  <c r="Z188" i="1"/>
  <c r="Y188" i="1"/>
  <c r="V188" i="1"/>
  <c r="U188" i="1"/>
  <c r="S188" i="1"/>
  <c r="O188" i="1"/>
  <c r="N188" i="1"/>
  <c r="M188" i="1"/>
  <c r="L188" i="1"/>
  <c r="K188" i="1"/>
  <c r="J188" i="1"/>
  <c r="I188" i="1"/>
  <c r="H188" i="1"/>
  <c r="G188" i="1"/>
  <c r="F188" i="1"/>
  <c r="E188" i="1"/>
  <c r="D188" i="1"/>
  <c r="C188" i="1"/>
  <c r="B188" i="1"/>
  <c r="A188" i="1"/>
  <c r="Z187" i="1"/>
  <c r="Y187" i="1"/>
  <c r="V187" i="1"/>
  <c r="U187" i="1"/>
  <c r="T187" i="1"/>
  <c r="S187" i="1"/>
  <c r="O187" i="1"/>
  <c r="N187" i="1"/>
  <c r="M187" i="1"/>
  <c r="L187" i="1"/>
  <c r="K187" i="1"/>
  <c r="J187" i="1"/>
  <c r="I187" i="1"/>
  <c r="H187" i="1"/>
  <c r="G187" i="1"/>
  <c r="F187" i="1"/>
  <c r="E187" i="1"/>
  <c r="D187" i="1"/>
  <c r="C187" i="1"/>
  <c r="B187" i="1"/>
  <c r="A187" i="1"/>
  <c r="Z186" i="1"/>
  <c r="Y186" i="1"/>
  <c r="V186" i="1"/>
  <c r="U186" i="1"/>
  <c r="O186" i="1"/>
  <c r="N186" i="1"/>
  <c r="M186" i="1"/>
  <c r="L186" i="1"/>
  <c r="K186" i="1"/>
  <c r="J186" i="1"/>
  <c r="I186" i="1"/>
  <c r="H186" i="1"/>
  <c r="G186" i="1"/>
  <c r="F186" i="1"/>
  <c r="E186" i="1"/>
  <c r="D186" i="1"/>
  <c r="C186" i="1"/>
  <c r="B186" i="1"/>
  <c r="A186" i="1"/>
  <c r="Z185" i="1"/>
  <c r="Y185" i="1"/>
  <c r="V185" i="1"/>
  <c r="U185" i="1"/>
  <c r="O185" i="1"/>
  <c r="N185" i="1"/>
  <c r="M185" i="1"/>
  <c r="L185" i="1"/>
  <c r="K185" i="1"/>
  <c r="J185" i="1"/>
  <c r="I185" i="1"/>
  <c r="H185" i="1"/>
  <c r="G185" i="1"/>
  <c r="F185" i="1"/>
  <c r="E185" i="1"/>
  <c r="D185" i="1"/>
  <c r="C185" i="1"/>
  <c r="B185" i="1"/>
  <c r="A185" i="1"/>
  <c r="Z184" i="1"/>
  <c r="Y184" i="1"/>
  <c r="V184" i="1"/>
  <c r="U184" i="1"/>
  <c r="S184" i="1"/>
  <c r="O184" i="1"/>
  <c r="N184" i="1"/>
  <c r="M184" i="1"/>
  <c r="L184" i="1"/>
  <c r="K184" i="1"/>
  <c r="J184" i="1"/>
  <c r="I184" i="1"/>
  <c r="H184" i="1"/>
  <c r="G184" i="1"/>
  <c r="F184" i="1"/>
  <c r="E184" i="1"/>
  <c r="D184" i="1"/>
  <c r="C184" i="1"/>
  <c r="B184" i="1"/>
  <c r="A184" i="1"/>
  <c r="Z183" i="1"/>
  <c r="Y183" i="1"/>
  <c r="V183" i="1"/>
  <c r="U183" i="1"/>
  <c r="S183" i="1"/>
  <c r="O183" i="1"/>
  <c r="N183" i="1"/>
  <c r="M183" i="1"/>
  <c r="L183" i="1"/>
  <c r="K183" i="1"/>
  <c r="J183" i="1"/>
  <c r="I183" i="1"/>
  <c r="H183" i="1"/>
  <c r="G183" i="1"/>
  <c r="F183" i="1"/>
  <c r="E183" i="1"/>
  <c r="D183" i="1"/>
  <c r="C183" i="1"/>
  <c r="B183" i="1"/>
  <c r="A183" i="1"/>
  <c r="V182" i="1"/>
  <c r="U182" i="1"/>
  <c r="S182" i="1"/>
  <c r="O182" i="1"/>
  <c r="N182" i="1"/>
  <c r="M182" i="1"/>
  <c r="L182" i="1"/>
  <c r="K182" i="1"/>
  <c r="J182" i="1"/>
  <c r="I182" i="1"/>
  <c r="H182" i="1"/>
  <c r="G182" i="1"/>
  <c r="F182" i="1"/>
  <c r="E182" i="1"/>
  <c r="D182" i="1"/>
  <c r="C182" i="1"/>
  <c r="B182" i="1"/>
  <c r="A182" i="1"/>
  <c r="Z181" i="1"/>
  <c r="Y181" i="1"/>
  <c r="V181" i="1"/>
  <c r="U181" i="1"/>
  <c r="S181" i="1"/>
  <c r="Q181" i="1"/>
  <c r="P181" i="1"/>
  <c r="O181" i="1"/>
  <c r="N181" i="1"/>
  <c r="M181" i="1"/>
  <c r="L181" i="1"/>
  <c r="K181" i="1"/>
  <c r="J181" i="1"/>
  <c r="I181" i="1"/>
  <c r="H181" i="1"/>
  <c r="G181" i="1"/>
  <c r="F181" i="1"/>
  <c r="E181" i="1"/>
  <c r="D181" i="1"/>
  <c r="C181" i="1"/>
  <c r="B181" i="1"/>
  <c r="A181" i="1"/>
  <c r="Z180" i="1"/>
  <c r="Y180" i="1"/>
  <c r="V180" i="1"/>
  <c r="U180" i="1"/>
  <c r="S180" i="1"/>
  <c r="O180" i="1"/>
  <c r="N180" i="1"/>
  <c r="M180" i="1"/>
  <c r="L180" i="1"/>
  <c r="K180" i="1"/>
  <c r="J180" i="1"/>
  <c r="I180" i="1"/>
  <c r="H180" i="1"/>
  <c r="G180" i="1"/>
  <c r="F180" i="1"/>
  <c r="E180" i="1"/>
  <c r="D180" i="1"/>
  <c r="C180" i="1"/>
  <c r="B180" i="1"/>
  <c r="A180" i="1"/>
  <c r="Z179" i="1"/>
  <c r="Y179" i="1"/>
  <c r="V179" i="1"/>
  <c r="U179" i="1"/>
  <c r="S179" i="1"/>
  <c r="O179" i="1"/>
  <c r="N179" i="1"/>
  <c r="M179" i="1"/>
  <c r="L179" i="1"/>
  <c r="K179" i="1"/>
  <c r="J179" i="1"/>
  <c r="I179" i="1"/>
  <c r="H179" i="1"/>
  <c r="G179" i="1"/>
  <c r="F179" i="1"/>
  <c r="E179" i="1"/>
  <c r="D179" i="1"/>
  <c r="C179" i="1"/>
  <c r="B179" i="1"/>
  <c r="A179" i="1"/>
  <c r="X178" i="1"/>
  <c r="W178" i="1"/>
  <c r="V178" i="1"/>
  <c r="U178" i="1"/>
  <c r="S178" i="1"/>
  <c r="R178" i="1"/>
  <c r="O178" i="1"/>
  <c r="N178" i="1"/>
  <c r="M178" i="1"/>
  <c r="L178" i="1"/>
  <c r="K178" i="1"/>
  <c r="J178" i="1"/>
  <c r="I178" i="1"/>
  <c r="H178" i="1"/>
  <c r="G178" i="1"/>
  <c r="F178" i="1"/>
  <c r="E178" i="1"/>
  <c r="D178" i="1"/>
  <c r="C178" i="1"/>
  <c r="B178" i="1"/>
  <c r="A178" i="1"/>
  <c r="Z177" i="1"/>
  <c r="Y177" i="1"/>
  <c r="V177" i="1"/>
  <c r="U177" i="1"/>
  <c r="S177" i="1"/>
  <c r="Q177" i="1"/>
  <c r="P177" i="1"/>
  <c r="O177" i="1"/>
  <c r="N177" i="1"/>
  <c r="M177" i="1"/>
  <c r="L177" i="1"/>
  <c r="K177" i="1"/>
  <c r="J177" i="1"/>
  <c r="I177" i="1"/>
  <c r="H177" i="1"/>
  <c r="G177" i="1"/>
  <c r="F177" i="1"/>
  <c r="E177" i="1"/>
  <c r="D177" i="1"/>
  <c r="C177" i="1"/>
  <c r="B177" i="1"/>
  <c r="A177" i="1"/>
  <c r="X176" i="1"/>
  <c r="W176" i="1"/>
  <c r="V176" i="1"/>
  <c r="U176" i="1"/>
  <c r="R176" i="1"/>
  <c r="O176" i="1"/>
  <c r="N176" i="1"/>
  <c r="M176" i="1"/>
  <c r="L176" i="1"/>
  <c r="K176" i="1"/>
  <c r="J176" i="1"/>
  <c r="I176" i="1"/>
  <c r="H176" i="1"/>
  <c r="G176" i="1"/>
  <c r="F176" i="1"/>
  <c r="E176" i="1"/>
  <c r="D176" i="1"/>
  <c r="C176" i="1"/>
  <c r="B176" i="1"/>
  <c r="A176" i="1"/>
  <c r="Z175" i="1"/>
  <c r="Y175" i="1"/>
  <c r="X175" i="1"/>
  <c r="W175" i="1"/>
  <c r="V175" i="1"/>
  <c r="U175" i="1"/>
  <c r="R175" i="1"/>
  <c r="Q175" i="1"/>
  <c r="P175" i="1"/>
  <c r="O175" i="1"/>
  <c r="N175" i="1"/>
  <c r="M175" i="1"/>
  <c r="L175" i="1"/>
  <c r="K175" i="1"/>
  <c r="J175" i="1"/>
  <c r="I175" i="1"/>
  <c r="H175" i="1"/>
  <c r="G175" i="1"/>
  <c r="F175" i="1"/>
  <c r="E175" i="1"/>
  <c r="D175" i="1"/>
  <c r="C175" i="1"/>
  <c r="B175" i="1"/>
  <c r="A175" i="1"/>
  <c r="V174" i="1"/>
  <c r="U174" i="1"/>
  <c r="O174" i="1"/>
  <c r="N174" i="1"/>
  <c r="M174" i="1"/>
  <c r="L174" i="1"/>
  <c r="K174" i="1"/>
  <c r="J174" i="1"/>
  <c r="I174" i="1"/>
  <c r="H174" i="1"/>
  <c r="G174" i="1"/>
  <c r="F174" i="1"/>
  <c r="E174" i="1"/>
  <c r="D174" i="1"/>
  <c r="C174" i="1"/>
  <c r="B174" i="1"/>
  <c r="A174" i="1"/>
  <c r="Z173" i="1"/>
  <c r="Y173" i="1"/>
  <c r="V173" i="1"/>
  <c r="U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173" i="1"/>
  <c r="A173" i="1"/>
  <c r="Z172" i="1"/>
  <c r="Y172" i="1"/>
  <c r="V172" i="1"/>
  <c r="U172" i="1"/>
  <c r="O172" i="1"/>
  <c r="N172" i="1"/>
  <c r="M172" i="1"/>
  <c r="L172" i="1"/>
  <c r="K172" i="1"/>
  <c r="J172" i="1"/>
  <c r="I172" i="1"/>
  <c r="H172" i="1"/>
  <c r="G172" i="1"/>
  <c r="F172" i="1"/>
  <c r="E172" i="1"/>
  <c r="D172" i="1"/>
  <c r="C172" i="1"/>
  <c r="B172" i="1"/>
  <c r="A172" i="1"/>
  <c r="Z171" i="1"/>
  <c r="Y171" i="1"/>
  <c r="V171" i="1"/>
  <c r="U171" i="1"/>
  <c r="O171" i="1"/>
  <c r="N171" i="1"/>
  <c r="M171" i="1"/>
  <c r="L171" i="1"/>
  <c r="K171" i="1"/>
  <c r="J171" i="1"/>
  <c r="I171" i="1"/>
  <c r="H171" i="1"/>
  <c r="G171" i="1"/>
  <c r="F171" i="1"/>
  <c r="E171" i="1"/>
  <c r="D171" i="1"/>
  <c r="C171" i="1"/>
  <c r="B171" i="1"/>
  <c r="A171" i="1"/>
  <c r="Z170" i="1"/>
  <c r="Y170" i="1"/>
  <c r="V170" i="1"/>
  <c r="U170" i="1"/>
  <c r="T170" i="1"/>
  <c r="Q170" i="1"/>
  <c r="P170" i="1"/>
  <c r="O170" i="1"/>
  <c r="N170" i="1"/>
  <c r="M170" i="1"/>
  <c r="L170" i="1"/>
  <c r="K170" i="1"/>
  <c r="J170" i="1"/>
  <c r="I170" i="1"/>
  <c r="H170" i="1"/>
  <c r="G170" i="1"/>
  <c r="F170" i="1"/>
  <c r="E170" i="1"/>
  <c r="D170" i="1"/>
  <c r="C170" i="1"/>
  <c r="B170" i="1"/>
  <c r="A170" i="1"/>
  <c r="Z169" i="1"/>
  <c r="Y169" i="1"/>
  <c r="V169" i="1"/>
  <c r="U169" i="1"/>
  <c r="Q169" i="1"/>
  <c r="P169" i="1"/>
  <c r="O169" i="1"/>
  <c r="N169" i="1"/>
  <c r="M169" i="1"/>
  <c r="L169" i="1"/>
  <c r="K169" i="1"/>
  <c r="J169" i="1"/>
  <c r="I169" i="1"/>
  <c r="H169" i="1"/>
  <c r="G169" i="1"/>
  <c r="F169" i="1"/>
  <c r="E169" i="1"/>
  <c r="D169" i="1"/>
  <c r="C169" i="1"/>
  <c r="B169" i="1"/>
  <c r="A169" i="1"/>
  <c r="Z168" i="1"/>
  <c r="Y168" i="1"/>
  <c r="V168" i="1"/>
  <c r="U168" i="1"/>
  <c r="S168" i="1"/>
  <c r="O168" i="1"/>
  <c r="N168" i="1"/>
  <c r="M168" i="1"/>
  <c r="L168" i="1"/>
  <c r="K168" i="1"/>
  <c r="J168" i="1"/>
  <c r="I168" i="1"/>
  <c r="H168" i="1"/>
  <c r="G168" i="1"/>
  <c r="F168" i="1"/>
  <c r="E168" i="1"/>
  <c r="D168" i="1"/>
  <c r="C168" i="1"/>
  <c r="B168" i="1"/>
  <c r="A168" i="1"/>
  <c r="Z167" i="1"/>
  <c r="Y167" i="1"/>
  <c r="V167" i="1"/>
  <c r="U167" i="1"/>
  <c r="S167" i="1"/>
  <c r="O167" i="1"/>
  <c r="N167" i="1"/>
  <c r="M167" i="1"/>
  <c r="L167" i="1"/>
  <c r="K167" i="1"/>
  <c r="J167" i="1"/>
  <c r="I167" i="1"/>
  <c r="H167" i="1"/>
  <c r="G167" i="1"/>
  <c r="F167" i="1"/>
  <c r="E167" i="1"/>
  <c r="D167" i="1"/>
  <c r="C167" i="1"/>
  <c r="B167" i="1"/>
  <c r="A167" i="1"/>
  <c r="Z166" i="1"/>
  <c r="Y166" i="1"/>
  <c r="V166" i="1"/>
  <c r="U166" i="1"/>
  <c r="S166" i="1"/>
  <c r="O166" i="1"/>
  <c r="N166" i="1"/>
  <c r="M166" i="1"/>
  <c r="L166" i="1"/>
  <c r="K166" i="1"/>
  <c r="J166" i="1"/>
  <c r="I166" i="1"/>
  <c r="H166" i="1"/>
  <c r="G166" i="1"/>
  <c r="F166" i="1"/>
  <c r="E166" i="1"/>
  <c r="D166" i="1"/>
  <c r="C166" i="1"/>
  <c r="B166" i="1"/>
  <c r="A166" i="1"/>
  <c r="X165" i="1"/>
  <c r="W165" i="1"/>
  <c r="V165" i="1"/>
  <c r="U165" i="1"/>
  <c r="S165" i="1"/>
  <c r="R165" i="1"/>
  <c r="P165" i="1"/>
  <c r="O165" i="1"/>
  <c r="N165" i="1"/>
  <c r="M165" i="1"/>
  <c r="L165" i="1"/>
  <c r="K165" i="1"/>
  <c r="J165" i="1"/>
  <c r="I165" i="1"/>
  <c r="H165" i="1"/>
  <c r="G165" i="1"/>
  <c r="F165" i="1"/>
  <c r="E165" i="1"/>
  <c r="D165" i="1"/>
  <c r="C165" i="1"/>
  <c r="B165" i="1"/>
  <c r="A165" i="1"/>
  <c r="X164" i="1"/>
  <c r="W164" i="1"/>
  <c r="V164" i="1"/>
  <c r="U164" i="1"/>
  <c r="S164" i="1"/>
  <c r="R164" i="1"/>
  <c r="P164" i="1"/>
  <c r="O164" i="1"/>
  <c r="N164" i="1"/>
  <c r="M164" i="1"/>
  <c r="L164" i="1"/>
  <c r="K164" i="1"/>
  <c r="J164" i="1"/>
  <c r="I164" i="1"/>
  <c r="H164" i="1"/>
  <c r="G164" i="1"/>
  <c r="F164" i="1"/>
  <c r="E164" i="1"/>
  <c r="D164" i="1"/>
  <c r="C164" i="1"/>
  <c r="B164" i="1"/>
  <c r="A164" i="1"/>
  <c r="X163" i="1"/>
  <c r="W163" i="1"/>
  <c r="V163" i="1"/>
  <c r="U163" i="1"/>
  <c r="S163" i="1"/>
  <c r="R163" i="1"/>
  <c r="P163" i="1"/>
  <c r="O163" i="1"/>
  <c r="N163" i="1"/>
  <c r="M163" i="1"/>
  <c r="L163" i="1"/>
  <c r="K163" i="1"/>
  <c r="J163" i="1"/>
  <c r="I163" i="1"/>
  <c r="H163" i="1"/>
  <c r="G163" i="1"/>
  <c r="F163" i="1"/>
  <c r="E163" i="1"/>
  <c r="D163" i="1"/>
  <c r="C163" i="1"/>
  <c r="B163" i="1"/>
  <c r="A163" i="1"/>
  <c r="X162" i="1"/>
  <c r="W162" i="1"/>
  <c r="V162" i="1"/>
  <c r="U162" i="1"/>
  <c r="S162" i="1"/>
  <c r="R162" i="1"/>
  <c r="P162" i="1"/>
  <c r="O162" i="1"/>
  <c r="N162" i="1"/>
  <c r="M162" i="1"/>
  <c r="L162" i="1"/>
  <c r="K162" i="1"/>
  <c r="J162" i="1"/>
  <c r="I162" i="1"/>
  <c r="H162" i="1"/>
  <c r="G162" i="1"/>
  <c r="F162" i="1"/>
  <c r="E162" i="1"/>
  <c r="D162" i="1"/>
  <c r="C162" i="1"/>
  <c r="B162" i="1"/>
  <c r="A162" i="1"/>
  <c r="Z161" i="1"/>
  <c r="Y161" i="1"/>
  <c r="V161" i="1"/>
  <c r="U161" i="1"/>
  <c r="S161" i="1"/>
  <c r="O161" i="1"/>
  <c r="N161" i="1"/>
  <c r="M161" i="1"/>
  <c r="L161" i="1"/>
  <c r="K161" i="1"/>
  <c r="J161" i="1"/>
  <c r="I161" i="1"/>
  <c r="H161" i="1"/>
  <c r="G161" i="1"/>
  <c r="F161" i="1"/>
  <c r="E161" i="1"/>
  <c r="D161" i="1"/>
  <c r="C161" i="1"/>
  <c r="B161" i="1"/>
  <c r="A161" i="1"/>
  <c r="Z160" i="1"/>
  <c r="Y160" i="1"/>
  <c r="V160" i="1"/>
  <c r="U160" i="1"/>
  <c r="S160" i="1"/>
  <c r="R160" i="1"/>
  <c r="P160" i="1"/>
  <c r="O160" i="1"/>
  <c r="N160" i="1"/>
  <c r="M160" i="1"/>
  <c r="L160" i="1"/>
  <c r="K160" i="1"/>
  <c r="J160" i="1"/>
  <c r="I160" i="1"/>
  <c r="H160" i="1"/>
  <c r="G160" i="1"/>
  <c r="F160" i="1"/>
  <c r="E160" i="1"/>
  <c r="D160" i="1"/>
  <c r="C160" i="1"/>
  <c r="B160" i="1"/>
  <c r="A160" i="1"/>
  <c r="Z159" i="1"/>
  <c r="Y159" i="1"/>
  <c r="V159" i="1"/>
  <c r="U159" i="1"/>
  <c r="S159" i="1"/>
  <c r="O159" i="1"/>
  <c r="N159" i="1"/>
  <c r="M159" i="1"/>
  <c r="L159" i="1"/>
  <c r="K159" i="1"/>
  <c r="J159" i="1"/>
  <c r="I159" i="1"/>
  <c r="H159" i="1"/>
  <c r="G159" i="1"/>
  <c r="F159" i="1"/>
  <c r="E159" i="1"/>
  <c r="D159" i="1"/>
  <c r="C159" i="1"/>
  <c r="B159" i="1"/>
  <c r="A159" i="1"/>
  <c r="Z158" i="1"/>
  <c r="Y158" i="1"/>
  <c r="V158" i="1"/>
  <c r="U158" i="1"/>
  <c r="O158" i="1"/>
  <c r="N158" i="1"/>
  <c r="M158" i="1"/>
  <c r="L158" i="1"/>
  <c r="K158" i="1"/>
  <c r="J158" i="1"/>
  <c r="I158" i="1"/>
  <c r="H158" i="1"/>
  <c r="G158" i="1"/>
  <c r="F158" i="1"/>
  <c r="E158" i="1"/>
  <c r="D158" i="1"/>
  <c r="C158" i="1"/>
  <c r="B158" i="1"/>
  <c r="A158" i="1"/>
  <c r="Z157" i="1"/>
  <c r="Y157" i="1"/>
  <c r="V157" i="1"/>
  <c r="U157" i="1"/>
  <c r="O157" i="1"/>
  <c r="N157" i="1"/>
  <c r="M157" i="1"/>
  <c r="L157" i="1"/>
  <c r="K157" i="1"/>
  <c r="J157" i="1"/>
  <c r="I157" i="1"/>
  <c r="H157" i="1"/>
  <c r="G157" i="1"/>
  <c r="F157" i="1"/>
  <c r="E157" i="1"/>
  <c r="D157" i="1"/>
  <c r="C157" i="1"/>
  <c r="B157" i="1"/>
  <c r="A157" i="1"/>
  <c r="Z156" i="1"/>
  <c r="Y156" i="1"/>
  <c r="V156" i="1"/>
  <c r="U156" i="1"/>
  <c r="O156" i="1"/>
  <c r="N156" i="1"/>
  <c r="M156" i="1"/>
  <c r="L156" i="1"/>
  <c r="K156" i="1"/>
  <c r="J156" i="1"/>
  <c r="I156" i="1"/>
  <c r="H156" i="1"/>
  <c r="G156" i="1"/>
  <c r="F156" i="1"/>
  <c r="E156" i="1"/>
  <c r="D156" i="1"/>
  <c r="C156" i="1"/>
  <c r="B156" i="1"/>
  <c r="A156" i="1"/>
  <c r="Y155" i="1"/>
  <c r="V155" i="1"/>
  <c r="U155" i="1"/>
  <c r="O155" i="1"/>
  <c r="N155" i="1"/>
  <c r="M155" i="1"/>
  <c r="L155" i="1"/>
  <c r="K155" i="1"/>
  <c r="J155" i="1"/>
  <c r="I155" i="1"/>
  <c r="H155" i="1"/>
  <c r="G155" i="1"/>
  <c r="F155" i="1"/>
  <c r="E155" i="1"/>
  <c r="D155" i="1"/>
  <c r="C155" i="1"/>
  <c r="B155" i="1"/>
  <c r="A155" i="1"/>
  <c r="Z154" i="1"/>
  <c r="Y154" i="1"/>
  <c r="V154" i="1"/>
  <c r="U154" i="1"/>
  <c r="O154" i="1"/>
  <c r="N154" i="1"/>
  <c r="M154" i="1"/>
  <c r="L154" i="1"/>
  <c r="K154" i="1"/>
  <c r="J154" i="1"/>
  <c r="I154" i="1"/>
  <c r="H154" i="1"/>
  <c r="G154" i="1"/>
  <c r="F154" i="1"/>
  <c r="E154" i="1"/>
  <c r="D154" i="1"/>
  <c r="C154" i="1"/>
  <c r="B154" i="1"/>
  <c r="A154" i="1"/>
  <c r="Z153" i="1"/>
  <c r="Y153" i="1"/>
  <c r="V153" i="1"/>
  <c r="U153" i="1"/>
  <c r="O153" i="1"/>
  <c r="N153" i="1"/>
  <c r="M153" i="1"/>
  <c r="L153" i="1"/>
  <c r="K153" i="1"/>
  <c r="J153" i="1"/>
  <c r="I153" i="1"/>
  <c r="H153" i="1"/>
  <c r="G153" i="1"/>
  <c r="F153" i="1"/>
  <c r="E153" i="1"/>
  <c r="D153" i="1"/>
  <c r="C153" i="1"/>
  <c r="B153" i="1"/>
  <c r="A153" i="1"/>
  <c r="Z152" i="1"/>
  <c r="Y152" i="1"/>
  <c r="V152" i="1"/>
  <c r="U152" i="1"/>
  <c r="O152" i="1"/>
  <c r="N152" i="1"/>
  <c r="M152" i="1"/>
  <c r="L152" i="1"/>
  <c r="K152" i="1"/>
  <c r="J152" i="1"/>
  <c r="I152" i="1"/>
  <c r="H152" i="1"/>
  <c r="G152" i="1"/>
  <c r="F152" i="1"/>
  <c r="E152" i="1"/>
  <c r="D152" i="1"/>
  <c r="C152" i="1"/>
  <c r="B152" i="1"/>
  <c r="A152" i="1"/>
  <c r="Z151" i="1"/>
  <c r="Y151" i="1"/>
  <c r="V151" i="1"/>
  <c r="U151" i="1"/>
  <c r="O151" i="1"/>
  <c r="N151" i="1"/>
  <c r="M151" i="1"/>
  <c r="L151" i="1"/>
  <c r="K151" i="1"/>
  <c r="J151" i="1"/>
  <c r="I151" i="1"/>
  <c r="H151" i="1"/>
  <c r="G151" i="1"/>
  <c r="F151" i="1"/>
  <c r="E151" i="1"/>
  <c r="D151" i="1"/>
  <c r="C151" i="1"/>
  <c r="B151" i="1"/>
  <c r="A151" i="1"/>
  <c r="Z150" i="1"/>
  <c r="Y150" i="1"/>
  <c r="V150" i="1"/>
  <c r="U150" i="1"/>
  <c r="O150" i="1"/>
  <c r="N150" i="1"/>
  <c r="M150" i="1"/>
  <c r="L150" i="1"/>
  <c r="K150" i="1"/>
  <c r="J150" i="1"/>
  <c r="I150" i="1"/>
  <c r="H150" i="1"/>
  <c r="G150" i="1"/>
  <c r="F150" i="1"/>
  <c r="E150" i="1"/>
  <c r="D150" i="1"/>
  <c r="C150" i="1"/>
  <c r="B150" i="1"/>
  <c r="A150" i="1"/>
  <c r="Z149" i="1"/>
  <c r="Y149" i="1"/>
  <c r="V149" i="1"/>
  <c r="U149" i="1"/>
  <c r="O149" i="1"/>
  <c r="N149" i="1"/>
  <c r="M149" i="1"/>
  <c r="L149" i="1"/>
  <c r="K149" i="1"/>
  <c r="J149" i="1"/>
  <c r="I149" i="1"/>
  <c r="H149" i="1"/>
  <c r="G149" i="1"/>
  <c r="F149" i="1"/>
  <c r="E149" i="1"/>
  <c r="D149" i="1"/>
  <c r="C149" i="1"/>
  <c r="B149" i="1"/>
  <c r="A149" i="1"/>
  <c r="X148" i="1"/>
  <c r="W148" i="1"/>
  <c r="V148" i="1"/>
  <c r="U148" i="1"/>
  <c r="R148" i="1"/>
  <c r="P148" i="1"/>
  <c r="O148" i="1"/>
  <c r="N148" i="1"/>
  <c r="M148" i="1"/>
  <c r="L148" i="1"/>
  <c r="K148" i="1"/>
  <c r="J148" i="1"/>
  <c r="I148" i="1"/>
  <c r="H148" i="1"/>
  <c r="G148" i="1"/>
  <c r="F148" i="1"/>
  <c r="E148" i="1"/>
  <c r="D148" i="1"/>
  <c r="C148" i="1"/>
  <c r="B148" i="1"/>
  <c r="A148" i="1"/>
  <c r="Z147" i="1"/>
  <c r="Y147" i="1"/>
  <c r="V147" i="1"/>
  <c r="U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D147" i="1"/>
  <c r="C147" i="1"/>
  <c r="B147" i="1"/>
  <c r="A147" i="1"/>
  <c r="Z146" i="1"/>
  <c r="Y146" i="1"/>
  <c r="V146" i="1"/>
  <c r="U146" i="1"/>
  <c r="O146" i="1"/>
  <c r="N146" i="1"/>
  <c r="M146" i="1"/>
  <c r="L146" i="1"/>
  <c r="K146" i="1"/>
  <c r="J146" i="1"/>
  <c r="I146" i="1"/>
  <c r="H146" i="1"/>
  <c r="G146" i="1"/>
  <c r="F146" i="1"/>
  <c r="E146" i="1"/>
  <c r="D146" i="1"/>
  <c r="C146" i="1"/>
  <c r="B146" i="1"/>
  <c r="A146" i="1"/>
  <c r="Z145" i="1"/>
  <c r="Y145" i="1"/>
  <c r="V145" i="1"/>
  <c r="U145" i="1"/>
  <c r="O145" i="1"/>
  <c r="N145" i="1"/>
  <c r="M145" i="1"/>
  <c r="L145" i="1"/>
  <c r="K145" i="1"/>
  <c r="J145" i="1"/>
  <c r="I145" i="1"/>
  <c r="H145" i="1"/>
  <c r="G145" i="1"/>
  <c r="F145" i="1"/>
  <c r="E145" i="1"/>
  <c r="D145" i="1"/>
  <c r="C145" i="1"/>
  <c r="B145" i="1"/>
  <c r="A145" i="1"/>
  <c r="V144" i="1"/>
  <c r="U144" i="1"/>
  <c r="O144" i="1"/>
  <c r="N144" i="1"/>
  <c r="M144" i="1"/>
  <c r="L144" i="1"/>
  <c r="K144" i="1"/>
  <c r="J144" i="1"/>
  <c r="I144" i="1"/>
  <c r="H144" i="1"/>
  <c r="G144" i="1"/>
  <c r="F144" i="1"/>
  <c r="E144" i="1"/>
  <c r="D144" i="1"/>
  <c r="C144" i="1"/>
  <c r="B144" i="1"/>
  <c r="A144" i="1"/>
  <c r="V143" i="1"/>
  <c r="U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A143" i="1"/>
  <c r="V142" i="1"/>
  <c r="U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D142" i="1"/>
  <c r="C142" i="1"/>
  <c r="B142" i="1"/>
  <c r="A142" i="1"/>
  <c r="V141" i="1"/>
  <c r="U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D141" i="1"/>
  <c r="C141" i="1"/>
  <c r="B141" i="1"/>
  <c r="A141" i="1"/>
  <c r="V140" i="1"/>
  <c r="U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D140" i="1"/>
  <c r="C140" i="1"/>
  <c r="B140" i="1"/>
  <c r="A140" i="1"/>
  <c r="V139" i="1"/>
  <c r="U139" i="1"/>
  <c r="O139" i="1"/>
  <c r="N139" i="1"/>
  <c r="M139" i="1"/>
  <c r="L139" i="1"/>
  <c r="K139" i="1"/>
  <c r="J139" i="1"/>
  <c r="I139" i="1"/>
  <c r="H139" i="1"/>
  <c r="G139" i="1"/>
  <c r="F139" i="1"/>
  <c r="E139" i="1"/>
  <c r="D139" i="1"/>
  <c r="C139" i="1"/>
  <c r="B139" i="1"/>
  <c r="A139" i="1"/>
  <c r="Z138" i="1"/>
  <c r="Y138" i="1"/>
  <c r="V138" i="1"/>
  <c r="U138" i="1"/>
  <c r="O138" i="1"/>
  <c r="N138" i="1"/>
  <c r="M138" i="1"/>
  <c r="L138" i="1"/>
  <c r="K138" i="1"/>
  <c r="J138" i="1"/>
  <c r="I138" i="1"/>
  <c r="H138" i="1"/>
  <c r="G138" i="1"/>
  <c r="F138" i="1"/>
  <c r="E138" i="1"/>
  <c r="D138" i="1"/>
  <c r="C138" i="1"/>
  <c r="B138" i="1"/>
  <c r="A138" i="1"/>
  <c r="Z137" i="1"/>
  <c r="Y137" i="1"/>
  <c r="V137" i="1"/>
  <c r="U137" i="1"/>
  <c r="T137" i="1"/>
  <c r="O137" i="1"/>
  <c r="N137" i="1"/>
  <c r="M137" i="1"/>
  <c r="L137" i="1"/>
  <c r="K137" i="1"/>
  <c r="J137" i="1"/>
  <c r="I137" i="1"/>
  <c r="H137" i="1"/>
  <c r="G137" i="1"/>
  <c r="F137" i="1"/>
  <c r="E137" i="1"/>
  <c r="D137" i="1"/>
  <c r="C137" i="1"/>
  <c r="B137" i="1"/>
  <c r="A137" i="1"/>
  <c r="Z136" i="1"/>
  <c r="Y136" i="1"/>
  <c r="V136" i="1"/>
  <c r="U136" i="1"/>
  <c r="O136" i="1"/>
  <c r="N136" i="1"/>
  <c r="M136" i="1"/>
  <c r="L136" i="1"/>
  <c r="K136" i="1"/>
  <c r="J136" i="1"/>
  <c r="I136" i="1"/>
  <c r="H136" i="1"/>
  <c r="G136" i="1"/>
  <c r="F136" i="1"/>
  <c r="E136" i="1"/>
  <c r="D136" i="1"/>
  <c r="C136" i="1"/>
  <c r="B136" i="1"/>
  <c r="A136" i="1"/>
  <c r="Z135" i="1"/>
  <c r="Y135" i="1"/>
  <c r="V135" i="1"/>
  <c r="U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D135" i="1"/>
  <c r="C135" i="1"/>
  <c r="B135" i="1"/>
  <c r="A135" i="1"/>
  <c r="Z134" i="1"/>
  <c r="Y134" i="1"/>
  <c r="V134" i="1"/>
  <c r="U134" i="1"/>
  <c r="O134" i="1"/>
  <c r="N134" i="1"/>
  <c r="M134" i="1"/>
  <c r="L134" i="1"/>
  <c r="K134" i="1"/>
  <c r="J134" i="1"/>
  <c r="I134" i="1"/>
  <c r="H134" i="1"/>
  <c r="G134" i="1"/>
  <c r="F134" i="1"/>
  <c r="E134" i="1"/>
  <c r="D134" i="1"/>
  <c r="C134" i="1"/>
  <c r="B134" i="1"/>
  <c r="A134" i="1"/>
  <c r="Z133" i="1"/>
  <c r="Y133" i="1"/>
  <c r="V133" i="1"/>
  <c r="U133" i="1"/>
  <c r="O133" i="1"/>
  <c r="N133" i="1"/>
  <c r="M133" i="1"/>
  <c r="L133" i="1"/>
  <c r="K133" i="1"/>
  <c r="J133" i="1"/>
  <c r="I133" i="1"/>
  <c r="H133" i="1"/>
  <c r="G133" i="1"/>
  <c r="F133" i="1"/>
  <c r="E133" i="1"/>
  <c r="D133" i="1"/>
  <c r="C133" i="1"/>
  <c r="B133" i="1"/>
  <c r="A133" i="1"/>
  <c r="Z132" i="1"/>
  <c r="Y132" i="1"/>
  <c r="V132" i="1"/>
  <c r="U132" i="1"/>
  <c r="T132" i="1"/>
  <c r="O132" i="1"/>
  <c r="N132" i="1"/>
  <c r="M132" i="1"/>
  <c r="L132" i="1"/>
  <c r="K132" i="1"/>
  <c r="J132" i="1"/>
  <c r="I132" i="1"/>
  <c r="H132" i="1"/>
  <c r="G132" i="1"/>
  <c r="F132" i="1"/>
  <c r="E132" i="1"/>
  <c r="D132" i="1"/>
  <c r="C132" i="1"/>
  <c r="B132" i="1"/>
  <c r="A132" i="1"/>
  <c r="V131" i="1"/>
  <c r="U131" i="1"/>
  <c r="S131" i="1"/>
  <c r="O131" i="1"/>
  <c r="N131" i="1"/>
  <c r="M131" i="1"/>
  <c r="L131" i="1"/>
  <c r="K131" i="1"/>
  <c r="J131" i="1"/>
  <c r="I131" i="1"/>
  <c r="H131" i="1"/>
  <c r="G131" i="1"/>
  <c r="F131" i="1"/>
  <c r="E131" i="1"/>
  <c r="D131" i="1"/>
  <c r="C131" i="1"/>
  <c r="B131" i="1"/>
  <c r="A131" i="1"/>
  <c r="Z130" i="1"/>
  <c r="Y130" i="1"/>
  <c r="V130" i="1"/>
  <c r="U130" i="1"/>
  <c r="S130" i="1"/>
  <c r="O130" i="1"/>
  <c r="N130" i="1"/>
  <c r="M130" i="1"/>
  <c r="L130" i="1"/>
  <c r="K130" i="1"/>
  <c r="J130" i="1"/>
  <c r="I130" i="1"/>
  <c r="H130" i="1"/>
  <c r="G130" i="1"/>
  <c r="F130" i="1"/>
  <c r="E130" i="1"/>
  <c r="D130" i="1"/>
  <c r="C130" i="1"/>
  <c r="B130" i="1"/>
  <c r="A130" i="1"/>
  <c r="Z129" i="1"/>
  <c r="Y129" i="1"/>
  <c r="V129" i="1"/>
  <c r="U129" i="1"/>
  <c r="S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B129" i="1"/>
  <c r="A129" i="1"/>
  <c r="Z128" i="1"/>
  <c r="Y128" i="1"/>
  <c r="V128" i="1"/>
  <c r="U128" i="1"/>
  <c r="S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  <c r="A128" i="1"/>
  <c r="Z127" i="1"/>
  <c r="Y127" i="1"/>
  <c r="V127" i="1"/>
  <c r="U127" i="1"/>
  <c r="S127" i="1"/>
  <c r="O127" i="1"/>
  <c r="N127" i="1"/>
  <c r="M127" i="1"/>
  <c r="L127" i="1"/>
  <c r="K127" i="1"/>
  <c r="J127" i="1"/>
  <c r="I127" i="1"/>
  <c r="H127" i="1"/>
  <c r="G127" i="1"/>
  <c r="F127" i="1"/>
  <c r="E127" i="1"/>
  <c r="D127" i="1"/>
  <c r="C127" i="1"/>
  <c r="B127" i="1"/>
  <c r="A127" i="1"/>
  <c r="Z126" i="1"/>
  <c r="Y126" i="1"/>
  <c r="V126" i="1"/>
  <c r="U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26" i="1"/>
  <c r="Z125" i="1"/>
  <c r="Y125" i="1"/>
  <c r="V125" i="1"/>
  <c r="U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A125" i="1"/>
  <c r="Z124" i="1"/>
  <c r="Y124" i="1"/>
  <c r="V124" i="1"/>
  <c r="U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A124" i="1"/>
  <c r="X123" i="1"/>
  <c r="W123" i="1"/>
  <c r="V123" i="1"/>
  <c r="U123" i="1"/>
  <c r="R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A123" i="1"/>
  <c r="Z122" i="1"/>
  <c r="Y122" i="1"/>
  <c r="V122" i="1"/>
  <c r="U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A122" i="1"/>
  <c r="Z121" i="1"/>
  <c r="Y121" i="1"/>
  <c r="V121" i="1"/>
  <c r="U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A121" i="1"/>
  <c r="Z120" i="1"/>
  <c r="Y120" i="1"/>
  <c r="V120" i="1"/>
  <c r="U120" i="1"/>
  <c r="T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B120" i="1"/>
  <c r="A120" i="1"/>
  <c r="Z119" i="1"/>
  <c r="Y119" i="1"/>
  <c r="V119" i="1"/>
  <c r="U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A119" i="1"/>
  <c r="Z118" i="1"/>
  <c r="Y118" i="1"/>
  <c r="V118" i="1"/>
  <c r="U118" i="1"/>
  <c r="O118" i="1"/>
  <c r="N118" i="1"/>
  <c r="M118" i="1"/>
  <c r="L118" i="1"/>
  <c r="K118" i="1"/>
  <c r="J118" i="1"/>
  <c r="I118" i="1"/>
  <c r="H118" i="1"/>
  <c r="G118" i="1"/>
  <c r="F118" i="1"/>
  <c r="E118" i="1"/>
  <c r="D118" i="1"/>
  <c r="C118" i="1"/>
  <c r="B118" i="1"/>
  <c r="A118" i="1"/>
  <c r="Z117" i="1"/>
  <c r="Y117" i="1"/>
  <c r="V117" i="1"/>
  <c r="U117" i="1"/>
  <c r="O117" i="1"/>
  <c r="N117" i="1"/>
  <c r="M117" i="1"/>
  <c r="L117" i="1"/>
  <c r="K117" i="1"/>
  <c r="J117" i="1"/>
  <c r="I117" i="1"/>
  <c r="H117" i="1"/>
  <c r="G117" i="1"/>
  <c r="F117" i="1"/>
  <c r="E117" i="1"/>
  <c r="D117" i="1"/>
  <c r="C117" i="1"/>
  <c r="B117" i="1"/>
  <c r="A117" i="1"/>
  <c r="Z116" i="1"/>
  <c r="Y116" i="1"/>
  <c r="V116" i="1"/>
  <c r="U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B116" i="1"/>
  <c r="A116" i="1"/>
  <c r="Z115" i="1"/>
  <c r="Y115" i="1"/>
  <c r="V115" i="1"/>
  <c r="U115" i="1"/>
  <c r="Q115" i="1"/>
  <c r="P115" i="1"/>
  <c r="O115" i="1"/>
  <c r="N115" i="1"/>
  <c r="M115" i="1"/>
  <c r="L115" i="1"/>
  <c r="K115" i="1"/>
  <c r="J115" i="1"/>
  <c r="I115" i="1"/>
  <c r="H115" i="1"/>
  <c r="G115" i="1"/>
  <c r="F115" i="1"/>
  <c r="E115" i="1"/>
  <c r="D115" i="1"/>
  <c r="C115" i="1"/>
  <c r="B115" i="1"/>
  <c r="A115" i="1"/>
  <c r="Z114" i="1"/>
  <c r="Y114" i="1"/>
  <c r="V114" i="1"/>
  <c r="U114" i="1"/>
  <c r="Q114" i="1"/>
  <c r="P114" i="1"/>
  <c r="O114" i="1"/>
  <c r="N114" i="1"/>
  <c r="M114" i="1"/>
  <c r="L114" i="1"/>
  <c r="K114" i="1"/>
  <c r="J114" i="1"/>
  <c r="I114" i="1"/>
  <c r="H114" i="1"/>
  <c r="G114" i="1"/>
  <c r="F114" i="1"/>
  <c r="E114" i="1"/>
  <c r="D114" i="1"/>
  <c r="C114" i="1"/>
  <c r="B114" i="1"/>
  <c r="A114" i="1"/>
  <c r="Z113" i="1"/>
  <c r="Y113" i="1"/>
  <c r="V113" i="1"/>
  <c r="U113" i="1"/>
  <c r="O113" i="1"/>
  <c r="N113" i="1"/>
  <c r="M113" i="1"/>
  <c r="L113" i="1"/>
  <c r="K113" i="1"/>
  <c r="J113" i="1"/>
  <c r="I113" i="1"/>
  <c r="H113" i="1"/>
  <c r="G113" i="1"/>
  <c r="F113" i="1"/>
  <c r="E113" i="1"/>
  <c r="D113" i="1"/>
  <c r="C113" i="1"/>
  <c r="B113" i="1"/>
  <c r="A113" i="1"/>
  <c r="Z112" i="1"/>
  <c r="Y112" i="1"/>
  <c r="V112" i="1"/>
  <c r="U112" i="1"/>
  <c r="O112" i="1"/>
  <c r="N112" i="1"/>
  <c r="M112" i="1"/>
  <c r="L112" i="1"/>
  <c r="K112" i="1"/>
  <c r="J112" i="1"/>
  <c r="I112" i="1"/>
  <c r="H112" i="1"/>
  <c r="G112" i="1"/>
  <c r="F112" i="1"/>
  <c r="E112" i="1"/>
  <c r="D112" i="1"/>
  <c r="C112" i="1"/>
  <c r="B112" i="1"/>
  <c r="A112" i="1"/>
  <c r="Z111" i="1"/>
  <c r="Y111" i="1"/>
  <c r="V111" i="1"/>
  <c r="U111" i="1"/>
  <c r="S111" i="1"/>
  <c r="O111" i="1"/>
  <c r="N111" i="1"/>
  <c r="M111" i="1"/>
  <c r="L111" i="1"/>
  <c r="K111" i="1"/>
  <c r="J111" i="1"/>
  <c r="I111" i="1"/>
  <c r="H111" i="1"/>
  <c r="G111" i="1"/>
  <c r="F111" i="1"/>
  <c r="E111" i="1"/>
  <c r="D111" i="1"/>
  <c r="C111" i="1"/>
  <c r="B111" i="1"/>
  <c r="A111" i="1"/>
  <c r="Z110" i="1"/>
  <c r="Y110" i="1"/>
  <c r="V110" i="1"/>
  <c r="U110" i="1"/>
  <c r="S110" i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A110" i="1"/>
  <c r="Z109" i="1"/>
  <c r="Y109" i="1"/>
  <c r="V109" i="1"/>
  <c r="U109" i="1"/>
  <c r="S109" i="1"/>
  <c r="O109" i="1"/>
  <c r="N109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A109" i="1"/>
  <c r="Z108" i="1"/>
  <c r="Y108" i="1"/>
  <c r="V108" i="1"/>
  <c r="U108" i="1"/>
  <c r="S108" i="1"/>
  <c r="O108" i="1"/>
  <c r="N108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A108" i="1"/>
  <c r="Z107" i="1"/>
  <c r="Y107" i="1"/>
  <c r="V107" i="1"/>
  <c r="U107" i="1"/>
  <c r="S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A107" i="1"/>
  <c r="Z106" i="1"/>
  <c r="Y106" i="1"/>
  <c r="V106" i="1"/>
  <c r="U106" i="1"/>
  <c r="S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A106" i="1"/>
  <c r="Z105" i="1"/>
  <c r="Y105" i="1"/>
  <c r="V105" i="1"/>
  <c r="U105" i="1"/>
  <c r="S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A105" i="1"/>
  <c r="Z104" i="1"/>
  <c r="Y104" i="1"/>
  <c r="V104" i="1"/>
  <c r="U104" i="1"/>
  <c r="S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A104" i="1"/>
  <c r="Z103" i="1"/>
  <c r="Y103" i="1"/>
  <c r="V103" i="1"/>
  <c r="U103" i="1"/>
  <c r="S103" i="1"/>
  <c r="O103" i="1"/>
  <c r="N103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A103" i="1"/>
  <c r="AC102" i="1"/>
  <c r="Z102" i="1"/>
  <c r="Y102" i="1"/>
  <c r="V102" i="1"/>
  <c r="U102" i="1"/>
  <c r="S102" i="1"/>
  <c r="O102" i="1"/>
  <c r="N102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A102" i="1"/>
  <c r="AB101" i="1"/>
  <c r="Z101" i="1"/>
  <c r="Y101" i="1"/>
  <c r="V101" i="1"/>
  <c r="U101" i="1"/>
  <c r="O101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A101" i="1"/>
  <c r="Z100" i="1"/>
  <c r="Y100" i="1"/>
  <c r="V100" i="1"/>
  <c r="U100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A100" i="1"/>
  <c r="Z99" i="1"/>
  <c r="Y99" i="1"/>
  <c r="V99" i="1"/>
  <c r="U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99" i="1"/>
  <c r="Z98" i="1"/>
  <c r="Y98" i="1"/>
  <c r="V98" i="1"/>
  <c r="U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98" i="1"/>
  <c r="X97" i="1"/>
  <c r="W97" i="1"/>
  <c r="V97" i="1"/>
  <c r="U97" i="1"/>
  <c r="R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V96" i="1"/>
  <c r="U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Z95" i="1"/>
  <c r="Y95" i="1"/>
  <c r="V95" i="1"/>
  <c r="U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V94" i="1"/>
  <c r="U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X93" i="1"/>
  <c r="W93" i="1"/>
  <c r="V93" i="1"/>
  <c r="U93" i="1"/>
  <c r="R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Z92" i="1"/>
  <c r="Y92" i="1"/>
  <c r="V92" i="1"/>
  <c r="U92" i="1"/>
  <c r="S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V91" i="1"/>
  <c r="U91" i="1"/>
  <c r="S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Z90" i="1"/>
  <c r="Y90" i="1"/>
  <c r="V90" i="1"/>
  <c r="U90" i="1"/>
  <c r="S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X89" i="1"/>
  <c r="W89" i="1"/>
  <c r="V89" i="1"/>
  <c r="U89" i="1"/>
  <c r="S89" i="1"/>
  <c r="R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Z88" i="1"/>
  <c r="Y88" i="1"/>
  <c r="X88" i="1"/>
  <c r="W88" i="1"/>
  <c r="V88" i="1"/>
  <c r="U88" i="1"/>
  <c r="S88" i="1"/>
  <c r="R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Z87" i="1"/>
  <c r="Y87" i="1"/>
  <c r="V87" i="1"/>
  <c r="U87" i="1"/>
  <c r="S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Z86" i="1"/>
  <c r="Y86" i="1"/>
  <c r="V86" i="1"/>
  <c r="U86" i="1"/>
  <c r="S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Z85" i="1"/>
  <c r="Y85" i="1"/>
  <c r="V85" i="1"/>
  <c r="U85" i="1"/>
  <c r="S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Z84" i="1"/>
  <c r="Y84" i="1"/>
  <c r="V84" i="1"/>
  <c r="U84" i="1"/>
  <c r="S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Z83" i="1"/>
  <c r="Y83" i="1"/>
  <c r="V83" i="1"/>
  <c r="U83" i="1"/>
  <c r="S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Z82" i="1"/>
  <c r="Y82" i="1"/>
  <c r="V82" i="1"/>
  <c r="U82" i="1"/>
  <c r="S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Z81" i="1"/>
  <c r="Y81" i="1"/>
  <c r="V81" i="1"/>
  <c r="U81" i="1"/>
  <c r="S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Z80" i="1"/>
  <c r="Y80" i="1"/>
  <c r="V80" i="1"/>
  <c r="U80" i="1"/>
  <c r="S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Z79" i="1"/>
  <c r="Y79" i="1"/>
  <c r="V79" i="1"/>
  <c r="U79" i="1"/>
  <c r="S79" i="1"/>
  <c r="Q79" i="1"/>
  <c r="P79" i="1"/>
  <c r="O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Z78" i="1"/>
  <c r="Y78" i="1"/>
  <c r="V78" i="1"/>
  <c r="U78" i="1"/>
  <c r="S78" i="1"/>
  <c r="O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Z77" i="1"/>
  <c r="Y77" i="1"/>
  <c r="V77" i="1"/>
  <c r="U77" i="1"/>
  <c r="S77" i="1"/>
  <c r="O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Z76" i="1"/>
  <c r="Y76" i="1"/>
  <c r="V76" i="1"/>
  <c r="U76" i="1"/>
  <c r="S76" i="1"/>
  <c r="O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X75" i="1"/>
  <c r="W75" i="1"/>
  <c r="V75" i="1"/>
  <c r="U75" i="1"/>
  <c r="S75" i="1"/>
  <c r="R75" i="1"/>
  <c r="P75" i="1"/>
  <c r="O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Z74" i="1"/>
  <c r="Y74" i="1"/>
  <c r="V74" i="1"/>
  <c r="U74" i="1"/>
  <c r="T74" i="1"/>
  <c r="S74" i="1"/>
  <c r="O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Z73" i="1"/>
  <c r="Y73" i="1"/>
  <c r="V73" i="1"/>
  <c r="U73" i="1"/>
  <c r="S73" i="1"/>
  <c r="O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AC72" i="1"/>
  <c r="Z72" i="1"/>
  <c r="Y72" i="1"/>
  <c r="V72" i="1"/>
  <c r="U72" i="1"/>
  <c r="S72" i="1"/>
  <c r="P72" i="1"/>
  <c r="O72" i="1"/>
  <c r="N72" i="1"/>
  <c r="M72" i="1"/>
  <c r="L72" i="1"/>
  <c r="K72" i="1"/>
  <c r="I72" i="1"/>
  <c r="H72" i="1"/>
  <c r="G72" i="1"/>
  <c r="F72" i="1"/>
  <c r="E72" i="1"/>
  <c r="D72" i="1"/>
  <c r="C72" i="1"/>
  <c r="B72" i="1"/>
  <c r="A72" i="1"/>
  <c r="Z71" i="1"/>
  <c r="Y71" i="1"/>
  <c r="V71" i="1"/>
  <c r="U71" i="1"/>
  <c r="S71" i="1"/>
  <c r="P71" i="1"/>
  <c r="O71" i="1"/>
  <c r="N71" i="1"/>
  <c r="M71" i="1"/>
  <c r="L71" i="1"/>
  <c r="K71" i="1"/>
  <c r="I71" i="1"/>
  <c r="H71" i="1"/>
  <c r="G71" i="1"/>
  <c r="F71" i="1"/>
  <c r="E71" i="1"/>
  <c r="D71" i="1"/>
  <c r="C71" i="1"/>
  <c r="B71" i="1"/>
  <c r="A71" i="1"/>
  <c r="Z70" i="1"/>
  <c r="Y70" i="1"/>
  <c r="V70" i="1"/>
  <c r="U70" i="1"/>
  <c r="S70" i="1"/>
  <c r="P70" i="1"/>
  <c r="O70" i="1"/>
  <c r="N70" i="1"/>
  <c r="M70" i="1"/>
  <c r="L70" i="1"/>
  <c r="K70" i="1"/>
  <c r="I70" i="1"/>
  <c r="H70" i="1"/>
  <c r="G70" i="1"/>
  <c r="F70" i="1"/>
  <c r="E70" i="1"/>
  <c r="D70" i="1"/>
  <c r="C70" i="1"/>
  <c r="B70" i="1"/>
  <c r="A70" i="1"/>
  <c r="Z69" i="1"/>
  <c r="Y69" i="1"/>
  <c r="V69" i="1"/>
  <c r="U69" i="1"/>
  <c r="S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Z68" i="1"/>
  <c r="Y68" i="1"/>
  <c r="V68" i="1"/>
  <c r="U68" i="1"/>
  <c r="S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Z67" i="1"/>
  <c r="Y67" i="1"/>
  <c r="V67" i="1"/>
  <c r="U67" i="1"/>
  <c r="S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AC66" i="1"/>
  <c r="Z66" i="1"/>
  <c r="Y66" i="1"/>
  <c r="V66" i="1"/>
  <c r="U66" i="1"/>
  <c r="S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Z65" i="1"/>
  <c r="Y65" i="1"/>
  <c r="X65" i="1"/>
  <c r="W65" i="1"/>
  <c r="V65" i="1"/>
  <c r="U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Z64" i="1"/>
  <c r="Y64" i="1"/>
  <c r="X64" i="1"/>
  <c r="W64" i="1"/>
  <c r="V64" i="1"/>
  <c r="U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Z63" i="1"/>
  <c r="Y63" i="1"/>
  <c r="V63" i="1"/>
  <c r="U63" i="1"/>
  <c r="S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Z62" i="1"/>
  <c r="Y62" i="1"/>
  <c r="V62" i="1"/>
  <c r="U62" i="1"/>
  <c r="S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Z61" i="1"/>
  <c r="Y61" i="1"/>
  <c r="V61" i="1"/>
  <c r="U61" i="1"/>
  <c r="S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Z60" i="1"/>
  <c r="Y60" i="1"/>
  <c r="V60" i="1"/>
  <c r="U60" i="1"/>
  <c r="S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Z59" i="1"/>
  <c r="Y59" i="1"/>
  <c r="V59" i="1"/>
  <c r="U59" i="1"/>
  <c r="S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Z58" i="1"/>
  <c r="Y58" i="1"/>
  <c r="V58" i="1"/>
  <c r="U58" i="1"/>
  <c r="S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Z57" i="1"/>
  <c r="Y57" i="1"/>
  <c r="V57" i="1"/>
  <c r="U57" i="1"/>
  <c r="S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Z56" i="1"/>
  <c r="Y56" i="1"/>
  <c r="V56" i="1"/>
  <c r="U56" i="1"/>
  <c r="S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Z55" i="1"/>
  <c r="Y55" i="1"/>
  <c r="V55" i="1"/>
  <c r="U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Z54" i="1"/>
  <c r="Y54" i="1"/>
  <c r="V54" i="1"/>
  <c r="U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Z53" i="1"/>
  <c r="Y53" i="1"/>
  <c r="V53" i="1"/>
  <c r="U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B53" i="1"/>
  <c r="A53" i="1"/>
  <c r="Z52" i="1"/>
  <c r="Y52" i="1"/>
  <c r="V52" i="1"/>
  <c r="U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Z51" i="1"/>
  <c r="Y51" i="1"/>
  <c r="V51" i="1"/>
  <c r="U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51" i="1"/>
  <c r="Z50" i="1"/>
  <c r="Y50" i="1"/>
  <c r="V50" i="1"/>
  <c r="U50" i="1"/>
  <c r="T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B50" i="1"/>
  <c r="A50" i="1"/>
  <c r="AC49" i="1"/>
  <c r="Z49" i="1"/>
  <c r="Y49" i="1"/>
  <c r="V49" i="1"/>
  <c r="U49" i="1"/>
  <c r="S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49" i="1"/>
  <c r="AC48" i="1"/>
  <c r="Z48" i="1"/>
  <c r="Y48" i="1"/>
  <c r="V48" i="1"/>
  <c r="U48" i="1"/>
  <c r="S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48" i="1"/>
  <c r="AC47" i="1"/>
  <c r="Z47" i="1"/>
  <c r="Y47" i="1"/>
  <c r="V47" i="1"/>
  <c r="U47" i="1"/>
  <c r="S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C46" i="1"/>
  <c r="Z46" i="1"/>
  <c r="Y46" i="1"/>
  <c r="V46" i="1"/>
  <c r="U46" i="1"/>
  <c r="S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Z45" i="1"/>
  <c r="Y45" i="1"/>
  <c r="V45" i="1"/>
  <c r="U45" i="1"/>
  <c r="S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Z44" i="1"/>
  <c r="Y44" i="1"/>
  <c r="V44" i="1"/>
  <c r="U44" i="1"/>
  <c r="S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Z43" i="1"/>
  <c r="Y43" i="1"/>
  <c r="V43" i="1"/>
  <c r="U43" i="1"/>
  <c r="S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Z42" i="1"/>
  <c r="Y42" i="1"/>
  <c r="V42" i="1"/>
  <c r="U42" i="1"/>
  <c r="S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Z41" i="1"/>
  <c r="Y41" i="1"/>
  <c r="V41" i="1"/>
  <c r="U41" i="1"/>
  <c r="S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C40" i="1"/>
  <c r="Z40" i="1"/>
  <c r="Y40" i="1"/>
  <c r="V40" i="1"/>
  <c r="U40" i="1"/>
  <c r="S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C39" i="1"/>
  <c r="Z39" i="1"/>
  <c r="Y39" i="1"/>
  <c r="V39" i="1"/>
  <c r="U39" i="1"/>
  <c r="S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AC38" i="1"/>
  <c r="Z38" i="1"/>
  <c r="Y38" i="1"/>
  <c r="V38" i="1"/>
  <c r="U38" i="1"/>
  <c r="S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V37" i="1"/>
  <c r="U37" i="1"/>
  <c r="S37" i="1"/>
  <c r="N37" i="1"/>
  <c r="M37" i="1"/>
  <c r="L37" i="1"/>
  <c r="K37" i="1"/>
  <c r="I37" i="1"/>
  <c r="H37" i="1"/>
  <c r="G37" i="1"/>
  <c r="F37" i="1"/>
  <c r="E37" i="1"/>
  <c r="D37" i="1"/>
  <c r="C37" i="1"/>
  <c r="B37" i="1"/>
  <c r="A37" i="1"/>
  <c r="V36" i="1"/>
  <c r="U36" i="1"/>
  <c r="S36" i="1"/>
  <c r="N36" i="1"/>
  <c r="M36" i="1"/>
  <c r="L36" i="1"/>
  <c r="K36" i="1"/>
  <c r="I36" i="1"/>
  <c r="H36" i="1"/>
  <c r="G36" i="1"/>
  <c r="F36" i="1"/>
  <c r="E36" i="1"/>
  <c r="D36" i="1"/>
  <c r="C36" i="1"/>
  <c r="B36" i="1"/>
  <c r="A36" i="1"/>
  <c r="V35" i="1"/>
  <c r="U35" i="1"/>
  <c r="S35" i="1"/>
  <c r="N35" i="1"/>
  <c r="M35" i="1"/>
  <c r="L35" i="1"/>
  <c r="K35" i="1"/>
  <c r="I35" i="1"/>
  <c r="H35" i="1"/>
  <c r="G35" i="1"/>
  <c r="F35" i="1"/>
  <c r="E35" i="1"/>
  <c r="D35" i="1"/>
  <c r="C35" i="1"/>
  <c r="B35" i="1"/>
  <c r="A35" i="1"/>
  <c r="V34" i="1"/>
  <c r="U34" i="1"/>
  <c r="S34" i="1"/>
  <c r="N34" i="1"/>
  <c r="M34" i="1"/>
  <c r="L34" i="1"/>
  <c r="K34" i="1"/>
  <c r="I34" i="1"/>
  <c r="H34" i="1"/>
  <c r="G34" i="1"/>
  <c r="F34" i="1"/>
  <c r="E34" i="1"/>
  <c r="D34" i="1"/>
  <c r="C34" i="1"/>
  <c r="B34" i="1"/>
  <c r="A34" i="1"/>
  <c r="V33" i="1"/>
  <c r="U33" i="1"/>
  <c r="S33" i="1"/>
  <c r="N33" i="1"/>
  <c r="M33" i="1"/>
  <c r="L33" i="1"/>
  <c r="K33" i="1"/>
  <c r="I33" i="1"/>
  <c r="H33" i="1"/>
  <c r="G33" i="1"/>
  <c r="F33" i="1"/>
  <c r="E33" i="1"/>
  <c r="D33" i="1"/>
  <c r="C33" i="1"/>
  <c r="B33" i="1"/>
  <c r="A33" i="1"/>
  <c r="Z32" i="1"/>
  <c r="Y32" i="1"/>
  <c r="V32" i="1"/>
  <c r="U32" i="1"/>
  <c r="S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Z31" i="1"/>
  <c r="Y31" i="1"/>
  <c r="V31" i="1"/>
  <c r="U31" i="1"/>
  <c r="S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Z30" i="1"/>
  <c r="Y30" i="1"/>
  <c r="V30" i="1"/>
  <c r="U30" i="1"/>
  <c r="S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Z29" i="1"/>
  <c r="Y29" i="1"/>
  <c r="V29" i="1"/>
  <c r="U29" i="1"/>
  <c r="S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Z28" i="1"/>
  <c r="Y28" i="1"/>
  <c r="V28" i="1"/>
  <c r="U28" i="1"/>
  <c r="S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V27" i="1"/>
  <c r="U27" i="1"/>
  <c r="S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Z26" i="1"/>
  <c r="Y26" i="1"/>
  <c r="V26" i="1"/>
  <c r="U26" i="1"/>
  <c r="S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Z25" i="1"/>
  <c r="Y25" i="1"/>
  <c r="V25" i="1"/>
  <c r="U25" i="1"/>
  <c r="S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Z24" i="1"/>
  <c r="Y24" i="1"/>
  <c r="V24" i="1"/>
  <c r="U24" i="1"/>
  <c r="S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Z23" i="1"/>
  <c r="Y23" i="1"/>
  <c r="V23" i="1"/>
  <c r="U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Z22" i="1"/>
  <c r="Y22" i="1"/>
  <c r="V22" i="1"/>
  <c r="U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Z21" i="1"/>
  <c r="Y21" i="1"/>
  <c r="V21" i="1"/>
  <c r="U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A20" i="1"/>
  <c r="Z20" i="1"/>
  <c r="Y20" i="1"/>
  <c r="V20" i="1"/>
  <c r="U20" i="1"/>
  <c r="T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Z19" i="1"/>
  <c r="Y19" i="1"/>
  <c r="V19" i="1"/>
  <c r="U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Z18" i="1"/>
  <c r="Y18" i="1"/>
  <c r="V18" i="1"/>
  <c r="U18" i="1"/>
  <c r="T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Z17" i="1"/>
  <c r="Y17" i="1"/>
  <c r="V17" i="1"/>
  <c r="U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Z16" i="1"/>
  <c r="Y16" i="1"/>
  <c r="V16" i="1"/>
  <c r="U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Z15" i="1"/>
  <c r="Y15" i="1"/>
  <c r="V15" i="1"/>
  <c r="U15" i="1"/>
  <c r="T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Z14" i="1"/>
  <c r="Y14" i="1"/>
  <c r="V14" i="1"/>
  <c r="U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C13" i="1"/>
  <c r="Z13" i="1"/>
  <c r="Y13" i="1"/>
  <c r="V13" i="1"/>
  <c r="U13" i="1"/>
  <c r="S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Z12" i="1"/>
  <c r="Y12" i="1"/>
  <c r="V12" i="1"/>
  <c r="U12" i="1"/>
  <c r="S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V11" i="1"/>
  <c r="U11" i="1"/>
  <c r="S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Z10" i="1"/>
  <c r="Y10" i="1"/>
  <c r="V10" i="1"/>
  <c r="U10" i="1"/>
  <c r="T10" i="1"/>
  <c r="S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10" i="1"/>
  <c r="AC9" i="1"/>
  <c r="Z9" i="1"/>
  <c r="Y9" i="1"/>
  <c r="V9" i="1"/>
  <c r="U9" i="1"/>
  <c r="S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Z8" i="1"/>
  <c r="Y8" i="1"/>
  <c r="V8" i="1"/>
  <c r="U8" i="1"/>
  <c r="S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V7" i="1"/>
  <c r="U7" i="1"/>
  <c r="S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Z6" i="1"/>
  <c r="Y6" i="1"/>
  <c r="V6" i="1"/>
  <c r="U6" i="1"/>
  <c r="T6" i="1"/>
  <c r="S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Z5" i="1"/>
  <c r="Y5" i="1"/>
  <c r="V5" i="1"/>
  <c r="U5" i="1"/>
  <c r="S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Z4" i="1"/>
  <c r="Y4" i="1"/>
  <c r="V4" i="1"/>
  <c r="U4" i="1"/>
  <c r="T4" i="1"/>
  <c r="S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Z3" i="1"/>
  <c r="Y3" i="1"/>
  <c r="V3" i="1"/>
  <c r="U3" i="1"/>
  <c r="S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A3" i="1"/>
  <c r="Z2" i="1"/>
  <c r="Y2" i="1"/>
  <c r="V2" i="1"/>
  <c r="U2" i="1"/>
  <c r="S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  <c r="B1" i="1"/>
  <c r="A1" i="1"/>
  <c r="C110" i="9" l="1" a="1"/>
  <c r="C110" i="9" s="1"/>
  <c r="C108" i="9" a="1"/>
  <c r="C108" i="9" s="1"/>
  <c r="C104" i="9" a="1"/>
  <c r="C104" i="9" s="1"/>
  <c r="C100" i="9" a="1"/>
  <c r="C100" i="9" s="1"/>
  <c r="C96" i="9" a="1"/>
  <c r="C96" i="9" s="1"/>
  <c r="C92" i="9" a="1"/>
  <c r="C92" i="9" s="1"/>
  <c r="C88" i="9" a="1"/>
  <c r="C88" i="9" s="1"/>
  <c r="C84" i="9" a="1"/>
  <c r="C84" i="9" s="1"/>
  <c r="C80" i="9" a="1"/>
  <c r="C80" i="9" s="1"/>
  <c r="C75" i="9" a="1"/>
  <c r="C75" i="9" s="1"/>
  <c r="C71" i="9" a="1"/>
  <c r="C71" i="9" s="1"/>
  <c r="C67" i="9" a="1"/>
  <c r="C67" i="9" s="1"/>
  <c r="C63" i="9" a="1"/>
  <c r="C63" i="9" s="1"/>
  <c r="C59" i="9" a="1"/>
  <c r="C59" i="9" s="1"/>
  <c r="C55" i="9" a="1"/>
  <c r="C55" i="9" s="1"/>
  <c r="C51" i="9" a="1"/>
  <c r="C51" i="9" s="1"/>
  <c r="C47" i="9" a="1"/>
  <c r="C47" i="9" s="1"/>
  <c r="C43" i="9" a="1"/>
  <c r="C43" i="9" s="1"/>
  <c r="C39" i="9" a="1"/>
  <c r="C39" i="9" s="1"/>
  <c r="C35" i="9" a="1"/>
  <c r="C35" i="9" s="1"/>
  <c r="C31" i="9" a="1"/>
  <c r="C31" i="9" s="1"/>
  <c r="C27" i="9" a="1"/>
  <c r="C27" i="9" s="1"/>
  <c r="C23" i="9" a="1"/>
  <c r="C23" i="9" s="1"/>
  <c r="C19" i="9" a="1"/>
  <c r="C19" i="9" s="1"/>
  <c r="C15" i="9" a="1"/>
  <c r="C15" i="9" s="1"/>
  <c r="C11" i="9" a="1"/>
  <c r="C11" i="9" s="1"/>
  <c r="C7" i="9" a="1"/>
  <c r="C7" i="9" s="1"/>
  <c r="C3" i="9" a="1"/>
  <c r="C3" i="9" s="1"/>
  <c r="C77" i="9" a="1"/>
  <c r="C77" i="9" s="1"/>
  <c r="C76" i="9" a="1"/>
  <c r="C76" i="9" s="1"/>
  <c r="C74" i="9" a="1"/>
  <c r="C74" i="9" s="1"/>
  <c r="C73" i="9" a="1"/>
  <c r="C73" i="9" s="1"/>
  <c r="C72" i="9" a="1"/>
  <c r="C72" i="9" s="1"/>
  <c r="C70" i="9" a="1"/>
  <c r="C70" i="9" s="1"/>
  <c r="C69" i="9" a="1"/>
  <c r="C69" i="9" s="1"/>
  <c r="C68" i="9" a="1"/>
  <c r="C68" i="9" s="1"/>
  <c r="C66" i="9" a="1"/>
  <c r="C66" i="9" s="1"/>
  <c r="C65" i="9" a="1"/>
  <c r="C65" i="9" s="1"/>
  <c r="C64" i="9" a="1"/>
  <c r="C64" i="9" s="1"/>
  <c r="C62" i="9" a="1"/>
  <c r="C62" i="9" s="1"/>
  <c r="C61" i="9" a="1"/>
  <c r="C61" i="9" s="1"/>
  <c r="C60" i="9" a="1"/>
  <c r="C60" i="9" s="1"/>
  <c r="C58" i="9" a="1"/>
  <c r="C58" i="9" s="1"/>
  <c r="C57" i="9" a="1"/>
  <c r="C57" i="9" s="1"/>
  <c r="C56" i="9" a="1"/>
  <c r="C56" i="9" s="1"/>
  <c r="C54" i="9" a="1"/>
  <c r="C54" i="9" s="1"/>
  <c r="C53" i="9" a="1"/>
  <c r="C53" i="9" s="1"/>
  <c r="C52" i="9" a="1"/>
  <c r="C52" i="9" s="1"/>
  <c r="C50" i="9" a="1"/>
  <c r="C50" i="9" s="1"/>
  <c r="C49" i="9" a="1"/>
  <c r="C49" i="9" s="1"/>
  <c r="C48" i="9" a="1"/>
  <c r="C48" i="9" s="1"/>
  <c r="C46" i="9" a="1"/>
  <c r="C46" i="9" s="1"/>
  <c r="C45" i="9" a="1"/>
  <c r="C45" i="9" s="1"/>
  <c r="C44" i="9" a="1"/>
  <c r="C44" i="9" s="1"/>
  <c r="C42" i="9" a="1"/>
  <c r="C42" i="9" s="1"/>
  <c r="C41" i="9" a="1"/>
  <c r="C41" i="9" s="1"/>
  <c r="C40" i="9" a="1"/>
  <c r="C40" i="9" s="1"/>
  <c r="C38" i="9" a="1"/>
  <c r="C38" i="9" s="1"/>
  <c r="C37" i="9" a="1"/>
  <c r="C37" i="9" s="1"/>
  <c r="C36" i="9" a="1"/>
  <c r="C36" i="9" s="1"/>
  <c r="C34" i="9" a="1"/>
  <c r="C34" i="9" s="1"/>
  <c r="C33" i="9" a="1"/>
  <c r="C33" i="9" s="1"/>
  <c r="C32" i="9" a="1"/>
  <c r="C32" i="9" s="1"/>
  <c r="C30" i="9" a="1"/>
  <c r="C30" i="9" s="1"/>
  <c r="C29" i="9" a="1"/>
  <c r="C29" i="9" s="1"/>
  <c r="C28" i="9" a="1"/>
  <c r="C28" i="9" s="1"/>
  <c r="C26" i="9" a="1"/>
  <c r="C26" i="9" s="1"/>
  <c r="C25" i="9" a="1"/>
  <c r="C25" i="9" s="1"/>
  <c r="C24" i="9" a="1"/>
  <c r="C24" i="9" s="1"/>
  <c r="C22" i="9" a="1"/>
  <c r="C22" i="9" s="1"/>
  <c r="C21" i="9" a="1"/>
  <c r="C21" i="9" s="1"/>
  <c r="C20" i="9" a="1"/>
  <c r="C20" i="9" s="1"/>
  <c r="C18" i="9" a="1"/>
  <c r="C18" i="9" s="1"/>
  <c r="C17" i="9" a="1"/>
  <c r="C17" i="9" s="1"/>
  <c r="C16" i="9" a="1"/>
  <c r="C16" i="9" s="1"/>
  <c r="C14" i="9" a="1"/>
  <c r="C14" i="9" s="1"/>
  <c r="C13" i="9" a="1"/>
  <c r="C13" i="9" s="1"/>
  <c r="C12" i="9" a="1"/>
  <c r="C12" i="9" s="1"/>
  <c r="C10" i="9" a="1"/>
  <c r="C10" i="9" s="1"/>
  <c r="C9" i="9" a="1"/>
  <c r="C9" i="9" s="1"/>
  <c r="C8" i="9" a="1"/>
  <c r="C8" i="9" s="1"/>
  <c r="C6" i="9" a="1"/>
  <c r="C6" i="9" s="1"/>
  <c r="C5" i="9" a="1"/>
  <c r="C5" i="9" s="1"/>
  <c r="C4" i="9" a="1"/>
  <c r="C4" i="9" s="1"/>
  <c r="C2" i="9" a="1"/>
  <c r="C2" i="9" s="1"/>
  <c r="C113" i="8" a="1"/>
  <c r="C113" i="8" s="1"/>
  <c r="C111" i="8" a="1"/>
  <c r="C111" i="8" s="1"/>
  <c r="C109" i="8" a="1"/>
  <c r="C109" i="8" s="1"/>
  <c r="C107" i="8" a="1"/>
  <c r="C107" i="8" s="1"/>
  <c r="C105" i="8" a="1"/>
  <c r="C105" i="8" s="1"/>
  <c r="C103" i="8" a="1"/>
  <c r="C103" i="8" s="1"/>
  <c r="C101" i="8" a="1"/>
  <c r="C101" i="8" s="1"/>
  <c r="C99" i="8" a="1"/>
  <c r="C99" i="8" s="1"/>
  <c r="C97" i="8" a="1"/>
  <c r="C97" i="8" s="1"/>
  <c r="C95" i="8" a="1"/>
  <c r="C95" i="8" s="1"/>
  <c r="C93" i="8" a="1"/>
  <c r="C93" i="8" s="1"/>
  <c r="C91" i="8" a="1"/>
  <c r="C91" i="8" s="1"/>
  <c r="C89" i="8" a="1"/>
  <c r="C89" i="8" s="1"/>
  <c r="C87" i="8" a="1"/>
  <c r="C87" i="8" s="1"/>
  <c r="C85" i="8" a="1"/>
  <c r="C85" i="8" s="1"/>
  <c r="C83" i="8" a="1"/>
  <c r="C83" i="8" s="1"/>
  <c r="C81" i="8" a="1"/>
  <c r="C81" i="8" s="1"/>
  <c r="C79" i="8" a="1"/>
  <c r="C79" i="8" s="1"/>
  <c r="C77" i="8" a="1"/>
  <c r="C77" i="8" s="1"/>
  <c r="C75" i="8" a="1"/>
  <c r="C75" i="8" s="1"/>
  <c r="C73" i="8" a="1"/>
  <c r="C73" i="8" s="1"/>
  <c r="C71" i="8" a="1"/>
  <c r="C71" i="8" s="1"/>
  <c r="C69" i="8" a="1"/>
  <c r="C69" i="8" s="1"/>
  <c r="C66" i="8" a="1"/>
  <c r="C66" i="8" s="1"/>
  <c r="C64" i="8" a="1"/>
  <c r="C64" i="8" s="1"/>
  <c r="C62" i="8" a="1"/>
  <c r="C62" i="8" s="1"/>
  <c r="C60" i="8" a="1"/>
  <c r="C60" i="8" s="1"/>
  <c r="C58" i="8" a="1"/>
  <c r="C58" i="8" s="1"/>
  <c r="C56" i="8" a="1"/>
  <c r="C56" i="8" s="1"/>
  <c r="C54" i="8" a="1"/>
  <c r="C54" i="8" s="1"/>
  <c r="C52" i="8" a="1"/>
  <c r="C52" i="8" s="1"/>
  <c r="C50" i="8" a="1"/>
  <c r="C50" i="8" s="1"/>
  <c r="C48" i="8" a="1"/>
  <c r="C48" i="8" s="1"/>
  <c r="C46" i="8" a="1"/>
  <c r="C46" i="8" s="1"/>
  <c r="C44" i="8" a="1"/>
  <c r="C44" i="8" s="1"/>
  <c r="C42" i="8" a="1"/>
  <c r="C42" i="8" s="1"/>
  <c r="C40" i="8" a="1"/>
  <c r="C40" i="8" s="1"/>
  <c r="C38" i="8" a="1"/>
  <c r="C38" i="8" s="1"/>
  <c r="C36" i="8" a="1"/>
  <c r="C36" i="8" s="1"/>
  <c r="C34" i="8" a="1"/>
  <c r="C34" i="8" s="1"/>
  <c r="C32" i="8" a="1"/>
  <c r="C32" i="8" s="1"/>
  <c r="C30" i="8" a="1"/>
  <c r="C30" i="8" s="1"/>
  <c r="C28" i="8" a="1"/>
  <c r="C28" i="8" s="1"/>
  <c r="C26" i="8" a="1"/>
  <c r="C26" i="8" s="1"/>
  <c r="C24" i="8" a="1"/>
  <c r="C24" i="8" s="1"/>
  <c r="C107" i="9" a="1"/>
  <c r="C107" i="9" s="1"/>
  <c r="C106" i="9" a="1"/>
  <c r="C106" i="9" s="1"/>
  <c r="C105" i="9" a="1"/>
  <c r="C105" i="9" s="1"/>
  <c r="C103" i="9" a="1"/>
  <c r="C103" i="9" s="1"/>
  <c r="C102" i="9" a="1"/>
  <c r="C102" i="9" s="1"/>
  <c r="C101" i="9" a="1"/>
  <c r="C101" i="9" s="1"/>
  <c r="C99" i="9" a="1"/>
  <c r="C99" i="9" s="1"/>
  <c r="C98" i="9" a="1"/>
  <c r="C98" i="9" s="1"/>
  <c r="C97" i="9" a="1"/>
  <c r="C97" i="9" s="1"/>
  <c r="C95" i="9" a="1"/>
  <c r="C95" i="9" s="1"/>
  <c r="C94" i="9" a="1"/>
  <c r="C94" i="9" s="1"/>
  <c r="C93" i="9" a="1"/>
  <c r="C93" i="9" s="1"/>
  <c r="C91" i="9" a="1"/>
  <c r="C91" i="9" s="1"/>
  <c r="C90" i="9" a="1"/>
  <c r="C90" i="9" s="1"/>
  <c r="C89" i="9" a="1"/>
  <c r="C89" i="9" s="1"/>
  <c r="C87" i="9" a="1"/>
  <c r="C87" i="9" s="1"/>
  <c r="C86" i="9" a="1"/>
  <c r="C86" i="9" s="1"/>
  <c r="C85" i="9" a="1"/>
  <c r="C85" i="9" s="1"/>
  <c r="C83" i="9" a="1"/>
  <c r="C83" i="9" s="1"/>
  <c r="C82" i="9" a="1"/>
  <c r="C82" i="9" s="1"/>
  <c r="C81" i="9" a="1"/>
  <c r="C81" i="9" s="1"/>
  <c r="C79" i="9" a="1"/>
  <c r="C79" i="9" s="1"/>
  <c r="C78" i="9" a="1"/>
  <c r="C78" i="9" s="1"/>
  <c r="C113" i="7" a="1"/>
  <c r="C113" i="7" s="1"/>
  <c r="C111" i="7" a="1"/>
  <c r="C111" i="7" s="1"/>
  <c r="C109" i="7" a="1"/>
  <c r="C109" i="7" s="1"/>
  <c r="C107" i="7" a="1"/>
  <c r="C107" i="7" s="1"/>
  <c r="C105" i="7" a="1"/>
  <c r="C105" i="7" s="1"/>
  <c r="C103" i="7" a="1"/>
  <c r="C103" i="7" s="1"/>
  <c r="C101" i="7" a="1"/>
  <c r="C101" i="7" s="1"/>
  <c r="C99" i="7" a="1"/>
  <c r="C99" i="7" s="1"/>
  <c r="C97" i="7" a="1"/>
  <c r="C97" i="7" s="1"/>
  <c r="C94" i="7" a="1"/>
  <c r="C94" i="7" s="1"/>
  <c r="C92" i="7" a="1"/>
  <c r="C92" i="7" s="1"/>
  <c r="C90" i="7" a="1"/>
  <c r="C90" i="7" s="1"/>
  <c r="C88" i="7" a="1"/>
  <c r="C88" i="7" s="1"/>
  <c r="C86" i="7" a="1"/>
  <c r="C86" i="7" s="1"/>
  <c r="C84" i="7" a="1"/>
  <c r="C84" i="7" s="1"/>
  <c r="C82" i="7" a="1"/>
  <c r="C82" i="7" s="1"/>
  <c r="C80" i="7" a="1"/>
  <c r="C80" i="7" s="1"/>
  <c r="C78" i="7" a="1"/>
  <c r="C78" i="7" s="1"/>
  <c r="C76" i="7" a="1"/>
  <c r="C76" i="7" s="1"/>
  <c r="C74" i="7" a="1"/>
  <c r="C74" i="7" s="1"/>
  <c r="C72" i="7" a="1"/>
  <c r="C72" i="7" s="1"/>
  <c r="C70" i="7" a="1"/>
  <c r="C70" i="7" s="1"/>
  <c r="C68" i="7" a="1"/>
  <c r="C68" i="7" s="1"/>
  <c r="C66" i="7" a="1"/>
  <c r="C66" i="7" s="1"/>
  <c r="C64" i="7" a="1"/>
  <c r="C64" i="7" s="1"/>
  <c r="C62" i="7" a="1"/>
  <c r="C62" i="7" s="1"/>
  <c r="C60" i="7" a="1"/>
  <c r="C60" i="7" s="1"/>
  <c r="C58" i="7" a="1"/>
  <c r="C58" i="7" s="1"/>
  <c r="C56" i="7" a="1"/>
  <c r="C56" i="7" s="1"/>
  <c r="C54" i="7" a="1"/>
  <c r="C54" i="7" s="1"/>
  <c r="C52" i="7" a="1"/>
  <c r="C52" i="7" s="1"/>
  <c r="C50" i="7" a="1"/>
  <c r="C50" i="7" s="1"/>
  <c r="C48" i="7" a="1"/>
  <c r="C48" i="7" s="1"/>
  <c r="C46" i="7" a="1"/>
  <c r="C46" i="7" s="1"/>
  <c r="C44" i="7" a="1"/>
  <c r="C44" i="7" s="1"/>
  <c r="C42" i="7" a="1"/>
  <c r="C42" i="7" s="1"/>
  <c r="C40" i="7" a="1"/>
  <c r="C40" i="7" s="1"/>
  <c r="C38" i="7" a="1"/>
  <c r="C38" i="7" s="1"/>
  <c r="C36" i="7" a="1"/>
  <c r="C36" i="7" s="1"/>
  <c r="C34" i="7" a="1"/>
  <c r="C34" i="7" s="1"/>
  <c r="C32" i="7" a="1"/>
  <c r="C32" i="7" s="1"/>
  <c r="C30" i="7" a="1"/>
  <c r="C30" i="7" s="1"/>
  <c r="C28" i="7" a="1"/>
  <c r="C28" i="7" s="1"/>
  <c r="C26" i="7" a="1"/>
  <c r="C26" i="7" s="1"/>
  <c r="C24" i="7" a="1"/>
  <c r="C24" i="7" s="1"/>
  <c r="C22" i="7" a="1"/>
  <c r="C22" i="7" s="1"/>
  <c r="C20" i="7" a="1"/>
  <c r="C20" i="7" s="1"/>
  <c r="C18" i="7" a="1"/>
  <c r="C18" i="7" s="1"/>
  <c r="C16" i="7" a="1"/>
  <c r="C16" i="7" s="1"/>
  <c r="C14" i="7" a="1"/>
  <c r="C14" i="7" s="1"/>
  <c r="C12" i="7" a="1"/>
  <c r="C12" i="7" s="1"/>
  <c r="C10" i="7" a="1"/>
  <c r="C10" i="7" s="1"/>
  <c r="C8" i="7" a="1"/>
  <c r="C8" i="7" s="1"/>
  <c r="C6" i="7" a="1"/>
  <c r="C6" i="7" s="1"/>
  <c r="C4" i="7" a="1"/>
  <c r="C4" i="7" s="1"/>
  <c r="C2" i="7" a="1"/>
  <c r="C2" i="7" s="1"/>
  <c r="C113" i="9" a="1"/>
  <c r="C113" i="9" s="1"/>
  <c r="C112" i="9" a="1"/>
  <c r="C112" i="9" s="1"/>
  <c r="C111" i="9" a="1"/>
  <c r="C111" i="9" s="1"/>
  <c r="C112" i="8" a="1"/>
  <c r="C112" i="8" s="1"/>
  <c r="C110" i="8" a="1"/>
  <c r="C110" i="8" s="1"/>
  <c r="C108" i="8" a="1"/>
  <c r="C108" i="8" s="1"/>
  <c r="C106" i="8" a="1"/>
  <c r="C106" i="8" s="1"/>
  <c r="C104" i="8" a="1"/>
  <c r="C104" i="8" s="1"/>
  <c r="C102" i="8" a="1"/>
  <c r="C102" i="8" s="1"/>
  <c r="C100" i="8" a="1"/>
  <c r="C100" i="8" s="1"/>
  <c r="C98" i="8" a="1"/>
  <c r="C98" i="8" s="1"/>
  <c r="C96" i="8" a="1"/>
  <c r="C96" i="8" s="1"/>
  <c r="C94" i="8" a="1"/>
  <c r="C94" i="8" s="1"/>
  <c r="C92" i="8" a="1"/>
  <c r="C92" i="8" s="1"/>
  <c r="C90" i="8" a="1"/>
  <c r="C90" i="8" s="1"/>
  <c r="C88" i="8" a="1"/>
  <c r="C88" i="8" s="1"/>
  <c r="C86" i="8" a="1"/>
  <c r="C86" i="8" s="1"/>
  <c r="C84" i="8" a="1"/>
  <c r="C84" i="8" s="1"/>
  <c r="C82" i="8" a="1"/>
  <c r="C82" i="8" s="1"/>
  <c r="C80" i="8" a="1"/>
  <c r="C80" i="8" s="1"/>
  <c r="C78" i="8" a="1"/>
  <c r="C78" i="8" s="1"/>
  <c r="C76" i="8" a="1"/>
  <c r="C76" i="8" s="1"/>
  <c r="C74" i="8" a="1"/>
  <c r="C74" i="8" s="1"/>
  <c r="C72" i="8" a="1"/>
  <c r="C72" i="8" s="1"/>
  <c r="C70" i="8" a="1"/>
  <c r="C70" i="8" s="1"/>
  <c r="C67" i="8" a="1"/>
  <c r="C67" i="8" s="1"/>
  <c r="C65" i="8" a="1"/>
  <c r="C65" i="8" s="1"/>
  <c r="C63" i="8" a="1"/>
  <c r="C63" i="8" s="1"/>
  <c r="C61" i="8" a="1"/>
  <c r="C61" i="8" s="1"/>
  <c r="C59" i="8" a="1"/>
  <c r="C59" i="8" s="1"/>
  <c r="C57" i="8" a="1"/>
  <c r="C57" i="8" s="1"/>
  <c r="C55" i="8" a="1"/>
  <c r="C55" i="8" s="1"/>
  <c r="C112" i="7" a="1"/>
  <c r="C112" i="7" s="1"/>
  <c r="C110" i="7" a="1"/>
  <c r="C110" i="7" s="1"/>
  <c r="C108" i="7" a="1"/>
  <c r="C108" i="7" s="1"/>
  <c r="C106" i="7" a="1"/>
  <c r="C106" i="7" s="1"/>
  <c r="C104" i="7" a="1"/>
  <c r="C104" i="7" s="1"/>
  <c r="C102" i="7" a="1"/>
  <c r="C102" i="7" s="1"/>
  <c r="C100" i="7" a="1"/>
  <c r="C100" i="7" s="1"/>
  <c r="C98" i="7" a="1"/>
  <c r="C98" i="7" s="1"/>
  <c r="C95" i="7" a="1"/>
  <c r="C95" i="7" s="1"/>
  <c r="C93" i="7" a="1"/>
  <c r="C93" i="7" s="1"/>
  <c r="C91" i="7" a="1"/>
  <c r="C91" i="7" s="1"/>
  <c r="C89" i="7" a="1"/>
  <c r="C89" i="7" s="1"/>
  <c r="C87" i="7" a="1"/>
  <c r="C87" i="7" s="1"/>
  <c r="C85" i="7" a="1"/>
  <c r="C85" i="7" s="1"/>
  <c r="C83" i="7" a="1"/>
  <c r="C83" i="7" s="1"/>
  <c r="C81" i="7" a="1"/>
  <c r="C81" i="7" s="1"/>
  <c r="C79" i="7" a="1"/>
  <c r="C79" i="7" s="1"/>
  <c r="C77" i="7" a="1"/>
  <c r="C77" i="7" s="1"/>
  <c r="C75" i="7" a="1"/>
  <c r="C75" i="7" s="1"/>
  <c r="C73" i="7" a="1"/>
  <c r="C73" i="7" s="1"/>
  <c r="C71" i="7" a="1"/>
  <c r="C71" i="7" s="1"/>
  <c r="C69" i="7" a="1"/>
  <c r="C69" i="7" s="1"/>
  <c r="C67" i="7" a="1"/>
  <c r="C67" i="7" s="1"/>
  <c r="C65" i="7" a="1"/>
  <c r="C65" i="7" s="1"/>
  <c r="C63" i="7" a="1"/>
  <c r="C63" i="7" s="1"/>
  <c r="C61" i="7" a="1"/>
  <c r="C61" i="7" s="1"/>
  <c r="C59" i="7" a="1"/>
  <c r="C59" i="7" s="1"/>
  <c r="C57" i="7" a="1"/>
  <c r="C57" i="7" s="1"/>
  <c r="C55" i="7" a="1"/>
  <c r="C55" i="7" s="1"/>
  <c r="C53" i="7" a="1"/>
  <c r="C53" i="7" s="1"/>
  <c r="C51" i="7" a="1"/>
  <c r="C51" i="7" s="1"/>
  <c r="C49" i="7" a="1"/>
  <c r="C49" i="7" s="1"/>
  <c r="C47" i="7" a="1"/>
  <c r="C47" i="7" s="1"/>
  <c r="C45" i="7" a="1"/>
  <c r="C45" i="7" s="1"/>
  <c r="C43" i="7" a="1"/>
  <c r="C43" i="7" s="1"/>
  <c r="C41" i="7" a="1"/>
  <c r="C41" i="7" s="1"/>
  <c r="C39" i="7" a="1"/>
  <c r="C39" i="7" s="1"/>
  <c r="C37" i="7" a="1"/>
  <c r="C37" i="7" s="1"/>
  <c r="C35" i="7" a="1"/>
  <c r="C35" i="7" s="1"/>
  <c r="C33" i="7" a="1"/>
  <c r="C33" i="7" s="1"/>
  <c r="C31" i="7" a="1"/>
  <c r="C31" i="7" s="1"/>
  <c r="C29" i="7" a="1"/>
  <c r="C29" i="7" s="1"/>
  <c r="C27" i="7" a="1"/>
  <c r="C27" i="7" s="1"/>
  <c r="C25" i="7" a="1"/>
  <c r="C25" i="7" s="1"/>
  <c r="C49" i="8" a="1"/>
  <c r="C49" i="8" s="1"/>
  <c r="C41" i="8" a="1"/>
  <c r="C41" i="8" s="1"/>
  <c r="C33" i="8" a="1"/>
  <c r="C33" i="8" s="1"/>
  <c r="C25" i="8" a="1"/>
  <c r="C25" i="8" s="1"/>
  <c r="C20" i="8" a="1"/>
  <c r="C20" i="8" s="1"/>
  <c r="C16" i="8" a="1"/>
  <c r="C16" i="8" s="1"/>
  <c r="C12" i="8" a="1"/>
  <c r="C12" i="8" s="1"/>
  <c r="C8" i="8" a="1"/>
  <c r="C8" i="8" s="1"/>
  <c r="C4" i="8" a="1"/>
  <c r="C4" i="8" s="1"/>
  <c r="C23" i="7" a="1"/>
  <c r="C23" i="7" s="1"/>
  <c r="C15" i="7" a="1"/>
  <c r="C15" i="7" s="1"/>
  <c r="C7" i="7" a="1"/>
  <c r="C7" i="7" s="1"/>
  <c r="C112" i="6" a="1"/>
  <c r="C112" i="6" s="1"/>
  <c r="C110" i="6" a="1"/>
  <c r="C110" i="6" s="1"/>
  <c r="C106" i="6" a="1"/>
  <c r="C106" i="6" s="1"/>
  <c r="C102" i="6" a="1"/>
  <c r="C102" i="6" s="1"/>
  <c r="C98" i="6" a="1"/>
  <c r="C98" i="6" s="1"/>
  <c r="C94" i="6" a="1"/>
  <c r="C94" i="6" s="1"/>
  <c r="C90" i="6" a="1"/>
  <c r="C90" i="6" s="1"/>
  <c r="C86" i="6" a="1"/>
  <c r="C86" i="6" s="1"/>
  <c r="C82" i="6" a="1"/>
  <c r="C82" i="6" s="1"/>
  <c r="C77" i="6" a="1"/>
  <c r="C77" i="6" s="1"/>
  <c r="C73" i="6" a="1"/>
  <c r="C73" i="6" s="1"/>
  <c r="C69" i="6" a="1"/>
  <c r="C69" i="6" s="1"/>
  <c r="C65" i="6" a="1"/>
  <c r="C65" i="6" s="1"/>
  <c r="C61" i="6" a="1"/>
  <c r="C61" i="6" s="1"/>
  <c r="C57" i="6" a="1"/>
  <c r="C57" i="6" s="1"/>
  <c r="C53" i="6" a="1"/>
  <c r="C53" i="6" s="1"/>
  <c r="C49" i="6" a="1"/>
  <c r="C49" i="6" s="1"/>
  <c r="C45" i="6" a="1"/>
  <c r="C45" i="6" s="1"/>
  <c r="C41" i="6" a="1"/>
  <c r="C41" i="6" s="1"/>
  <c r="C37" i="6" a="1"/>
  <c r="C37" i="6" s="1"/>
  <c r="C33" i="6" a="1"/>
  <c r="C33" i="6" s="1"/>
  <c r="C29" i="6" a="1"/>
  <c r="C29" i="6" s="1"/>
  <c r="C25" i="6" a="1"/>
  <c r="C25" i="6" s="1"/>
  <c r="C21" i="6" a="1"/>
  <c r="C21" i="6" s="1"/>
  <c r="C17" i="6" a="1"/>
  <c r="C17" i="6" s="1"/>
  <c r="C13" i="6" a="1"/>
  <c r="C13" i="6" s="1"/>
  <c r="C9" i="6" a="1"/>
  <c r="C9" i="6" s="1"/>
  <c r="C5" i="6" a="1"/>
  <c r="C5" i="6" s="1"/>
  <c r="C113" i="5" a="1"/>
  <c r="C113" i="5" s="1"/>
  <c r="C107" i="5" a="1"/>
  <c r="C107" i="5" s="1"/>
  <c r="C103" i="5" a="1"/>
  <c r="C103" i="5" s="1"/>
  <c r="C99" i="5" a="1"/>
  <c r="C99" i="5" s="1"/>
  <c r="C95" i="5" a="1"/>
  <c r="C95" i="5" s="1"/>
  <c r="C91" i="5" a="1"/>
  <c r="C91" i="5" s="1"/>
  <c r="C87" i="5" a="1"/>
  <c r="C87" i="5" s="1"/>
  <c r="C83" i="5" a="1"/>
  <c r="C83" i="5" s="1"/>
  <c r="C78" i="5" a="1"/>
  <c r="C78" i="5" s="1"/>
  <c r="C74" i="5" a="1"/>
  <c r="C74" i="5" s="1"/>
  <c r="C70" i="5" a="1"/>
  <c r="C70" i="5" s="1"/>
  <c r="C66" i="5" a="1"/>
  <c r="C66" i="5" s="1"/>
  <c r="C62" i="5" a="1"/>
  <c r="C62" i="5" s="1"/>
  <c r="C58" i="5" a="1"/>
  <c r="C58" i="5" s="1"/>
  <c r="C54" i="5" a="1"/>
  <c r="C54" i="5" s="1"/>
  <c r="C50" i="5" a="1"/>
  <c r="C50" i="5" s="1"/>
  <c r="C46" i="5" a="1"/>
  <c r="C46" i="5" s="1"/>
  <c r="C42" i="5" a="1"/>
  <c r="C42" i="5" s="1"/>
  <c r="C38" i="5" a="1"/>
  <c r="C38" i="5" s="1"/>
  <c r="C34" i="5" a="1"/>
  <c r="C34" i="5" s="1"/>
  <c r="C30" i="5" a="1"/>
  <c r="C30" i="5" s="1"/>
  <c r="C26" i="5" a="1"/>
  <c r="C26" i="5" s="1"/>
  <c r="C22" i="5" a="1"/>
  <c r="C22" i="5" s="1"/>
  <c r="C18" i="5" a="1"/>
  <c r="C18" i="5" s="1"/>
  <c r="C14" i="5" a="1"/>
  <c r="C14" i="5" s="1"/>
  <c r="C10" i="5" a="1"/>
  <c r="C10" i="5" s="1"/>
  <c r="C6" i="5" a="1"/>
  <c r="C6" i="5" s="1"/>
  <c r="C2" i="5" a="1"/>
  <c r="C2" i="5" s="1"/>
  <c r="C115" i="4" a="1"/>
  <c r="C115" i="4" s="1"/>
  <c r="C113" i="4" a="1"/>
  <c r="C113" i="4" s="1"/>
  <c r="C111" i="4" a="1"/>
  <c r="C111" i="4" s="1"/>
  <c r="C109" i="4" a="1"/>
  <c r="C109" i="4" s="1"/>
  <c r="C107" i="4" a="1"/>
  <c r="C107" i="4" s="1"/>
  <c r="C104" i="4" a="1"/>
  <c r="C104" i="4" s="1"/>
  <c r="C102" i="4" a="1"/>
  <c r="C102" i="4" s="1"/>
  <c r="C100" i="4" a="1"/>
  <c r="C100" i="4" s="1"/>
  <c r="C98" i="4" a="1"/>
  <c r="C98" i="4" s="1"/>
  <c r="C96" i="4" a="1"/>
  <c r="C96" i="4" s="1"/>
  <c r="C47" i="8" a="1"/>
  <c r="C47" i="8" s="1"/>
  <c r="C39" i="8" a="1"/>
  <c r="C39" i="8" s="1"/>
  <c r="C31" i="8" a="1"/>
  <c r="C31" i="8" s="1"/>
  <c r="C23" i="8" a="1"/>
  <c r="C23" i="8" s="1"/>
  <c r="C19" i="8" a="1"/>
  <c r="C19" i="8" s="1"/>
  <c r="C15" i="8" a="1"/>
  <c r="C15" i="8" s="1"/>
  <c r="C11" i="8" a="1"/>
  <c r="C11" i="8" s="1"/>
  <c r="C7" i="8" a="1"/>
  <c r="C7" i="8" s="1"/>
  <c r="C3" i="8" a="1"/>
  <c r="C3" i="8" s="1"/>
  <c r="C17" i="7" a="1"/>
  <c r="C17" i="7" s="1"/>
  <c r="C9" i="7" a="1"/>
  <c r="C9" i="7" s="1"/>
  <c r="C115" i="6" a="1"/>
  <c r="C115" i="6" s="1"/>
  <c r="C109" i="6" a="1"/>
  <c r="C109" i="6" s="1"/>
  <c r="C105" i="6" a="1"/>
  <c r="C105" i="6" s="1"/>
  <c r="C101" i="6" a="1"/>
  <c r="C101" i="6" s="1"/>
  <c r="C97" i="6" a="1"/>
  <c r="C97" i="6" s="1"/>
  <c r="C93" i="6" a="1"/>
  <c r="C93" i="6" s="1"/>
  <c r="C89" i="6" a="1"/>
  <c r="C89" i="6" s="1"/>
  <c r="C85" i="6" a="1"/>
  <c r="C85" i="6" s="1"/>
  <c r="C81" i="6" a="1"/>
  <c r="C81" i="6" s="1"/>
  <c r="C76" i="6" a="1"/>
  <c r="C76" i="6" s="1"/>
  <c r="C72" i="6" a="1"/>
  <c r="C72" i="6" s="1"/>
  <c r="C68" i="6" a="1"/>
  <c r="C68" i="6" s="1"/>
  <c r="C64" i="6" a="1"/>
  <c r="C64" i="6" s="1"/>
  <c r="C60" i="6" a="1"/>
  <c r="C60" i="6" s="1"/>
  <c r="C56" i="6" a="1"/>
  <c r="C56" i="6" s="1"/>
  <c r="C52" i="6" a="1"/>
  <c r="C52" i="6" s="1"/>
  <c r="C48" i="6" a="1"/>
  <c r="C48" i="6" s="1"/>
  <c r="C44" i="6" a="1"/>
  <c r="C44" i="6" s="1"/>
  <c r="C40" i="6" a="1"/>
  <c r="C40" i="6" s="1"/>
  <c r="C36" i="6" a="1"/>
  <c r="C36" i="6" s="1"/>
  <c r="C32" i="6" a="1"/>
  <c r="C32" i="6" s="1"/>
  <c r="C28" i="6" a="1"/>
  <c r="C28" i="6" s="1"/>
  <c r="C24" i="6" a="1"/>
  <c r="C24" i="6" s="1"/>
  <c r="C20" i="6" a="1"/>
  <c r="C20" i="6" s="1"/>
  <c r="C16" i="6" a="1"/>
  <c r="C16" i="6" s="1"/>
  <c r="C12" i="6" a="1"/>
  <c r="C12" i="6" s="1"/>
  <c r="C8" i="6" a="1"/>
  <c r="C8" i="6" s="1"/>
  <c r="C4" i="6" a="1"/>
  <c r="C4" i="6" s="1"/>
  <c r="C112" i="5" a="1"/>
  <c r="C112" i="5" s="1"/>
  <c r="C110" i="5" a="1"/>
  <c r="C110" i="5" s="1"/>
  <c r="C106" i="5" a="1"/>
  <c r="C106" i="5" s="1"/>
  <c r="C102" i="5" a="1"/>
  <c r="C102" i="5" s="1"/>
  <c r="C98" i="5" a="1"/>
  <c r="C98" i="5" s="1"/>
  <c r="C94" i="5" a="1"/>
  <c r="C94" i="5" s="1"/>
  <c r="C90" i="5" a="1"/>
  <c r="C90" i="5" s="1"/>
  <c r="C86" i="5" a="1"/>
  <c r="C86" i="5" s="1"/>
  <c r="C82" i="5" a="1"/>
  <c r="C82" i="5" s="1"/>
  <c r="C77" i="5" a="1"/>
  <c r="C77" i="5" s="1"/>
  <c r="C73" i="5" a="1"/>
  <c r="C73" i="5" s="1"/>
  <c r="C69" i="5" a="1"/>
  <c r="C69" i="5" s="1"/>
  <c r="C65" i="5" a="1"/>
  <c r="C65" i="5" s="1"/>
  <c r="C61" i="5" a="1"/>
  <c r="C61" i="5" s="1"/>
  <c r="C57" i="5" a="1"/>
  <c r="C57" i="5" s="1"/>
  <c r="C53" i="5" a="1"/>
  <c r="C53" i="5" s="1"/>
  <c r="C49" i="5" a="1"/>
  <c r="C49" i="5" s="1"/>
  <c r="C45" i="5" a="1"/>
  <c r="C45" i="5" s="1"/>
  <c r="C41" i="5" a="1"/>
  <c r="C41" i="5" s="1"/>
  <c r="C37" i="5" a="1"/>
  <c r="C37" i="5" s="1"/>
  <c r="C33" i="5" a="1"/>
  <c r="C33" i="5" s="1"/>
  <c r="C29" i="5" a="1"/>
  <c r="C29" i="5" s="1"/>
  <c r="C25" i="5" a="1"/>
  <c r="C25" i="5" s="1"/>
  <c r="C21" i="5" a="1"/>
  <c r="C21" i="5" s="1"/>
  <c r="C17" i="5" a="1"/>
  <c r="C17" i="5" s="1"/>
  <c r="C13" i="5" a="1"/>
  <c r="C13" i="5" s="1"/>
  <c r="C9" i="5" a="1"/>
  <c r="C9" i="5" s="1"/>
  <c r="C5" i="5" a="1"/>
  <c r="C5" i="5" s="1"/>
  <c r="C113" i="3" a="1"/>
  <c r="C113" i="3" s="1"/>
  <c r="C111" i="3" a="1"/>
  <c r="C111" i="3" s="1"/>
  <c r="C107" i="3" a="1"/>
  <c r="C107" i="3" s="1"/>
  <c r="C103" i="3" a="1"/>
  <c r="C103" i="3" s="1"/>
  <c r="C99" i="3" a="1"/>
  <c r="C99" i="3" s="1"/>
  <c r="C95" i="3" a="1"/>
  <c r="C95" i="3" s="1"/>
  <c r="C91" i="3" a="1"/>
  <c r="C91" i="3" s="1"/>
  <c r="C87" i="3" a="1"/>
  <c r="C87" i="3" s="1"/>
  <c r="C83" i="3" a="1"/>
  <c r="C83" i="3" s="1"/>
  <c r="C79" i="3" a="1"/>
  <c r="C79" i="3" s="1"/>
  <c r="C75" i="3" a="1"/>
  <c r="C75" i="3" s="1"/>
  <c r="C71" i="3" a="1"/>
  <c r="C71" i="3" s="1"/>
  <c r="C67" i="3" a="1"/>
  <c r="C67" i="3" s="1"/>
  <c r="C63" i="3" a="1"/>
  <c r="C63" i="3" s="1"/>
  <c r="C59" i="3" a="1"/>
  <c r="C59" i="3" s="1"/>
  <c r="C55" i="3" a="1"/>
  <c r="C55" i="3" s="1"/>
  <c r="C51" i="3" a="1"/>
  <c r="C51" i="3" s="1"/>
  <c r="C46" i="3" a="1"/>
  <c r="C46" i="3" s="1"/>
  <c r="C42" i="3" a="1"/>
  <c r="C42" i="3" s="1"/>
  <c r="C38" i="3" a="1"/>
  <c r="C38" i="3" s="1"/>
  <c r="C34" i="3" a="1"/>
  <c r="C34" i="3" s="1"/>
  <c r="C30" i="3" a="1"/>
  <c r="C30" i="3" s="1"/>
  <c r="C53" i="8" a="1"/>
  <c r="C53" i="8" s="1"/>
  <c r="C45" i="8" a="1"/>
  <c r="C45" i="8" s="1"/>
  <c r="C37" i="8" a="1"/>
  <c r="C37" i="8" s="1"/>
  <c r="C29" i="8" a="1"/>
  <c r="C29" i="8" s="1"/>
  <c r="C22" i="8" a="1"/>
  <c r="C22" i="8" s="1"/>
  <c r="C18" i="8" a="1"/>
  <c r="C18" i="8" s="1"/>
  <c r="C14" i="8" a="1"/>
  <c r="C14" i="8" s="1"/>
  <c r="C10" i="8" a="1"/>
  <c r="C10" i="8" s="1"/>
  <c r="C6" i="8" a="1"/>
  <c r="C6" i="8" s="1"/>
  <c r="C2" i="8" a="1"/>
  <c r="C2" i="8" s="1"/>
  <c r="C19" i="7" a="1"/>
  <c r="C19" i="7" s="1"/>
  <c r="C11" i="7" a="1"/>
  <c r="C11" i="7" s="1"/>
  <c r="C3" i="7" a="1"/>
  <c r="C3" i="7" s="1"/>
  <c r="C114" i="6" a="1"/>
  <c r="C114" i="6" s="1"/>
  <c r="C108" i="6" a="1"/>
  <c r="C108" i="6" s="1"/>
  <c r="C104" i="6" a="1"/>
  <c r="C104" i="6" s="1"/>
  <c r="C100" i="6" a="1"/>
  <c r="C100" i="6" s="1"/>
  <c r="C96" i="6" a="1"/>
  <c r="C96" i="6" s="1"/>
  <c r="C92" i="6" a="1"/>
  <c r="C92" i="6" s="1"/>
  <c r="C88" i="6" a="1"/>
  <c r="C88" i="6" s="1"/>
  <c r="C84" i="6" a="1"/>
  <c r="C84" i="6" s="1"/>
  <c r="C80" i="6" a="1"/>
  <c r="C80" i="6" s="1"/>
  <c r="C79" i="6" a="1"/>
  <c r="C79" i="6" s="1"/>
  <c r="C75" i="6" a="1"/>
  <c r="C75" i="6" s="1"/>
  <c r="C71" i="6" a="1"/>
  <c r="C71" i="6" s="1"/>
  <c r="C67" i="6" a="1"/>
  <c r="C67" i="6" s="1"/>
  <c r="C63" i="6" a="1"/>
  <c r="C63" i="6" s="1"/>
  <c r="C59" i="6" a="1"/>
  <c r="C59" i="6" s="1"/>
  <c r="C55" i="6" a="1"/>
  <c r="C55" i="6" s="1"/>
  <c r="C51" i="6" a="1"/>
  <c r="C51" i="6" s="1"/>
  <c r="C47" i="6" a="1"/>
  <c r="C47" i="6" s="1"/>
  <c r="C43" i="6" a="1"/>
  <c r="C43" i="6" s="1"/>
  <c r="C39" i="6" a="1"/>
  <c r="C39" i="6" s="1"/>
  <c r="C35" i="6" a="1"/>
  <c r="C35" i="6" s="1"/>
  <c r="C31" i="6" a="1"/>
  <c r="C31" i="6" s="1"/>
  <c r="C27" i="6" a="1"/>
  <c r="C27" i="6" s="1"/>
  <c r="C23" i="6" a="1"/>
  <c r="C23" i="6" s="1"/>
  <c r="C19" i="6" a="1"/>
  <c r="C19" i="6" s="1"/>
  <c r="C15" i="6" a="1"/>
  <c r="C15" i="6" s="1"/>
  <c r="C11" i="6" a="1"/>
  <c r="C11" i="6" s="1"/>
  <c r="C7" i="6" a="1"/>
  <c r="C7" i="6" s="1"/>
  <c r="C3" i="6" a="1"/>
  <c r="C3" i="6" s="1"/>
  <c r="C115" i="5" a="1"/>
  <c r="C115" i="5" s="1"/>
  <c r="C109" i="5" a="1"/>
  <c r="C109" i="5" s="1"/>
  <c r="C105" i="5" a="1"/>
  <c r="C105" i="5" s="1"/>
  <c r="C101" i="5" a="1"/>
  <c r="C101" i="5" s="1"/>
  <c r="C97" i="5" a="1"/>
  <c r="C97" i="5" s="1"/>
  <c r="C93" i="5" a="1"/>
  <c r="C93" i="5" s="1"/>
  <c r="C89" i="5" a="1"/>
  <c r="C89" i="5" s="1"/>
  <c r="C85" i="5" a="1"/>
  <c r="C85" i="5" s="1"/>
  <c r="C81" i="5" a="1"/>
  <c r="C81" i="5" s="1"/>
  <c r="C76" i="5" a="1"/>
  <c r="C76" i="5" s="1"/>
  <c r="C72" i="5" a="1"/>
  <c r="C72" i="5" s="1"/>
  <c r="C68" i="5" a="1"/>
  <c r="C68" i="5" s="1"/>
  <c r="C64" i="5" a="1"/>
  <c r="C64" i="5" s="1"/>
  <c r="C60" i="5" a="1"/>
  <c r="C60" i="5" s="1"/>
  <c r="C56" i="5" a="1"/>
  <c r="C56" i="5" s="1"/>
  <c r="C52" i="5" a="1"/>
  <c r="C52" i="5" s="1"/>
  <c r="C48" i="5" a="1"/>
  <c r="C48" i="5" s="1"/>
  <c r="C44" i="5" a="1"/>
  <c r="C44" i="5" s="1"/>
  <c r="C40" i="5" a="1"/>
  <c r="C40" i="5" s="1"/>
  <c r="C36" i="5" a="1"/>
  <c r="C36" i="5" s="1"/>
  <c r="C32" i="5" a="1"/>
  <c r="C32" i="5" s="1"/>
  <c r="C28" i="5" a="1"/>
  <c r="C28" i="5" s="1"/>
  <c r="C24" i="5" a="1"/>
  <c r="C24" i="5" s="1"/>
  <c r="C20" i="5" a="1"/>
  <c r="C20" i="5" s="1"/>
  <c r="C16" i="5" a="1"/>
  <c r="C16" i="5" s="1"/>
  <c r="C12" i="5" a="1"/>
  <c r="C12" i="5" s="1"/>
  <c r="C8" i="5" a="1"/>
  <c r="C8" i="5" s="1"/>
  <c r="C4" i="5" a="1"/>
  <c r="C4" i="5" s="1"/>
  <c r="C116" i="4" a="1"/>
  <c r="C116" i="4" s="1"/>
  <c r="C114" i="4" a="1"/>
  <c r="C114" i="4" s="1"/>
  <c r="C112" i="4" a="1"/>
  <c r="C112" i="4" s="1"/>
  <c r="C110" i="4" a="1"/>
  <c r="C110" i="4" s="1"/>
  <c r="C108" i="4" a="1"/>
  <c r="C108" i="4" s="1"/>
  <c r="C105" i="4" a="1"/>
  <c r="C105" i="4" s="1"/>
  <c r="C103" i="4" a="1"/>
  <c r="C103" i="4" s="1"/>
  <c r="C101" i="4" a="1"/>
  <c r="C101" i="4" s="1"/>
  <c r="C99" i="4" a="1"/>
  <c r="C99" i="4" s="1"/>
  <c r="C97" i="4" a="1"/>
  <c r="C97" i="4" s="1"/>
  <c r="C95" i="4" a="1"/>
  <c r="C95" i="4" s="1"/>
  <c r="C51" i="8" a="1"/>
  <c r="C51" i="8" s="1"/>
  <c r="C43" i="8" a="1"/>
  <c r="C43" i="8" s="1"/>
  <c r="C35" i="8" a="1"/>
  <c r="C35" i="8" s="1"/>
  <c r="C27" i="8" a="1"/>
  <c r="C27" i="8" s="1"/>
  <c r="C21" i="8" a="1"/>
  <c r="C21" i="8" s="1"/>
  <c r="C17" i="8" a="1"/>
  <c r="C17" i="8" s="1"/>
  <c r="C13" i="8" a="1"/>
  <c r="C13" i="8" s="1"/>
  <c r="C9" i="8" a="1"/>
  <c r="C9" i="8" s="1"/>
  <c r="C5" i="8" a="1"/>
  <c r="C5" i="8" s="1"/>
  <c r="C21" i="7" a="1"/>
  <c r="C21" i="7" s="1"/>
  <c r="C13" i="7" a="1"/>
  <c r="C13" i="7" s="1"/>
  <c r="C5" i="7" a="1"/>
  <c r="C5" i="7" s="1"/>
  <c r="C113" i="6" a="1"/>
  <c r="C113" i="6" s="1"/>
  <c r="C107" i="6" a="1"/>
  <c r="C107" i="6" s="1"/>
  <c r="C103" i="6" a="1"/>
  <c r="C103" i="6" s="1"/>
  <c r="C99" i="6" a="1"/>
  <c r="C99" i="6" s="1"/>
  <c r="C95" i="6" a="1"/>
  <c r="C95" i="6" s="1"/>
  <c r="C91" i="6" a="1"/>
  <c r="C91" i="6" s="1"/>
  <c r="C87" i="6" a="1"/>
  <c r="C87" i="6" s="1"/>
  <c r="C83" i="6" a="1"/>
  <c r="C83" i="6" s="1"/>
  <c r="C78" i="6" a="1"/>
  <c r="C78" i="6" s="1"/>
  <c r="C74" i="6" a="1"/>
  <c r="C74" i="6" s="1"/>
  <c r="C70" i="6" a="1"/>
  <c r="C70" i="6" s="1"/>
  <c r="C66" i="6" a="1"/>
  <c r="C66" i="6" s="1"/>
  <c r="C62" i="6" a="1"/>
  <c r="C62" i="6" s="1"/>
  <c r="C58" i="6" a="1"/>
  <c r="C58" i="6" s="1"/>
  <c r="C54" i="6" a="1"/>
  <c r="C54" i="6" s="1"/>
  <c r="C50" i="6" a="1"/>
  <c r="C50" i="6" s="1"/>
  <c r="C46" i="6" a="1"/>
  <c r="C46" i="6" s="1"/>
  <c r="C42" i="6" a="1"/>
  <c r="C42" i="6" s="1"/>
  <c r="C38" i="6" a="1"/>
  <c r="C38" i="6" s="1"/>
  <c r="C34" i="6" a="1"/>
  <c r="C34" i="6" s="1"/>
  <c r="C30" i="6" a="1"/>
  <c r="C30" i="6" s="1"/>
  <c r="C26" i="6" a="1"/>
  <c r="C26" i="6" s="1"/>
  <c r="C22" i="6" a="1"/>
  <c r="C22" i="6" s="1"/>
  <c r="C18" i="6" a="1"/>
  <c r="C18" i="6" s="1"/>
  <c r="C14" i="6" a="1"/>
  <c r="C14" i="6" s="1"/>
  <c r="C10" i="6" a="1"/>
  <c r="C10" i="6" s="1"/>
  <c r="C6" i="6" a="1"/>
  <c r="C6" i="6" s="1"/>
  <c r="C2" i="6" a="1"/>
  <c r="C2" i="6" s="1"/>
  <c r="C114" i="5" a="1"/>
  <c r="C114" i="5" s="1"/>
  <c r="C108" i="5" a="1"/>
  <c r="C108" i="5" s="1"/>
  <c r="C104" i="5" a="1"/>
  <c r="C104" i="5" s="1"/>
  <c r="C100" i="5" a="1"/>
  <c r="C100" i="5" s="1"/>
  <c r="C96" i="5" a="1"/>
  <c r="C96" i="5" s="1"/>
  <c r="C92" i="5" a="1"/>
  <c r="C92" i="5" s="1"/>
  <c r="C88" i="5" a="1"/>
  <c r="C88" i="5" s="1"/>
  <c r="C84" i="5" a="1"/>
  <c r="C84" i="5" s="1"/>
  <c r="C80" i="5" a="1"/>
  <c r="C80" i="5" s="1"/>
  <c r="C79" i="5" a="1"/>
  <c r="C79" i="5" s="1"/>
  <c r="C75" i="5" a="1"/>
  <c r="C75" i="5" s="1"/>
  <c r="C71" i="5" a="1"/>
  <c r="C71" i="5" s="1"/>
  <c r="C67" i="5" a="1"/>
  <c r="C67" i="5" s="1"/>
  <c r="C63" i="5" a="1"/>
  <c r="C63" i="5" s="1"/>
  <c r="C59" i="5" a="1"/>
  <c r="C59" i="5" s="1"/>
  <c r="C55" i="5" a="1"/>
  <c r="C55" i="5" s="1"/>
  <c r="C51" i="5" a="1"/>
  <c r="C51" i="5" s="1"/>
  <c r="C47" i="5" a="1"/>
  <c r="C47" i="5" s="1"/>
  <c r="C43" i="5" a="1"/>
  <c r="C43" i="5" s="1"/>
  <c r="C39" i="5" a="1"/>
  <c r="C39" i="5" s="1"/>
  <c r="C35" i="5" a="1"/>
  <c r="C35" i="5" s="1"/>
  <c r="C31" i="5" a="1"/>
  <c r="C31" i="5" s="1"/>
  <c r="C27" i="5" a="1"/>
  <c r="C27" i="5" s="1"/>
  <c r="C23" i="5" a="1"/>
  <c r="C23" i="5" s="1"/>
  <c r="C19" i="5" a="1"/>
  <c r="C19" i="5" s="1"/>
  <c r="C15" i="5" a="1"/>
  <c r="C15" i="5" s="1"/>
  <c r="C11" i="5" a="1"/>
  <c r="C11" i="5" s="1"/>
  <c r="C7" i="5" a="1"/>
  <c r="C7" i="5" s="1"/>
  <c r="C3" i="5" a="1"/>
  <c r="C3" i="5" s="1"/>
  <c r="C115" i="3" a="1"/>
  <c r="C115" i="3" s="1"/>
  <c r="C109" i="3" a="1"/>
  <c r="C109" i="3" s="1"/>
  <c r="C105" i="3" a="1"/>
  <c r="C105" i="3" s="1"/>
  <c r="C101" i="3" a="1"/>
  <c r="C101" i="3" s="1"/>
  <c r="C97" i="3" a="1"/>
  <c r="C97" i="3" s="1"/>
  <c r="C3" i="2" a="1"/>
  <c r="C3" i="2" s="1"/>
  <c r="C7" i="2" a="1"/>
  <c r="C7" i="2" s="1"/>
  <c r="C11" i="2" a="1"/>
  <c r="C11" i="2" s="1"/>
  <c r="C15" i="2" a="1"/>
  <c r="C15" i="2" s="1"/>
  <c r="C19" i="2" a="1"/>
  <c r="C19" i="2" s="1"/>
  <c r="C23" i="2" a="1"/>
  <c r="C23" i="2" s="1"/>
  <c r="C27" i="2" a="1"/>
  <c r="C27" i="2" s="1"/>
  <c r="C31" i="2" a="1"/>
  <c r="C31" i="2" s="1"/>
  <c r="C38" i="2" a="1"/>
  <c r="C38" i="2" s="1"/>
  <c r="C42" i="2" a="1"/>
  <c r="C42" i="2" s="1"/>
  <c r="C46" i="2" a="1"/>
  <c r="C46" i="2" s="1"/>
  <c r="C50" i="2" a="1"/>
  <c r="C50" i="2" s="1"/>
  <c r="C54" i="2" a="1"/>
  <c r="C54" i="2" s="1"/>
  <c r="C58" i="2" a="1"/>
  <c r="C58" i="2" s="1"/>
  <c r="C62" i="2" a="1"/>
  <c r="C62" i="2" s="1"/>
  <c r="C66" i="2" a="1"/>
  <c r="C66" i="2" s="1"/>
  <c r="C70" i="2" a="1"/>
  <c r="C70" i="2" s="1"/>
  <c r="C74" i="2" a="1"/>
  <c r="C74" i="2" s="1"/>
  <c r="C78" i="2" a="1"/>
  <c r="C78" i="2" s="1"/>
  <c r="C82" i="2" a="1"/>
  <c r="C82" i="2" s="1"/>
  <c r="C86" i="2" a="1"/>
  <c r="C86" i="2" s="1"/>
  <c r="C90" i="2" a="1"/>
  <c r="C90" i="2" s="1"/>
  <c r="C94" i="2" a="1"/>
  <c r="C94" i="2" s="1"/>
  <c r="C98" i="2" a="1"/>
  <c r="C98" i="2" s="1"/>
  <c r="C102" i="2" a="1"/>
  <c r="C102" i="2" s="1"/>
  <c r="C106" i="2" a="1"/>
  <c r="C106" i="2" s="1"/>
  <c r="C110" i="2" a="1"/>
  <c r="C110" i="2" s="1"/>
  <c r="C114" i="2" a="1"/>
  <c r="C114" i="2" s="1"/>
  <c r="O118" i="2"/>
  <c r="C3" i="3" a="1"/>
  <c r="C3" i="3" s="1"/>
  <c r="R5" i="3"/>
  <c r="C7" i="3" a="1"/>
  <c r="C7" i="3" s="1"/>
  <c r="R9" i="3"/>
  <c r="C11" i="3" a="1"/>
  <c r="C11" i="3" s="1"/>
  <c r="R13" i="3"/>
  <c r="C15" i="3" a="1"/>
  <c r="C15" i="3" s="1"/>
  <c r="R17" i="3"/>
  <c r="C19" i="3" a="1"/>
  <c r="C19" i="3" s="1"/>
  <c r="R21" i="3"/>
  <c r="C23" i="3" a="1"/>
  <c r="C23" i="3" s="1"/>
  <c r="R25" i="3"/>
  <c r="R48" i="3"/>
  <c r="R96" i="3"/>
  <c r="C98" i="3" a="1"/>
  <c r="C98" i="3" s="1"/>
  <c r="R100" i="3"/>
  <c r="C102" i="3" a="1"/>
  <c r="C102" i="3" s="1"/>
  <c r="R104" i="3"/>
  <c r="C106" i="3" a="1"/>
  <c r="C106" i="3" s="1"/>
  <c r="C110" i="3" a="1"/>
  <c r="C110" i="3" s="1"/>
  <c r="C3" i="4" a="1"/>
  <c r="C3" i="4" s="1"/>
  <c r="C7" i="4" a="1"/>
  <c r="C7" i="4" s="1"/>
  <c r="C11" i="4" a="1"/>
  <c r="C11" i="4" s="1"/>
  <c r="C15" i="4" a="1"/>
  <c r="C15" i="4" s="1"/>
  <c r="C19" i="4" a="1"/>
  <c r="C19" i="4" s="1"/>
  <c r="C23" i="4" a="1"/>
  <c r="C23" i="4" s="1"/>
  <c r="C27" i="4" a="1"/>
  <c r="C27" i="4" s="1"/>
  <c r="C31" i="4" a="1"/>
  <c r="C31" i="4" s="1"/>
  <c r="C35" i="4" a="1"/>
  <c r="C35" i="4" s="1"/>
  <c r="C39" i="4" a="1"/>
  <c r="C39" i="4" s="1"/>
  <c r="C43" i="4" a="1"/>
  <c r="C43" i="4" s="1"/>
  <c r="C47" i="4" a="1"/>
  <c r="C47" i="4" s="1"/>
  <c r="C51" i="4" a="1"/>
  <c r="C51" i="4" s="1"/>
  <c r="C55" i="4" a="1"/>
  <c r="C55" i="4" s="1"/>
  <c r="C59" i="4" a="1"/>
  <c r="C59" i="4" s="1"/>
  <c r="C63" i="4" a="1"/>
  <c r="C63" i="4" s="1"/>
  <c r="C67" i="4" a="1"/>
  <c r="C67" i="4" s="1"/>
  <c r="C71" i="4" a="1"/>
  <c r="C71" i="4" s="1"/>
  <c r="C75" i="4" a="1"/>
  <c r="C75" i="4" s="1"/>
  <c r="C79" i="4" a="1"/>
  <c r="C79" i="4" s="1"/>
  <c r="C83" i="4" a="1"/>
  <c r="C83" i="4" s="1"/>
  <c r="C87" i="4" a="1"/>
  <c r="C87" i="4" s="1"/>
  <c r="C91" i="4" a="1"/>
  <c r="C91" i="4" s="1"/>
  <c r="C4" i="2" a="1"/>
  <c r="C4" i="2" s="1"/>
  <c r="C8" i="2" a="1"/>
  <c r="C8" i="2" s="1"/>
  <c r="C12" i="2" a="1"/>
  <c r="C12" i="2" s="1"/>
  <c r="C16" i="2" a="1"/>
  <c r="C16" i="2" s="1"/>
  <c r="C20" i="2" a="1"/>
  <c r="C20" i="2" s="1"/>
  <c r="C24" i="2" a="1"/>
  <c r="C24" i="2" s="1"/>
  <c r="C28" i="2" a="1"/>
  <c r="C28" i="2" s="1"/>
  <c r="C32" i="2" a="1"/>
  <c r="C32" i="2" s="1"/>
  <c r="L35" i="2" a="1"/>
  <c r="L35" i="2" s="1"/>
  <c r="C39" i="2" a="1"/>
  <c r="C39" i="2" s="1"/>
  <c r="C43" i="2" a="1"/>
  <c r="C43" i="2" s="1"/>
  <c r="C47" i="2" a="1"/>
  <c r="C47" i="2" s="1"/>
  <c r="C51" i="2" a="1"/>
  <c r="C51" i="2" s="1"/>
  <c r="C55" i="2" a="1"/>
  <c r="C55" i="2" s="1"/>
  <c r="C59" i="2" a="1"/>
  <c r="C59" i="2" s="1"/>
  <c r="C63" i="2" a="1"/>
  <c r="C63" i="2" s="1"/>
  <c r="C67" i="2" a="1"/>
  <c r="C67" i="2" s="1"/>
  <c r="C71" i="2" a="1"/>
  <c r="C71" i="2" s="1"/>
  <c r="C75" i="2" a="1"/>
  <c r="C75" i="2" s="1"/>
  <c r="C79" i="2" a="1"/>
  <c r="C79" i="2" s="1"/>
  <c r="C83" i="2" a="1"/>
  <c r="C83" i="2" s="1"/>
  <c r="C87" i="2" a="1"/>
  <c r="C87" i="2" s="1"/>
  <c r="C91" i="2" a="1"/>
  <c r="C91" i="2" s="1"/>
  <c r="C95" i="2" a="1"/>
  <c r="C95" i="2" s="1"/>
  <c r="C99" i="2" a="1"/>
  <c r="C99" i="2" s="1"/>
  <c r="C103" i="2" a="1"/>
  <c r="C103" i="2" s="1"/>
  <c r="C107" i="2" a="1"/>
  <c r="C107" i="2" s="1"/>
  <c r="C111" i="2" a="1"/>
  <c r="C111" i="2" s="1"/>
  <c r="C115" i="2" a="1"/>
  <c r="C115" i="2" s="1"/>
  <c r="C4" i="3" a="1"/>
  <c r="C4" i="3" s="1"/>
  <c r="C8" i="3" a="1"/>
  <c r="C8" i="3" s="1"/>
  <c r="C12" i="3" a="1"/>
  <c r="C12" i="3" s="1"/>
  <c r="C16" i="3" a="1"/>
  <c r="C16" i="3" s="1"/>
  <c r="C20" i="3" a="1"/>
  <c r="C20" i="3" s="1"/>
  <c r="C24" i="3" a="1"/>
  <c r="C24" i="3" s="1"/>
  <c r="C116" i="3" a="1"/>
  <c r="C116" i="3" s="1"/>
  <c r="E119" i="4"/>
  <c r="R115" i="3"/>
  <c r="R109" i="3"/>
  <c r="R105" i="3"/>
  <c r="R101" i="3"/>
  <c r="R97" i="3"/>
  <c r="R93" i="3"/>
  <c r="R89" i="3"/>
  <c r="R85" i="3"/>
  <c r="R81" i="3"/>
  <c r="R77" i="3"/>
  <c r="R73" i="3"/>
  <c r="R69" i="3"/>
  <c r="R65" i="3"/>
  <c r="R61" i="3"/>
  <c r="R57" i="3"/>
  <c r="R53" i="3"/>
  <c r="R49" i="3"/>
  <c r="R44" i="3"/>
  <c r="R40" i="3"/>
  <c r="R36" i="3"/>
  <c r="R32" i="3"/>
  <c r="R28" i="3"/>
  <c r="R113" i="3"/>
  <c r="R111" i="3"/>
  <c r="R107" i="3"/>
  <c r="R103" i="3"/>
  <c r="R99" i="3"/>
  <c r="R95" i="3"/>
  <c r="C4" i="4" a="1"/>
  <c r="C4" i="4" s="1"/>
  <c r="C8" i="4" a="1"/>
  <c r="C8" i="4" s="1"/>
  <c r="C12" i="4" a="1"/>
  <c r="C12" i="4" s="1"/>
  <c r="C16" i="4" a="1"/>
  <c r="C16" i="4" s="1"/>
  <c r="C20" i="4" a="1"/>
  <c r="C20" i="4" s="1"/>
  <c r="C24" i="4" a="1"/>
  <c r="C24" i="4" s="1"/>
  <c r="C28" i="4" a="1"/>
  <c r="C28" i="4" s="1"/>
  <c r="C32" i="4" a="1"/>
  <c r="C32" i="4" s="1"/>
  <c r="C36" i="4" a="1"/>
  <c r="C36" i="4" s="1"/>
  <c r="C40" i="4" a="1"/>
  <c r="C40" i="4" s="1"/>
  <c r="C44" i="4" a="1"/>
  <c r="C44" i="4" s="1"/>
  <c r="C48" i="4" a="1"/>
  <c r="C48" i="4" s="1"/>
  <c r="C52" i="4" a="1"/>
  <c r="C52" i="4" s="1"/>
  <c r="C56" i="4" a="1"/>
  <c r="C56" i="4" s="1"/>
  <c r="C60" i="4" a="1"/>
  <c r="C60" i="4" s="1"/>
  <c r="C64" i="4" a="1"/>
  <c r="C64" i="4" s="1"/>
  <c r="C68" i="4" a="1"/>
  <c r="C68" i="4" s="1"/>
  <c r="C72" i="4" a="1"/>
  <c r="C72" i="4" s="1"/>
  <c r="C76" i="4" a="1"/>
  <c r="C76" i="4" s="1"/>
  <c r="C80" i="4" a="1"/>
  <c r="C80" i="4" s="1"/>
  <c r="C84" i="4" a="1"/>
  <c r="C84" i="4" s="1"/>
  <c r="C88" i="4" a="1"/>
  <c r="C88" i="4" s="1"/>
  <c r="C92" i="4" a="1"/>
  <c r="C92" i="4" s="1"/>
  <c r="C5" i="2" a="1"/>
  <c r="C5" i="2" s="1"/>
  <c r="C9" i="2" a="1"/>
  <c r="C9" i="2" s="1"/>
  <c r="C13" i="2" a="1"/>
  <c r="C13" i="2" s="1"/>
  <c r="C17" i="2" a="1"/>
  <c r="C17" i="2" s="1"/>
  <c r="C21" i="2" a="1"/>
  <c r="C21" i="2" s="1"/>
  <c r="C25" i="2" a="1"/>
  <c r="C25" i="2" s="1"/>
  <c r="C29" i="2" a="1"/>
  <c r="C29" i="2" s="1"/>
  <c r="C33" i="2" a="1"/>
  <c r="C33" i="2" s="1"/>
  <c r="C36" i="2" a="1"/>
  <c r="C36" i="2" s="1"/>
  <c r="C40" i="2" a="1"/>
  <c r="C40" i="2" s="1"/>
  <c r="C44" i="2" a="1"/>
  <c r="C44" i="2" s="1"/>
  <c r="C48" i="2" a="1"/>
  <c r="C48" i="2" s="1"/>
  <c r="C52" i="2" a="1"/>
  <c r="C52" i="2" s="1"/>
  <c r="C56" i="2" a="1"/>
  <c r="C56" i="2" s="1"/>
  <c r="C60" i="2" a="1"/>
  <c r="C60" i="2" s="1"/>
  <c r="C64" i="2" a="1"/>
  <c r="C64" i="2" s="1"/>
  <c r="C68" i="2" a="1"/>
  <c r="C68" i="2" s="1"/>
  <c r="C72" i="2" a="1"/>
  <c r="C72" i="2" s="1"/>
  <c r="C76" i="2" a="1"/>
  <c r="C76" i="2" s="1"/>
  <c r="C80" i="2" a="1"/>
  <c r="C80" i="2" s="1"/>
  <c r="C84" i="2" a="1"/>
  <c r="C84" i="2" s="1"/>
  <c r="C88" i="2" a="1"/>
  <c r="C88" i="2" s="1"/>
  <c r="C92" i="2" a="1"/>
  <c r="C92" i="2" s="1"/>
  <c r="C96" i="2" a="1"/>
  <c r="C96" i="2" s="1"/>
  <c r="C100" i="2" a="1"/>
  <c r="C100" i="2" s="1"/>
  <c r="C104" i="2" a="1"/>
  <c r="C104" i="2" s="1"/>
  <c r="C108" i="2" a="1"/>
  <c r="C108" i="2" s="1"/>
  <c r="C112" i="2" a="1"/>
  <c r="C112" i="2" s="1"/>
  <c r="R3" i="3"/>
  <c r="C5" i="3" a="1"/>
  <c r="C5" i="3" s="1"/>
  <c r="R7" i="3"/>
  <c r="C9" i="3" a="1"/>
  <c r="C9" i="3" s="1"/>
  <c r="R11" i="3"/>
  <c r="C13" i="3" a="1"/>
  <c r="C13" i="3" s="1"/>
  <c r="R15" i="3"/>
  <c r="C17" i="3" a="1"/>
  <c r="C17" i="3" s="1"/>
  <c r="R19" i="3"/>
  <c r="C21" i="3" a="1"/>
  <c r="C21" i="3" s="1"/>
  <c r="R23" i="3"/>
  <c r="C25" i="3" a="1"/>
  <c r="C25" i="3" s="1"/>
  <c r="C48" i="3" a="1"/>
  <c r="C48" i="3" s="1"/>
  <c r="C96" i="3" a="1"/>
  <c r="C96" i="3" s="1"/>
  <c r="R98" i="3"/>
  <c r="C100" i="3" a="1"/>
  <c r="C100" i="3" s="1"/>
  <c r="R102" i="3"/>
  <c r="C104" i="3" a="1"/>
  <c r="C104" i="3" s="1"/>
  <c r="R106" i="3"/>
  <c r="C108" i="3" a="1"/>
  <c r="C108" i="3" s="1"/>
  <c r="R110" i="3"/>
  <c r="C5" i="4" a="1"/>
  <c r="C5" i="4" s="1"/>
  <c r="C9" i="4" a="1"/>
  <c r="C9" i="4" s="1"/>
  <c r="C13" i="4" a="1"/>
  <c r="C13" i="4" s="1"/>
  <c r="C17" i="4" a="1"/>
  <c r="C17" i="4" s="1"/>
  <c r="C21" i="4" a="1"/>
  <c r="C21" i="4" s="1"/>
  <c r="C25" i="4" a="1"/>
  <c r="C25" i="4" s="1"/>
  <c r="C29" i="4" a="1"/>
  <c r="C29" i="4" s="1"/>
  <c r="C33" i="4" a="1"/>
  <c r="C33" i="4" s="1"/>
  <c r="C37" i="4" a="1"/>
  <c r="C37" i="4" s="1"/>
  <c r="C41" i="4" a="1"/>
  <c r="C41" i="4" s="1"/>
  <c r="C45" i="4" a="1"/>
  <c r="C45" i="4" s="1"/>
  <c r="C49" i="4" a="1"/>
  <c r="C49" i="4" s="1"/>
  <c r="C53" i="4" a="1"/>
  <c r="C53" i="4" s="1"/>
  <c r="C57" i="4" a="1"/>
  <c r="C57" i="4" s="1"/>
  <c r="C61" i="4" a="1"/>
  <c r="C61" i="4" s="1"/>
  <c r="C65" i="4" a="1"/>
  <c r="C65" i="4" s="1"/>
  <c r="C69" i="4" a="1"/>
  <c r="C69" i="4" s="1"/>
  <c r="C73" i="4" a="1"/>
  <c r="C73" i="4" s="1"/>
  <c r="C77" i="4" a="1"/>
  <c r="C77" i="4" s="1"/>
  <c r="C81" i="4" a="1"/>
  <c r="C81" i="4" s="1"/>
  <c r="C85" i="4" a="1"/>
  <c r="C85" i="4" s="1"/>
  <c r="C89" i="4" a="1"/>
  <c r="C89" i="4" s="1"/>
  <c r="C93" i="4" a="1"/>
  <c r="C93" i="4" s="1"/>
  <c r="C2" i="2" a="1"/>
  <c r="C2" i="2" s="1"/>
  <c r="C6" i="2" a="1"/>
  <c r="C6" i="2" s="1"/>
  <c r="C10" i="2" a="1"/>
  <c r="C10" i="2" s="1"/>
  <c r="C14" i="2" a="1"/>
  <c r="C14" i="2" s="1"/>
  <c r="C18" i="2" a="1"/>
  <c r="C18" i="2" s="1"/>
  <c r="C22" i="2" a="1"/>
  <c r="C22" i="2" s="1"/>
  <c r="C26" i="2" a="1"/>
  <c r="C26" i="2" s="1"/>
  <c r="C30" i="2" a="1"/>
  <c r="C30" i="2" s="1"/>
  <c r="C34" i="2" a="1"/>
  <c r="C34" i="2" s="1"/>
  <c r="C35" i="2" a="1"/>
  <c r="C35" i="2" s="1"/>
  <c r="C37" i="2" a="1"/>
  <c r="C37" i="2" s="1"/>
  <c r="C41" i="2" a="1"/>
  <c r="C41" i="2" s="1"/>
  <c r="C45" i="2" a="1"/>
  <c r="C45" i="2" s="1"/>
  <c r="C49" i="2" a="1"/>
  <c r="C49" i="2" s="1"/>
  <c r="C53" i="2" a="1"/>
  <c r="C53" i="2" s="1"/>
  <c r="C57" i="2" a="1"/>
  <c r="C57" i="2" s="1"/>
  <c r="C61" i="2" a="1"/>
  <c r="C61" i="2" s="1"/>
  <c r="C65" i="2" a="1"/>
  <c r="C65" i="2" s="1"/>
  <c r="C69" i="2" a="1"/>
  <c r="C69" i="2" s="1"/>
  <c r="C73" i="2" a="1"/>
  <c r="C73" i="2" s="1"/>
  <c r="C77" i="2" a="1"/>
  <c r="C77" i="2" s="1"/>
  <c r="C81" i="2" a="1"/>
  <c r="C81" i="2" s="1"/>
  <c r="C85" i="2" a="1"/>
  <c r="C85" i="2" s="1"/>
  <c r="C89" i="2" a="1"/>
  <c r="C89" i="2" s="1"/>
  <c r="C93" i="2" a="1"/>
  <c r="C93" i="2" s="1"/>
  <c r="C97" i="2" a="1"/>
  <c r="C97" i="2" s="1"/>
  <c r="C101" i="2" a="1"/>
  <c r="C101" i="2" s="1"/>
  <c r="C105" i="2" a="1"/>
  <c r="C105" i="2" s="1"/>
  <c r="C109" i="2" a="1"/>
  <c r="C109" i="2" s="1"/>
  <c r="C113" i="2" a="1"/>
  <c r="C113" i="2" s="1"/>
  <c r="C2" i="3" a="1"/>
  <c r="C2" i="3" s="1"/>
  <c r="C6" i="3" a="1"/>
  <c r="C6" i="3" s="1"/>
  <c r="R8" i="3"/>
  <c r="C10" i="3" a="1"/>
  <c r="C10" i="3" s="1"/>
  <c r="R12" i="3"/>
  <c r="C14" i="3" a="1"/>
  <c r="C14" i="3" s="1"/>
  <c r="R16" i="3"/>
  <c r="C18" i="3" a="1"/>
  <c r="C18" i="3" s="1"/>
  <c r="R20" i="3"/>
  <c r="C22" i="3" a="1"/>
  <c r="C22" i="3" s="1"/>
  <c r="R24" i="3"/>
  <c r="C26" i="3" a="1"/>
  <c r="C26" i="3" s="1"/>
  <c r="C27" i="3" a="1"/>
  <c r="C27" i="3" s="1"/>
  <c r="C28" i="3" a="1"/>
  <c r="C28" i="3" s="1"/>
  <c r="C29" i="3" a="1"/>
  <c r="C29" i="3" s="1"/>
  <c r="C31" i="3" a="1"/>
  <c r="C31" i="3" s="1"/>
  <c r="C32" i="3" a="1"/>
  <c r="C32" i="3" s="1"/>
  <c r="C33" i="3" a="1"/>
  <c r="C33" i="3" s="1"/>
  <c r="C35" i="3" a="1"/>
  <c r="C35" i="3" s="1"/>
  <c r="C36" i="3" a="1"/>
  <c r="C36" i="3" s="1"/>
  <c r="C37" i="3" a="1"/>
  <c r="C37" i="3" s="1"/>
  <c r="C39" i="3" a="1"/>
  <c r="C39" i="3" s="1"/>
  <c r="C40" i="3" a="1"/>
  <c r="C40" i="3" s="1"/>
  <c r="C41" i="3" a="1"/>
  <c r="C41" i="3" s="1"/>
  <c r="C43" i="3" a="1"/>
  <c r="C43" i="3" s="1"/>
  <c r="C44" i="3" a="1"/>
  <c r="C44" i="3" s="1"/>
  <c r="C45" i="3" a="1"/>
  <c r="C45" i="3" s="1"/>
  <c r="C47" i="3" a="1"/>
  <c r="C47" i="3" s="1"/>
  <c r="C49" i="3" a="1"/>
  <c r="C49" i="3" s="1"/>
  <c r="C50" i="3" a="1"/>
  <c r="C50" i="3" s="1"/>
  <c r="C52" i="3" a="1"/>
  <c r="C52" i="3" s="1"/>
  <c r="C53" i="3" a="1"/>
  <c r="C53" i="3" s="1"/>
  <c r="C54" i="3" a="1"/>
  <c r="C54" i="3" s="1"/>
  <c r="C56" i="3" a="1"/>
  <c r="C56" i="3" s="1"/>
  <c r="C57" i="3" a="1"/>
  <c r="C57" i="3" s="1"/>
  <c r="C58" i="3" a="1"/>
  <c r="C58" i="3" s="1"/>
  <c r="C60" i="3" a="1"/>
  <c r="C60" i="3" s="1"/>
  <c r="C61" i="3" a="1"/>
  <c r="C61" i="3" s="1"/>
  <c r="C62" i="3" a="1"/>
  <c r="C62" i="3" s="1"/>
  <c r="C64" i="3" a="1"/>
  <c r="C64" i="3" s="1"/>
  <c r="C65" i="3" a="1"/>
  <c r="C65" i="3" s="1"/>
  <c r="C66" i="3" a="1"/>
  <c r="C66" i="3" s="1"/>
  <c r="C68" i="3" a="1"/>
  <c r="C68" i="3" s="1"/>
  <c r="C69" i="3" a="1"/>
  <c r="C69" i="3" s="1"/>
  <c r="C70" i="3" a="1"/>
  <c r="C70" i="3" s="1"/>
  <c r="C72" i="3" a="1"/>
  <c r="C72" i="3" s="1"/>
  <c r="C73" i="3" a="1"/>
  <c r="C73" i="3" s="1"/>
  <c r="C74" i="3" a="1"/>
  <c r="C74" i="3" s="1"/>
  <c r="C76" i="3" a="1"/>
  <c r="C76" i="3" s="1"/>
  <c r="C77" i="3" a="1"/>
  <c r="C77" i="3" s="1"/>
  <c r="C78" i="3" a="1"/>
  <c r="C78" i="3" s="1"/>
  <c r="C80" i="3" a="1"/>
  <c r="C80" i="3" s="1"/>
  <c r="C81" i="3" a="1"/>
  <c r="C81" i="3" s="1"/>
  <c r="C82" i="3" a="1"/>
  <c r="C82" i="3" s="1"/>
  <c r="C84" i="3" a="1"/>
  <c r="C84" i="3" s="1"/>
  <c r="C85" i="3" a="1"/>
  <c r="C85" i="3" s="1"/>
  <c r="C86" i="3" a="1"/>
  <c r="C86" i="3" s="1"/>
  <c r="C88" i="3" a="1"/>
  <c r="C88" i="3" s="1"/>
  <c r="C89" i="3" a="1"/>
  <c r="C89" i="3" s="1"/>
  <c r="C90" i="3" a="1"/>
  <c r="C90" i="3" s="1"/>
  <c r="C92" i="3" a="1"/>
  <c r="C92" i="3" s="1"/>
  <c r="C93" i="3" a="1"/>
  <c r="C93" i="3" s="1"/>
  <c r="C94" i="3" a="1"/>
  <c r="C94" i="3" s="1"/>
  <c r="R112" i="3"/>
  <c r="C114" i="3" a="1"/>
  <c r="C114" i="3" s="1"/>
  <c r="R116" i="3"/>
  <c r="P118" i="3"/>
  <c r="K119" i="4"/>
  <c r="S118" i="3"/>
  <c r="C2" i="4" a="1"/>
  <c r="C2" i="4" s="1"/>
  <c r="C6" i="4" a="1"/>
  <c r="C6" i="4" s="1"/>
  <c r="C10" i="4" a="1"/>
  <c r="C10" i="4" s="1"/>
  <c r="C14" i="4" a="1"/>
  <c r="C14" i="4" s="1"/>
  <c r="C18" i="4" a="1"/>
  <c r="C18" i="4" s="1"/>
  <c r="C22" i="4" a="1"/>
  <c r="C22" i="4" s="1"/>
  <c r="C26" i="4" a="1"/>
  <c r="C26" i="4" s="1"/>
  <c r="C30" i="4" a="1"/>
  <c r="C30" i="4" s="1"/>
  <c r="C34" i="4" a="1"/>
  <c r="C34" i="4" s="1"/>
  <c r="C38" i="4" a="1"/>
  <c r="C38" i="4" s="1"/>
  <c r="C42" i="4" a="1"/>
  <c r="C42" i="4" s="1"/>
  <c r="C46" i="4" a="1"/>
  <c r="C46" i="4" s="1"/>
  <c r="C50" i="4" a="1"/>
  <c r="C50" i="4" s="1"/>
  <c r="C54" i="4" a="1"/>
  <c r="C54" i="4" s="1"/>
  <c r="C58" i="4" a="1"/>
  <c r="C58" i="4" s="1"/>
  <c r="C62" i="4" a="1"/>
  <c r="C62" i="4" s="1"/>
  <c r="C66" i="4" a="1"/>
  <c r="C66" i="4" s="1"/>
  <c r="C70" i="4" a="1"/>
  <c r="C70" i="4" s="1"/>
  <c r="C74" i="4" a="1"/>
  <c r="C74" i="4" s="1"/>
  <c r="C78" i="4" a="1"/>
  <c r="C78" i="4" s="1"/>
  <c r="C82" i="4" a="1"/>
  <c r="C82" i="4" s="1"/>
  <c r="C86" i="4" a="1"/>
  <c r="C86" i="4" s="1"/>
  <c r="C90" i="4" a="1"/>
  <c r="C90" i="4" s="1"/>
  <c r="C94" i="4" a="1"/>
  <c r="C94" i="4" s="1"/>
  <c r="N118" i="3"/>
  <c r="N117" i="5"/>
  <c r="Q117" i="6"/>
  <c r="K116" i="7"/>
  <c r="R5" i="6"/>
  <c r="R9" i="6"/>
  <c r="R13" i="6"/>
  <c r="R17" i="6"/>
  <c r="R21" i="6"/>
  <c r="R25" i="6"/>
  <c r="R29" i="6"/>
  <c r="R33" i="6"/>
  <c r="R37" i="6"/>
  <c r="R41" i="6"/>
  <c r="R45" i="6"/>
  <c r="R49" i="6"/>
  <c r="R53" i="6"/>
  <c r="R57" i="6"/>
  <c r="R61" i="6"/>
  <c r="R65" i="6"/>
  <c r="R69" i="6"/>
  <c r="R73" i="6"/>
  <c r="R77" i="6"/>
  <c r="R82" i="6"/>
  <c r="R86" i="6"/>
  <c r="R90" i="6"/>
  <c r="R94" i="6"/>
  <c r="R98" i="6"/>
  <c r="R102" i="6"/>
  <c r="R106" i="6"/>
  <c r="R110" i="6"/>
  <c r="R112" i="6"/>
  <c r="N117" i="6"/>
  <c r="S117" i="6"/>
  <c r="E116" i="7"/>
  <c r="O117" i="6"/>
  <c r="R109" i="5"/>
  <c r="R111" i="5"/>
  <c r="R3" i="6"/>
  <c r="R7" i="6"/>
  <c r="R11" i="6"/>
  <c r="R15" i="6"/>
  <c r="R19" i="6"/>
  <c r="R23" i="6"/>
  <c r="R27" i="6"/>
  <c r="R31" i="6"/>
  <c r="R35" i="6"/>
  <c r="R39" i="6"/>
  <c r="R43" i="6"/>
  <c r="R47" i="6"/>
  <c r="R51" i="6"/>
  <c r="R55" i="6"/>
  <c r="R59" i="6"/>
  <c r="R63" i="6"/>
  <c r="R67" i="6"/>
  <c r="R71" i="6"/>
  <c r="R75" i="6"/>
  <c r="R79" i="6"/>
  <c r="R80" i="6"/>
  <c r="R84" i="6"/>
  <c r="R88" i="6"/>
  <c r="R92" i="6"/>
  <c r="R96" i="6"/>
  <c r="R100" i="6"/>
  <c r="R104" i="6"/>
  <c r="R108" i="6"/>
  <c r="E116" i="8"/>
  <c r="R79" i="9"/>
  <c r="R80" i="9"/>
  <c r="R81" i="9"/>
  <c r="R83" i="9"/>
  <c r="R84" i="9"/>
  <c r="R85" i="9"/>
  <c r="R87" i="9"/>
  <c r="R88" i="9"/>
  <c r="R89" i="9"/>
  <c r="R91" i="9"/>
  <c r="R92" i="9"/>
  <c r="R93" i="9"/>
  <c r="R95" i="9"/>
  <c r="R96" i="9"/>
  <c r="R97" i="9"/>
  <c r="R99" i="9"/>
  <c r="R100" i="9"/>
  <c r="R101" i="9"/>
  <c r="R103" i="9"/>
  <c r="R104" i="9"/>
  <c r="R105" i="9"/>
  <c r="R107" i="9"/>
  <c r="N115" i="9"/>
  <c r="R112" i="9"/>
  <c r="R106" i="9"/>
  <c r="R102" i="9"/>
  <c r="R98" i="9"/>
  <c r="R94" i="9"/>
  <c r="R90" i="9"/>
  <c r="R86" i="9"/>
  <c r="R82" i="9"/>
  <c r="R78" i="9"/>
  <c r="R77" i="9"/>
  <c r="R73" i="9"/>
  <c r="R69" i="9"/>
  <c r="R65" i="9"/>
  <c r="R61" i="9"/>
  <c r="R57" i="9"/>
  <c r="R53" i="9"/>
  <c r="R49" i="9"/>
  <c r="R45" i="9"/>
  <c r="R41" i="9"/>
  <c r="R37" i="9"/>
  <c r="R33" i="9"/>
  <c r="R29" i="9"/>
  <c r="R25" i="9"/>
  <c r="R21" i="9"/>
  <c r="R17" i="9"/>
  <c r="R13" i="9"/>
  <c r="R9" i="9"/>
  <c r="R5" i="9"/>
  <c r="O113" i="11"/>
  <c r="P113" i="11"/>
  <c r="Q113" i="11"/>
  <c r="G113" i="12"/>
  <c r="R109" i="9"/>
  <c r="R110" i="9"/>
  <c r="R111" i="9"/>
  <c r="R113" i="9"/>
  <c r="P115" i="9"/>
  <c r="K116" i="8"/>
  <c r="S115" i="9"/>
  <c r="Q8" i="15"/>
  <c r="N3" i="15"/>
  <c r="O3" i="15"/>
  <c r="M6" i="15"/>
  <c r="R8" i="15"/>
  <c r="O9" i="15"/>
  <c r="N9" i="15"/>
  <c r="T16" i="15"/>
  <c r="S16" i="15"/>
  <c r="O17" i="15"/>
  <c r="N17" i="15"/>
  <c r="Q17" i="15"/>
  <c r="N18" i="15"/>
  <c r="O18" i="15"/>
  <c r="R20" i="15"/>
  <c r="T20" i="15"/>
  <c r="S21" i="15"/>
  <c r="Q24" i="15"/>
  <c r="N26" i="15"/>
  <c r="O26" i="15"/>
  <c r="S27" i="15"/>
  <c r="T27" i="15"/>
  <c r="O33" i="15"/>
  <c r="N33" i="15"/>
  <c r="S37" i="15"/>
  <c r="T40" i="15"/>
  <c r="Q41" i="15"/>
  <c r="T52" i="15"/>
  <c r="Q60" i="15"/>
  <c r="O63" i="15"/>
  <c r="T68" i="15"/>
  <c r="N70" i="15"/>
  <c r="R73" i="15"/>
  <c r="T73" i="15"/>
  <c r="P77" i="15"/>
  <c r="T93" i="15"/>
  <c r="T4" i="15"/>
  <c r="Q7" i="15"/>
  <c r="P7" i="15"/>
  <c r="R12" i="15"/>
  <c r="T12" i="15"/>
  <c r="Q15" i="15"/>
  <c r="P15" i="15"/>
  <c r="O23" i="15"/>
  <c r="N23" i="15"/>
  <c r="O25" i="15"/>
  <c r="N25" i="15"/>
  <c r="T29" i="15"/>
  <c r="T32" i="15"/>
  <c r="Q33" i="15"/>
  <c r="N47" i="15"/>
  <c r="N50" i="15"/>
  <c r="O50" i="15"/>
  <c r="S51" i="15"/>
  <c r="T51" i="15"/>
  <c r="T60" i="15"/>
  <c r="O62" i="15"/>
  <c r="N62" i="15"/>
  <c r="T64" i="15"/>
  <c r="P65" i="15"/>
  <c r="O66" i="15"/>
  <c r="N66" i="15"/>
  <c r="N71" i="15"/>
  <c r="R89" i="15"/>
  <c r="T89" i="15"/>
  <c r="R3" i="15"/>
  <c r="S4" i="15"/>
  <c r="N7" i="15"/>
  <c r="S9" i="15"/>
  <c r="T9" i="15"/>
  <c r="N10" i="15"/>
  <c r="O10" i="15"/>
  <c r="S11" i="15"/>
  <c r="T11" i="15"/>
  <c r="S13" i="15"/>
  <c r="Q16" i="15"/>
  <c r="S20" i="15"/>
  <c r="T24" i="15"/>
  <c r="S24" i="15"/>
  <c r="O39" i="15"/>
  <c r="N42" i="15"/>
  <c r="O42" i="15"/>
  <c r="S43" i="15"/>
  <c r="T43" i="15"/>
  <c r="O49" i="15"/>
  <c r="N49" i="15"/>
  <c r="S53" i="15"/>
  <c r="Q56" i="15"/>
  <c r="R81" i="15"/>
  <c r="T81" i="15"/>
  <c r="Q93" i="15"/>
  <c r="G229" i="14"/>
  <c r="P113" i="14"/>
  <c r="L113" i="14"/>
  <c r="S3" i="15"/>
  <c r="T3" i="15"/>
  <c r="T8" i="15"/>
  <c r="N11" i="15"/>
  <c r="O11" i="15"/>
  <c r="O15" i="15"/>
  <c r="N15" i="15"/>
  <c r="Q23" i="15"/>
  <c r="P23" i="15"/>
  <c r="T28" i="15"/>
  <c r="N31" i="15"/>
  <c r="N34" i="15"/>
  <c r="O34" i="15"/>
  <c r="S35" i="15"/>
  <c r="T35" i="15"/>
  <c r="Q40" i="15"/>
  <c r="O41" i="15"/>
  <c r="N41" i="15"/>
  <c r="S45" i="15"/>
  <c r="T45" i="15"/>
  <c r="T48" i="15"/>
  <c r="Q49" i="15"/>
  <c r="O54" i="15"/>
  <c r="N54" i="15"/>
  <c r="T56" i="15"/>
  <c r="S56" i="15"/>
  <c r="P57" i="15"/>
  <c r="S72" i="15"/>
  <c r="T72" i="15"/>
  <c r="M75" i="15"/>
  <c r="O79" i="15"/>
  <c r="Q92" i="15"/>
  <c r="P92" i="15"/>
  <c r="O94" i="15"/>
  <c r="H3" i="15" a="1"/>
  <c r="H3" i="15" s="1"/>
  <c r="G5" i="15" a="1"/>
  <c r="G5" i="15" s="1"/>
  <c r="M5" i="15" s="1"/>
  <c r="J5" i="15" a="1"/>
  <c r="J5" i="15" s="1"/>
  <c r="C7" i="15" a="1"/>
  <c r="C7" i="15" s="1"/>
  <c r="G7" i="15" a="1"/>
  <c r="G7" i="15" s="1"/>
  <c r="M7" i="15" s="1"/>
  <c r="L7" i="15" a="1"/>
  <c r="L7" i="15" s="1"/>
  <c r="L10" i="15" a="1"/>
  <c r="L10" i="15" s="1"/>
  <c r="J10" i="15" a="1"/>
  <c r="J10" i="15" s="1"/>
  <c r="H10" i="15" a="1"/>
  <c r="H10" i="15" s="1"/>
  <c r="C10" i="15" a="1"/>
  <c r="C10" i="15" s="1"/>
  <c r="K10" i="15" a="1"/>
  <c r="K10" i="15" s="1"/>
  <c r="R10" i="15" s="1"/>
  <c r="H11" i="15" a="1"/>
  <c r="H11" i="15" s="1"/>
  <c r="G13" i="15" a="1"/>
  <c r="G13" i="15" s="1"/>
  <c r="M13" i="15" s="1"/>
  <c r="J13" i="15" a="1"/>
  <c r="J13" i="15" s="1"/>
  <c r="C15" i="15" a="1"/>
  <c r="C15" i="15" s="1"/>
  <c r="G15" i="15" a="1"/>
  <c r="G15" i="15" s="1"/>
  <c r="M15" i="15" s="1"/>
  <c r="L15" i="15" a="1"/>
  <c r="L15" i="15" s="1"/>
  <c r="L18" i="15" a="1"/>
  <c r="L18" i="15" s="1"/>
  <c r="J18" i="15" a="1"/>
  <c r="J18" i="15" s="1"/>
  <c r="H18" i="15" a="1"/>
  <c r="H18" i="15" s="1"/>
  <c r="C18" i="15" a="1"/>
  <c r="C18" i="15" s="1"/>
  <c r="K18" i="15" a="1"/>
  <c r="K18" i="15" s="1"/>
  <c r="R18" i="15" s="1"/>
  <c r="H19" i="15" a="1"/>
  <c r="H19" i="15" s="1"/>
  <c r="O19" i="15"/>
  <c r="T19" i="15"/>
  <c r="G21" i="15" a="1"/>
  <c r="G21" i="15" s="1"/>
  <c r="M21" i="15" s="1"/>
  <c r="J21" i="15" a="1"/>
  <c r="J21" i="15" s="1"/>
  <c r="C23" i="15" a="1"/>
  <c r="C23" i="15" s="1"/>
  <c r="G23" i="15" a="1"/>
  <c r="G23" i="15" s="1"/>
  <c r="M23" i="15" s="1"/>
  <c r="L23" i="15" a="1"/>
  <c r="L23" i="15" s="1"/>
  <c r="P25" i="15"/>
  <c r="L26" i="15" a="1"/>
  <c r="L26" i="15" s="1"/>
  <c r="J26" i="15" a="1"/>
  <c r="J26" i="15" s="1"/>
  <c r="H26" i="15" a="1"/>
  <c r="H26" i="15" s="1"/>
  <c r="C26" i="15" a="1"/>
  <c r="C26" i="15" s="1"/>
  <c r="K26" i="15" a="1"/>
  <c r="K26" i="15" s="1"/>
  <c r="H27" i="15" a="1"/>
  <c r="H27" i="15" s="1"/>
  <c r="O27" i="15"/>
  <c r="G29" i="15" a="1"/>
  <c r="G29" i="15" s="1"/>
  <c r="J29" i="15" a="1"/>
  <c r="J29" i="15" s="1"/>
  <c r="G30" i="15" a="1"/>
  <c r="G30" i="15" s="1"/>
  <c r="M30" i="15" s="1"/>
  <c r="C31" i="15" a="1"/>
  <c r="C31" i="15" s="1"/>
  <c r="G31" i="15" a="1"/>
  <c r="G31" i="15" s="1"/>
  <c r="L31" i="15" a="1"/>
  <c r="L31" i="15" s="1"/>
  <c r="P33" i="15"/>
  <c r="L34" i="15" a="1"/>
  <c r="L34" i="15" s="1"/>
  <c r="J34" i="15" a="1"/>
  <c r="J34" i="15" s="1"/>
  <c r="H34" i="15" a="1"/>
  <c r="H34" i="15" s="1"/>
  <c r="C34" i="15" a="1"/>
  <c r="C34" i="15" s="1"/>
  <c r="K34" i="15" a="1"/>
  <c r="K34" i="15" s="1"/>
  <c r="H35" i="15" a="1"/>
  <c r="H35" i="15" s="1"/>
  <c r="O35" i="15"/>
  <c r="S36" i="15"/>
  <c r="G37" i="15" a="1"/>
  <c r="G37" i="15" s="1"/>
  <c r="J37" i="15" a="1"/>
  <c r="J37" i="15" s="1"/>
  <c r="G38" i="15" a="1"/>
  <c r="G38" i="15" s="1"/>
  <c r="M38" i="15" s="1"/>
  <c r="C39" i="15" a="1"/>
  <c r="C39" i="15" s="1"/>
  <c r="G39" i="15" a="1"/>
  <c r="G39" i="15" s="1"/>
  <c r="L39" i="15" a="1"/>
  <c r="L39" i="15" s="1"/>
  <c r="P41" i="15"/>
  <c r="L42" i="15" a="1"/>
  <c r="L42" i="15" s="1"/>
  <c r="J42" i="15" a="1"/>
  <c r="J42" i="15" s="1"/>
  <c r="H42" i="15" a="1"/>
  <c r="H42" i="15" s="1"/>
  <c r="C42" i="15" a="1"/>
  <c r="C42" i="15" s="1"/>
  <c r="K42" i="15" a="1"/>
  <c r="K42" i="15" s="1"/>
  <c r="R42" i="15" s="1"/>
  <c r="H43" i="15" a="1"/>
  <c r="H43" i="15" s="1"/>
  <c r="O43" i="15"/>
  <c r="G45" i="15" a="1"/>
  <c r="G45" i="15" s="1"/>
  <c r="J45" i="15" a="1"/>
  <c r="J45" i="15" s="1"/>
  <c r="G46" i="15" a="1"/>
  <c r="G46" i="15" s="1"/>
  <c r="M46" i="15" s="1"/>
  <c r="C47" i="15" a="1"/>
  <c r="C47" i="15" s="1"/>
  <c r="G47" i="15" a="1"/>
  <c r="G47" i="15" s="1"/>
  <c r="M47" i="15" s="1"/>
  <c r="L47" i="15" a="1"/>
  <c r="L47" i="15" s="1"/>
  <c r="P49" i="15"/>
  <c r="L50" i="15" a="1"/>
  <c r="L50" i="15" s="1"/>
  <c r="J50" i="15" a="1"/>
  <c r="J50" i="15" s="1"/>
  <c r="H50" i="15" a="1"/>
  <c r="H50" i="15" s="1"/>
  <c r="C50" i="15" a="1"/>
  <c r="C50" i="15" s="1"/>
  <c r="K50" i="15" a="1"/>
  <c r="K50" i="15" s="1"/>
  <c r="R50" i="15" s="1"/>
  <c r="H51" i="15" a="1"/>
  <c r="H51" i="15" s="1"/>
  <c r="O51" i="15"/>
  <c r="G53" i="15" a="1"/>
  <c r="G53" i="15" s="1"/>
  <c r="M53" i="15" s="1"/>
  <c r="J53" i="15" a="1"/>
  <c r="J53" i="15" s="1"/>
  <c r="Q72" i="15"/>
  <c r="N76" i="15"/>
  <c r="P82" i="15"/>
  <c r="T84" i="15"/>
  <c r="P85" i="15"/>
  <c r="L87" i="15" a="1"/>
  <c r="L87" i="15" s="1"/>
  <c r="J87" i="15" a="1"/>
  <c r="J87" i="15" s="1"/>
  <c r="H87" i="15" a="1"/>
  <c r="H87" i="15" s="1"/>
  <c r="C87" i="15" a="1"/>
  <c r="C87" i="15" s="1"/>
  <c r="D87" i="15" a="1"/>
  <c r="D87" i="15" s="1"/>
  <c r="G87" i="15" a="1"/>
  <c r="G87" i="15" s="1"/>
  <c r="M87" i="15" s="1"/>
  <c r="S92" i="15"/>
  <c r="N96" i="15"/>
  <c r="N100" i="15"/>
  <c r="O100" i="15"/>
  <c r="Q101" i="15"/>
  <c r="P105" i="15"/>
  <c r="S25" i="15"/>
  <c r="P27" i="15"/>
  <c r="D29" i="15" a="1"/>
  <c r="D29" i="15" s="1"/>
  <c r="H29" i="15" a="1"/>
  <c r="H29" i="15" s="1"/>
  <c r="D31" i="15" a="1"/>
  <c r="D31" i="15" s="1"/>
  <c r="J31" i="15" a="1"/>
  <c r="J31" i="15" s="1"/>
  <c r="S33" i="15"/>
  <c r="P35" i="15"/>
  <c r="D37" i="15" a="1"/>
  <c r="D37" i="15" s="1"/>
  <c r="H37" i="15" a="1"/>
  <c r="H37" i="15" s="1"/>
  <c r="D39" i="15" a="1"/>
  <c r="D39" i="15" s="1"/>
  <c r="J39" i="15" a="1"/>
  <c r="J39" i="15" s="1"/>
  <c r="S41" i="15"/>
  <c r="P43" i="15"/>
  <c r="D45" i="15" a="1"/>
  <c r="D45" i="15" s="1"/>
  <c r="H45" i="15" a="1"/>
  <c r="H45" i="15" s="1"/>
  <c r="D47" i="15" a="1"/>
  <c r="D47" i="15" s="1"/>
  <c r="J47" i="15" a="1"/>
  <c r="J47" i="15" s="1"/>
  <c r="S49" i="15"/>
  <c r="P51" i="15"/>
  <c r="D53" i="15" a="1"/>
  <c r="D53" i="15" s="1"/>
  <c r="H53" i="15" a="1"/>
  <c r="H53" i="15" s="1"/>
  <c r="N55" i="15"/>
  <c r="R56" i="15"/>
  <c r="S57" i="15"/>
  <c r="T57" i="15"/>
  <c r="N59" i="15"/>
  <c r="R60" i="15"/>
  <c r="S61" i="15"/>
  <c r="T61" i="15"/>
  <c r="N63" i="15"/>
  <c r="R64" i="15"/>
  <c r="T65" i="15"/>
  <c r="D67" i="15" a="1"/>
  <c r="D67" i="15" s="1"/>
  <c r="R68" i="15"/>
  <c r="T69" i="15"/>
  <c r="D71" i="15" a="1"/>
  <c r="D71" i="15" s="1"/>
  <c r="R72" i="15"/>
  <c r="Q76" i="15"/>
  <c r="P76" i="15"/>
  <c r="T77" i="15"/>
  <c r="H78" i="15" a="1"/>
  <c r="H78" i="15" s="1"/>
  <c r="D78" i="15" a="1"/>
  <c r="D78" i="15" s="1"/>
  <c r="J78" i="15" a="1"/>
  <c r="J78" i="15" s="1"/>
  <c r="G78" i="15" a="1"/>
  <c r="G78" i="15" s="1"/>
  <c r="R79" i="15"/>
  <c r="J80" i="15" a="1"/>
  <c r="J80" i="15" s="1"/>
  <c r="D80" i="15" a="1"/>
  <c r="D80" i="15" s="1"/>
  <c r="L80" i="15" a="1"/>
  <c r="L80" i="15" s="1"/>
  <c r="G80" i="15" a="1"/>
  <c r="G80" i="15" s="1"/>
  <c r="M80" i="15" s="1"/>
  <c r="C80" i="15" a="1"/>
  <c r="C80" i="15" s="1"/>
  <c r="H80" i="15" a="1"/>
  <c r="H80" i="15" s="1"/>
  <c r="O84" i="15"/>
  <c r="N84" i="15"/>
  <c r="T86" i="15"/>
  <c r="I87" i="15" a="1"/>
  <c r="I87" i="15" s="1"/>
  <c r="P90" i="15"/>
  <c r="M92" i="15"/>
  <c r="T92" i="15"/>
  <c r="L95" i="15" a="1"/>
  <c r="L95" i="15" s="1"/>
  <c r="J95" i="15" a="1"/>
  <c r="J95" i="15" s="1"/>
  <c r="H95" i="15" a="1"/>
  <c r="H95" i="15" s="1"/>
  <c r="C95" i="15" a="1"/>
  <c r="C95" i="15" s="1"/>
  <c r="D95" i="15" a="1"/>
  <c r="D95" i="15" s="1"/>
  <c r="G95" i="15" a="1"/>
  <c r="G95" i="15" s="1"/>
  <c r="N108" i="15"/>
  <c r="O108" i="15"/>
  <c r="T110" i="15"/>
  <c r="M3" i="15"/>
  <c r="Q3" i="15"/>
  <c r="K5" i="15" a="1"/>
  <c r="K5" i="15" s="1"/>
  <c r="L6" i="15" a="1"/>
  <c r="L6" i="15" s="1"/>
  <c r="J6" i="15" a="1"/>
  <c r="J6" i="15" s="1"/>
  <c r="H6" i="15" a="1"/>
  <c r="H6" i="15" s="1"/>
  <c r="C6" i="15" a="1"/>
  <c r="C6" i="15" s="1"/>
  <c r="K6" i="15" a="1"/>
  <c r="K6" i="15" s="1"/>
  <c r="H7" i="15" a="1"/>
  <c r="H7" i="15" s="1"/>
  <c r="K7" i="15" a="1"/>
  <c r="K7" i="15" s="1"/>
  <c r="R7" i="15" s="1"/>
  <c r="Q11" i="15"/>
  <c r="K13" i="15" a="1"/>
  <c r="K13" i="15" s="1"/>
  <c r="R13" i="15" s="1"/>
  <c r="L14" i="15" a="1"/>
  <c r="L14" i="15" s="1"/>
  <c r="J14" i="15" a="1"/>
  <c r="J14" i="15" s="1"/>
  <c r="H14" i="15" a="1"/>
  <c r="H14" i="15" s="1"/>
  <c r="C14" i="15" a="1"/>
  <c r="C14" i="15" s="1"/>
  <c r="K14" i="15" a="1"/>
  <c r="K14" i="15" s="1"/>
  <c r="R14" i="15" s="1"/>
  <c r="H15" i="15" a="1"/>
  <c r="H15" i="15" s="1"/>
  <c r="K15" i="15" a="1"/>
  <c r="K15" i="15" s="1"/>
  <c r="R15" i="15" s="1"/>
  <c r="Q19" i="15"/>
  <c r="K21" i="15" a="1"/>
  <c r="K21" i="15" s="1"/>
  <c r="R21" i="15" s="1"/>
  <c r="L22" i="15" a="1"/>
  <c r="L22" i="15" s="1"/>
  <c r="J22" i="15" a="1"/>
  <c r="J22" i="15" s="1"/>
  <c r="H22" i="15" a="1"/>
  <c r="H22" i="15" s="1"/>
  <c r="C22" i="15" a="1"/>
  <c r="C22" i="15" s="1"/>
  <c r="K22" i="15" a="1"/>
  <c r="K22" i="15" s="1"/>
  <c r="R22" i="15" s="1"/>
  <c r="H23" i="15" a="1"/>
  <c r="H23" i="15" s="1"/>
  <c r="K23" i="15" a="1"/>
  <c r="K23" i="15" s="1"/>
  <c r="R23" i="15" s="1"/>
  <c r="K29" i="15" a="1"/>
  <c r="K29" i="15" s="1"/>
  <c r="L30" i="15" a="1"/>
  <c r="L30" i="15" s="1"/>
  <c r="J30" i="15" a="1"/>
  <c r="J30" i="15" s="1"/>
  <c r="H30" i="15" a="1"/>
  <c r="H30" i="15" s="1"/>
  <c r="C30" i="15" a="1"/>
  <c r="C30" i="15" s="1"/>
  <c r="K30" i="15" a="1"/>
  <c r="K30" i="15" s="1"/>
  <c r="R30" i="15" s="1"/>
  <c r="H31" i="15" a="1"/>
  <c r="H31" i="15" s="1"/>
  <c r="K31" i="15" a="1"/>
  <c r="K31" i="15" s="1"/>
  <c r="K37" i="15" a="1"/>
  <c r="K37" i="15" s="1"/>
  <c r="R37" i="15" s="1"/>
  <c r="L38" i="15" a="1"/>
  <c r="L38" i="15" s="1"/>
  <c r="J38" i="15" a="1"/>
  <c r="J38" i="15" s="1"/>
  <c r="H38" i="15" a="1"/>
  <c r="H38" i="15" s="1"/>
  <c r="C38" i="15" a="1"/>
  <c r="C38" i="15" s="1"/>
  <c r="K38" i="15" a="1"/>
  <c r="K38" i="15" s="1"/>
  <c r="H39" i="15" a="1"/>
  <c r="H39" i="15" s="1"/>
  <c r="K39" i="15" a="1"/>
  <c r="K39" i="15" s="1"/>
  <c r="R39" i="15" s="1"/>
  <c r="K45" i="15" a="1"/>
  <c r="K45" i="15" s="1"/>
  <c r="R45" i="15" s="1"/>
  <c r="L46" i="15" a="1"/>
  <c r="L46" i="15" s="1"/>
  <c r="J46" i="15" a="1"/>
  <c r="J46" i="15" s="1"/>
  <c r="H46" i="15" a="1"/>
  <c r="H46" i="15" s="1"/>
  <c r="C46" i="15" a="1"/>
  <c r="C46" i="15" s="1"/>
  <c r="K46" i="15" a="1"/>
  <c r="K46" i="15" s="1"/>
  <c r="R46" i="15" s="1"/>
  <c r="H47" i="15" a="1"/>
  <c r="H47" i="15" s="1"/>
  <c r="K47" i="15" a="1"/>
  <c r="K47" i="15" s="1"/>
  <c r="K53" i="15" a="1"/>
  <c r="K53" i="15" s="1"/>
  <c r="R53" i="15" s="1"/>
  <c r="L54" i="15" a="1"/>
  <c r="L54" i="15" s="1"/>
  <c r="J54" i="15" a="1"/>
  <c r="J54" i="15" s="1"/>
  <c r="H54" i="15" a="1"/>
  <c r="H54" i="15" s="1"/>
  <c r="C54" i="15" a="1"/>
  <c r="C54" i="15" s="1"/>
  <c r="K54" i="15" a="1"/>
  <c r="K54" i="15" s="1"/>
  <c r="L58" i="15" a="1"/>
  <c r="L58" i="15" s="1"/>
  <c r="J58" i="15" a="1"/>
  <c r="J58" i="15" s="1"/>
  <c r="H58" i="15" a="1"/>
  <c r="H58" i="15" s="1"/>
  <c r="C58" i="15" a="1"/>
  <c r="C58" i="15" s="1"/>
  <c r="G58" i="15" a="1"/>
  <c r="G58" i="15" s="1"/>
  <c r="M58" i="15" s="1"/>
  <c r="K58" i="15" a="1"/>
  <c r="K58" i="15" s="1"/>
  <c r="R58" i="15" s="1"/>
  <c r="L62" i="15" a="1"/>
  <c r="L62" i="15" s="1"/>
  <c r="J62" i="15" a="1"/>
  <c r="J62" i="15" s="1"/>
  <c r="H62" i="15" a="1"/>
  <c r="H62" i="15" s="1"/>
  <c r="C62" i="15" a="1"/>
  <c r="C62" i="15" s="1"/>
  <c r="G62" i="15" a="1"/>
  <c r="G62" i="15" s="1"/>
  <c r="M62" i="15" s="1"/>
  <c r="K62" i="15" a="1"/>
  <c r="K62" i="15" s="1"/>
  <c r="R62" i="15" s="1"/>
  <c r="L66" i="15" a="1"/>
  <c r="L66" i="15" s="1"/>
  <c r="J66" i="15" a="1"/>
  <c r="J66" i="15" s="1"/>
  <c r="H66" i="15" a="1"/>
  <c r="H66" i="15" s="1"/>
  <c r="C66" i="15" a="1"/>
  <c r="C66" i="15" s="1"/>
  <c r="G66" i="15" a="1"/>
  <c r="G66" i="15" s="1"/>
  <c r="M66" i="15" s="1"/>
  <c r="K66" i="15" a="1"/>
  <c r="K66" i="15" s="1"/>
  <c r="R66" i="15" s="1"/>
  <c r="L70" i="15" a="1"/>
  <c r="L70" i="15" s="1"/>
  <c r="J70" i="15" a="1"/>
  <c r="J70" i="15" s="1"/>
  <c r="H70" i="15" a="1"/>
  <c r="H70" i="15" s="1"/>
  <c r="C70" i="15" a="1"/>
  <c r="C70" i="15" s="1"/>
  <c r="G70" i="15" a="1"/>
  <c r="G70" i="15" s="1"/>
  <c r="M70" i="15" s="1"/>
  <c r="K70" i="15" a="1"/>
  <c r="K70" i="15" s="1"/>
  <c r="R70" i="15" s="1"/>
  <c r="S74" i="15"/>
  <c r="S76" i="15"/>
  <c r="C78" i="15" a="1"/>
  <c r="C78" i="15" s="1"/>
  <c r="I78" i="15" a="1"/>
  <c r="I78" i="15" s="1"/>
  <c r="I80" i="15" a="1"/>
  <c r="I80" i="15" s="1"/>
  <c r="Q84" i="15"/>
  <c r="P84" i="15"/>
  <c r="T85" i="15"/>
  <c r="H86" i="15" a="1"/>
  <c r="H86" i="15" s="1"/>
  <c r="D86" i="15" a="1"/>
  <c r="D86" i="15" s="1"/>
  <c r="S86" i="15" s="1"/>
  <c r="J86" i="15" a="1"/>
  <c r="J86" i="15" s="1"/>
  <c r="G86" i="15" a="1"/>
  <c r="G86" i="15" s="1"/>
  <c r="K87" i="15" a="1"/>
  <c r="K87" i="15" s="1"/>
  <c r="J88" i="15" a="1"/>
  <c r="J88" i="15" s="1"/>
  <c r="R88" i="15" s="1"/>
  <c r="D88" i="15" a="1"/>
  <c r="D88" i="15" s="1"/>
  <c r="L88" i="15" a="1"/>
  <c r="L88" i="15" s="1"/>
  <c r="G88" i="15" a="1"/>
  <c r="G88" i="15" s="1"/>
  <c r="C88" i="15" a="1"/>
  <c r="C88" i="15" s="1"/>
  <c r="H88" i="15" a="1"/>
  <c r="H88" i="15" s="1"/>
  <c r="O92" i="15"/>
  <c r="N92" i="15"/>
  <c r="T94" i="15"/>
  <c r="I95" i="15" a="1"/>
  <c r="I95" i="15" s="1"/>
  <c r="R97" i="15"/>
  <c r="T97" i="15"/>
  <c r="S98" i="15"/>
  <c r="S100" i="15"/>
  <c r="N104" i="15"/>
  <c r="H229" i="14"/>
  <c r="C5" i="15" a="1"/>
  <c r="C5" i="15" s="1"/>
  <c r="I5" i="15" a="1"/>
  <c r="I5" i="15" s="1"/>
  <c r="I6" i="15" a="1"/>
  <c r="I6" i="15" s="1"/>
  <c r="C13" i="15" a="1"/>
  <c r="C13" i="15" s="1"/>
  <c r="I13" i="15" a="1"/>
  <c r="I13" i="15" s="1"/>
  <c r="I14" i="15" a="1"/>
  <c r="I14" i="15" s="1"/>
  <c r="T17" i="15"/>
  <c r="C21" i="15" a="1"/>
  <c r="C21" i="15" s="1"/>
  <c r="I21" i="15" a="1"/>
  <c r="I21" i="15" s="1"/>
  <c r="I22" i="15" a="1"/>
  <c r="I22" i="15" s="1"/>
  <c r="T25" i="15"/>
  <c r="C29" i="15" a="1"/>
  <c r="C29" i="15" s="1"/>
  <c r="I29" i="15" a="1"/>
  <c r="I29" i="15" s="1"/>
  <c r="I30" i="15" a="1"/>
  <c r="I30" i="15" s="1"/>
  <c r="T33" i="15"/>
  <c r="C37" i="15" a="1"/>
  <c r="C37" i="15" s="1"/>
  <c r="I37" i="15" a="1"/>
  <c r="I37" i="15" s="1"/>
  <c r="I38" i="15" a="1"/>
  <c r="I38" i="15" s="1"/>
  <c r="T41" i="15"/>
  <c r="C45" i="15" a="1"/>
  <c r="C45" i="15" s="1"/>
  <c r="I45" i="15" a="1"/>
  <c r="I45" i="15" s="1"/>
  <c r="I46" i="15" a="1"/>
  <c r="I46" i="15" s="1"/>
  <c r="T49" i="15"/>
  <c r="C53" i="15" a="1"/>
  <c r="C53" i="15" s="1"/>
  <c r="I53" i="15" a="1"/>
  <c r="I53" i="15" s="1"/>
  <c r="L55" i="15" a="1"/>
  <c r="L55" i="15" s="1"/>
  <c r="J55" i="15" a="1"/>
  <c r="J55" i="15" s="1"/>
  <c r="H55" i="15" a="1"/>
  <c r="H55" i="15" s="1"/>
  <c r="C55" i="15" a="1"/>
  <c r="C55" i="15" s="1"/>
  <c r="G55" i="15" a="1"/>
  <c r="G55" i="15" s="1"/>
  <c r="M55" i="15" s="1"/>
  <c r="K55" i="15" a="1"/>
  <c r="K55" i="15" s="1"/>
  <c r="R55" i="15" s="1"/>
  <c r="L59" i="15" a="1"/>
  <c r="L59" i="15" s="1"/>
  <c r="J59" i="15" a="1"/>
  <c r="J59" i="15" s="1"/>
  <c r="H59" i="15" a="1"/>
  <c r="H59" i="15" s="1"/>
  <c r="C59" i="15" a="1"/>
  <c r="C59" i="15" s="1"/>
  <c r="G59" i="15" a="1"/>
  <c r="G59" i="15" s="1"/>
  <c r="M59" i="15" s="1"/>
  <c r="K59" i="15" a="1"/>
  <c r="K59" i="15" s="1"/>
  <c r="R59" i="15" s="1"/>
  <c r="L63" i="15" a="1"/>
  <c r="L63" i="15" s="1"/>
  <c r="J63" i="15" a="1"/>
  <c r="J63" i="15" s="1"/>
  <c r="H63" i="15" a="1"/>
  <c r="H63" i="15" s="1"/>
  <c r="C63" i="15" a="1"/>
  <c r="C63" i="15" s="1"/>
  <c r="G63" i="15" a="1"/>
  <c r="G63" i="15" s="1"/>
  <c r="M63" i="15" s="1"/>
  <c r="K63" i="15" a="1"/>
  <c r="K63" i="15" s="1"/>
  <c r="R63" i="15" s="1"/>
  <c r="L67" i="15" a="1"/>
  <c r="L67" i="15" s="1"/>
  <c r="J67" i="15" a="1"/>
  <c r="J67" i="15" s="1"/>
  <c r="H67" i="15" a="1"/>
  <c r="H67" i="15" s="1"/>
  <c r="C67" i="15" a="1"/>
  <c r="C67" i="15" s="1"/>
  <c r="G67" i="15" a="1"/>
  <c r="G67" i="15" s="1"/>
  <c r="M67" i="15" s="1"/>
  <c r="K67" i="15" a="1"/>
  <c r="K67" i="15" s="1"/>
  <c r="R67" i="15" s="1"/>
  <c r="L71" i="15" a="1"/>
  <c r="L71" i="15" s="1"/>
  <c r="J71" i="15" a="1"/>
  <c r="J71" i="15" s="1"/>
  <c r="H71" i="15" a="1"/>
  <c r="H71" i="15" s="1"/>
  <c r="C71" i="15" a="1"/>
  <c r="C71" i="15" s="1"/>
  <c r="G71" i="15" a="1"/>
  <c r="G71" i="15" s="1"/>
  <c r="O71" i="15" s="1"/>
  <c r="K71" i="15" a="1"/>
  <c r="K71" i="15" s="1"/>
  <c r="R71" i="15" s="1"/>
  <c r="Q74" i="15"/>
  <c r="P74" i="15"/>
  <c r="K78" i="15" a="1"/>
  <c r="K78" i="15" s="1"/>
  <c r="R78" i="15" s="1"/>
  <c r="L79" i="15" a="1"/>
  <c r="L79" i="15" s="1"/>
  <c r="J79" i="15" a="1"/>
  <c r="J79" i="15" s="1"/>
  <c r="H79" i="15" a="1"/>
  <c r="H79" i="15" s="1"/>
  <c r="C79" i="15" a="1"/>
  <c r="C79" i="15" s="1"/>
  <c r="D79" i="15" a="1"/>
  <c r="D79" i="15" s="1"/>
  <c r="G79" i="15" a="1"/>
  <c r="G79" i="15" s="1"/>
  <c r="K80" i="15" a="1"/>
  <c r="K80" i="15" s="1"/>
  <c r="S82" i="15"/>
  <c r="S84" i="15"/>
  <c r="C86" i="15" a="1"/>
  <c r="C86" i="15" s="1"/>
  <c r="I86" i="15" a="1"/>
  <c r="I86" i="15" s="1"/>
  <c r="I88" i="15" a="1"/>
  <c r="I88" i="15" s="1"/>
  <c r="H94" i="15" a="1"/>
  <c r="H94" i="15" s="1"/>
  <c r="D94" i="15" a="1"/>
  <c r="D94" i="15" s="1"/>
  <c r="J94" i="15" a="1"/>
  <c r="J94" i="15" s="1"/>
  <c r="R94" i="15" s="1"/>
  <c r="G94" i="15" a="1"/>
  <c r="G94" i="15" s="1"/>
  <c r="K95" i="15" a="1"/>
  <c r="K95" i="15" s="1"/>
  <c r="R95" i="15" s="1"/>
  <c r="J96" i="15" a="1"/>
  <c r="J96" i="15" s="1"/>
  <c r="D96" i="15" a="1"/>
  <c r="D96" i="15" s="1"/>
  <c r="L96" i="15" a="1"/>
  <c r="L96" i="15" s="1"/>
  <c r="G96" i="15" a="1"/>
  <c r="G96" i="15" s="1"/>
  <c r="M96" i="15" s="1"/>
  <c r="C96" i="15" a="1"/>
  <c r="C96" i="15" s="1"/>
  <c r="H96" i="15" a="1"/>
  <c r="H96" i="15" s="1"/>
  <c r="R105" i="15"/>
  <c r="T105" i="15"/>
  <c r="S106" i="15"/>
  <c r="S108" i="15"/>
  <c r="T109" i="15"/>
  <c r="D57" i="15" a="1"/>
  <c r="D57" i="15" s="1"/>
  <c r="G57" i="15" a="1"/>
  <c r="G57" i="15" s="1"/>
  <c r="M57" i="15" s="1"/>
  <c r="I57" i="15" a="1"/>
  <c r="I57" i="15" s="1"/>
  <c r="D61" i="15" a="1"/>
  <c r="D61" i="15" s="1"/>
  <c r="P61" i="15" s="1"/>
  <c r="G61" i="15" a="1"/>
  <c r="G61" i="15" s="1"/>
  <c r="M61" i="15" s="1"/>
  <c r="I61" i="15" a="1"/>
  <c r="I61" i="15" s="1"/>
  <c r="D65" i="15" a="1"/>
  <c r="D65" i="15" s="1"/>
  <c r="G65" i="15" a="1"/>
  <c r="G65" i="15" s="1"/>
  <c r="I65" i="15" a="1"/>
  <c r="I65" i="15" s="1"/>
  <c r="D69" i="15" a="1"/>
  <c r="D69" i="15" s="1"/>
  <c r="G69" i="15" a="1"/>
  <c r="G69" i="15" s="1"/>
  <c r="I69" i="15" a="1"/>
  <c r="I69" i="15" s="1"/>
  <c r="K74" i="15" a="1"/>
  <c r="K74" i="15" s="1"/>
  <c r="L75" i="15" a="1"/>
  <c r="L75" i="15" s="1"/>
  <c r="J75" i="15" a="1"/>
  <c r="J75" i="15" s="1"/>
  <c r="H75" i="15" a="1"/>
  <c r="H75" i="15" s="1"/>
  <c r="C75" i="15" a="1"/>
  <c r="C75" i="15" s="1"/>
  <c r="K75" i="15" a="1"/>
  <c r="K75" i="15" s="1"/>
  <c r="R75" i="15" s="1"/>
  <c r="H76" i="15" a="1"/>
  <c r="H76" i="15" s="1"/>
  <c r="K76" i="15" a="1"/>
  <c r="K76" i="15" s="1"/>
  <c r="R76" i="15" s="1"/>
  <c r="K82" i="15" a="1"/>
  <c r="K82" i="15" s="1"/>
  <c r="L83" i="15" a="1"/>
  <c r="L83" i="15" s="1"/>
  <c r="J83" i="15" a="1"/>
  <c r="J83" i="15" s="1"/>
  <c r="H83" i="15" a="1"/>
  <c r="H83" i="15" s="1"/>
  <c r="C83" i="15" a="1"/>
  <c r="C83" i="15" s="1"/>
  <c r="K83" i="15" a="1"/>
  <c r="K83" i="15" s="1"/>
  <c r="R83" i="15" s="1"/>
  <c r="H84" i="15" a="1"/>
  <c r="H84" i="15" s="1"/>
  <c r="K84" i="15" a="1"/>
  <c r="K84" i="15" s="1"/>
  <c r="R84" i="15" s="1"/>
  <c r="K90" i="15" a="1"/>
  <c r="K90" i="15" s="1"/>
  <c r="R90" i="15" s="1"/>
  <c r="L91" i="15" a="1"/>
  <c r="L91" i="15" s="1"/>
  <c r="J91" i="15" a="1"/>
  <c r="J91" i="15" s="1"/>
  <c r="H91" i="15" a="1"/>
  <c r="H91" i="15" s="1"/>
  <c r="C91" i="15" a="1"/>
  <c r="C91" i="15" s="1"/>
  <c r="K91" i="15" a="1"/>
  <c r="K91" i="15" s="1"/>
  <c r="R91" i="15" s="1"/>
  <c r="H92" i="15" a="1"/>
  <c r="H92" i="15" s="1"/>
  <c r="K92" i="15" a="1"/>
  <c r="K92" i="15" s="1"/>
  <c r="R92" i="15" s="1"/>
  <c r="K98" i="15" a="1"/>
  <c r="K98" i="15" s="1"/>
  <c r="R98" i="15" s="1"/>
  <c r="P98" i="15"/>
  <c r="L99" i="15" a="1"/>
  <c r="L99" i="15" s="1"/>
  <c r="J99" i="15" a="1"/>
  <c r="J99" i="15" s="1"/>
  <c r="H99" i="15" a="1"/>
  <c r="H99" i="15" s="1"/>
  <c r="C99" i="15" a="1"/>
  <c r="C99" i="15" s="1"/>
  <c r="K99" i="15" a="1"/>
  <c r="K99" i="15" s="1"/>
  <c r="R99" i="15" s="1"/>
  <c r="H100" i="15" a="1"/>
  <c r="H100" i="15" s="1"/>
  <c r="K100" i="15" a="1"/>
  <c r="K100" i="15" s="1"/>
  <c r="R100" i="15" s="1"/>
  <c r="S101" i="15"/>
  <c r="G102" i="15" a="1"/>
  <c r="G102" i="15" s="1"/>
  <c r="J102" i="15" a="1"/>
  <c r="J102" i="15" s="1"/>
  <c r="G103" i="15" a="1"/>
  <c r="G103" i="15" s="1"/>
  <c r="M103" i="15" s="1"/>
  <c r="C104" i="15" a="1"/>
  <c r="C104" i="15" s="1"/>
  <c r="G104" i="15" a="1"/>
  <c r="G104" i="15" s="1"/>
  <c r="O104" i="15" s="1"/>
  <c r="L104" i="15" a="1"/>
  <c r="L104" i="15" s="1"/>
  <c r="K106" i="15" a="1"/>
  <c r="K106" i="15" s="1"/>
  <c r="R106" i="15" s="1"/>
  <c r="P106" i="15"/>
  <c r="L107" i="15" a="1"/>
  <c r="L107" i="15" s="1"/>
  <c r="J107" i="15" a="1"/>
  <c r="J107" i="15" s="1"/>
  <c r="H107" i="15" a="1"/>
  <c r="H107" i="15" s="1"/>
  <c r="C107" i="15" a="1"/>
  <c r="C107" i="15" s="1"/>
  <c r="K107" i="15" a="1"/>
  <c r="K107" i="15" s="1"/>
  <c r="H108" i="15" a="1"/>
  <c r="H108" i="15" s="1"/>
  <c r="K108" i="15" a="1"/>
  <c r="K108" i="15" s="1"/>
  <c r="R108" i="15" s="1"/>
  <c r="G110" i="15" a="1"/>
  <c r="G110" i="15" s="1"/>
  <c r="J110" i="15" a="1"/>
  <c r="J110" i="15" s="1"/>
  <c r="G111" i="15" a="1"/>
  <c r="G111" i="15" s="1"/>
  <c r="M111" i="15" s="1"/>
  <c r="R29" i="17"/>
  <c r="T29" i="17"/>
  <c r="P30" i="17"/>
  <c r="S34" i="17"/>
  <c r="T34" i="17"/>
  <c r="T41" i="17"/>
  <c r="S41" i="17"/>
  <c r="R46" i="17"/>
  <c r="D4" i="15" a="1"/>
  <c r="D4" i="15" s="1"/>
  <c r="E22" i="15" s="1"/>
  <c r="G4" i="15" a="1"/>
  <c r="G4" i="15" s="1"/>
  <c r="M4" i="15" s="1"/>
  <c r="I4" i="15" a="1"/>
  <c r="I4" i="15" s="1"/>
  <c r="D8" i="15" a="1"/>
  <c r="D8" i="15" s="1"/>
  <c r="G8" i="15" a="1"/>
  <c r="G8" i="15" s="1"/>
  <c r="I8" i="15" a="1"/>
  <c r="I8" i="15" s="1"/>
  <c r="D12" i="15" a="1"/>
  <c r="D12" i="15" s="1"/>
  <c r="E5" i="15" s="1"/>
  <c r="G12" i="15" a="1"/>
  <c r="G12" i="15" s="1"/>
  <c r="I12" i="15" a="1"/>
  <c r="I12" i="15" s="1"/>
  <c r="Q12" i="15" s="1"/>
  <c r="D16" i="15" a="1"/>
  <c r="D16" i="15" s="1"/>
  <c r="G16" i="15" a="1"/>
  <c r="G16" i="15" s="1"/>
  <c r="M16" i="15" s="1"/>
  <c r="I16" i="15" a="1"/>
  <c r="I16" i="15" s="1"/>
  <c r="D20" i="15" a="1"/>
  <c r="D20" i="15" s="1"/>
  <c r="G20" i="15" a="1"/>
  <c r="G20" i="15" s="1"/>
  <c r="M20" i="15" s="1"/>
  <c r="I20" i="15" a="1"/>
  <c r="I20" i="15" s="1"/>
  <c r="Q20" i="15" s="1"/>
  <c r="D24" i="15" a="1"/>
  <c r="D24" i="15" s="1"/>
  <c r="G24" i="15" a="1"/>
  <c r="G24" i="15" s="1"/>
  <c r="I24" i="15" a="1"/>
  <c r="I24" i="15" s="1"/>
  <c r="D28" i="15" a="1"/>
  <c r="D28" i="15" s="1"/>
  <c r="G28" i="15" a="1"/>
  <c r="G28" i="15" s="1"/>
  <c r="I28" i="15" a="1"/>
  <c r="I28" i="15" s="1"/>
  <c r="D32" i="15" a="1"/>
  <c r="D32" i="15" s="1"/>
  <c r="G32" i="15" a="1"/>
  <c r="G32" i="15" s="1"/>
  <c r="M32" i="15" s="1"/>
  <c r="I32" i="15" a="1"/>
  <c r="I32" i="15" s="1"/>
  <c r="D36" i="15" a="1"/>
  <c r="D36" i="15" s="1"/>
  <c r="G36" i="15" a="1"/>
  <c r="G36" i="15" s="1"/>
  <c r="M36" i="15" s="1"/>
  <c r="I36" i="15" a="1"/>
  <c r="I36" i="15" s="1"/>
  <c r="D40" i="15" a="1"/>
  <c r="D40" i="15" s="1"/>
  <c r="G40" i="15" a="1"/>
  <c r="G40" i="15" s="1"/>
  <c r="I40" i="15" a="1"/>
  <c r="I40" i="15" s="1"/>
  <c r="D44" i="15" a="1"/>
  <c r="D44" i="15" s="1"/>
  <c r="S44" i="15" s="1"/>
  <c r="G44" i="15" a="1"/>
  <c r="G44" i="15" s="1"/>
  <c r="I44" i="15" a="1"/>
  <c r="I44" i="15" s="1"/>
  <c r="Q44" i="15" s="1"/>
  <c r="D48" i="15" a="1"/>
  <c r="D48" i="15" s="1"/>
  <c r="G48" i="15" a="1"/>
  <c r="G48" i="15" s="1"/>
  <c r="M48" i="15" s="1"/>
  <c r="I48" i="15" a="1"/>
  <c r="I48" i="15" s="1"/>
  <c r="D52" i="15" a="1"/>
  <c r="D52" i="15" s="1"/>
  <c r="S52" i="15" s="1"/>
  <c r="G52" i="15" a="1"/>
  <c r="G52" i="15" s="1"/>
  <c r="M52" i="15" s="1"/>
  <c r="I52" i="15" a="1"/>
  <c r="I52" i="15" s="1"/>
  <c r="D56" i="15" a="1"/>
  <c r="D56" i="15" s="1"/>
  <c r="G56" i="15" a="1"/>
  <c r="G56" i="15" s="1"/>
  <c r="I56" i="15" a="1"/>
  <c r="I56" i="15" s="1"/>
  <c r="D60" i="15" a="1"/>
  <c r="D60" i="15" s="1"/>
  <c r="P60" i="15" s="1"/>
  <c r="G60" i="15" a="1"/>
  <c r="G60" i="15" s="1"/>
  <c r="I60" i="15" a="1"/>
  <c r="I60" i="15" s="1"/>
  <c r="D64" i="15" a="1"/>
  <c r="D64" i="15" s="1"/>
  <c r="G64" i="15" a="1"/>
  <c r="G64" i="15" s="1"/>
  <c r="M64" i="15" s="1"/>
  <c r="I64" i="15" a="1"/>
  <c r="I64" i="15" s="1"/>
  <c r="D68" i="15" a="1"/>
  <c r="D68" i="15" s="1"/>
  <c r="G68" i="15" a="1"/>
  <c r="G68" i="15" s="1"/>
  <c r="M68" i="15" s="1"/>
  <c r="I68" i="15" a="1"/>
  <c r="I68" i="15" s="1"/>
  <c r="D72" i="15" a="1"/>
  <c r="D72" i="15" s="1"/>
  <c r="G72" i="15" a="1"/>
  <c r="G72" i="15" s="1"/>
  <c r="I72" i="15" a="1"/>
  <c r="I72" i="15" s="1"/>
  <c r="C74" i="15" a="1"/>
  <c r="C74" i="15" s="1"/>
  <c r="I74" i="15" a="1"/>
  <c r="I74" i="15" s="1"/>
  <c r="I75" i="15" a="1"/>
  <c r="I75" i="15" s="1"/>
  <c r="C82" i="15" a="1"/>
  <c r="C82" i="15" s="1"/>
  <c r="I82" i="15" a="1"/>
  <c r="I82" i="15" s="1"/>
  <c r="I83" i="15" a="1"/>
  <c r="I83" i="15" s="1"/>
  <c r="C90" i="15" a="1"/>
  <c r="C90" i="15" s="1"/>
  <c r="I90" i="15" a="1"/>
  <c r="I90" i="15" s="1"/>
  <c r="I91" i="15" a="1"/>
  <c r="I91" i="15" s="1"/>
  <c r="C98" i="15" a="1"/>
  <c r="C98" i="15" s="1"/>
  <c r="I98" i="15" a="1"/>
  <c r="I98" i="15" s="1"/>
  <c r="I99" i="15" a="1"/>
  <c r="I99" i="15" s="1"/>
  <c r="D102" i="15" a="1"/>
  <c r="D102" i="15" s="1"/>
  <c r="S102" i="15" s="1"/>
  <c r="H102" i="15" a="1"/>
  <c r="H102" i="15" s="1"/>
  <c r="D104" i="15" a="1"/>
  <c r="D104" i="15" s="1"/>
  <c r="J104" i="15" a="1"/>
  <c r="J104" i="15" s="1"/>
  <c r="C106" i="15" a="1"/>
  <c r="C106" i="15" s="1"/>
  <c r="I106" i="15" a="1"/>
  <c r="I106" i="15" s="1"/>
  <c r="I107" i="15" a="1"/>
  <c r="I107" i="15" s="1"/>
  <c r="D110" i="15" a="1"/>
  <c r="D110" i="15" s="1"/>
  <c r="H110" i="15" a="1"/>
  <c r="H110" i="15" s="1"/>
  <c r="T5" i="17"/>
  <c r="O12" i="17"/>
  <c r="N12" i="17"/>
  <c r="O18" i="17"/>
  <c r="N18" i="17"/>
  <c r="Q18" i="17"/>
  <c r="L51" i="17" a="1"/>
  <c r="L51" i="17" s="1"/>
  <c r="J51" i="17" a="1"/>
  <c r="J51" i="17" s="1"/>
  <c r="H51" i="17" a="1"/>
  <c r="H51" i="17" s="1"/>
  <c r="C51" i="17" a="1"/>
  <c r="C51" i="17" s="1"/>
  <c r="D51" i="17" a="1"/>
  <c r="D51" i="17" s="1"/>
  <c r="G51" i="17" a="1"/>
  <c r="G51" i="17" s="1"/>
  <c r="M51" i="17" s="1"/>
  <c r="K51" i="17" a="1"/>
  <c r="K51" i="17" s="1"/>
  <c r="I51" i="17" a="1"/>
  <c r="I51" i="17" s="1"/>
  <c r="T73" i="17"/>
  <c r="Q100" i="15"/>
  <c r="K102" i="15" a="1"/>
  <c r="K102" i="15" s="1"/>
  <c r="R102" i="15" s="1"/>
  <c r="L103" i="15" a="1"/>
  <c r="L103" i="15" s="1"/>
  <c r="J103" i="15" a="1"/>
  <c r="J103" i="15" s="1"/>
  <c r="H103" i="15" a="1"/>
  <c r="H103" i="15" s="1"/>
  <c r="C103" i="15" a="1"/>
  <c r="C103" i="15" s="1"/>
  <c r="K103" i="15" a="1"/>
  <c r="K103" i="15" s="1"/>
  <c r="R103" i="15" s="1"/>
  <c r="H104" i="15" a="1"/>
  <c r="H104" i="15" s="1"/>
  <c r="K104" i="15" a="1"/>
  <c r="K104" i="15" s="1"/>
  <c r="Q108" i="15"/>
  <c r="K110" i="15" a="1"/>
  <c r="K110" i="15" s="1"/>
  <c r="L111" i="15" a="1"/>
  <c r="L111" i="15" s="1"/>
  <c r="J111" i="15" a="1"/>
  <c r="J111" i="15" s="1"/>
  <c r="H111" i="15" a="1"/>
  <c r="H111" i="15" s="1"/>
  <c r="C111" i="15" a="1"/>
  <c r="C111" i="15" s="1"/>
  <c r="K111" i="15" a="1"/>
  <c r="K111" i="15" s="1"/>
  <c r="O4" i="17"/>
  <c r="T9" i="17"/>
  <c r="S9" i="17"/>
  <c r="Q24" i="17"/>
  <c r="P24" i="17"/>
  <c r="O35" i="17"/>
  <c r="N35" i="17"/>
  <c r="M72" i="17"/>
  <c r="C102" i="15" a="1"/>
  <c r="C102" i="15" s="1"/>
  <c r="I102" i="15" a="1"/>
  <c r="I102" i="15" s="1"/>
  <c r="I103" i="15" a="1"/>
  <c r="I103" i="15" s="1"/>
  <c r="C110" i="15" a="1"/>
  <c r="C110" i="15" s="1"/>
  <c r="I110" i="15" a="1"/>
  <c r="I110" i="15" s="1"/>
  <c r="I111" i="15" a="1"/>
  <c r="I111" i="15" s="1"/>
  <c r="N4" i="17"/>
  <c r="S6" i="17"/>
  <c r="P10" i="17"/>
  <c r="R13" i="17"/>
  <c r="T13" i="17"/>
  <c r="T32" i="17"/>
  <c r="S32" i="17"/>
  <c r="T36" i="17"/>
  <c r="S36" i="17"/>
  <c r="T42" i="17"/>
  <c r="T61" i="17"/>
  <c r="P66" i="17"/>
  <c r="D73" i="15" a="1"/>
  <c r="D73" i="15" s="1"/>
  <c r="P73" i="15" s="1"/>
  <c r="G73" i="15" a="1"/>
  <c r="G73" i="15" s="1"/>
  <c r="M73" i="15" s="1"/>
  <c r="I73" i="15" a="1"/>
  <c r="I73" i="15" s="1"/>
  <c r="D77" i="15" a="1"/>
  <c r="D77" i="15" s="1"/>
  <c r="G77" i="15" a="1"/>
  <c r="G77" i="15" s="1"/>
  <c r="I77" i="15" a="1"/>
  <c r="I77" i="15" s="1"/>
  <c r="D81" i="15" a="1"/>
  <c r="D81" i="15" s="1"/>
  <c r="P81" i="15" s="1"/>
  <c r="G81" i="15" a="1"/>
  <c r="G81" i="15" s="1"/>
  <c r="I81" i="15" a="1"/>
  <c r="I81" i="15" s="1"/>
  <c r="Q81" i="15" s="1"/>
  <c r="D85" i="15" a="1"/>
  <c r="D85" i="15" s="1"/>
  <c r="G85" i="15" a="1"/>
  <c r="G85" i="15" s="1"/>
  <c r="M85" i="15" s="1"/>
  <c r="I85" i="15" a="1"/>
  <c r="I85" i="15" s="1"/>
  <c r="D89" i="15" a="1"/>
  <c r="D89" i="15" s="1"/>
  <c r="P89" i="15" s="1"/>
  <c r="G89" i="15" a="1"/>
  <c r="G89" i="15" s="1"/>
  <c r="M89" i="15" s="1"/>
  <c r="I89" i="15" a="1"/>
  <c r="I89" i="15" s="1"/>
  <c r="D93" i="15" a="1"/>
  <c r="D93" i="15" s="1"/>
  <c r="G93" i="15" a="1"/>
  <c r="G93" i="15" s="1"/>
  <c r="I93" i="15" a="1"/>
  <c r="I93" i="15" s="1"/>
  <c r="D97" i="15" a="1"/>
  <c r="D97" i="15" s="1"/>
  <c r="G97" i="15" a="1"/>
  <c r="G97" i="15" s="1"/>
  <c r="I97" i="15" a="1"/>
  <c r="I97" i="15" s="1"/>
  <c r="Q97" i="15" s="1"/>
  <c r="D101" i="15" a="1"/>
  <c r="D101" i="15" s="1"/>
  <c r="G101" i="15" a="1"/>
  <c r="G101" i="15" s="1"/>
  <c r="M101" i="15" s="1"/>
  <c r="I101" i="15" a="1"/>
  <c r="I101" i="15" s="1"/>
  <c r="D105" i="15" a="1"/>
  <c r="D105" i="15" s="1"/>
  <c r="G105" i="15" a="1"/>
  <c r="G105" i="15" s="1"/>
  <c r="M105" i="15" s="1"/>
  <c r="I105" i="15" a="1"/>
  <c r="I105" i="15" s="1"/>
  <c r="D109" i="15" a="1"/>
  <c r="D109" i="15" s="1"/>
  <c r="G109" i="15" a="1"/>
  <c r="G109" i="15" s="1"/>
  <c r="I109" i="15" a="1"/>
  <c r="I109" i="15" s="1"/>
  <c r="M112" i="17"/>
  <c r="E229" i="16"/>
  <c r="L3" i="17" a="1"/>
  <c r="L3" i="17" s="1"/>
  <c r="J3" i="17" a="1"/>
  <c r="J3" i="17" s="1"/>
  <c r="H3" i="17" a="1"/>
  <c r="H3" i="17" s="1"/>
  <c r="C3" i="17" a="1"/>
  <c r="C3" i="17" s="1"/>
  <c r="G3" i="17" a="1"/>
  <c r="G3" i="17" s="1"/>
  <c r="M3" i="17" s="1"/>
  <c r="K3" i="17" a="1"/>
  <c r="K3" i="17" s="1"/>
  <c r="R3" i="17" s="1"/>
  <c r="L7" i="17" a="1"/>
  <c r="L7" i="17" s="1"/>
  <c r="J7" i="17" a="1"/>
  <c r="J7" i="17" s="1"/>
  <c r="H7" i="17" a="1"/>
  <c r="H7" i="17" s="1"/>
  <c r="C7" i="17" a="1"/>
  <c r="C7" i="17" s="1"/>
  <c r="G7" i="17" a="1"/>
  <c r="G7" i="17" s="1"/>
  <c r="M7" i="17" s="1"/>
  <c r="K7" i="17" a="1"/>
  <c r="K7" i="17" s="1"/>
  <c r="R7" i="17" s="1"/>
  <c r="P16" i="17"/>
  <c r="P22" i="17"/>
  <c r="T24" i="17"/>
  <c r="S26" i="17"/>
  <c r="T26" i="17"/>
  <c r="O27" i="17"/>
  <c r="N27" i="17"/>
  <c r="T28" i="17"/>
  <c r="S28" i="17"/>
  <c r="T33" i="17"/>
  <c r="O36" i="17"/>
  <c r="N36" i="17"/>
  <c r="R41" i="17"/>
  <c r="R52" i="17"/>
  <c r="T53" i="17"/>
  <c r="L59" i="17" a="1"/>
  <c r="L59" i="17" s="1"/>
  <c r="J59" i="17" a="1"/>
  <c r="J59" i="17" s="1"/>
  <c r="H59" i="17" a="1"/>
  <c r="H59" i="17" s="1"/>
  <c r="C59" i="17" a="1"/>
  <c r="C59" i="17" s="1"/>
  <c r="I59" i="17" a="1"/>
  <c r="I59" i="17" s="1"/>
  <c r="D59" i="17" a="1"/>
  <c r="D59" i="17" s="1"/>
  <c r="G59" i="17" a="1"/>
  <c r="G59" i="17" s="1"/>
  <c r="S112" i="17"/>
  <c r="T112" i="17"/>
  <c r="J229" i="16"/>
  <c r="L113" i="16"/>
  <c r="O3" i="17"/>
  <c r="L4" i="17" a="1"/>
  <c r="L4" i="17" s="1"/>
  <c r="J4" i="17" a="1"/>
  <c r="J4" i="17" s="1"/>
  <c r="H4" i="17" a="1"/>
  <c r="H4" i="17" s="1"/>
  <c r="C4" i="17" a="1"/>
  <c r="C4" i="17" s="1"/>
  <c r="G4" i="17" a="1"/>
  <c r="G4" i="17" s="1"/>
  <c r="M4" i="17" s="1"/>
  <c r="K4" i="17" a="1"/>
  <c r="K4" i="17" s="1"/>
  <c r="R4" i="17" s="1"/>
  <c r="P6" i="17"/>
  <c r="O7" i="17"/>
  <c r="L8" i="17" a="1"/>
  <c r="L8" i="17" s="1"/>
  <c r="J8" i="17" a="1"/>
  <c r="J8" i="17" s="1"/>
  <c r="H8" i="17" a="1"/>
  <c r="H8" i="17" s="1"/>
  <c r="C8" i="17" a="1"/>
  <c r="C8" i="17" s="1"/>
  <c r="G8" i="17" a="1"/>
  <c r="G8" i="17" s="1"/>
  <c r="M8" i="17" s="1"/>
  <c r="K8" i="17" a="1"/>
  <c r="K8" i="17" s="1"/>
  <c r="R8" i="17" s="1"/>
  <c r="Q14" i="17"/>
  <c r="P14" i="17"/>
  <c r="S18" i="17"/>
  <c r="T18" i="17"/>
  <c r="O19" i="17"/>
  <c r="N19" i="17"/>
  <c r="T20" i="17"/>
  <c r="S20" i="17"/>
  <c r="Q21" i="17"/>
  <c r="S24" i="17"/>
  <c r="T25" i="17"/>
  <c r="S25" i="17"/>
  <c r="O28" i="17"/>
  <c r="N28" i="17"/>
  <c r="O34" i="17"/>
  <c r="N34" i="17"/>
  <c r="T37" i="17"/>
  <c r="P40" i="17"/>
  <c r="O42" i="17"/>
  <c r="P44" i="17"/>
  <c r="L46" i="17" a="1"/>
  <c r="L46" i="17" s="1"/>
  <c r="J46" i="17" a="1"/>
  <c r="J46" i="17" s="1"/>
  <c r="H46" i="17" a="1"/>
  <c r="H46" i="17" s="1"/>
  <c r="C46" i="17" a="1"/>
  <c r="C46" i="17" s="1"/>
  <c r="I46" i="17" a="1"/>
  <c r="I46" i="17" s="1"/>
  <c r="D46" i="17" a="1"/>
  <c r="D46" i="17" s="1"/>
  <c r="M55" i="17"/>
  <c r="K59" i="17" a="1"/>
  <c r="K59" i="17" s="1"/>
  <c r="L67" i="17" a="1"/>
  <c r="L67" i="17" s="1"/>
  <c r="J67" i="17" a="1"/>
  <c r="J67" i="17" s="1"/>
  <c r="H67" i="17" a="1"/>
  <c r="H67" i="17" s="1"/>
  <c r="C67" i="17" a="1"/>
  <c r="C67" i="17" s="1"/>
  <c r="I67" i="17" a="1"/>
  <c r="I67" i="17" s="1"/>
  <c r="D67" i="17" a="1"/>
  <c r="D67" i="17" s="1"/>
  <c r="G67" i="17" a="1"/>
  <c r="G67" i="17" s="1"/>
  <c r="N3" i="17"/>
  <c r="N7" i="17"/>
  <c r="R10" i="17"/>
  <c r="T10" i="17"/>
  <c r="N11" i="17"/>
  <c r="T12" i="17"/>
  <c r="S12" i="17"/>
  <c r="S16" i="17"/>
  <c r="T17" i="17"/>
  <c r="O20" i="17"/>
  <c r="N20" i="17"/>
  <c r="R25" i="17"/>
  <c r="O26" i="17"/>
  <c r="N26" i="17"/>
  <c r="P32" i="17"/>
  <c r="P38" i="17"/>
  <c r="G46" i="17" a="1"/>
  <c r="G46" i="17" s="1"/>
  <c r="M46" i="17" s="1"/>
  <c r="K67" i="17" a="1"/>
  <c r="K67" i="17" s="1"/>
  <c r="L11" i="17" a="1"/>
  <c r="L11" i="17" s="1"/>
  <c r="J11" i="17" a="1"/>
  <c r="J11" i="17" s="1"/>
  <c r="H11" i="17" a="1"/>
  <c r="H11" i="17" s="1"/>
  <c r="D11" i="17" a="1"/>
  <c r="D11" i="17" s="1"/>
  <c r="G11" i="17" a="1"/>
  <c r="G11" i="17" s="1"/>
  <c r="M11" i="17" s="1"/>
  <c r="Q12" i="17"/>
  <c r="K14" i="17" a="1"/>
  <c r="K14" i="17" s="1"/>
  <c r="R14" i="17" s="1"/>
  <c r="L15" i="17" a="1"/>
  <c r="L15" i="17" s="1"/>
  <c r="J15" i="17" a="1"/>
  <c r="J15" i="17" s="1"/>
  <c r="H15" i="17" a="1"/>
  <c r="H15" i="17" s="1"/>
  <c r="C15" i="17" a="1"/>
  <c r="C15" i="17" s="1"/>
  <c r="K15" i="17" a="1"/>
  <c r="K15" i="17" s="1"/>
  <c r="H16" i="17" a="1"/>
  <c r="H16" i="17" s="1"/>
  <c r="K16" i="17" a="1"/>
  <c r="K16" i="17" s="1"/>
  <c r="R16" i="17" s="1"/>
  <c r="Q20" i="17"/>
  <c r="K22" i="17" a="1"/>
  <c r="K22" i="17" s="1"/>
  <c r="R22" i="17" s="1"/>
  <c r="L23" i="17" a="1"/>
  <c r="L23" i="17" s="1"/>
  <c r="J23" i="17" a="1"/>
  <c r="J23" i="17" s="1"/>
  <c r="H23" i="17" a="1"/>
  <c r="H23" i="17" s="1"/>
  <c r="C23" i="17" a="1"/>
  <c r="C23" i="17" s="1"/>
  <c r="K23" i="17" a="1"/>
  <c r="K23" i="17" s="1"/>
  <c r="R23" i="17" s="1"/>
  <c r="H24" i="17" a="1"/>
  <c r="H24" i="17" s="1"/>
  <c r="K24" i="17" a="1"/>
  <c r="K24" i="17" s="1"/>
  <c r="R24" i="17" s="1"/>
  <c r="Q28" i="17"/>
  <c r="K30" i="17" a="1"/>
  <c r="K30" i="17" s="1"/>
  <c r="R30" i="17" s="1"/>
  <c r="L31" i="17" a="1"/>
  <c r="L31" i="17" s="1"/>
  <c r="J31" i="17" a="1"/>
  <c r="J31" i="17" s="1"/>
  <c r="H31" i="17" a="1"/>
  <c r="H31" i="17" s="1"/>
  <c r="C31" i="17" a="1"/>
  <c r="C31" i="17" s="1"/>
  <c r="K31" i="17" a="1"/>
  <c r="K31" i="17" s="1"/>
  <c r="R31" i="17" s="1"/>
  <c r="H32" i="17" a="1"/>
  <c r="H32" i="17" s="1"/>
  <c r="K32" i="17" a="1"/>
  <c r="K32" i="17" s="1"/>
  <c r="R32" i="17" s="1"/>
  <c r="Q36" i="17"/>
  <c r="K38" i="17" a="1"/>
  <c r="K38" i="17" s="1"/>
  <c r="R38" i="17" s="1"/>
  <c r="L39" i="17" a="1"/>
  <c r="L39" i="17" s="1"/>
  <c r="J39" i="17" a="1"/>
  <c r="J39" i="17" s="1"/>
  <c r="H39" i="17" a="1"/>
  <c r="H39" i="17" s="1"/>
  <c r="C39" i="17" a="1"/>
  <c r="C39" i="17" s="1"/>
  <c r="K39" i="17" a="1"/>
  <c r="K39" i="17" s="1"/>
  <c r="H40" i="17" a="1"/>
  <c r="H40" i="17" s="1"/>
  <c r="K40" i="17" a="1"/>
  <c r="K40" i="17" s="1"/>
  <c r="R40" i="17" s="1"/>
  <c r="L47" i="17" a="1"/>
  <c r="L47" i="17" s="1"/>
  <c r="J47" i="17" a="1"/>
  <c r="J47" i="17" s="1"/>
  <c r="H47" i="17" a="1"/>
  <c r="H47" i="17" s="1"/>
  <c r="C47" i="17" a="1"/>
  <c r="C47" i="17" s="1"/>
  <c r="G47" i="17" a="1"/>
  <c r="G47" i="17" s="1"/>
  <c r="K47" i="17" a="1"/>
  <c r="K47" i="17" s="1"/>
  <c r="R47" i="17" s="1"/>
  <c r="S50" i="17"/>
  <c r="T50" i="17"/>
  <c r="L56" i="17" a="1"/>
  <c r="L56" i="17" s="1"/>
  <c r="J56" i="17" a="1"/>
  <c r="J56" i="17" s="1"/>
  <c r="H56" i="17" a="1"/>
  <c r="H56" i="17" s="1"/>
  <c r="C56" i="17" a="1"/>
  <c r="C56" i="17" s="1"/>
  <c r="I56" i="17" a="1"/>
  <c r="I56" i="17" s="1"/>
  <c r="D56" i="17" a="1"/>
  <c r="D56" i="17" s="1"/>
  <c r="K56" i="17" a="1"/>
  <c r="K56" i="17" s="1"/>
  <c r="L64" i="17" a="1"/>
  <c r="L64" i="17" s="1"/>
  <c r="J64" i="17" a="1"/>
  <c r="J64" i="17" s="1"/>
  <c r="H64" i="17" a="1"/>
  <c r="H64" i="17" s="1"/>
  <c r="C64" i="17" a="1"/>
  <c r="C64" i="17" s="1"/>
  <c r="I64" i="17" a="1"/>
  <c r="I64" i="17" s="1"/>
  <c r="D64" i="17" a="1"/>
  <c r="D64" i="17" s="1"/>
  <c r="K64" i="17" a="1"/>
  <c r="K64" i="17" s="1"/>
  <c r="R64" i="17" s="1"/>
  <c r="Q65" i="17"/>
  <c r="P75" i="17"/>
  <c r="O77" i="17"/>
  <c r="N77" i="17"/>
  <c r="Q77" i="17"/>
  <c r="J82" i="17" a="1"/>
  <c r="J82" i="17" s="1"/>
  <c r="G82" i="17" a="1"/>
  <c r="G82" i="17" s="1"/>
  <c r="M82" i="17" s="1"/>
  <c r="K82" i="17" a="1"/>
  <c r="K82" i="17" s="1"/>
  <c r="H82" i="17" a="1"/>
  <c r="H82" i="17" s="1"/>
  <c r="C82" i="17" a="1"/>
  <c r="C82" i="17" s="1"/>
  <c r="L82" i="17" a="1"/>
  <c r="L82" i="17" s="1"/>
  <c r="I82" i="17" a="1"/>
  <c r="I82" i="17" s="1"/>
  <c r="D82" i="17" a="1"/>
  <c r="D82" i="17" s="1"/>
  <c r="N83" i="17"/>
  <c r="O112" i="17"/>
  <c r="N112" i="17"/>
  <c r="D6" i="17" a="1"/>
  <c r="D6" i="17" s="1"/>
  <c r="G6" i="17" a="1"/>
  <c r="G6" i="17" s="1"/>
  <c r="M6" i="17" s="1"/>
  <c r="I6" i="17" a="1"/>
  <c r="I6" i="17" s="1"/>
  <c r="D10" i="17" a="1"/>
  <c r="D10" i="17" s="1"/>
  <c r="G10" i="17" a="1"/>
  <c r="G10" i="17" s="1"/>
  <c r="M10" i="17" s="1"/>
  <c r="I10" i="17" a="1"/>
  <c r="I10" i="17" s="1"/>
  <c r="Q10" i="17" s="1"/>
  <c r="C14" i="17" a="1"/>
  <c r="C14" i="17" s="1"/>
  <c r="I14" i="17" a="1"/>
  <c r="I14" i="17" s="1"/>
  <c r="L14" i="17" a="1"/>
  <c r="L14" i="17" s="1"/>
  <c r="I15" i="17" a="1"/>
  <c r="I15" i="17" s="1"/>
  <c r="I16" i="17" a="1"/>
  <c r="I16" i="17" s="1"/>
  <c r="C22" i="17" a="1"/>
  <c r="C22" i="17" s="1"/>
  <c r="I22" i="17" a="1"/>
  <c r="I22" i="17" s="1"/>
  <c r="L22" i="17" a="1"/>
  <c r="L22" i="17" s="1"/>
  <c r="I23" i="17" a="1"/>
  <c r="I23" i="17" s="1"/>
  <c r="I24" i="17" a="1"/>
  <c r="I24" i="17" s="1"/>
  <c r="C30" i="17" a="1"/>
  <c r="C30" i="17" s="1"/>
  <c r="I30" i="17" a="1"/>
  <c r="I30" i="17" s="1"/>
  <c r="Q30" i="17" s="1"/>
  <c r="L30" i="17" a="1"/>
  <c r="L30" i="17" s="1"/>
  <c r="I31" i="17" a="1"/>
  <c r="I31" i="17" s="1"/>
  <c r="I32" i="17" a="1"/>
  <c r="I32" i="17" s="1"/>
  <c r="C38" i="17" a="1"/>
  <c r="C38" i="17" s="1"/>
  <c r="I38" i="17" a="1"/>
  <c r="I38" i="17" s="1"/>
  <c r="L38" i="17" a="1"/>
  <c r="L38" i="17" s="1"/>
  <c r="I39" i="17" a="1"/>
  <c r="I39" i="17" s="1"/>
  <c r="I40" i="17" a="1"/>
  <c r="I40" i="17" s="1"/>
  <c r="Q40" i="17" s="1"/>
  <c r="D42" i="17" a="1"/>
  <c r="D42" i="17" s="1"/>
  <c r="H42" i="17" a="1"/>
  <c r="H42" i="17" s="1"/>
  <c r="H50" i="17" a="1"/>
  <c r="H50" i="17" s="1"/>
  <c r="D50" i="17" a="1"/>
  <c r="D50" i="17" s="1"/>
  <c r="J50" i="17" a="1"/>
  <c r="J50" i="17" s="1"/>
  <c r="G50" i="17" a="1"/>
  <c r="G50" i="17" s="1"/>
  <c r="M50" i="17" s="1"/>
  <c r="J52" i="17" a="1"/>
  <c r="J52" i="17" s="1"/>
  <c r="D52" i="17" a="1"/>
  <c r="D52" i="17" s="1"/>
  <c r="L52" i="17" a="1"/>
  <c r="L52" i="17" s="1"/>
  <c r="G52" i="17" a="1"/>
  <c r="G52" i="17" s="1"/>
  <c r="M52" i="17" s="1"/>
  <c r="C52" i="17" a="1"/>
  <c r="C52" i="17" s="1"/>
  <c r="H52" i="17" a="1"/>
  <c r="H52" i="17" s="1"/>
  <c r="Q54" i="17"/>
  <c r="L55" i="17" a="1"/>
  <c r="L55" i="17" s="1"/>
  <c r="J55" i="17" a="1"/>
  <c r="J55" i="17" s="1"/>
  <c r="H55" i="17" a="1"/>
  <c r="H55" i="17" s="1"/>
  <c r="C55" i="17" a="1"/>
  <c r="C55" i="17" s="1"/>
  <c r="I55" i="17" a="1"/>
  <c r="I55" i="17" s="1"/>
  <c r="D55" i="17" a="1"/>
  <c r="D55" i="17" s="1"/>
  <c r="K55" i="17" a="1"/>
  <c r="K55" i="17" s="1"/>
  <c r="R55" i="17" s="1"/>
  <c r="R58" i="17"/>
  <c r="L63" i="17" a="1"/>
  <c r="L63" i="17" s="1"/>
  <c r="J63" i="17" a="1"/>
  <c r="J63" i="17" s="1"/>
  <c r="H63" i="17" a="1"/>
  <c r="H63" i="17" s="1"/>
  <c r="C63" i="17" a="1"/>
  <c r="C63" i="17" s="1"/>
  <c r="I63" i="17" a="1"/>
  <c r="I63" i="17" s="1"/>
  <c r="D63" i="17" a="1"/>
  <c r="D63" i="17" s="1"/>
  <c r="K63" i="17" a="1"/>
  <c r="K63" i="17" s="1"/>
  <c r="R63" i="17" s="1"/>
  <c r="R66" i="17"/>
  <c r="L72" i="17" a="1"/>
  <c r="L72" i="17" s="1"/>
  <c r="J72" i="17" a="1"/>
  <c r="J72" i="17" s="1"/>
  <c r="H72" i="17" a="1"/>
  <c r="H72" i="17" s="1"/>
  <c r="C72" i="17" a="1"/>
  <c r="C72" i="17" s="1"/>
  <c r="I72" i="17" a="1"/>
  <c r="I72" i="17" s="1"/>
  <c r="D72" i="17" a="1"/>
  <c r="D72" i="17" s="1"/>
  <c r="K72" i="17" a="1"/>
  <c r="K72" i="17" s="1"/>
  <c r="R72" i="17" s="1"/>
  <c r="Q80" i="17"/>
  <c r="P80" i="17"/>
  <c r="Q112" i="17"/>
  <c r="P112" i="17"/>
  <c r="P113" i="16"/>
  <c r="G229" i="16"/>
  <c r="D5" i="17" a="1"/>
  <c r="D5" i="17" s="1"/>
  <c r="E38" i="17" s="1"/>
  <c r="G5" i="17" a="1"/>
  <c r="G5" i="17" s="1"/>
  <c r="M5" i="17" s="1"/>
  <c r="I5" i="17" a="1"/>
  <c r="I5" i="17" s="1"/>
  <c r="D9" i="17" a="1"/>
  <c r="D9" i="17" s="1"/>
  <c r="G9" i="17" a="1"/>
  <c r="G9" i="17" s="1"/>
  <c r="M9" i="17" s="1"/>
  <c r="I9" i="17" a="1"/>
  <c r="I9" i="17" s="1"/>
  <c r="C11" i="17" a="1"/>
  <c r="C11" i="17" s="1"/>
  <c r="K11" i="17" a="1"/>
  <c r="K11" i="17" s="1"/>
  <c r="H12" i="17" a="1"/>
  <c r="H12" i="17" s="1"/>
  <c r="G14" i="17" a="1"/>
  <c r="G14" i="17" s="1"/>
  <c r="M14" i="17" s="1"/>
  <c r="G15" i="17" a="1"/>
  <c r="G15" i="17" s="1"/>
  <c r="M15" i="17" s="1"/>
  <c r="C16" i="17" a="1"/>
  <c r="C16" i="17" s="1"/>
  <c r="G16" i="17" a="1"/>
  <c r="G16" i="17" s="1"/>
  <c r="M16" i="17" s="1"/>
  <c r="L19" i="17" a="1"/>
  <c r="L19" i="17" s="1"/>
  <c r="J19" i="17" a="1"/>
  <c r="J19" i="17" s="1"/>
  <c r="H19" i="17" a="1"/>
  <c r="H19" i="17" s="1"/>
  <c r="C19" i="17" a="1"/>
  <c r="C19" i="17" s="1"/>
  <c r="K19" i="17" a="1"/>
  <c r="K19" i="17" s="1"/>
  <c r="R19" i="17" s="1"/>
  <c r="H20" i="17" a="1"/>
  <c r="H20" i="17" s="1"/>
  <c r="G22" i="17" a="1"/>
  <c r="G22" i="17" s="1"/>
  <c r="M22" i="17" s="1"/>
  <c r="G23" i="17" a="1"/>
  <c r="G23" i="17" s="1"/>
  <c r="M23" i="17" s="1"/>
  <c r="C24" i="17" a="1"/>
  <c r="C24" i="17" s="1"/>
  <c r="G24" i="17" a="1"/>
  <c r="G24" i="17" s="1"/>
  <c r="M24" i="17" s="1"/>
  <c r="L27" i="17" a="1"/>
  <c r="L27" i="17" s="1"/>
  <c r="J27" i="17" a="1"/>
  <c r="J27" i="17" s="1"/>
  <c r="H27" i="17" a="1"/>
  <c r="H27" i="17" s="1"/>
  <c r="C27" i="17" a="1"/>
  <c r="C27" i="17" s="1"/>
  <c r="K27" i="17" a="1"/>
  <c r="K27" i="17" s="1"/>
  <c r="R27" i="17" s="1"/>
  <c r="H28" i="17" a="1"/>
  <c r="H28" i="17" s="1"/>
  <c r="G30" i="17" a="1"/>
  <c r="G30" i="17" s="1"/>
  <c r="M30" i="17" s="1"/>
  <c r="G31" i="17" a="1"/>
  <c r="G31" i="17" s="1"/>
  <c r="M31" i="17" s="1"/>
  <c r="C32" i="17" a="1"/>
  <c r="C32" i="17" s="1"/>
  <c r="G32" i="17" a="1"/>
  <c r="G32" i="17" s="1"/>
  <c r="M32" i="17" s="1"/>
  <c r="L35" i="17" a="1"/>
  <c r="L35" i="17" s="1"/>
  <c r="J35" i="17" a="1"/>
  <c r="J35" i="17" s="1"/>
  <c r="H35" i="17" a="1"/>
  <c r="H35" i="17" s="1"/>
  <c r="C35" i="17" a="1"/>
  <c r="C35" i="17" s="1"/>
  <c r="K35" i="17" a="1"/>
  <c r="K35" i="17" s="1"/>
  <c r="R35" i="17" s="1"/>
  <c r="H36" i="17" a="1"/>
  <c r="H36" i="17" s="1"/>
  <c r="G38" i="17" a="1"/>
  <c r="G38" i="17" s="1"/>
  <c r="M38" i="17" s="1"/>
  <c r="G39" i="17" a="1"/>
  <c r="G39" i="17" s="1"/>
  <c r="M39" i="17" s="1"/>
  <c r="C40" i="17" a="1"/>
  <c r="C40" i="17" s="1"/>
  <c r="G40" i="17" a="1"/>
  <c r="G40" i="17" s="1"/>
  <c r="M40" i="17" s="1"/>
  <c r="L43" i="17" a="1"/>
  <c r="L43" i="17" s="1"/>
  <c r="J43" i="17" a="1"/>
  <c r="J43" i="17" s="1"/>
  <c r="R43" i="17" s="1"/>
  <c r="H43" i="17" a="1"/>
  <c r="H43" i="17" s="1"/>
  <c r="C43" i="17" a="1"/>
  <c r="C43" i="17" s="1"/>
  <c r="I43" i="17" a="1"/>
  <c r="I43" i="17" s="1"/>
  <c r="R44" i="17"/>
  <c r="T45" i="17"/>
  <c r="D47" i="17" a="1"/>
  <c r="D47" i="17" s="1"/>
  <c r="I47" i="17" a="1"/>
  <c r="I47" i="17" s="1"/>
  <c r="R48" i="17"/>
  <c r="C50" i="17" a="1"/>
  <c r="C50" i="17" s="1"/>
  <c r="I50" i="17" a="1"/>
  <c r="I50" i="17" s="1"/>
  <c r="I52" i="17" a="1"/>
  <c r="I52" i="17" s="1"/>
  <c r="P53" i="17"/>
  <c r="G56" i="17" a="1"/>
  <c r="G56" i="17" s="1"/>
  <c r="L60" i="17" a="1"/>
  <c r="L60" i="17" s="1"/>
  <c r="J60" i="17" a="1"/>
  <c r="J60" i="17" s="1"/>
  <c r="H60" i="17" a="1"/>
  <c r="H60" i="17" s="1"/>
  <c r="C60" i="17" a="1"/>
  <c r="C60" i="17" s="1"/>
  <c r="I60" i="17" a="1"/>
  <c r="I60" i="17" s="1"/>
  <c r="D60" i="17" a="1"/>
  <c r="D60" i="17" s="1"/>
  <c r="M60" i="17" s="1"/>
  <c r="K60" i="17" a="1"/>
  <c r="K60" i="17" s="1"/>
  <c r="R60" i="17" s="1"/>
  <c r="G64" i="17" a="1"/>
  <c r="G64" i="17" s="1"/>
  <c r="M64" i="17" s="1"/>
  <c r="L68" i="17" a="1"/>
  <c r="L68" i="17" s="1"/>
  <c r="J68" i="17" a="1"/>
  <c r="J68" i="17" s="1"/>
  <c r="H68" i="17" a="1"/>
  <c r="H68" i="17" s="1"/>
  <c r="C68" i="17" a="1"/>
  <c r="C68" i="17" s="1"/>
  <c r="I68" i="17" a="1"/>
  <c r="I68" i="17" s="1"/>
  <c r="D68" i="17" a="1"/>
  <c r="D68" i="17" s="1"/>
  <c r="K68" i="17" a="1"/>
  <c r="K68" i="17" s="1"/>
  <c r="R68" i="17" s="1"/>
  <c r="Q70" i="17"/>
  <c r="L71" i="17" a="1"/>
  <c r="L71" i="17" s="1"/>
  <c r="J71" i="17" a="1"/>
  <c r="J71" i="17" s="1"/>
  <c r="H71" i="17" a="1"/>
  <c r="H71" i="17" s="1"/>
  <c r="C71" i="17" a="1"/>
  <c r="C71" i="17" s="1"/>
  <c r="I71" i="17" a="1"/>
  <c r="I71" i="17" s="1"/>
  <c r="D71" i="17" a="1"/>
  <c r="D71" i="17" s="1"/>
  <c r="K71" i="17" a="1"/>
  <c r="K71" i="17" s="1"/>
  <c r="R71" i="17" s="1"/>
  <c r="D13" i="17" a="1"/>
  <c r="D13" i="17" s="1"/>
  <c r="S13" i="17" s="1"/>
  <c r="G13" i="17" a="1"/>
  <c r="G13" i="17" s="1"/>
  <c r="M13" i="17" s="1"/>
  <c r="I13" i="17" a="1"/>
  <c r="I13" i="17" s="1"/>
  <c r="D17" i="17" a="1"/>
  <c r="D17" i="17" s="1"/>
  <c r="G17" i="17" a="1"/>
  <c r="G17" i="17" s="1"/>
  <c r="I17" i="17" a="1"/>
  <c r="I17" i="17" s="1"/>
  <c r="D21" i="17" a="1"/>
  <c r="D21" i="17" s="1"/>
  <c r="S21" i="17" s="1"/>
  <c r="G21" i="17" a="1"/>
  <c r="G21" i="17" s="1"/>
  <c r="M21" i="17" s="1"/>
  <c r="I21" i="17" a="1"/>
  <c r="I21" i="17" s="1"/>
  <c r="D25" i="17" a="1"/>
  <c r="D25" i="17" s="1"/>
  <c r="G25" i="17" a="1"/>
  <c r="G25" i="17" s="1"/>
  <c r="M25" i="17" s="1"/>
  <c r="I25" i="17" a="1"/>
  <c r="I25" i="17" s="1"/>
  <c r="D29" i="17" a="1"/>
  <c r="D29" i="17" s="1"/>
  <c r="S29" i="17" s="1"/>
  <c r="G29" i="17" a="1"/>
  <c r="G29" i="17" s="1"/>
  <c r="M29" i="17" s="1"/>
  <c r="I29" i="17" a="1"/>
  <c r="I29" i="17" s="1"/>
  <c r="D33" i="17" a="1"/>
  <c r="D33" i="17" s="1"/>
  <c r="G33" i="17" a="1"/>
  <c r="G33" i="17" s="1"/>
  <c r="I33" i="17" a="1"/>
  <c r="I33" i="17" s="1"/>
  <c r="D37" i="17" a="1"/>
  <c r="D37" i="17" s="1"/>
  <c r="G37" i="17" a="1"/>
  <c r="G37" i="17" s="1"/>
  <c r="M37" i="17" s="1"/>
  <c r="I37" i="17" a="1"/>
  <c r="I37" i="17" s="1"/>
  <c r="D41" i="17" a="1"/>
  <c r="D41" i="17" s="1"/>
  <c r="G41" i="17" a="1"/>
  <c r="G41" i="17" s="1"/>
  <c r="M41" i="17" s="1"/>
  <c r="I41" i="17" a="1"/>
  <c r="I41" i="17" s="1"/>
  <c r="D45" i="17" a="1"/>
  <c r="D45" i="17" s="1"/>
  <c r="S45" i="17" s="1"/>
  <c r="G45" i="17" a="1"/>
  <c r="G45" i="17" s="1"/>
  <c r="M45" i="17" s="1"/>
  <c r="I45" i="17" a="1"/>
  <c r="I45" i="17" s="1"/>
  <c r="K49" i="17" a="1"/>
  <c r="K49" i="17" s="1"/>
  <c r="R49" i="17" s="1"/>
  <c r="I49" i="17" a="1"/>
  <c r="I49" i="17" s="1"/>
  <c r="G49" i="17" a="1"/>
  <c r="G49" i="17" s="1"/>
  <c r="D49" i="17" a="1"/>
  <c r="D49" i="17" s="1"/>
  <c r="S49" i="17" s="1"/>
  <c r="J49" i="17" a="1"/>
  <c r="J49" i="17" s="1"/>
  <c r="P73" i="17"/>
  <c r="S77" i="17"/>
  <c r="T77" i="17"/>
  <c r="O78" i="17"/>
  <c r="N78" i="17"/>
  <c r="D44" i="17" a="1"/>
  <c r="D44" i="17" s="1"/>
  <c r="G44" i="17" a="1"/>
  <c r="G44" i="17" s="1"/>
  <c r="M44" i="17" s="1"/>
  <c r="I44" i="17" a="1"/>
  <c r="I44" i="17" s="1"/>
  <c r="Q44" i="17" s="1"/>
  <c r="D48" i="17" a="1"/>
  <c r="D48" i="17" s="1"/>
  <c r="G48" i="17" a="1"/>
  <c r="G48" i="17" s="1"/>
  <c r="I48" i="17" a="1"/>
  <c r="I48" i="17" s="1"/>
  <c r="T54" i="17"/>
  <c r="R57" i="17"/>
  <c r="T58" i="17"/>
  <c r="R61" i="17"/>
  <c r="T62" i="17"/>
  <c r="R65" i="17"/>
  <c r="S66" i="17"/>
  <c r="T66" i="17"/>
  <c r="T70" i="17"/>
  <c r="R73" i="17"/>
  <c r="S75" i="17"/>
  <c r="T76" i="17"/>
  <c r="S81" i="17"/>
  <c r="T81" i="17"/>
  <c r="P84" i="17"/>
  <c r="O88" i="17"/>
  <c r="N88" i="17"/>
  <c r="L74" i="17" a="1"/>
  <c r="L74" i="17" s="1"/>
  <c r="J74" i="17" a="1"/>
  <c r="J74" i="17" s="1"/>
  <c r="H74" i="17" a="1"/>
  <c r="H74" i="17" s="1"/>
  <c r="C74" i="17" a="1"/>
  <c r="C74" i="17" s="1"/>
  <c r="K74" i="17" a="1"/>
  <c r="K74" i="17" s="1"/>
  <c r="H75" i="17" a="1"/>
  <c r="H75" i="17" s="1"/>
  <c r="K75" i="17" a="1"/>
  <c r="K75" i="17" s="1"/>
  <c r="R75" i="17" s="1"/>
  <c r="T80" i="17"/>
  <c r="P81" i="17"/>
  <c r="R84" i="17"/>
  <c r="R85" i="17"/>
  <c r="M88" i="17"/>
  <c r="R91" i="17"/>
  <c r="D54" i="17" a="1"/>
  <c r="D54" i="17" s="1"/>
  <c r="G54" i="17" a="1"/>
  <c r="G54" i="17" s="1"/>
  <c r="I54" i="17" a="1"/>
  <c r="I54" i="17" s="1"/>
  <c r="D58" i="17" a="1"/>
  <c r="D58" i="17" s="1"/>
  <c r="G58" i="17" a="1"/>
  <c r="G58" i="17" s="1"/>
  <c r="M58" i="17" s="1"/>
  <c r="I58" i="17" a="1"/>
  <c r="I58" i="17" s="1"/>
  <c r="Q58" i="17" s="1"/>
  <c r="D62" i="17" a="1"/>
  <c r="D62" i="17" s="1"/>
  <c r="G62" i="17" a="1"/>
  <c r="G62" i="17" s="1"/>
  <c r="M62" i="17" s="1"/>
  <c r="I62" i="17" a="1"/>
  <c r="I62" i="17" s="1"/>
  <c r="Q62" i="17" s="1"/>
  <c r="D66" i="17" a="1"/>
  <c r="D66" i="17" s="1"/>
  <c r="G66" i="17" a="1"/>
  <c r="G66" i="17" s="1"/>
  <c r="M66" i="17" s="1"/>
  <c r="I66" i="17" a="1"/>
  <c r="I66" i="17" s="1"/>
  <c r="Q66" i="17" s="1"/>
  <c r="D70" i="17" a="1"/>
  <c r="D70" i="17" s="1"/>
  <c r="G70" i="17" a="1"/>
  <c r="G70" i="17" s="1"/>
  <c r="I70" i="17" a="1"/>
  <c r="I70" i="17" s="1"/>
  <c r="I74" i="17" a="1"/>
  <c r="I74" i="17" s="1"/>
  <c r="I75" i="17" a="1"/>
  <c r="I75" i="17" s="1"/>
  <c r="L79" i="17" a="1"/>
  <c r="L79" i="17" s="1"/>
  <c r="J79" i="17" a="1"/>
  <c r="J79" i="17" s="1"/>
  <c r="H79" i="17" a="1"/>
  <c r="H79" i="17" s="1"/>
  <c r="C79" i="17" a="1"/>
  <c r="C79" i="17" s="1"/>
  <c r="I79" i="17" a="1"/>
  <c r="I79" i="17" s="1"/>
  <c r="G79" i="17" a="1"/>
  <c r="G79" i="17" s="1"/>
  <c r="M79" i="17" s="1"/>
  <c r="O80" i="17"/>
  <c r="N80" i="17"/>
  <c r="L84" i="17" a="1"/>
  <c r="L84" i="17" s="1"/>
  <c r="G84" i="17" a="1"/>
  <c r="G84" i="17" s="1"/>
  <c r="M84" i="17" s="1"/>
  <c r="C84" i="17" a="1"/>
  <c r="C84" i="17" s="1"/>
  <c r="I84" i="17" a="1"/>
  <c r="I84" i="17" s="1"/>
  <c r="T85" i="17"/>
  <c r="T86" i="17"/>
  <c r="T89" i="17"/>
  <c r="S89" i="17"/>
  <c r="D53" i="17" a="1"/>
  <c r="D53" i="17" s="1"/>
  <c r="G53" i="17" a="1"/>
  <c r="G53" i="17" s="1"/>
  <c r="M53" i="17" s="1"/>
  <c r="I53" i="17" a="1"/>
  <c r="I53" i="17" s="1"/>
  <c r="Q53" i="17" s="1"/>
  <c r="D57" i="17" a="1"/>
  <c r="D57" i="17" s="1"/>
  <c r="P57" i="17" s="1"/>
  <c r="G57" i="17" a="1"/>
  <c r="G57" i="17" s="1"/>
  <c r="M57" i="17" s="1"/>
  <c r="I57" i="17" a="1"/>
  <c r="I57" i="17" s="1"/>
  <c r="D61" i="17" a="1"/>
  <c r="D61" i="17" s="1"/>
  <c r="G61" i="17" a="1"/>
  <c r="G61" i="17" s="1"/>
  <c r="I61" i="17" a="1"/>
  <c r="I61" i="17" s="1"/>
  <c r="D65" i="17" a="1"/>
  <c r="D65" i="17" s="1"/>
  <c r="S65" i="17" s="1"/>
  <c r="G65" i="17" a="1"/>
  <c r="G65" i="17" s="1"/>
  <c r="M65" i="17" s="1"/>
  <c r="I65" i="17" a="1"/>
  <c r="I65" i="17" s="1"/>
  <c r="D69" i="17" a="1"/>
  <c r="D69" i="17" s="1"/>
  <c r="G69" i="17" a="1"/>
  <c r="G69" i="17" s="1"/>
  <c r="M69" i="17" s="1"/>
  <c r="I69" i="17" a="1"/>
  <c r="I69" i="17" s="1"/>
  <c r="D73" i="17" a="1"/>
  <c r="D73" i="17" s="1"/>
  <c r="S73" i="17" s="1"/>
  <c r="G73" i="17" a="1"/>
  <c r="G73" i="17" s="1"/>
  <c r="M73" i="17" s="1"/>
  <c r="I73" i="17" a="1"/>
  <c r="I73" i="17" s="1"/>
  <c r="Q73" i="17" s="1"/>
  <c r="G74" i="17" a="1"/>
  <c r="G74" i="17" s="1"/>
  <c r="M74" i="17" s="1"/>
  <c r="C75" i="17" a="1"/>
  <c r="C75" i="17" s="1"/>
  <c r="G75" i="17" a="1"/>
  <c r="G75" i="17" s="1"/>
  <c r="M75" i="17" s="1"/>
  <c r="L78" i="17" a="1"/>
  <c r="L78" i="17" s="1"/>
  <c r="J78" i="17" a="1"/>
  <c r="J78" i="17" s="1"/>
  <c r="H78" i="17" a="1"/>
  <c r="H78" i="17" s="1"/>
  <c r="C78" i="17" a="1"/>
  <c r="C78" i="17" s="1"/>
  <c r="K78" i="17" a="1"/>
  <c r="K78" i="17" s="1"/>
  <c r="R78" i="17" s="1"/>
  <c r="K79" i="17" a="1"/>
  <c r="K79" i="17" s="1"/>
  <c r="R79" i="17" s="1"/>
  <c r="L83" i="17" a="1"/>
  <c r="L83" i="17" s="1"/>
  <c r="J83" i="17" a="1"/>
  <c r="J83" i="17" s="1"/>
  <c r="H83" i="17" a="1"/>
  <c r="H83" i="17" s="1"/>
  <c r="C83" i="17" a="1"/>
  <c r="C83" i="17" s="1"/>
  <c r="G83" i="17" a="1"/>
  <c r="G83" i="17" s="1"/>
  <c r="D83" i="17" a="1"/>
  <c r="D83" i="17" s="1"/>
  <c r="H84" i="17" a="1"/>
  <c r="H84" i="17" s="1"/>
  <c r="Q85" i="17"/>
  <c r="N92" i="17"/>
  <c r="P94" i="17"/>
  <c r="M95" i="17"/>
  <c r="S98" i="17"/>
  <c r="T98" i="17"/>
  <c r="S87" i="17"/>
  <c r="T87" i="17"/>
  <c r="O89" i="17"/>
  <c r="N89" i="17"/>
  <c r="D91" i="17" a="1"/>
  <c r="D91" i="17" s="1"/>
  <c r="O95" i="17"/>
  <c r="N95" i="17"/>
  <c r="O96" i="17"/>
  <c r="N96" i="17"/>
  <c r="O99" i="17"/>
  <c r="R103" i="17"/>
  <c r="T103" i="17"/>
  <c r="D76" i="17" a="1"/>
  <c r="D76" i="17" s="1"/>
  <c r="S76" i="17" s="1"/>
  <c r="G76" i="17" a="1"/>
  <c r="G76" i="17" s="1"/>
  <c r="M76" i="17" s="1"/>
  <c r="I76" i="17" a="1"/>
  <c r="I76" i="17" s="1"/>
  <c r="O87" i="17"/>
  <c r="N87" i="17"/>
  <c r="Q89" i="17"/>
  <c r="R89" i="17"/>
  <c r="T90" i="17"/>
  <c r="R92" i="17"/>
  <c r="T97" i="17"/>
  <c r="S97" i="17"/>
  <c r="J91" i="17" a="1"/>
  <c r="J91" i="17" s="1"/>
  <c r="G91" i="17" a="1"/>
  <c r="G91" i="17" s="1"/>
  <c r="M91" i="17" s="1"/>
  <c r="I91" i="17" a="1"/>
  <c r="I91" i="17" s="1"/>
  <c r="H91" i="17" a="1"/>
  <c r="H91" i="17" s="1"/>
  <c r="L91" i="17" a="1"/>
  <c r="L91" i="17" s="1"/>
  <c r="R94" i="17"/>
  <c r="S95" i="17"/>
  <c r="M96" i="17"/>
  <c r="L93" i="17" a="1"/>
  <c r="L93" i="17" s="1"/>
  <c r="G93" i="17" a="1"/>
  <c r="G93" i="17" s="1"/>
  <c r="M93" i="17" s="1"/>
  <c r="C93" i="17" a="1"/>
  <c r="C93" i="17" s="1"/>
  <c r="J93" i="17" a="1"/>
  <c r="J93" i="17" s="1"/>
  <c r="P95" i="17"/>
  <c r="L100" i="17" a="1"/>
  <c r="L100" i="17" s="1"/>
  <c r="J100" i="17" a="1"/>
  <c r="J100" i="17" s="1"/>
  <c r="H100" i="17" a="1"/>
  <c r="H100" i="17" s="1"/>
  <c r="C100" i="17" a="1"/>
  <c r="C100" i="17" s="1"/>
  <c r="G100" i="17" a="1"/>
  <c r="G100" i="17" s="1"/>
  <c r="M100" i="17" s="1"/>
  <c r="N104" i="17"/>
  <c r="O104" i="17"/>
  <c r="N107" i="17"/>
  <c r="H80" i="17" a="1"/>
  <c r="H80" i="17" s="1"/>
  <c r="K86" i="17" a="1"/>
  <c r="K86" i="17" s="1"/>
  <c r="I86" i="17" a="1"/>
  <c r="I86" i="17" s="1"/>
  <c r="G86" i="17" a="1"/>
  <c r="G86" i="17" s="1"/>
  <c r="M86" i="17" s="1"/>
  <c r="D86" i="17" a="1"/>
  <c r="D86" i="17" s="1"/>
  <c r="S86" i="17" s="1"/>
  <c r="J86" i="17" a="1"/>
  <c r="J86" i="17" s="1"/>
  <c r="P87" i="17"/>
  <c r="L92" i="17" a="1"/>
  <c r="L92" i="17" s="1"/>
  <c r="J92" i="17" a="1"/>
  <c r="J92" i="17" s="1"/>
  <c r="H92" i="17" a="1"/>
  <c r="H92" i="17" s="1"/>
  <c r="C92" i="17" a="1"/>
  <c r="C92" i="17" s="1"/>
  <c r="G92" i="17" a="1"/>
  <c r="G92" i="17" s="1"/>
  <c r="M92" i="17" s="1"/>
  <c r="K93" i="17" a="1"/>
  <c r="K93" i="17" s="1"/>
  <c r="R93" i="17" s="1"/>
  <c r="Q95" i="17"/>
  <c r="P97" i="17"/>
  <c r="J99" i="17" a="1"/>
  <c r="J99" i="17" s="1"/>
  <c r="G99" i="17" a="1"/>
  <c r="G99" i="17" s="1"/>
  <c r="K100" i="17" a="1"/>
  <c r="K100" i="17" s="1"/>
  <c r="R100" i="17" s="1"/>
  <c r="P102" i="17"/>
  <c r="T102" i="17"/>
  <c r="M103" i="17"/>
  <c r="R105" i="17"/>
  <c r="T106" i="17"/>
  <c r="T107" i="17"/>
  <c r="N101" i="17"/>
  <c r="Q105" i="17"/>
  <c r="P105" i="17"/>
  <c r="R110" i="17"/>
  <c r="T110" i="17"/>
  <c r="O97" i="17"/>
  <c r="D99" i="17" a="1"/>
  <c r="D99" i="17" s="1"/>
  <c r="L99" i="17" a="1"/>
  <c r="L99" i="17" s="1"/>
  <c r="I100" i="17" a="1"/>
  <c r="I100" i="17" s="1"/>
  <c r="L101" i="17" a="1"/>
  <c r="L101" i="17" s="1"/>
  <c r="G101" i="17" a="1"/>
  <c r="G101" i="17" s="1"/>
  <c r="M101" i="17" s="1"/>
  <c r="C101" i="17" a="1"/>
  <c r="C101" i="17" s="1"/>
  <c r="J101" i="17" a="1"/>
  <c r="J101" i="17" s="1"/>
  <c r="S102" i="17"/>
  <c r="O103" i="17"/>
  <c r="N103" i="17"/>
  <c r="M104" i="17"/>
  <c r="S105" i="17"/>
  <c r="T105" i="17"/>
  <c r="N108" i="17"/>
  <c r="S110" i="17"/>
  <c r="D81" i="17" a="1"/>
  <c r="D81" i="17" s="1"/>
  <c r="G81" i="17" a="1"/>
  <c r="G81" i="17" s="1"/>
  <c r="M81" i="17" s="1"/>
  <c r="I81" i="17" a="1"/>
  <c r="I81" i="17" s="1"/>
  <c r="D85" i="17" a="1"/>
  <c r="D85" i="17" s="1"/>
  <c r="P85" i="17" s="1"/>
  <c r="G85" i="17" a="1"/>
  <c r="G85" i="17" s="1"/>
  <c r="I85" i="17" a="1"/>
  <c r="I85" i="17" s="1"/>
  <c r="L88" i="17" a="1"/>
  <c r="L88" i="17" s="1"/>
  <c r="J88" i="17" a="1"/>
  <c r="J88" i="17" s="1"/>
  <c r="H88" i="17" a="1"/>
  <c r="H88" i="17" s="1"/>
  <c r="C88" i="17" a="1"/>
  <c r="C88" i="17" s="1"/>
  <c r="K88" i="17" a="1"/>
  <c r="K88" i="17" s="1"/>
  <c r="H89" i="17" a="1"/>
  <c r="H89" i="17" s="1"/>
  <c r="L96" i="17" a="1"/>
  <c r="L96" i="17" s="1"/>
  <c r="J96" i="17" a="1"/>
  <c r="J96" i="17" s="1"/>
  <c r="H96" i="17" a="1"/>
  <c r="H96" i="17" s="1"/>
  <c r="C96" i="17" a="1"/>
  <c r="C96" i="17" s="1"/>
  <c r="K96" i="17" a="1"/>
  <c r="K96" i="17" s="1"/>
  <c r="H97" i="17" a="1"/>
  <c r="H97" i="17" s="1"/>
  <c r="P103" i="17"/>
  <c r="L104" i="17" a="1"/>
  <c r="L104" i="17" s="1"/>
  <c r="J104" i="17" a="1"/>
  <c r="J104" i="17" s="1"/>
  <c r="H104" i="17" a="1"/>
  <c r="H104" i="17" s="1"/>
  <c r="C104" i="17" a="1"/>
  <c r="C104" i="17" s="1"/>
  <c r="K104" i="17" a="1"/>
  <c r="K104" i="17" s="1"/>
  <c r="R104" i="17" s="1"/>
  <c r="H105" i="17" a="1"/>
  <c r="H105" i="17" s="1"/>
  <c r="G107" i="17" a="1"/>
  <c r="G107" i="17" s="1"/>
  <c r="M107" i="17" s="1"/>
  <c r="J107" i="17" a="1"/>
  <c r="J107" i="17" s="1"/>
  <c r="G108" i="17" a="1"/>
  <c r="G108" i="17" s="1"/>
  <c r="M108" i="17" s="1"/>
  <c r="C109" i="17" a="1"/>
  <c r="C109" i="17" s="1"/>
  <c r="G109" i="17" a="1"/>
  <c r="G109" i="17" s="1"/>
  <c r="L109" i="17" a="1"/>
  <c r="L109" i="17" s="1"/>
  <c r="K111" i="17" a="1"/>
  <c r="K111" i="17" s="1"/>
  <c r="S103" i="17"/>
  <c r="D107" i="17" a="1"/>
  <c r="D107" i="17" s="1"/>
  <c r="H107" i="17" a="1"/>
  <c r="H107" i="17" s="1"/>
  <c r="D109" i="17" a="1"/>
  <c r="D109" i="17" s="1"/>
  <c r="J109" i="17" a="1"/>
  <c r="J109" i="17" s="1"/>
  <c r="R109" i="17" s="1"/>
  <c r="C111" i="17" a="1"/>
  <c r="C111" i="17" s="1"/>
  <c r="I111" i="17" a="1"/>
  <c r="I111" i="17" s="1"/>
  <c r="S111" i="17"/>
  <c r="M105" i="17"/>
  <c r="L108" i="17" a="1"/>
  <c r="L108" i="17" s="1"/>
  <c r="J108" i="17" a="1"/>
  <c r="J108" i="17" s="1"/>
  <c r="H108" i="17" a="1"/>
  <c r="H108" i="17" s="1"/>
  <c r="C108" i="17" a="1"/>
  <c r="C108" i="17" s="1"/>
  <c r="K108" i="17" a="1"/>
  <c r="K108" i="17" s="1"/>
  <c r="H109" i="17" a="1"/>
  <c r="H109" i="17" s="1"/>
  <c r="G111" i="17" a="1"/>
  <c r="G111" i="17" s="1"/>
  <c r="M111" i="17" s="1"/>
  <c r="J111" i="17" a="1"/>
  <c r="J111" i="17" s="1"/>
  <c r="S107" i="17"/>
  <c r="D90" i="17" a="1"/>
  <c r="D90" i="17" s="1"/>
  <c r="G90" i="17" a="1"/>
  <c r="G90" i="17" s="1"/>
  <c r="I90" i="17" a="1"/>
  <c r="I90" i="17" s="1"/>
  <c r="D94" i="17" a="1"/>
  <c r="D94" i="17" s="1"/>
  <c r="G94" i="17" a="1"/>
  <c r="G94" i="17" s="1"/>
  <c r="M94" i="17" s="1"/>
  <c r="I94" i="17" a="1"/>
  <c r="I94" i="17" s="1"/>
  <c r="D98" i="17" a="1"/>
  <c r="D98" i="17" s="1"/>
  <c r="G98" i="17" a="1"/>
  <c r="G98" i="17" s="1"/>
  <c r="M98" i="17" s="1"/>
  <c r="I98" i="17" a="1"/>
  <c r="I98" i="17" s="1"/>
  <c r="D102" i="17" a="1"/>
  <c r="D102" i="17" s="1"/>
  <c r="G102" i="17" a="1"/>
  <c r="G102" i="17" s="1"/>
  <c r="M102" i="17" s="1"/>
  <c r="I102" i="17" a="1"/>
  <c r="I102" i="17" s="1"/>
  <c r="Q102" i="17" s="1"/>
  <c r="D106" i="17" a="1"/>
  <c r="D106" i="17" s="1"/>
  <c r="G106" i="17" a="1"/>
  <c r="G106" i="17" s="1"/>
  <c r="I106" i="17" a="1"/>
  <c r="I106" i="17" s="1"/>
  <c r="D110" i="17" a="1"/>
  <c r="D110" i="17" s="1"/>
  <c r="P110" i="17" s="1"/>
  <c r="G110" i="17" a="1"/>
  <c r="G110" i="17" s="1"/>
  <c r="M110" i="17" s="1"/>
  <c r="I110" i="17" a="1"/>
  <c r="I110" i="17" s="1"/>
  <c r="Q110" i="17" s="1"/>
  <c r="E35" i="18"/>
  <c r="E39" i="18"/>
  <c r="E43" i="18"/>
  <c r="E47" i="18"/>
  <c r="E51" i="18"/>
  <c r="E55" i="18"/>
  <c r="E59" i="18"/>
  <c r="E63" i="18"/>
  <c r="E67" i="18"/>
  <c r="E71" i="18"/>
  <c r="E75" i="18"/>
  <c r="E79" i="18"/>
  <c r="E83" i="18"/>
  <c r="E87" i="18"/>
  <c r="E91" i="18"/>
  <c r="E95" i="18"/>
  <c r="E99" i="18"/>
  <c r="E103" i="18"/>
  <c r="E107" i="18"/>
  <c r="E111" i="18"/>
  <c r="I113" i="18"/>
  <c r="G229" i="19"/>
  <c r="E113" i="21"/>
  <c r="E3" i="18"/>
  <c r="E38" i="18"/>
  <c r="E42" i="18"/>
  <c r="E46" i="18"/>
  <c r="E50" i="18"/>
  <c r="E54" i="18"/>
  <c r="E58" i="18"/>
  <c r="E62" i="18"/>
  <c r="E66" i="18"/>
  <c r="E70" i="18"/>
  <c r="E74" i="18"/>
  <c r="E78" i="18"/>
  <c r="E82" i="18"/>
  <c r="E86" i="18"/>
  <c r="E90" i="18"/>
  <c r="E94" i="18"/>
  <c r="E98" i="18"/>
  <c r="E102" i="18"/>
  <c r="E106" i="18"/>
  <c r="E110" i="18"/>
  <c r="F113" i="21"/>
  <c r="E37" i="18"/>
  <c r="E41" i="18"/>
  <c r="E45" i="18"/>
  <c r="E49" i="18"/>
  <c r="E53" i="18"/>
  <c r="E57" i="18"/>
  <c r="E61" i="18"/>
  <c r="E65" i="18"/>
  <c r="E69" i="18"/>
  <c r="E73" i="18"/>
  <c r="E77" i="18"/>
  <c r="E81" i="18"/>
  <c r="E85" i="18"/>
  <c r="E89" i="18"/>
  <c r="E93" i="18"/>
  <c r="E97" i="18"/>
  <c r="E101" i="18"/>
  <c r="E105" i="18"/>
  <c r="E109" i="18"/>
  <c r="J113" i="18"/>
  <c r="H113" i="21"/>
  <c r="L113" i="21"/>
  <c r="H229" i="19"/>
  <c r="K113" i="19"/>
  <c r="T92" i="17" l="1"/>
  <c r="S92" i="17"/>
  <c r="T100" i="17"/>
  <c r="S100" i="17"/>
  <c r="M83" i="17"/>
  <c r="O83" i="17"/>
  <c r="E78" i="17"/>
  <c r="E70" i="17"/>
  <c r="E54" i="17"/>
  <c r="P54" i="17"/>
  <c r="E48" i="17"/>
  <c r="T75" i="17"/>
  <c r="Q49" i="17"/>
  <c r="P49" i="17"/>
  <c r="E33" i="17"/>
  <c r="N25" i="17"/>
  <c r="O25" i="17"/>
  <c r="E17" i="17"/>
  <c r="E74" i="17"/>
  <c r="O71" i="17"/>
  <c r="N71" i="17"/>
  <c r="T71" i="17"/>
  <c r="S71" i="17"/>
  <c r="N68" i="17"/>
  <c r="O68" i="17"/>
  <c r="T68" i="17"/>
  <c r="S68" i="17"/>
  <c r="E47" i="17"/>
  <c r="N43" i="17"/>
  <c r="O43" i="17"/>
  <c r="T43" i="17"/>
  <c r="S43" i="17"/>
  <c r="N9" i="17"/>
  <c r="O9" i="17"/>
  <c r="P76" i="17"/>
  <c r="O55" i="17"/>
  <c r="N55" i="17"/>
  <c r="T55" i="17"/>
  <c r="S55" i="17"/>
  <c r="E42" i="17"/>
  <c r="O38" i="17"/>
  <c r="N38" i="17"/>
  <c r="S30" i="17"/>
  <c r="T30" i="17"/>
  <c r="O23" i="17"/>
  <c r="N23" i="17"/>
  <c r="O16" i="17"/>
  <c r="N16" i="17"/>
  <c r="O6" i="17"/>
  <c r="N6" i="17"/>
  <c r="S82" i="17"/>
  <c r="T82" i="17"/>
  <c r="P65" i="17"/>
  <c r="N64" i="17"/>
  <c r="O64" i="17"/>
  <c r="T64" i="17"/>
  <c r="S64" i="17"/>
  <c r="R56" i="17"/>
  <c r="P31" i="17"/>
  <c r="Q31" i="17"/>
  <c r="T23" i="17"/>
  <c r="S23" i="17"/>
  <c r="E18" i="17"/>
  <c r="T40" i="17"/>
  <c r="P33" i="17"/>
  <c r="M67" i="17"/>
  <c r="N42" i="17"/>
  <c r="E36" i="17"/>
  <c r="E24" i="17"/>
  <c r="T8" i="17"/>
  <c r="S8" i="17"/>
  <c r="E3" i="17"/>
  <c r="D112" i="17"/>
  <c r="E59" i="17"/>
  <c r="P59" i="17"/>
  <c r="Q59" i="17"/>
  <c r="S33" i="17"/>
  <c r="E15" i="17"/>
  <c r="P7" i="17"/>
  <c r="Q7" i="17"/>
  <c r="P109" i="15"/>
  <c r="E109" i="15"/>
  <c r="N101" i="15"/>
  <c r="O101" i="15"/>
  <c r="M97" i="15"/>
  <c r="E93" i="15"/>
  <c r="N85" i="15"/>
  <c r="O85" i="15"/>
  <c r="M81" i="15"/>
  <c r="E77" i="15"/>
  <c r="O8" i="17"/>
  <c r="O110" i="15"/>
  <c r="N110" i="15"/>
  <c r="Q6" i="17"/>
  <c r="P103" i="15"/>
  <c r="Q103" i="15"/>
  <c r="R51" i="17"/>
  <c r="Q9" i="17"/>
  <c r="O106" i="15"/>
  <c r="N106" i="15"/>
  <c r="O83" i="15"/>
  <c r="N83" i="15"/>
  <c r="O74" i="15"/>
  <c r="N74" i="15"/>
  <c r="E72" i="15"/>
  <c r="N64" i="15"/>
  <c r="O64" i="15"/>
  <c r="M60" i="15"/>
  <c r="E56" i="15"/>
  <c r="N48" i="15"/>
  <c r="O48" i="15"/>
  <c r="M44" i="15"/>
  <c r="E40" i="15"/>
  <c r="N32" i="15"/>
  <c r="O32" i="15"/>
  <c r="M28" i="15"/>
  <c r="E24" i="15"/>
  <c r="N16" i="15"/>
  <c r="O16" i="15"/>
  <c r="M12" i="15"/>
  <c r="E8" i="15"/>
  <c r="T99" i="15"/>
  <c r="S99" i="15"/>
  <c r="P91" i="15"/>
  <c r="Q91" i="15"/>
  <c r="P83" i="15"/>
  <c r="Q83" i="15"/>
  <c r="P75" i="15"/>
  <c r="Q75" i="15"/>
  <c r="M69" i="15"/>
  <c r="E65" i="15"/>
  <c r="O57" i="15"/>
  <c r="N57" i="15"/>
  <c r="T108" i="15"/>
  <c r="Q96" i="15"/>
  <c r="P96" i="15"/>
  <c r="E94" i="15"/>
  <c r="M79" i="15"/>
  <c r="P79" i="15"/>
  <c r="Q79" i="15"/>
  <c r="Q67" i="15"/>
  <c r="P67" i="15"/>
  <c r="Q59" i="15"/>
  <c r="P59" i="15"/>
  <c r="D112" i="15"/>
  <c r="F93" i="15" s="1"/>
  <c r="E107" i="15"/>
  <c r="S94" i="15"/>
  <c r="E88" i="15"/>
  <c r="Q86" i="15"/>
  <c r="P86" i="15"/>
  <c r="O78" i="15"/>
  <c r="N78" i="15"/>
  <c r="P70" i="15"/>
  <c r="Q70" i="15"/>
  <c r="E63" i="15"/>
  <c r="P58" i="15"/>
  <c r="Q58" i="15"/>
  <c r="P46" i="15"/>
  <c r="Q46" i="15"/>
  <c r="E41" i="15"/>
  <c r="P30" i="15"/>
  <c r="Q30" i="15"/>
  <c r="E25" i="15"/>
  <c r="T22" i="15"/>
  <c r="S22" i="15"/>
  <c r="E17" i="15"/>
  <c r="T14" i="15"/>
  <c r="S14" i="15"/>
  <c r="E9" i="15"/>
  <c r="R5" i="15"/>
  <c r="G112" i="15"/>
  <c r="E99" i="15"/>
  <c r="M95" i="15"/>
  <c r="P95" i="15"/>
  <c r="Q95" i="15"/>
  <c r="Q80" i="15"/>
  <c r="P80" i="15"/>
  <c r="E78" i="15"/>
  <c r="F71" i="15"/>
  <c r="E71" i="15"/>
  <c r="E45" i="15"/>
  <c r="F39" i="15"/>
  <c r="E39" i="15"/>
  <c r="E29" i="15"/>
  <c r="E91" i="15"/>
  <c r="Q53" i="15"/>
  <c r="P53" i="15"/>
  <c r="P50" i="15"/>
  <c r="Q50" i="15"/>
  <c r="M45" i="15"/>
  <c r="T42" i="15"/>
  <c r="S42" i="15"/>
  <c r="P24" i="15"/>
  <c r="Q21" i="15"/>
  <c r="P21" i="15"/>
  <c r="P18" i="15"/>
  <c r="Q18" i="15"/>
  <c r="P10" i="15"/>
  <c r="Q10" i="15"/>
  <c r="N94" i="15"/>
  <c r="Q85" i="15"/>
  <c r="E27" i="15"/>
  <c r="E75" i="15"/>
  <c r="P56" i="15"/>
  <c r="N39" i="15"/>
  <c r="T13" i="15"/>
  <c r="E74" i="15"/>
  <c r="E38" i="15"/>
  <c r="E26" i="15"/>
  <c r="P8" i="15"/>
  <c r="Q64" i="15"/>
  <c r="T37" i="15"/>
  <c r="Q32" i="15"/>
  <c r="T21" i="15"/>
  <c r="E18" i="15"/>
  <c r="E11" i="15"/>
  <c r="T108" i="17"/>
  <c r="S108" i="17"/>
  <c r="M109" i="17"/>
  <c r="T101" i="17"/>
  <c r="S101" i="17"/>
  <c r="O109" i="17"/>
  <c r="E92" i="17"/>
  <c r="E80" i="17"/>
  <c r="O74" i="17"/>
  <c r="N74" i="17"/>
  <c r="E49" i="17"/>
  <c r="F49" i="17"/>
  <c r="N29" i="17"/>
  <c r="O29" i="17"/>
  <c r="N13" i="17"/>
  <c r="O13" i="17"/>
  <c r="E5" i="17"/>
  <c r="P5" i="17"/>
  <c r="F5" i="17"/>
  <c r="S52" i="17"/>
  <c r="T52" i="17"/>
  <c r="O40" i="17"/>
  <c r="N40" i="17"/>
  <c r="S22" i="17"/>
  <c r="T22" i="17"/>
  <c r="O15" i="17"/>
  <c r="N15" i="17"/>
  <c r="P67" i="17"/>
  <c r="Q67" i="17"/>
  <c r="P70" i="17"/>
  <c r="N105" i="15"/>
  <c r="O105" i="15"/>
  <c r="T103" i="15"/>
  <c r="S103" i="15"/>
  <c r="P28" i="15"/>
  <c r="E28" i="15"/>
  <c r="T75" i="15"/>
  <c r="S75" i="15"/>
  <c r="O61" i="15"/>
  <c r="N61" i="15"/>
  <c r="Q61" i="15"/>
  <c r="Q88" i="15"/>
  <c r="P88" i="15"/>
  <c r="T95" i="15"/>
  <c r="S95" i="15"/>
  <c r="T50" i="15"/>
  <c r="S50" i="15"/>
  <c r="Q29" i="15"/>
  <c r="P29" i="15"/>
  <c r="T23" i="15"/>
  <c r="S23" i="15"/>
  <c r="O70" i="15"/>
  <c r="E19" i="15"/>
  <c r="F106" i="17"/>
  <c r="E106" i="17"/>
  <c r="F90" i="17"/>
  <c r="E90" i="17"/>
  <c r="P90" i="17"/>
  <c r="P108" i="17"/>
  <c r="Q108" i="17"/>
  <c r="T109" i="17"/>
  <c r="S109" i="17"/>
  <c r="F85" i="17"/>
  <c r="E85" i="17"/>
  <c r="S85" i="17"/>
  <c r="E99" i="17"/>
  <c r="F99" i="17"/>
  <c r="P99" i="17"/>
  <c r="Q99" i="17"/>
  <c r="R99" i="17"/>
  <c r="T83" i="17"/>
  <c r="S83" i="17"/>
  <c r="F61" i="17"/>
  <c r="E61" i="17"/>
  <c r="O75" i="17"/>
  <c r="N75" i="17"/>
  <c r="O62" i="17"/>
  <c r="N62" i="17"/>
  <c r="N41" i="17"/>
  <c r="O41" i="17"/>
  <c r="N102" i="17"/>
  <c r="O102" i="17"/>
  <c r="F94" i="17"/>
  <c r="E94" i="17"/>
  <c r="S94" i="17"/>
  <c r="F109" i="17"/>
  <c r="E109" i="17"/>
  <c r="N81" i="17"/>
  <c r="O81" i="17"/>
  <c r="E108" i="17"/>
  <c r="N86" i="17"/>
  <c r="O86" i="17"/>
  <c r="T93" i="17"/>
  <c r="S93" i="17"/>
  <c r="E100" i="17"/>
  <c r="F65" i="17"/>
  <c r="E65" i="17"/>
  <c r="E58" i="17"/>
  <c r="F58" i="17"/>
  <c r="E75" i="17"/>
  <c r="S70" i="17"/>
  <c r="S54" i="17"/>
  <c r="E84" i="17"/>
  <c r="O45" i="17"/>
  <c r="N45" i="17"/>
  <c r="P21" i="17"/>
  <c r="F21" i="17"/>
  <c r="E21" i="17"/>
  <c r="F60" i="17"/>
  <c r="E60" i="17"/>
  <c r="Q50" i="17"/>
  <c r="P50" i="17"/>
  <c r="T49" i="17"/>
  <c r="O30" i="17"/>
  <c r="N30" i="17"/>
  <c r="F56" i="17"/>
  <c r="E56" i="17"/>
  <c r="Q47" i="17"/>
  <c r="P47" i="17"/>
  <c r="P58" i="17"/>
  <c r="E28" i="17"/>
  <c r="F67" i="17"/>
  <c r="E67" i="17"/>
  <c r="R50" i="17"/>
  <c r="O59" i="17"/>
  <c r="N59" i="17"/>
  <c r="E30" i="17"/>
  <c r="P17" i="17"/>
  <c r="F97" i="15"/>
  <c r="E97" i="15"/>
  <c r="S97" i="15"/>
  <c r="F81" i="15"/>
  <c r="S81" i="15"/>
  <c r="E81" i="15"/>
  <c r="Q25" i="17"/>
  <c r="E23" i="17"/>
  <c r="P111" i="15"/>
  <c r="Q111" i="15"/>
  <c r="E102" i="15"/>
  <c r="F102" i="15"/>
  <c r="O91" i="15"/>
  <c r="N91" i="15"/>
  <c r="N68" i="15"/>
  <c r="O68" i="15"/>
  <c r="N52" i="15"/>
  <c r="O52" i="15"/>
  <c r="N36" i="15"/>
  <c r="O36" i="15"/>
  <c r="N4" i="15"/>
  <c r="O4" i="15"/>
  <c r="Q110" i="15"/>
  <c r="P110" i="15"/>
  <c r="T83" i="15"/>
  <c r="S83" i="15"/>
  <c r="E69" i="15"/>
  <c r="F69" i="15"/>
  <c r="F79" i="15"/>
  <c r="E79" i="15"/>
  <c r="Q55" i="15"/>
  <c r="P55" i="15"/>
  <c r="E86" i="15"/>
  <c r="T70" i="15"/>
  <c r="S70" i="15"/>
  <c r="P62" i="15"/>
  <c r="Q62" i="15"/>
  <c r="T58" i="15"/>
  <c r="S58" i="15"/>
  <c r="T30" i="15"/>
  <c r="S30" i="15"/>
  <c r="E95" i="15"/>
  <c r="E90" i="15"/>
  <c r="E67" i="15"/>
  <c r="P87" i="15"/>
  <c r="Q87" i="15"/>
  <c r="E82" i="15"/>
  <c r="P26" i="15"/>
  <c r="Q26" i="15"/>
  <c r="T18" i="15"/>
  <c r="S18" i="15"/>
  <c r="Q5" i="15"/>
  <c r="P5" i="15"/>
  <c r="Q52" i="15"/>
  <c r="N106" i="17"/>
  <c r="O106" i="17"/>
  <c r="E98" i="17"/>
  <c r="F98" i="17"/>
  <c r="P98" i="17"/>
  <c r="N90" i="17"/>
  <c r="Q90" i="17"/>
  <c r="O90" i="17"/>
  <c r="P111" i="17"/>
  <c r="Q111" i="17"/>
  <c r="P106" i="17"/>
  <c r="R111" i="17"/>
  <c r="P96" i="17"/>
  <c r="Q96" i="17"/>
  <c r="N85" i="17"/>
  <c r="O85" i="17"/>
  <c r="O108" i="17"/>
  <c r="Q101" i="17"/>
  <c r="P101" i="17"/>
  <c r="N100" i="17"/>
  <c r="O100" i="17"/>
  <c r="E97" i="17"/>
  <c r="E104" i="17"/>
  <c r="P86" i="17"/>
  <c r="Q86" i="17"/>
  <c r="R86" i="17"/>
  <c r="O107" i="17"/>
  <c r="E103" i="17"/>
  <c r="Q93" i="17"/>
  <c r="P93" i="17"/>
  <c r="S91" i="17"/>
  <c r="T91" i="17"/>
  <c r="Q91" i="17"/>
  <c r="P91" i="17"/>
  <c r="E96" i="17"/>
  <c r="E95" i="17"/>
  <c r="O92" i="17"/>
  <c r="F69" i="17"/>
  <c r="E69" i="17"/>
  <c r="N61" i="17"/>
  <c r="O61" i="17"/>
  <c r="F53" i="17"/>
  <c r="E53" i="17"/>
  <c r="T84" i="17"/>
  <c r="S84" i="17"/>
  <c r="P79" i="17"/>
  <c r="Q79" i="17"/>
  <c r="O70" i="17"/>
  <c r="N70" i="17"/>
  <c r="E62" i="17"/>
  <c r="F62" i="17"/>
  <c r="P62" i="17"/>
  <c r="O54" i="17"/>
  <c r="N54" i="17"/>
  <c r="R74" i="17"/>
  <c r="T74" i="17"/>
  <c r="S74" i="17"/>
  <c r="P69" i="17"/>
  <c r="S58" i="17"/>
  <c r="N48" i="17"/>
  <c r="O48" i="17"/>
  <c r="E79" i="17"/>
  <c r="M49" i="17"/>
  <c r="F41" i="17"/>
  <c r="E41" i="17"/>
  <c r="N33" i="17"/>
  <c r="O33" i="17"/>
  <c r="Q33" i="17"/>
  <c r="F25" i="17"/>
  <c r="E25" i="17"/>
  <c r="N17" i="17"/>
  <c r="O17" i="17"/>
  <c r="Q17" i="17"/>
  <c r="P61" i="17"/>
  <c r="N60" i="17"/>
  <c r="O60" i="17"/>
  <c r="T60" i="17"/>
  <c r="S60" i="17"/>
  <c r="N52" i="17"/>
  <c r="O52" i="17"/>
  <c r="P35" i="17"/>
  <c r="Q35" i="17"/>
  <c r="P27" i="17"/>
  <c r="Q27" i="17"/>
  <c r="P19" i="17"/>
  <c r="Q19" i="17"/>
  <c r="R11" i="17"/>
  <c r="E9" i="17"/>
  <c r="F9" i="17"/>
  <c r="F72" i="17"/>
  <c r="E72" i="17"/>
  <c r="Q72" i="17"/>
  <c r="P72" i="17"/>
  <c r="F63" i="17"/>
  <c r="E63" i="17"/>
  <c r="P63" i="17"/>
  <c r="Q63" i="17"/>
  <c r="F52" i="17"/>
  <c r="E52" i="17"/>
  <c r="E50" i="17"/>
  <c r="F50" i="17"/>
  <c r="Q48" i="17"/>
  <c r="O39" i="17"/>
  <c r="N39" i="17"/>
  <c r="O32" i="17"/>
  <c r="N32" i="17"/>
  <c r="O22" i="17"/>
  <c r="N22" i="17"/>
  <c r="S14" i="17"/>
  <c r="T14" i="17"/>
  <c r="E6" i="17"/>
  <c r="F6" i="17"/>
  <c r="E82" i="17"/>
  <c r="F82" i="17"/>
  <c r="Q75" i="17"/>
  <c r="N56" i="17"/>
  <c r="O56" i="17"/>
  <c r="T56" i="17"/>
  <c r="S56" i="17"/>
  <c r="M47" i="17"/>
  <c r="T47" i="17"/>
  <c r="S47" i="17"/>
  <c r="R39" i="17"/>
  <c r="T39" i="17"/>
  <c r="S39" i="17"/>
  <c r="E34" i="17"/>
  <c r="P15" i="17"/>
  <c r="Q15" i="17"/>
  <c r="T11" i="17"/>
  <c r="S11" i="17"/>
  <c r="Q38" i="17"/>
  <c r="Q32" i="17"/>
  <c r="E16" i="17"/>
  <c r="Q13" i="17"/>
  <c r="O11" i="17"/>
  <c r="O67" i="17"/>
  <c r="N67" i="17"/>
  <c r="T67" i="17"/>
  <c r="S67" i="17"/>
  <c r="F46" i="17"/>
  <c r="E46" i="17"/>
  <c r="P46" i="17"/>
  <c r="Q46" i="17"/>
  <c r="E43" i="17"/>
  <c r="P41" i="17"/>
  <c r="E7" i="17"/>
  <c r="T4" i="17"/>
  <c r="S4" i="17"/>
  <c r="E93" i="17"/>
  <c r="M63" i="17"/>
  <c r="S53" i="17"/>
  <c r="E32" i="17"/>
  <c r="Q29" i="17"/>
  <c r="E12" i="17"/>
  <c r="P3" i="17"/>
  <c r="Q3" i="17"/>
  <c r="N109" i="15"/>
  <c r="O109" i="15"/>
  <c r="P101" i="15"/>
  <c r="F101" i="15"/>
  <c r="E101" i="15"/>
  <c r="N93" i="15"/>
  <c r="O93" i="15"/>
  <c r="E85" i="15"/>
  <c r="F85" i="15"/>
  <c r="N77" i="15"/>
  <c r="O77" i="15"/>
  <c r="Q77" i="15"/>
  <c r="S61" i="17"/>
  <c r="M42" i="17"/>
  <c r="P25" i="17"/>
  <c r="O103" i="15"/>
  <c r="N103" i="15"/>
  <c r="Q41" i="17"/>
  <c r="E8" i="17"/>
  <c r="R111" i="15"/>
  <c r="T111" i="15"/>
  <c r="S111" i="15"/>
  <c r="E106" i="15"/>
  <c r="F51" i="17"/>
  <c r="E51" i="17"/>
  <c r="T51" i="17"/>
  <c r="S51" i="17"/>
  <c r="E110" i="15"/>
  <c r="F110" i="15"/>
  <c r="Q104" i="15"/>
  <c r="P104" i="15"/>
  <c r="N99" i="15"/>
  <c r="O99" i="15"/>
  <c r="O90" i="15"/>
  <c r="N90" i="15"/>
  <c r="N72" i="15"/>
  <c r="O72" i="15"/>
  <c r="F64" i="15"/>
  <c r="E64" i="15"/>
  <c r="N56" i="15"/>
  <c r="O56" i="15"/>
  <c r="E48" i="15"/>
  <c r="F48" i="15"/>
  <c r="N40" i="15"/>
  <c r="O40" i="15"/>
  <c r="E32" i="15"/>
  <c r="F32" i="15"/>
  <c r="N24" i="15"/>
  <c r="O24" i="15"/>
  <c r="E16" i="15"/>
  <c r="F16" i="15"/>
  <c r="N8" i="15"/>
  <c r="O8" i="15"/>
  <c r="M110" i="15"/>
  <c r="E108" i="15"/>
  <c r="P107" i="15"/>
  <c r="Q107" i="15"/>
  <c r="T104" i="15"/>
  <c r="S104" i="15"/>
  <c r="Q102" i="15"/>
  <c r="P102" i="15"/>
  <c r="T82" i="15"/>
  <c r="R82" i="15"/>
  <c r="R74" i="15"/>
  <c r="T74" i="15"/>
  <c r="O65" i="15"/>
  <c r="N65" i="15"/>
  <c r="Q65" i="15"/>
  <c r="E57" i="15"/>
  <c r="F57" i="15"/>
  <c r="O96" i="15"/>
  <c r="S96" i="15"/>
  <c r="T96" i="15"/>
  <c r="M94" i="15"/>
  <c r="N88" i="15"/>
  <c r="O88" i="15"/>
  <c r="E84" i="15"/>
  <c r="Q71" i="15"/>
  <c r="P71" i="15"/>
  <c r="Q63" i="15"/>
  <c r="P63" i="15"/>
  <c r="O58" i="15"/>
  <c r="T55" i="15"/>
  <c r="S55" i="15"/>
  <c r="O46" i="15"/>
  <c r="N46" i="15"/>
  <c r="O38" i="15"/>
  <c r="N38" i="15"/>
  <c r="O30" i="15"/>
  <c r="N30" i="15"/>
  <c r="O22" i="15"/>
  <c r="N22" i="15"/>
  <c r="O14" i="15"/>
  <c r="N14" i="15"/>
  <c r="O5" i="15"/>
  <c r="N5" i="15"/>
  <c r="E111" i="15"/>
  <c r="T98" i="15"/>
  <c r="N95" i="15"/>
  <c r="O95" i="15"/>
  <c r="M88" i="15"/>
  <c r="R87" i="15"/>
  <c r="P66" i="15"/>
  <c r="Q66" i="15"/>
  <c r="T62" i="15"/>
  <c r="S62" i="15"/>
  <c r="E55" i="15"/>
  <c r="P54" i="15"/>
  <c r="Q54" i="15"/>
  <c r="E49" i="15"/>
  <c r="P38" i="15"/>
  <c r="Q38" i="15"/>
  <c r="E33" i="15"/>
  <c r="R29" i="15"/>
  <c r="P6" i="15"/>
  <c r="Q6" i="15"/>
  <c r="J112" i="15"/>
  <c r="S110" i="15"/>
  <c r="E103" i="15"/>
  <c r="N87" i="15"/>
  <c r="O87" i="15"/>
  <c r="S80" i="15"/>
  <c r="T80" i="15"/>
  <c r="M78" i="15"/>
  <c r="S77" i="15"/>
  <c r="P72" i="15"/>
  <c r="S69" i="15"/>
  <c r="E53" i="15"/>
  <c r="F53" i="15"/>
  <c r="F47" i="15"/>
  <c r="E47" i="15"/>
  <c r="E37" i="15"/>
  <c r="F37" i="15"/>
  <c r="F31" i="15"/>
  <c r="E31" i="15"/>
  <c r="Q105" i="15"/>
  <c r="E92" i="15"/>
  <c r="F87" i="15"/>
  <c r="E87" i="15"/>
  <c r="T87" i="15"/>
  <c r="S87" i="15"/>
  <c r="T78" i="15"/>
  <c r="Q68" i="15"/>
  <c r="T39" i="15"/>
  <c r="S39" i="15"/>
  <c r="Q37" i="15"/>
  <c r="P37" i="15"/>
  <c r="P34" i="15"/>
  <c r="Q34" i="15"/>
  <c r="M31" i="15"/>
  <c r="M29" i="15"/>
  <c r="R26" i="15"/>
  <c r="T26" i="15"/>
  <c r="S26" i="15"/>
  <c r="P16" i="15"/>
  <c r="Q13" i="15"/>
  <c r="P13" i="15"/>
  <c r="T7" i="15"/>
  <c r="S7" i="15"/>
  <c r="N79" i="15"/>
  <c r="E70" i="15"/>
  <c r="S48" i="15"/>
  <c r="O31" i="15"/>
  <c r="Q4" i="15"/>
  <c r="N67" i="15"/>
  <c r="O55" i="15"/>
  <c r="E50" i="15"/>
  <c r="P48" i="15"/>
  <c r="E35" i="15"/>
  <c r="E14" i="15"/>
  <c r="K112" i="15"/>
  <c r="R112" i="15" s="1"/>
  <c r="S64" i="15"/>
  <c r="O47" i="15"/>
  <c r="S29" i="15"/>
  <c r="E3" i="15"/>
  <c r="P69" i="15"/>
  <c r="E62" i="15"/>
  <c r="O59" i="15"/>
  <c r="E51" i="15"/>
  <c r="S40" i="15"/>
  <c r="Q36" i="15"/>
  <c r="N98" i="17"/>
  <c r="O98" i="17"/>
  <c r="Q109" i="17"/>
  <c r="P109" i="17"/>
  <c r="Q107" i="17"/>
  <c r="P107" i="17"/>
  <c r="T104" i="17"/>
  <c r="S104" i="17"/>
  <c r="P88" i="17"/>
  <c r="Q88" i="17"/>
  <c r="E111" i="17"/>
  <c r="O91" i="17"/>
  <c r="N91" i="17"/>
  <c r="O101" i="17"/>
  <c r="E87" i="17"/>
  <c r="S78" i="17"/>
  <c r="T78" i="17"/>
  <c r="N69" i="17"/>
  <c r="O69" i="17"/>
  <c r="N53" i="17"/>
  <c r="O53" i="17"/>
  <c r="E110" i="17"/>
  <c r="F110" i="17"/>
  <c r="R108" i="17"/>
  <c r="O111" i="17"/>
  <c r="N111" i="17"/>
  <c r="R88" i="17"/>
  <c r="T88" i="17"/>
  <c r="S88" i="17"/>
  <c r="F76" i="17"/>
  <c r="E76" i="17"/>
  <c r="Q98" i="17"/>
  <c r="N73" i="17"/>
  <c r="O73" i="17"/>
  <c r="N57" i="17"/>
  <c r="O57" i="17"/>
  <c r="O66" i="17"/>
  <c r="N66" i="17"/>
  <c r="P74" i="17"/>
  <c r="Q74" i="17"/>
  <c r="N44" i="17"/>
  <c r="O44" i="17"/>
  <c r="P37" i="17"/>
  <c r="F37" i="17"/>
  <c r="E37" i="17"/>
  <c r="Q60" i="17"/>
  <c r="P60" i="17"/>
  <c r="P48" i="17"/>
  <c r="O10" i="17"/>
  <c r="N10" i="17"/>
  <c r="Q82" i="17"/>
  <c r="P82" i="17"/>
  <c r="Q56" i="17"/>
  <c r="P56" i="17"/>
  <c r="P39" i="17"/>
  <c r="Q39" i="17"/>
  <c r="T31" i="17"/>
  <c r="S31" i="17"/>
  <c r="E26" i="17"/>
  <c r="P11" i="17"/>
  <c r="Q11" i="17"/>
  <c r="Q45" i="17"/>
  <c r="E14" i="17"/>
  <c r="E39" i="17"/>
  <c r="Q4" i="17"/>
  <c r="P4" i="17"/>
  <c r="T59" i="17"/>
  <c r="S59" i="17"/>
  <c r="T7" i="17"/>
  <c r="S7" i="17"/>
  <c r="N89" i="15"/>
  <c r="O89" i="15"/>
  <c r="N73" i="15"/>
  <c r="O73" i="15"/>
  <c r="S42" i="17"/>
  <c r="P51" i="17"/>
  <c r="Q51" i="17"/>
  <c r="S5" i="17"/>
  <c r="O82" i="15"/>
  <c r="N82" i="15"/>
  <c r="F60" i="15"/>
  <c r="E60" i="15"/>
  <c r="P44" i="15"/>
  <c r="F44" i="15"/>
  <c r="E44" i="15"/>
  <c r="N20" i="15"/>
  <c r="O20" i="15"/>
  <c r="P12" i="15"/>
  <c r="F12" i="15"/>
  <c r="E12" i="15"/>
  <c r="T91" i="15"/>
  <c r="S91" i="15"/>
  <c r="E98" i="15"/>
  <c r="T79" i="15"/>
  <c r="S79" i="15"/>
  <c r="T67" i="15"/>
  <c r="S67" i="15"/>
  <c r="T59" i="15"/>
  <c r="S59" i="15"/>
  <c r="O6" i="15"/>
  <c r="N6" i="15"/>
  <c r="T46" i="15"/>
  <c r="S46" i="15"/>
  <c r="P97" i="15"/>
  <c r="Q47" i="15"/>
  <c r="P47" i="15"/>
  <c r="Q31" i="15"/>
  <c r="P31" i="15"/>
  <c r="T31" i="15"/>
  <c r="S31" i="15"/>
  <c r="T10" i="15"/>
  <c r="S10" i="15"/>
  <c r="E7" i="15"/>
  <c r="L112" i="15"/>
  <c r="E83" i="15"/>
  <c r="E66" i="15"/>
  <c r="N110" i="17"/>
  <c r="O110" i="17"/>
  <c r="M106" i="17"/>
  <c r="F102" i="17"/>
  <c r="E102" i="17"/>
  <c r="N94" i="17"/>
  <c r="O94" i="17"/>
  <c r="M90" i="17"/>
  <c r="N109" i="17"/>
  <c r="E107" i="17"/>
  <c r="F107" i="17"/>
  <c r="T111" i="17"/>
  <c r="E105" i="17"/>
  <c r="P104" i="17"/>
  <c r="Q104" i="17"/>
  <c r="R96" i="17"/>
  <c r="T96" i="17"/>
  <c r="S96" i="17"/>
  <c r="M85" i="17"/>
  <c r="F81" i="17"/>
  <c r="E81" i="17"/>
  <c r="Q106" i="17"/>
  <c r="S99" i="17"/>
  <c r="T99" i="17"/>
  <c r="R107" i="17"/>
  <c r="S106" i="17"/>
  <c r="M99" i="17"/>
  <c r="P92" i="17"/>
  <c r="Q92" i="17"/>
  <c r="F86" i="17"/>
  <c r="E86" i="17"/>
  <c r="R101" i="17"/>
  <c r="P100" i="17"/>
  <c r="Q100" i="17"/>
  <c r="O93" i="17"/>
  <c r="S90" i="17"/>
  <c r="E89" i="17"/>
  <c r="N76" i="17"/>
  <c r="O76" i="17"/>
  <c r="Q76" i="17"/>
  <c r="N99" i="17"/>
  <c r="E91" i="17"/>
  <c r="F91" i="17"/>
  <c r="Q94" i="17"/>
  <c r="F83" i="17"/>
  <c r="E83" i="17"/>
  <c r="P83" i="17"/>
  <c r="Q83" i="17"/>
  <c r="Q78" i="17"/>
  <c r="P78" i="17"/>
  <c r="F73" i="17"/>
  <c r="E73" i="17"/>
  <c r="N65" i="17"/>
  <c r="O65" i="17"/>
  <c r="M61" i="17"/>
  <c r="F57" i="17"/>
  <c r="E57" i="17"/>
  <c r="S57" i="17"/>
  <c r="N84" i="17"/>
  <c r="O84" i="17"/>
  <c r="Q81" i="17"/>
  <c r="O79" i="17"/>
  <c r="N79" i="17"/>
  <c r="T79" i="17"/>
  <c r="S79" i="17"/>
  <c r="M70" i="17"/>
  <c r="E66" i="17"/>
  <c r="F66" i="17"/>
  <c r="O58" i="17"/>
  <c r="N58" i="17"/>
  <c r="M54" i="17"/>
  <c r="E88" i="17"/>
  <c r="R83" i="17"/>
  <c r="E77" i="17"/>
  <c r="Q84" i="17"/>
  <c r="S62" i="17"/>
  <c r="M48" i="17"/>
  <c r="F44" i="17"/>
  <c r="E44" i="17"/>
  <c r="S44" i="17"/>
  <c r="Q69" i="17"/>
  <c r="N49" i="17"/>
  <c r="O49" i="17"/>
  <c r="E45" i="17"/>
  <c r="F45" i="17"/>
  <c r="N37" i="17"/>
  <c r="O37" i="17"/>
  <c r="M33" i="17"/>
  <c r="P29" i="17"/>
  <c r="F29" i="17"/>
  <c r="E29" i="17"/>
  <c r="N21" i="17"/>
  <c r="O21" i="17"/>
  <c r="M17" i="17"/>
  <c r="P13" i="17"/>
  <c r="F13" i="17"/>
  <c r="E13" i="17"/>
  <c r="F71" i="17"/>
  <c r="E71" i="17"/>
  <c r="M71" i="17"/>
  <c r="P71" i="17"/>
  <c r="Q71" i="17"/>
  <c r="F68" i="17"/>
  <c r="E68" i="17"/>
  <c r="Q68" i="17"/>
  <c r="P68" i="17"/>
  <c r="Q61" i="17"/>
  <c r="M56" i="17"/>
  <c r="O50" i="17"/>
  <c r="N50" i="17"/>
  <c r="N47" i="17"/>
  <c r="O47" i="17"/>
  <c r="Q43" i="17"/>
  <c r="P43" i="17"/>
  <c r="E35" i="17"/>
  <c r="T35" i="17"/>
  <c r="S35" i="17"/>
  <c r="E27" i="17"/>
  <c r="T27" i="17"/>
  <c r="S27" i="17"/>
  <c r="E19" i="17"/>
  <c r="T19" i="17"/>
  <c r="S19" i="17"/>
  <c r="N5" i="17"/>
  <c r="O5" i="17"/>
  <c r="N72" i="17"/>
  <c r="O72" i="17"/>
  <c r="T72" i="17"/>
  <c r="S72" i="17"/>
  <c r="O63" i="17"/>
  <c r="N63" i="17"/>
  <c r="T63" i="17"/>
  <c r="S63" i="17"/>
  <c r="F55" i="17"/>
  <c r="E55" i="17"/>
  <c r="P55" i="17"/>
  <c r="Q55" i="17"/>
  <c r="Q52" i="17"/>
  <c r="P52" i="17"/>
  <c r="S38" i="17"/>
  <c r="T38" i="17"/>
  <c r="O31" i="17"/>
  <c r="N31" i="17"/>
  <c r="O24" i="17"/>
  <c r="N24" i="17"/>
  <c r="O14" i="17"/>
  <c r="N14" i="17"/>
  <c r="E10" i="17"/>
  <c r="F10" i="17"/>
  <c r="O82" i="17"/>
  <c r="N82" i="17"/>
  <c r="R82" i="17"/>
  <c r="M68" i="17"/>
  <c r="F64" i="17"/>
  <c r="E64" i="17"/>
  <c r="Q64" i="17"/>
  <c r="P64" i="17"/>
  <c r="Q57" i="17"/>
  <c r="P45" i="17"/>
  <c r="P23" i="17"/>
  <c r="Q23" i="17"/>
  <c r="R15" i="17"/>
  <c r="T15" i="17"/>
  <c r="S15" i="17"/>
  <c r="F11" i="17"/>
  <c r="E11" i="17"/>
  <c r="R67" i="17"/>
  <c r="S48" i="17"/>
  <c r="P42" i="17"/>
  <c r="S37" i="17"/>
  <c r="E31" i="17"/>
  <c r="S17" i="17"/>
  <c r="S69" i="17"/>
  <c r="R59" i="17"/>
  <c r="O46" i="17"/>
  <c r="N46" i="17"/>
  <c r="T46" i="17"/>
  <c r="S46" i="17"/>
  <c r="E22" i="17"/>
  <c r="T16" i="17"/>
  <c r="Q8" i="17"/>
  <c r="P8" i="17"/>
  <c r="E101" i="17"/>
  <c r="M59" i="17"/>
  <c r="Q22" i="17"/>
  <c r="Q16" i="17"/>
  <c r="S10" i="17"/>
  <c r="T3" i="17"/>
  <c r="S3" i="17"/>
  <c r="M109" i="15"/>
  <c r="E105" i="15"/>
  <c r="S105" i="15"/>
  <c r="F105" i="15"/>
  <c r="N97" i="15"/>
  <c r="O97" i="15"/>
  <c r="M93" i="15"/>
  <c r="F89" i="15"/>
  <c r="S89" i="15"/>
  <c r="E89" i="15"/>
  <c r="N81" i="15"/>
  <c r="O81" i="15"/>
  <c r="M77" i="15"/>
  <c r="F73" i="15"/>
  <c r="E73" i="15"/>
  <c r="S73" i="15"/>
  <c r="E40" i="17"/>
  <c r="P9" i="17"/>
  <c r="O111" i="15"/>
  <c r="N111" i="15"/>
  <c r="O102" i="15"/>
  <c r="N102" i="15"/>
  <c r="Q37" i="17"/>
  <c r="E20" i="17"/>
  <c r="R110" i="15"/>
  <c r="R104" i="15"/>
  <c r="N51" i="17"/>
  <c r="O51" i="17"/>
  <c r="E4" i="17"/>
  <c r="N107" i="15"/>
  <c r="O107" i="15"/>
  <c r="F104" i="15"/>
  <c r="E104" i="15"/>
  <c r="O98" i="15"/>
  <c r="N98" i="15"/>
  <c r="O75" i="15"/>
  <c r="N75" i="15"/>
  <c r="M72" i="15"/>
  <c r="F68" i="15"/>
  <c r="E68" i="15"/>
  <c r="N60" i="15"/>
  <c r="O60" i="15"/>
  <c r="M56" i="15"/>
  <c r="P52" i="15"/>
  <c r="F52" i="15"/>
  <c r="E52" i="15"/>
  <c r="N44" i="15"/>
  <c r="O44" i="15"/>
  <c r="M40" i="15"/>
  <c r="P36" i="15"/>
  <c r="F36" i="15"/>
  <c r="E36" i="15"/>
  <c r="N28" i="15"/>
  <c r="O28" i="15"/>
  <c r="M24" i="15"/>
  <c r="P20" i="15"/>
  <c r="F20" i="15"/>
  <c r="E20" i="15"/>
  <c r="N12" i="15"/>
  <c r="O12" i="15"/>
  <c r="M8" i="15"/>
  <c r="P4" i="15"/>
  <c r="F4" i="15"/>
  <c r="E4" i="15"/>
  <c r="Q5" i="17"/>
  <c r="S109" i="15"/>
  <c r="R107" i="15"/>
  <c r="T107" i="15"/>
  <c r="S107" i="15"/>
  <c r="M104" i="15"/>
  <c r="M102" i="15"/>
  <c r="E100" i="15"/>
  <c r="P99" i="15"/>
  <c r="Q99" i="15"/>
  <c r="O69" i="15"/>
  <c r="N69" i="15"/>
  <c r="Q69" i="15"/>
  <c r="M65" i="15"/>
  <c r="E61" i="15"/>
  <c r="F61" i="15"/>
  <c r="T106" i="15"/>
  <c r="Q98" i="15"/>
  <c r="F96" i="15"/>
  <c r="E96" i="15"/>
  <c r="P94" i="15"/>
  <c r="Q94" i="15"/>
  <c r="O86" i="15"/>
  <c r="N86" i="15"/>
  <c r="R80" i="15"/>
  <c r="T76" i="15"/>
  <c r="M71" i="15"/>
  <c r="T71" i="15"/>
  <c r="S71" i="15"/>
  <c r="T63" i="15"/>
  <c r="S63" i="15"/>
  <c r="E58" i="15"/>
  <c r="O53" i="15"/>
  <c r="N53" i="15"/>
  <c r="O45" i="15"/>
  <c r="N45" i="15"/>
  <c r="O37" i="15"/>
  <c r="N37" i="15"/>
  <c r="O29" i="15"/>
  <c r="N29" i="15"/>
  <c r="O21" i="15"/>
  <c r="N21" i="15"/>
  <c r="O13" i="15"/>
  <c r="N13" i="15"/>
  <c r="T100" i="15"/>
  <c r="T90" i="15"/>
  <c r="S88" i="15"/>
  <c r="T88" i="15"/>
  <c r="M86" i="15"/>
  <c r="S85" i="15"/>
  <c r="N80" i="15"/>
  <c r="O80" i="15"/>
  <c r="E76" i="15"/>
  <c r="Q73" i="15"/>
  <c r="T66" i="15"/>
  <c r="S66" i="15"/>
  <c r="E59" i="15"/>
  <c r="R54" i="15"/>
  <c r="T54" i="15"/>
  <c r="S54" i="15"/>
  <c r="R47" i="15"/>
  <c r="R38" i="15"/>
  <c r="T38" i="15"/>
  <c r="S38" i="15"/>
  <c r="R31" i="15"/>
  <c r="E23" i="15"/>
  <c r="P22" i="15"/>
  <c r="Q22" i="15"/>
  <c r="E15" i="15"/>
  <c r="P14" i="15"/>
  <c r="Q14" i="15"/>
  <c r="R6" i="15"/>
  <c r="T6" i="15"/>
  <c r="S6" i="15"/>
  <c r="Q109" i="15"/>
  <c r="R96" i="15"/>
  <c r="P93" i="15"/>
  <c r="Q90" i="15"/>
  <c r="E80" i="15"/>
  <c r="F80" i="15"/>
  <c r="Q78" i="15"/>
  <c r="P78" i="15"/>
  <c r="P68" i="15"/>
  <c r="S65" i="15"/>
  <c r="Q39" i="15"/>
  <c r="P39" i="15"/>
  <c r="Q106" i="15"/>
  <c r="T102" i="15"/>
  <c r="Q89" i="15"/>
  <c r="R86" i="15"/>
  <c r="Q82" i="15"/>
  <c r="S78" i="15"/>
  <c r="Q57" i="15"/>
  <c r="T47" i="15"/>
  <c r="S47" i="15"/>
  <c r="Q45" i="15"/>
  <c r="P45" i="15"/>
  <c r="P42" i="15"/>
  <c r="Q42" i="15"/>
  <c r="M39" i="15"/>
  <c r="M37" i="15"/>
  <c r="R34" i="15"/>
  <c r="T34" i="15"/>
  <c r="S34" i="15"/>
  <c r="S28" i="15"/>
  <c r="T15" i="15"/>
  <c r="S15" i="15"/>
  <c r="H112" i="15"/>
  <c r="E42" i="15"/>
  <c r="P40" i="15"/>
  <c r="E13" i="15"/>
  <c r="S8" i="15"/>
  <c r="T5" i="15"/>
  <c r="O67" i="15"/>
  <c r="T53" i="15"/>
  <c r="Q48" i="15"/>
  <c r="E30" i="15"/>
  <c r="E10" i="15"/>
  <c r="O7" i="15"/>
  <c r="S60" i="15"/>
  <c r="E43" i="15"/>
  <c r="S32" i="15"/>
  <c r="Q28" i="15"/>
  <c r="E21" i="15"/>
  <c r="E6" i="15"/>
  <c r="S93" i="15"/>
  <c r="S68" i="15"/>
  <c r="P64" i="15"/>
  <c r="E54" i="15"/>
  <c r="E46" i="15"/>
  <c r="E34" i="15"/>
  <c r="P32" i="15"/>
  <c r="S12" i="15"/>
  <c r="I112" i="15"/>
  <c r="O112" i="15" l="1"/>
  <c r="N112" i="15"/>
  <c r="F65" i="15"/>
  <c r="F24" i="15"/>
  <c r="F72" i="15"/>
  <c r="F112" i="17"/>
  <c r="F97" i="17"/>
  <c r="F80" i="17"/>
  <c r="F36" i="17"/>
  <c r="F12" i="17"/>
  <c r="F20" i="17"/>
  <c r="F28" i="17"/>
  <c r="F38" i="17"/>
  <c r="F8" i="17"/>
  <c r="F32" i="17"/>
  <c r="F7" i="17"/>
  <c r="F43" i="17"/>
  <c r="F16" i="17"/>
  <c r="F19" i="17"/>
  <c r="F79" i="17"/>
  <c r="F87" i="17"/>
  <c r="F96" i="17"/>
  <c r="F101" i="17"/>
  <c r="F104" i="17"/>
  <c r="F111" i="17"/>
  <c r="F95" i="17"/>
  <c r="F23" i="17"/>
  <c r="F22" i="17"/>
  <c r="F39" i="17"/>
  <c r="F75" i="17"/>
  <c r="F78" i="17"/>
  <c r="F92" i="17"/>
  <c r="F100" i="17"/>
  <c r="F89" i="17"/>
  <c r="F108" i="17"/>
  <c r="F15" i="17"/>
  <c r="F3" i="17"/>
  <c r="F24" i="17"/>
  <c r="F35" i="17"/>
  <c r="F93" i="17"/>
  <c r="F74" i="17"/>
  <c r="F77" i="17"/>
  <c r="F103" i="17"/>
  <c r="F4" i="17"/>
  <c r="F40" i="17"/>
  <c r="F30" i="17"/>
  <c r="F14" i="17"/>
  <c r="F31" i="17"/>
  <c r="F27" i="17"/>
  <c r="F18" i="17"/>
  <c r="F26" i="17"/>
  <c r="F34" i="17"/>
  <c r="F84" i="17"/>
  <c r="F88" i="17"/>
  <c r="F105" i="17"/>
  <c r="F112" i="15"/>
  <c r="F51" i="15"/>
  <c r="F43" i="15"/>
  <c r="F35" i="15"/>
  <c r="F27" i="15"/>
  <c r="F19" i="15"/>
  <c r="F3" i="15"/>
  <c r="F11" i="15"/>
  <c r="F22" i="15"/>
  <c r="F62" i="15"/>
  <c r="F25" i="15"/>
  <c r="F74" i="15"/>
  <c r="F14" i="15"/>
  <c r="F23" i="15"/>
  <c r="F17" i="15"/>
  <c r="F70" i="15"/>
  <c r="F92" i="15"/>
  <c r="F59" i="15"/>
  <c r="F103" i="15"/>
  <c r="F10" i="15"/>
  <c r="F18" i="15"/>
  <c r="F26" i="15"/>
  <c r="F42" i="15"/>
  <c r="F111" i="15"/>
  <c r="F84" i="15"/>
  <c r="F75" i="15"/>
  <c r="F91" i="15"/>
  <c r="F34" i="15"/>
  <c r="F50" i="15"/>
  <c r="F100" i="15"/>
  <c r="F15" i="15"/>
  <c r="F33" i="15"/>
  <c r="F66" i="15"/>
  <c r="F21" i="15"/>
  <c r="F83" i="15"/>
  <c r="F7" i="15"/>
  <c r="F9" i="15"/>
  <c r="F13" i="15"/>
  <c r="F41" i="15"/>
  <c r="F63" i="15"/>
  <c r="F108" i="15"/>
  <c r="F49" i="15"/>
  <c r="F107" i="15"/>
  <c r="F38" i="15"/>
  <c r="F46" i="15"/>
  <c r="F54" i="15"/>
  <c r="F6" i="15"/>
  <c r="F30" i="15"/>
  <c r="F5" i="15"/>
  <c r="F82" i="15"/>
  <c r="F106" i="15"/>
  <c r="F55" i="15"/>
  <c r="F90" i="15"/>
  <c r="F76" i="15"/>
  <c r="F58" i="15"/>
  <c r="F98" i="15"/>
  <c r="F99" i="15"/>
  <c r="F94" i="15"/>
  <c r="F40" i="15"/>
  <c r="F42" i="17"/>
  <c r="F54" i="17"/>
  <c r="F95" i="15"/>
  <c r="F28" i="15"/>
  <c r="F29" i="15"/>
  <c r="F45" i="15"/>
  <c r="F78" i="15"/>
  <c r="M112" i="15"/>
  <c r="F88" i="15"/>
  <c r="F109" i="15"/>
  <c r="F17" i="17"/>
  <c r="F33" i="17"/>
  <c r="S112" i="15"/>
  <c r="T112" i="15"/>
  <c r="P112" i="15"/>
  <c r="Q112" i="15"/>
  <c r="F67" i="15"/>
  <c r="F86" i="15"/>
  <c r="F8" i="15"/>
  <c r="F56" i="15"/>
  <c r="F77" i="15"/>
  <c r="F59" i="17"/>
  <c r="F47" i="17"/>
  <c r="F48" i="17"/>
  <c r="F70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78" authorId="0" shapeId="0" xr:uid="{00000000-0006-0000-0200-000001000000}">
      <text>
        <r>
          <rPr>
            <sz val="10"/>
            <color rgb="FF000000"/>
            <rFont val="Arial"/>
          </rPr>
          <t>This is abnormally low compared to the pageviews.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300-000001000000}">
      <text>
        <r>
          <rPr>
            <sz val="10"/>
            <color rgb="FF000000"/>
            <rFont val="Arial"/>
          </rPr>
          <t>The Ranking works a bit different from other parameter. 
A Negative Rank is a good thing because it means the position of the post increased compared to last week.
A Positive rank means the Unit dropped in position by that amount.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2" authorId="0" shapeId="0" xr:uid="{00000000-0006-0000-0500-000001000000}">
      <text>
        <r>
          <rPr>
            <sz val="10"/>
            <color rgb="FF000000"/>
            <rFont val="Arial"/>
          </rPr>
          <t xml:space="preserve">Possible explanation for the great increase in traction are:
- Price Reduction
- Recently posted on Craigslist &amp; Off Campus
- Located in the first page on the website.
</t>
        </r>
      </text>
    </comment>
    <comment ref="E15" authorId="0" shapeId="0" xr:uid="{00000000-0006-0000-0500-000002000000}">
      <text>
        <r>
          <rPr>
            <sz val="10"/>
            <color rgb="FF000000"/>
            <rFont val="Arial"/>
          </rPr>
          <t xml:space="preserve">Over 50% increase in pageviews from last week
</t>
        </r>
      </text>
    </comment>
    <comment ref="E16" authorId="0" shapeId="0" xr:uid="{00000000-0006-0000-0500-000003000000}">
      <text>
        <r>
          <rPr>
            <sz val="10"/>
            <color rgb="FF000000"/>
            <rFont val="Arial"/>
          </rPr>
          <t xml:space="preserve">This Unit was just added 2 weeks ago and has experienced a huge increase in pageviews, Entrances and Rsvps compared to lastweek.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600-000001000000}">
      <text>
        <r>
          <rPr>
            <sz val="10"/>
            <color rgb="FF000000"/>
            <rFont val="Arial"/>
          </rPr>
          <t>The Ranking works a bit different from other parameter. 
A Negative Rank is a good thing because it means the position of the post increased compared to last week.
A Positive rank means the Unit dropped in position by that amount.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700-000001000000}">
      <text>
        <r>
          <rPr>
            <sz val="10"/>
            <color rgb="FF000000"/>
            <rFont val="Arial"/>
          </rPr>
          <t>The Ranking works a bit different from other parameter. 
A Negative Rank is a good thing because it means the position of the post increased compared to last week.
A Positive rank means the Unit dropped in position by that amount.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39" authorId="0" shapeId="0" xr:uid="{00000000-0006-0000-0A00-000001000000}">
      <text>
        <r>
          <rPr>
            <sz val="10"/>
            <color rgb="FF000000"/>
            <rFont val="Arial"/>
          </rPr>
          <t>Lease got signed yesterday though.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D00-000001000000}">
      <text>
        <r>
          <rPr>
            <sz val="10"/>
            <color rgb="FF000000"/>
            <rFont val="Arial"/>
          </rPr>
          <t>1 - 322.5 Western
2 - 1009 Cambridge
3 - 49 Boylston
4 - 99 Marion
5 - 110 Hamilton
6 - 5 Mark Unit 2
7 - 1578 unit 8
8 - 348 E 8th 
9 - 1008 Tremont
10 - 1578 unit 7</t>
        </r>
      </text>
    </comment>
    <comment ref="F2" authorId="0" shapeId="0" xr:uid="{00000000-0006-0000-0D00-000002000000}">
      <text>
        <r>
          <rPr>
            <sz val="10"/>
            <color rgb="FF000000"/>
            <rFont val="Arial"/>
          </rPr>
          <t>Position of Top 5 Units by Application on Website
110 Hamilton #2 - 5th
1578 Beacon St #7 - 10th
1111 Boylston #26 - 13th
19 Wallingford Rd - 72nd</t>
        </r>
      </text>
    </comment>
    <comment ref="G2" authorId="0" shapeId="0" xr:uid="{00000000-0006-0000-0D00-000003000000}">
      <text>
        <r>
          <rPr>
            <sz val="10"/>
            <color rgb="FF000000"/>
            <rFont val="Arial"/>
          </rPr>
          <t>Position of Top 5 Units by Rsvp on Website
31 Plymouth #3 - 76th
31 Plymouth #2 - 31st
322.5 Western Ave - 1st
110 Hamilton #2 - 5th
357 Windsor #2 -  51st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29" authorId="0" shapeId="0" xr:uid="{00000000-0006-0000-0F00-000004000000}">
      <text>
        <r>
          <rPr>
            <sz val="10"/>
            <color rgb="FF000000"/>
            <rFont val="Arial"/>
          </rPr>
          <t>This lease was signed by a group that explains the 300%
	-Audrey Folaranmi</t>
        </r>
      </text>
    </comment>
    <comment ref="F72" authorId="0" shapeId="0" xr:uid="{00000000-0006-0000-0F00-000003000000}">
      <text>
        <r>
          <rPr>
            <sz val="10"/>
            <color rgb="FF000000"/>
            <rFont val="Arial"/>
          </rPr>
          <t>The leads either applied prior to the 16th, applied to a different units or are current tenants. Hence we have 6 RSVPs with 0 Applications.
	-Audrey Folaranmi</t>
        </r>
      </text>
    </comment>
    <comment ref="I94" authorId="0" shapeId="0" xr:uid="{00000000-0006-0000-0F00-000001000000}">
      <text>
        <r>
          <rPr>
            <sz val="10"/>
            <color rgb="FF000000"/>
            <rFont val="Arial"/>
          </rPr>
          <t>The leases were sent some weeks ago. If we have any idea about the causes of the delay it might help us speed up lease signing efforts in the future.
	-Audrey Folaranmi</t>
        </r>
      </text>
    </comment>
    <comment ref="J94" authorId="0" shapeId="0" xr:uid="{00000000-0006-0000-0F00-000002000000}">
      <text>
        <r>
          <rPr>
            <sz val="10"/>
            <color rgb="FF000000"/>
            <rFont val="Arial"/>
          </rPr>
          <t>There's a trend that shows groups of students looking for housing together for the new semester. Testing full apartment and only rooms ads may help us to get to this audience
	-Deleted user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28" authorId="0" shapeId="0" xr:uid="{00000000-0006-0000-1200-000003000000}">
      <text>
        <r>
          <rPr>
            <sz val="10"/>
            <color rgb="FF000000"/>
            <rFont val="Arial"/>
          </rPr>
          <t>No Leases were sent to Magazine Leads last week. Was this an RSVP of a group?
	-Deleted user</t>
        </r>
      </text>
    </comment>
    <comment ref="F70" authorId="0" shapeId="0" xr:uid="{00000000-0006-0000-1200-000001000000}">
      <text>
        <r>
          <rPr>
            <sz val="10"/>
            <color rgb="FF000000"/>
            <rFont val="Arial"/>
          </rPr>
          <t>No RSVP's
	-Deleted user
Both this and Clifton have an average visit duration of 2 minutes or longer.
	-Deleted user</t>
        </r>
      </text>
    </comment>
    <comment ref="F94" authorId="0" shapeId="0" xr:uid="{00000000-0006-0000-1200-000002000000}">
      <text>
        <r>
          <rPr>
            <sz val="10"/>
            <color rgb="FF000000"/>
            <rFont val="Arial"/>
          </rPr>
          <t>2nd most viewed, no RSVP's. Is it location? Is it Number of Rooms? Is it Tour times?
	-Deleted user</t>
        </r>
      </text>
    </comment>
  </commentList>
</comments>
</file>

<file path=xl/sharedStrings.xml><?xml version="1.0" encoding="utf-8"?>
<sst xmlns="http://schemas.openxmlformats.org/spreadsheetml/2006/main" count="4332" uniqueCount="188">
  <si>
    <t>UNIT</t>
  </si>
  <si>
    <t>Availbility</t>
  </si>
  <si>
    <t xml:space="preserve">PageRank </t>
  </si>
  <si>
    <t>Unique Pageviews</t>
  </si>
  <si>
    <t>Entrances</t>
  </si>
  <si>
    <t>Total Application per unit</t>
  </si>
  <si>
    <t>RSVPs</t>
  </si>
  <si>
    <t>Roommate Intros</t>
  </si>
  <si>
    <t>Leases Sent</t>
  </si>
  <si>
    <t>Leases Signed</t>
  </si>
  <si>
    <t>Date Available</t>
  </si>
  <si>
    <t>Entrances/ Pageviews</t>
  </si>
  <si>
    <t>RSVPs / Pageviews</t>
  </si>
  <si>
    <t>Leases Signed/RSVPs</t>
  </si>
  <si>
    <t>Leases Signed/RoomIntro</t>
  </si>
  <si>
    <t>Leases Signed/Leases Sent</t>
  </si>
  <si>
    <t>% of Total Unique Pageviews</t>
  </si>
  <si>
    <t>146 Hillside Street Unit 1</t>
  </si>
  <si>
    <t>June</t>
  </si>
  <si>
    <t>12 Estrella Street Unit 2</t>
  </si>
  <si>
    <t>NOW</t>
  </si>
  <si>
    <t>83 Highland Street Unit 2</t>
  </si>
  <si>
    <t>108 Hyde Park Avenue Unit 2</t>
  </si>
  <si>
    <t>179 Massachusetts Avenue Unit 3</t>
  </si>
  <si>
    <t/>
  </si>
  <si>
    <t>1111 Boylston Street Unit 26</t>
  </si>
  <si>
    <t>34 Circuit Street Unit 3</t>
  </si>
  <si>
    <t>158 Boston Street Unit 2</t>
  </si>
  <si>
    <t>16A Forest Street Unit 33</t>
  </si>
  <si>
    <t>December</t>
  </si>
  <si>
    <t>106 Hyde Park Avenue Unit 3</t>
  </si>
  <si>
    <t>192 Third Street Unit 2</t>
  </si>
  <si>
    <t>33 Merriam Street Unit 2</t>
  </si>
  <si>
    <t>49 Boylston Street Unit 1</t>
  </si>
  <si>
    <t>January</t>
  </si>
  <si>
    <t>14 Murdock Street Unit 3-7</t>
  </si>
  <si>
    <t>45 Crescent Avenue Unit 1</t>
  </si>
  <si>
    <t>March</t>
  </si>
  <si>
    <t>114 Thornton Street Unit 1</t>
  </si>
  <si>
    <t>April</t>
  </si>
  <si>
    <t>322.5 Western Avenue Unit 2</t>
  </si>
  <si>
    <t>2 Montfern Avenue Unit 3</t>
  </si>
  <si>
    <t>110 Hamilton Street Unit 2</t>
  </si>
  <si>
    <t>466 Commonwealth Avenue Unit 406</t>
  </si>
  <si>
    <t>231 Norfolk Street Unit 1</t>
  </si>
  <si>
    <t>34 Cherokee Street Unit 3</t>
  </si>
  <si>
    <t>25 Howes Street Unit 3</t>
  </si>
  <si>
    <t>106 Hyde Park Avenue Unit 2</t>
  </si>
  <si>
    <t>45 Crescent Avenue Unit 3</t>
  </si>
  <si>
    <t>19 Mercer Street Unit 1</t>
  </si>
  <si>
    <t>42 Marcella Street Unit 1</t>
  </si>
  <si>
    <t>1578 Beacon Street Unit 8</t>
  </si>
  <si>
    <t>23 Granite Street Unit 3</t>
  </si>
  <si>
    <t>86 Glenville Avenue Unit 11</t>
  </si>
  <si>
    <t>38 Day Street Unit 42</t>
  </si>
  <si>
    <t>25 Howes Street Unit 2</t>
  </si>
  <si>
    <t>19 Wallingford Road Unit 1</t>
  </si>
  <si>
    <t>10 7th Street</t>
  </si>
  <si>
    <t>12 Verndale Street Unit 1</t>
  </si>
  <si>
    <t>2 Montfern Avenue Unit 2</t>
  </si>
  <si>
    <t>379 Broadway Street Unit 7</t>
  </si>
  <si>
    <t>23 Rogers Avenue Unit 1</t>
  </si>
  <si>
    <t>95 Upland Road Unit 2</t>
  </si>
  <si>
    <t>379 Broadway Street Unit 43</t>
  </si>
  <si>
    <t>February</t>
  </si>
  <si>
    <t>99 Marion Street Unit 3</t>
  </si>
  <si>
    <t>4 Elko Street Unit B1</t>
  </si>
  <si>
    <t>1008 Tremont Street Unit 3</t>
  </si>
  <si>
    <t>571 Washington Street Unit 1</t>
  </si>
  <si>
    <t>158 Magazine Street Unit 6</t>
  </si>
  <si>
    <t>20 Reedsdale Street</t>
  </si>
  <si>
    <t>383 Broadway Street Unit 41</t>
  </si>
  <si>
    <t>51 Clifton Street Unit 2</t>
  </si>
  <si>
    <t>35 South Street Unit 7</t>
  </si>
  <si>
    <t>1578 Beacon Street Unit 7</t>
  </si>
  <si>
    <t>101 Heath Street Unit 1</t>
  </si>
  <si>
    <t>376 Prospect Street Unit 2</t>
  </si>
  <si>
    <t>96 Sheridan Street Unit 3</t>
  </si>
  <si>
    <t>116 Thornton Street Unit 3</t>
  </si>
  <si>
    <t>40 Sudan Street Unit 3</t>
  </si>
  <si>
    <t>12 Verndale Street Unit 2</t>
  </si>
  <si>
    <t>9 Fairfield Street Unit 1L</t>
  </si>
  <si>
    <t>571 Washington Street Unit 2</t>
  </si>
  <si>
    <t>65 Burbank Street Unit 21</t>
  </si>
  <si>
    <t>348 E 8th Street Unit 1</t>
  </si>
  <si>
    <t>20 Sudan Street Unit 1</t>
  </si>
  <si>
    <t>116 Thornton Street Unit 2</t>
  </si>
  <si>
    <t>275 Dorchester Street</t>
  </si>
  <si>
    <t>24 Ashford Street Unit 2</t>
  </si>
  <si>
    <t>1410 Columbia Road Unit 5B</t>
  </si>
  <si>
    <t>5 Mark Street Unit 2</t>
  </si>
  <si>
    <t>848 Huntington Avenue Unit 2</t>
  </si>
  <si>
    <t>9 Fairfield Street Unit 1R</t>
  </si>
  <si>
    <t>5 Mark Street Unit 1</t>
  </si>
  <si>
    <t>76 King Street Unit 2</t>
  </si>
  <si>
    <t>108 Central Street Unit 3L</t>
  </si>
  <si>
    <t>122 Central Street Unit 2</t>
  </si>
  <si>
    <t>147 Columbia Street Unit 3R</t>
  </si>
  <si>
    <t>2 Montfern Avenue Unit 1</t>
  </si>
  <si>
    <t>83 Highland Street Unit 3</t>
  </si>
  <si>
    <t>1008 Tremont Street Unit 6</t>
  </si>
  <si>
    <t>22 Austin Street Unit 1</t>
  </si>
  <si>
    <t>357 Windsor Street Unit 2</t>
  </si>
  <si>
    <t>8 Elko Street Unit 5</t>
  </si>
  <si>
    <t>267 Main Street Unit 4</t>
  </si>
  <si>
    <t>12 7th Street</t>
  </si>
  <si>
    <t>192 Third Street Unit 1</t>
  </si>
  <si>
    <t>5 Condor Street Unit 3</t>
  </si>
  <si>
    <t>231 Norfolk Street Unit 4</t>
  </si>
  <si>
    <t>7 Grant Street Unit 2</t>
  </si>
  <si>
    <t>108 Hyde Park Avenue Unit 3</t>
  </si>
  <si>
    <t>96 Hammond Street Unit 3</t>
  </si>
  <si>
    <t>1578 Beacon Street Unit 5</t>
  </si>
  <si>
    <t>6 7th Street</t>
  </si>
  <si>
    <t>12 Stoneholm Street Unit 610</t>
  </si>
  <si>
    <t>8 7th Street</t>
  </si>
  <si>
    <t>49 Paulina Street Unit 3</t>
  </si>
  <si>
    <t>1099 Cambridge Street Unit 1</t>
  </si>
  <si>
    <t>110 Hamilton Street Unit 3</t>
  </si>
  <si>
    <t>208 Cedar Street Unit 2</t>
  </si>
  <si>
    <t>8 Elko Street Unit 6</t>
  </si>
  <si>
    <t>8 Hardwick Terrace Unit 1</t>
  </si>
  <si>
    <t>154 Magazine Street Unit 1</t>
  </si>
  <si>
    <t>154 Magazine Street Unit 2</t>
  </si>
  <si>
    <t>158 Magazine Street Unit 27</t>
  </si>
  <si>
    <t>158 Magazine Street Unit 7</t>
  </si>
  <si>
    <t>August</t>
  </si>
  <si>
    <t>17 Kenneson Road Unit 1</t>
  </si>
  <si>
    <t>174 W 8th Street Unit 2</t>
  </si>
  <si>
    <t>179 Massachusetts Avenue Unit 2</t>
  </si>
  <si>
    <t>18 Mount Hood Road Unit 1</t>
  </si>
  <si>
    <t>18 Mount Hood Road Unit 2</t>
  </si>
  <si>
    <t>192 Alleghany Street Unit 2</t>
  </si>
  <si>
    <t>26 Washington Terrace Unit 1</t>
  </si>
  <si>
    <t>26 Washington Terrace Unit 2</t>
  </si>
  <si>
    <t>31 Plymouth Street Unit 2</t>
  </si>
  <si>
    <t>31 Plymouth Street Unit 3</t>
  </si>
  <si>
    <t>31 South Street Unit 1</t>
  </si>
  <si>
    <t>November</t>
  </si>
  <si>
    <t>4 Litchfield Street Unit 2</t>
  </si>
  <si>
    <t>49 Paulina Street Unit 2</t>
  </si>
  <si>
    <t>64 Sudan Street Unit 3</t>
  </si>
  <si>
    <t>N</t>
  </si>
  <si>
    <t>TOTAL</t>
  </si>
  <si>
    <t>Average Unique pageviews</t>
  </si>
  <si>
    <t xml:space="preserve">Rank </t>
  </si>
  <si>
    <t>Total Growth</t>
  </si>
  <si>
    <t>Y</t>
  </si>
  <si>
    <t>65 Burbank Unit 21</t>
  </si>
  <si>
    <t>Nov 2-8</t>
  </si>
  <si>
    <t>Nov 9-15</t>
  </si>
  <si>
    <t>Nov 16-22</t>
  </si>
  <si>
    <t>Nov 23-29</t>
  </si>
  <si>
    <t>November Total</t>
  </si>
  <si>
    <t>Nov 30-Dec 6</t>
  </si>
  <si>
    <t>Dec 6-Dec 13</t>
  </si>
  <si>
    <t>Rank Change</t>
  </si>
  <si>
    <t>Position on Website</t>
  </si>
  <si>
    <t>Leases Signed/Pageviews</t>
  </si>
  <si>
    <t>Top 10 Properties on site (sorted by pageviews)</t>
  </si>
  <si>
    <t>Property</t>
  </si>
  <si>
    <t>RSVPs/Unique Pageview</t>
  </si>
  <si>
    <t>Notable Properties w/ low unique pageviews: has multiple rooms available w/ low unique pageviews</t>
  </si>
  <si>
    <t>On the Market</t>
  </si>
  <si>
    <t>CONVERSION STATS</t>
  </si>
  <si>
    <t>Rank</t>
  </si>
  <si>
    <t>% of Total</t>
  </si>
  <si>
    <t>Total Applications</t>
  </si>
  <si>
    <t>Entrances / Pageviews</t>
  </si>
  <si>
    <t>RSVPs / Pageview</t>
  </si>
  <si>
    <t>RSVPs / Entrance</t>
  </si>
  <si>
    <t>Roommate Intro / Pageview</t>
  </si>
  <si>
    <t>Roommate Intro / RSVP</t>
  </si>
  <si>
    <t>Leases Sent / Intro</t>
  </si>
  <si>
    <t>Leases Signed / Pageview</t>
  </si>
  <si>
    <t>Leases Signed / Leases Sent</t>
  </si>
  <si>
    <t>Avg</t>
  </si>
  <si>
    <t>Median</t>
  </si>
  <si>
    <t>Leases Signed / RSVP</t>
  </si>
  <si>
    <t>158 Boston St Unit 2</t>
  </si>
  <si>
    <t>51 Clifton St</t>
  </si>
  <si>
    <t>154 Mag Unit 2</t>
  </si>
  <si>
    <t>322.5 Western Ave Unit 2</t>
  </si>
  <si>
    <t>357 Windsor St Unit 2</t>
  </si>
  <si>
    <t>110 Hamilton St Unit 2</t>
  </si>
  <si>
    <t>376 Prospect St Unit 2</t>
  </si>
  <si>
    <t>96 Sheridan St Unit 3</t>
  </si>
  <si>
    <t>1099 Cambridge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</si>
</sst>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.00"/>
    <numFmt numFmtId="165" formatCode="m&quot;/&quot;d"/>
    <numFmt numFmtId="166" formatCode="&quot;$&quot;#,##0"/>
    <numFmt numFmtId="167" formatCode="m/d"/>
    <numFmt numFmtId="168" formatCode="0.0"/>
  </numFmts>
  <fonts count="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D9D9D9"/>
      <name val="Arial"/>
      <family val="2"/>
    </font>
    <font>
      <sz val="11"/>
      <color rgb="FF000000"/>
      <name val="Inconsolata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0" fontId="2" fillId="0" borderId="0" xfId="0" applyNumberFormat="1" applyFont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10" fontId="2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1" fillId="0" borderId="0" xfId="0" applyNumberFormat="1" applyFont="1"/>
    <xf numFmtId="10" fontId="1" fillId="2" borderId="0" xfId="0" applyNumberFormat="1" applyFont="1" applyFill="1"/>
    <xf numFmtId="0" fontId="1" fillId="0" borderId="0" xfId="0" applyFont="1" applyAlignment="1">
      <alignment horizontal="right"/>
    </xf>
    <xf numFmtId="10" fontId="1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3" borderId="0" xfId="0" applyFont="1" applyFill="1"/>
    <xf numFmtId="10" fontId="1" fillId="3" borderId="0" xfId="0" applyNumberFormat="1" applyFont="1" applyFill="1"/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3" borderId="0" xfId="0" applyFont="1" applyFill="1"/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0" fontId="2" fillId="0" borderId="0" xfId="0" applyNumberFormat="1" applyFont="1"/>
    <xf numFmtId="10" fontId="2" fillId="2" borderId="0" xfId="0" applyNumberFormat="1" applyFont="1" applyFill="1"/>
    <xf numFmtId="0" fontId="1" fillId="2" borderId="0" xfId="0" applyFont="1" applyFill="1"/>
    <xf numFmtId="2" fontId="1" fillId="0" borderId="0" xfId="0" applyNumberFormat="1" applyFont="1"/>
    <xf numFmtId="0" fontId="4" fillId="3" borderId="0" xfId="0" applyFont="1" applyFill="1"/>
    <xf numFmtId="10" fontId="1" fillId="0" borderId="0" xfId="0" applyNumberFormat="1" applyFont="1" applyAlignment="1"/>
    <xf numFmtId="10" fontId="2" fillId="0" borderId="0" xfId="0" applyNumberFormat="1" applyFont="1" applyAlignment="1"/>
    <xf numFmtId="0" fontId="2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0" fontId="1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10" fontId="1" fillId="0" borderId="2" xfId="0" applyNumberFormat="1" applyFont="1" applyBorder="1" applyAlignment="1">
      <alignment horizontal="right"/>
    </xf>
    <xf numFmtId="0" fontId="1" fillId="5" borderId="2" xfId="0" applyFont="1" applyFill="1" applyBorder="1" applyAlignment="1"/>
    <xf numFmtId="0" fontId="1" fillId="5" borderId="2" xfId="0" applyFont="1" applyFill="1" applyBorder="1" applyAlignment="1">
      <alignment horizontal="center"/>
    </xf>
    <xf numFmtId="10" fontId="1" fillId="5" borderId="2" xfId="0" applyNumberFormat="1" applyFont="1" applyFill="1" applyBorder="1" applyAlignment="1">
      <alignment horizontal="right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0" fontId="1" fillId="6" borderId="2" xfId="0" applyFont="1" applyFill="1" applyBorder="1" applyAlignment="1"/>
    <xf numFmtId="0" fontId="1" fillId="6" borderId="2" xfId="0" applyFont="1" applyFill="1" applyBorder="1" applyAlignment="1">
      <alignment horizontal="center"/>
    </xf>
    <xf numFmtId="10" fontId="1" fillId="6" borderId="2" xfId="0" applyNumberFormat="1" applyFont="1" applyFill="1" applyBorder="1" applyAlignment="1">
      <alignment horizontal="center"/>
    </xf>
    <xf numFmtId="10" fontId="1" fillId="5" borderId="0" xfId="0" applyNumberFormat="1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1" xfId="0" applyFont="1" applyBorder="1"/>
    <xf numFmtId="10" fontId="1" fillId="0" borderId="1" xfId="0" applyNumberFormat="1" applyFont="1" applyBorder="1"/>
    <xf numFmtId="3" fontId="2" fillId="0" borderId="1" xfId="0" applyNumberFormat="1" applyFont="1" applyBorder="1"/>
    <xf numFmtId="10" fontId="2" fillId="0" borderId="1" xfId="0" applyNumberFormat="1" applyFont="1" applyBorder="1"/>
    <xf numFmtId="168" fontId="1" fillId="0" borderId="0" xfId="0" applyNumberFormat="1" applyFont="1"/>
    <xf numFmtId="0" fontId="3" fillId="0" borderId="0" xfId="0" applyFont="1" applyAlignme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57"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3">
    <tableStyle name="Nov 23-29-style" pivot="0" count="3" xr9:uid="{00000000-0011-0000-FFFF-FFFF00000000}">
      <tableStyleElement type="headerRow" dxfId="56"/>
      <tableStyleElement type="firstRowStripe" dxfId="55"/>
      <tableStyleElement type="secondRowStripe" dxfId="54"/>
    </tableStyle>
    <tableStyle name="Nov 16-22-style" pivot="0" count="3" xr9:uid="{00000000-0011-0000-FFFF-FFFF01000000}">
      <tableStyleElement type="headerRow" dxfId="53"/>
      <tableStyleElement type="firstRowStripe" dxfId="52"/>
      <tableStyleElement type="secondRowStripe" dxfId="51"/>
    </tableStyle>
    <tableStyle name="Nov 9-15-style" pivot="0" count="3" xr9:uid="{00000000-0011-0000-FFFF-FFFF02000000}">
      <tableStyleElement type="headerRow" dxfId="50"/>
      <tableStyleElement type="firstRowStripe" dxfId="49"/>
      <tableStyleElement type="secondRowStripe" dxfId="4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T20:X30" headerRowCount="0">
  <tableColumns count="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Nov 23-29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T20:X30" headerRowCount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Nov 16-2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S20:W30" headerRowCount="0">
  <tableColumns count="5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</tableColumns>
  <tableStyleInfo name="Nov 9-1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8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workbookViewId="0"/>
  </sheetViews>
  <sheetFormatPr defaultColWidth="14.3984375" defaultRowHeight="15.75" customHeight="1"/>
  <sheetData>
    <row r="1" spans="1:29">
      <c r="A1" s="1" t="str">
        <f ca="1">IFERROR(__xludf.DUMMYFUNCTION("IMPORTRANGE(""https://docs.google.com/spreadsheets/d/19gprxNlw0NacjMw2AZHA9u2RBK7LFrrcIveFcatvkqM/edit#gid=0"",""List!A:AC"")"),"Address")</f>
        <v>Address</v>
      </c>
      <c r="B1" s="1" t="str">
        <f ca="1">IFERROR(__xludf.DUMMYFUNCTION("""COMPUTED_VALUE"""),"Street #")</f>
        <v>Street #</v>
      </c>
      <c r="C1" s="1" t="str">
        <f ca="1">IFERROR(__xludf.DUMMYFUNCTION("""COMPUTED_VALUE"""),"Unit")</f>
        <v>Unit</v>
      </c>
      <c r="D1" s="1" t="str">
        <f ca="1">IFERROR(__xludf.DUMMYFUNCTION("""COMPUTED_VALUE"""),"Address + Unit")</f>
        <v>Address + Unit</v>
      </c>
      <c r="E1" s="1" t="str">
        <f ca="1">IFERROR(__xludf.DUMMYFUNCTION("""COMPUTED_VALUE"""),"City")</f>
        <v>City</v>
      </c>
      <c r="F1" s="1" t="str">
        <f ca="1">IFERROR(__xludf.DUMMYFUNCTION("""COMPUTED_VALUE"""),"Neighborhood")</f>
        <v>Neighborhood</v>
      </c>
      <c r="G1" s="1" t="str">
        <f ca="1">IFERROR(__xludf.DUMMYFUNCTION("""COMPUTED_VALUE"""),"Room #")</f>
        <v>Room #</v>
      </c>
      <c r="H1" s="1" t="str">
        <f ca="1">IFERROR(__xludf.DUMMYFUNCTION("""COMPUTED_VALUE"""),"Room")</f>
        <v>Room</v>
      </c>
      <c r="I1" s="2" t="str">
        <f ca="1">IFERROR(__xludf.DUMMYFUNCTION("""COMPUTED_VALUE"""),"Google Sheets ID")</f>
        <v>Google Sheets ID</v>
      </c>
      <c r="J1" s="2" t="str">
        <f ca="1">IFERROR(__xludf.DUMMYFUNCTION("""COMPUTED_VALUE"""),"Wix ID")</f>
        <v>Wix ID</v>
      </c>
      <c r="K1" s="2" t="str">
        <f ca="1">IFERROR(__xludf.DUMMYFUNCTION("""COMPUTED_VALUE"""),"Price")</f>
        <v>Price</v>
      </c>
      <c r="L1" s="1" t="str">
        <f ca="1">IFERROR(__xludf.DUMMYFUNCTION("""COMPUTED_VALUE"""),"Showing Territory")</f>
        <v>Showing Territory</v>
      </c>
      <c r="M1" s="1" t="str">
        <f ca="1">IFERROR(__xludf.DUMMYFUNCTION("""COMPUTED_VALUE"""),"Active Showing")</f>
        <v>Active Showing</v>
      </c>
      <c r="N1" s="1" t="str">
        <f ca="1">IFERROR(__xludf.DUMMYFUNCTION("""COMPUTED_VALUE"""),"Furnished")</f>
        <v>Furnished</v>
      </c>
      <c r="O1" s="1" t="str">
        <f ca="1">IFERROR(__xludf.DUMMYFUNCTION("""COMPUTED_VALUE"""),"Status")</f>
        <v>Status</v>
      </c>
      <c r="P1" s="1" t="str">
        <f ca="1">IFERROR(__xludf.DUMMYFUNCTION("""COMPUTED_VALUE"""),"Date")</f>
        <v>Date</v>
      </c>
      <c r="Q1" s="3" t="str">
        <f ca="1">IFERROR(__xludf.DUMMYFUNCTION("""COMPUTED_VALUE"""),"Move Out Date")</f>
        <v>Move Out Date</v>
      </c>
      <c r="R1" s="1" t="str">
        <f ca="1">IFERROR(__xludf.DUMMYFUNCTION("""COMPUTED_VALUE"""),"Move In Date")</f>
        <v>Move In Date</v>
      </c>
      <c r="S1" s="1" t="str">
        <f ca="1">IFERROR(__xludf.DUMMYFUNCTION("""COMPUTED_VALUE"""),"Building Pet Rule")</f>
        <v>Building Pet Rule</v>
      </c>
      <c r="T1" s="1" t="str">
        <f ca="1">IFERROR(__xludf.DUMMYFUNCTION("""COMPUTED_VALUE"""),"Personal Pet Situation")</f>
        <v>Personal Pet Situation</v>
      </c>
      <c r="U1" s="1" t="str">
        <f ca="1">IFERROR(__xludf.DUMMYFUNCTION("""COMPUTED_VALUE"""),"Web Site")</f>
        <v>Web Site</v>
      </c>
      <c r="V1" s="1" t="str">
        <f ca="1">IFERROR(__xludf.DUMMYFUNCTION("""COMPUTED_VALUE"""),"Couples Allowed")</f>
        <v>Couples Allowed</v>
      </c>
      <c r="W1" s="1" t="str">
        <f ca="1">IFERROR(__xludf.DUMMYFUNCTION("""COMPUTED_VALUE"""),"Prospective Roommate")</f>
        <v>Prospective Roommate</v>
      </c>
      <c r="X1" s="1" t="str">
        <f ca="1">IFERROR(__xludf.DUMMYFUNCTION("""COMPUTED_VALUE"""),"Prospective Roommate Email Address")</f>
        <v>Prospective Roommate Email Address</v>
      </c>
      <c r="Y1" s="1" t="str">
        <f ca="1">IFERROR(__xludf.DUMMYFUNCTION("""COMPUTED_VALUE"""),"Current Roommate")</f>
        <v>Current Roommate</v>
      </c>
      <c r="Z1" s="1" t="str">
        <f ca="1">IFERROR(__xludf.DUMMYFUNCTION("""COMPUTED_VALUE"""),"Current Roommate Email Address")</f>
        <v>Current Roommate Email Address</v>
      </c>
      <c r="AA1" s="1" t="str">
        <f ca="1">IFERROR(__xludf.DUMMYFUNCTION("""COMPUTED_VALUE"""),"Most Recent Comm")</f>
        <v>Most Recent Comm</v>
      </c>
      <c r="AB1" s="1" t="str">
        <f ca="1">IFERROR(__xludf.DUMMYFUNCTION("""COMPUTED_VALUE"""),"Backup Options")</f>
        <v>Backup Options</v>
      </c>
      <c r="AC1" s="1" t="str">
        <f ca="1">IFERROR(__xludf.DUMMYFUNCTION("""COMPUTED_VALUE"""),"Notes")</f>
        <v>Notes</v>
      </c>
    </row>
    <row r="2" spans="1:29">
      <c r="A2" s="1" t="str">
        <f ca="1">IFERROR(__xludf.DUMMYFUNCTION("""COMPUTED_VALUE"""),"2 Montfern Avenue")</f>
        <v>2 Montfern Avenue</v>
      </c>
      <c r="B2" s="1">
        <f ca="1">IFERROR(__xludf.DUMMYFUNCTION("""COMPUTED_VALUE"""),2)</f>
        <v>2</v>
      </c>
      <c r="C2" s="1" t="str">
        <f ca="1">IFERROR(__xludf.DUMMYFUNCTION("""COMPUTED_VALUE"""),"#1")</f>
        <v>#1</v>
      </c>
      <c r="D2" s="1" t="str">
        <f ca="1">IFERROR(__xludf.DUMMYFUNCTION("""COMPUTED_VALUE"""),"2 Montfern Avenue Unit 1")</f>
        <v>2 Montfern Avenue Unit 1</v>
      </c>
      <c r="E2" s="1" t="str">
        <f ca="1">IFERROR(__xludf.DUMMYFUNCTION("""COMPUTED_VALUE"""),"Boston")</f>
        <v>Boston</v>
      </c>
      <c r="F2" s="1" t="str">
        <f ca="1">IFERROR(__xludf.DUMMYFUNCTION("""COMPUTED_VALUE"""),"Boston - Brighton")</f>
        <v>Boston - Brighton</v>
      </c>
      <c r="G2" s="1">
        <f ca="1">IFERROR(__xludf.DUMMYFUNCTION("""COMPUTED_VALUE"""),1)</f>
        <v>1</v>
      </c>
      <c r="H2" s="1" t="str">
        <f ca="1">IFERROR(__xludf.DUMMYFUNCTION("""COMPUTED_VALUE"""),"A")</f>
        <v>A</v>
      </c>
      <c r="I2" s="4" t="str">
        <f ca="1">IFERROR(__xludf.DUMMYFUNCTION("""COMPUTED_VALUE"""),"2 Montfern Avenue#1A")</f>
        <v>2 Montfern Avenue#1A</v>
      </c>
      <c r="J2" s="4" t="str">
        <f ca="1">IFERROR(__xludf.DUMMYFUNCTION("""COMPUTED_VALUE"""),"5eb01a75-8764-4520-b0e1-f3e07b7211c5")</f>
        <v>5eb01a75-8764-4520-b0e1-f3e07b7211c5</v>
      </c>
      <c r="K2" s="4">
        <f ca="1">IFERROR(__xludf.DUMMYFUNCTION("""COMPUTED_VALUE"""),700)</f>
        <v>700</v>
      </c>
      <c r="L2" s="1" t="str">
        <f ca="1">IFERROR(__xludf.DUMMYFUNCTION("""COMPUTED_VALUE"""),"Peter")</f>
        <v>Peter</v>
      </c>
      <c r="M2" s="1" t="str">
        <f ca="1">IFERROR(__xludf.DUMMYFUNCTION("""COMPUTED_VALUE"""),"")</f>
        <v/>
      </c>
      <c r="N2" s="1" t="str">
        <f ca="1">IFERROR(__xludf.DUMMYFUNCTION("""COMPUTED_VALUE"""),"")</f>
        <v/>
      </c>
      <c r="O2" s="1" t="str">
        <f ca="1">IFERROR(__xludf.DUMMYFUNCTION("""COMPUTED_VALUE"""),"Occupied")</f>
        <v>Occupied</v>
      </c>
      <c r="P2" s="1"/>
      <c r="Q2" s="1"/>
      <c r="R2" s="1"/>
      <c r="S2" s="1" t="str">
        <f ca="1">IFERROR(__xludf.DUMMYFUNCTION("""COMPUTED_VALUE"""),"NO DOGS")</f>
        <v>NO DOGS</v>
      </c>
      <c r="T2" s="1"/>
      <c r="U2" s="1" t="str">
        <f ca="1">IFERROR(__xludf.DUMMYFUNCTION("""COMPUTED_VALUE"""),"N")</f>
        <v>N</v>
      </c>
      <c r="V2" s="1" t="str">
        <f ca="1">IFERROR(__xludf.DUMMYFUNCTION("""COMPUTED_VALUE"""),"N")</f>
        <v>N</v>
      </c>
      <c r="W2" s="1"/>
      <c r="X2" s="1"/>
      <c r="Y2" s="1" t="str">
        <f ca="1">IFERROR(__xludf.DUMMYFUNCTION("""COMPUTED_VALUE"""),"Ian Bouslough")</f>
        <v>Ian Bouslough</v>
      </c>
      <c r="Z2" s="1" t="str">
        <f ca="1">IFERROR(__xludf.DUMMYFUNCTION("""COMPUTED_VALUE"""),"ian.bouslough@gmail.com")</f>
        <v>ian.bouslough@gmail.com</v>
      </c>
      <c r="AA2" s="1"/>
      <c r="AB2" s="1"/>
      <c r="AC2" s="1"/>
    </row>
    <row r="3" spans="1:29">
      <c r="A3" s="1" t="str">
        <f ca="1">IFERROR(__xludf.DUMMYFUNCTION("""COMPUTED_VALUE"""),"2 Montfern Avenue")</f>
        <v>2 Montfern Avenue</v>
      </c>
      <c r="B3" s="1">
        <f ca="1">IFERROR(__xludf.DUMMYFUNCTION("""COMPUTED_VALUE"""),2)</f>
        <v>2</v>
      </c>
      <c r="C3" s="1" t="str">
        <f ca="1">IFERROR(__xludf.DUMMYFUNCTION("""COMPUTED_VALUE"""),"#1")</f>
        <v>#1</v>
      </c>
      <c r="D3" s="1" t="str">
        <f ca="1">IFERROR(__xludf.DUMMYFUNCTION("""COMPUTED_VALUE"""),"2 Montfern Avenue Unit 1")</f>
        <v>2 Montfern Avenue Unit 1</v>
      </c>
      <c r="E3" s="1" t="str">
        <f ca="1">IFERROR(__xludf.DUMMYFUNCTION("""COMPUTED_VALUE"""),"Boston")</f>
        <v>Boston</v>
      </c>
      <c r="F3" s="1" t="str">
        <f ca="1">IFERROR(__xludf.DUMMYFUNCTION("""COMPUTED_VALUE"""),"Boston - Brighton")</f>
        <v>Boston - Brighton</v>
      </c>
      <c r="G3" s="1">
        <f ca="1">IFERROR(__xludf.DUMMYFUNCTION("""COMPUTED_VALUE"""),2)</f>
        <v>2</v>
      </c>
      <c r="H3" s="1" t="str">
        <f ca="1">IFERROR(__xludf.DUMMYFUNCTION("""COMPUTED_VALUE"""),"B")</f>
        <v>B</v>
      </c>
      <c r="I3" s="4" t="str">
        <f ca="1">IFERROR(__xludf.DUMMYFUNCTION("""COMPUTED_VALUE"""),"2 Montfern Avenue#1B")</f>
        <v>2 Montfern Avenue#1B</v>
      </c>
      <c r="J3" s="4" t="str">
        <f ca="1">IFERROR(__xludf.DUMMYFUNCTION("""COMPUTED_VALUE"""),"5eb01a75-8764-4520-b0e1-f3e07b7211c5")</f>
        <v>5eb01a75-8764-4520-b0e1-f3e07b7211c5</v>
      </c>
      <c r="K3" s="4">
        <f ca="1">IFERROR(__xludf.DUMMYFUNCTION("""COMPUTED_VALUE"""),695)</f>
        <v>695</v>
      </c>
      <c r="L3" s="1" t="str">
        <f ca="1">IFERROR(__xludf.DUMMYFUNCTION("""COMPUTED_VALUE"""),"Peter")</f>
        <v>Peter</v>
      </c>
      <c r="M3" s="1" t="str">
        <f ca="1">IFERROR(__xludf.DUMMYFUNCTION("""COMPUTED_VALUE"""),"")</f>
        <v/>
      </c>
      <c r="N3" s="1" t="str">
        <f ca="1">IFERROR(__xludf.DUMMYFUNCTION("""COMPUTED_VALUE"""),"")</f>
        <v/>
      </c>
      <c r="O3" s="1" t="str">
        <f ca="1">IFERROR(__xludf.DUMMYFUNCTION("""COMPUTED_VALUE"""),"Occupied")</f>
        <v>Occupied</v>
      </c>
      <c r="P3" s="1"/>
      <c r="Q3" s="1"/>
      <c r="R3" s="1"/>
      <c r="S3" s="1" t="str">
        <f ca="1">IFERROR(__xludf.DUMMYFUNCTION("""COMPUTED_VALUE"""),"NO DOGS")</f>
        <v>NO DOGS</v>
      </c>
      <c r="T3" s="1"/>
      <c r="U3" s="1" t="str">
        <f ca="1">IFERROR(__xludf.DUMMYFUNCTION("""COMPUTED_VALUE"""),"N")</f>
        <v>N</v>
      </c>
      <c r="V3" s="1" t="str">
        <f ca="1">IFERROR(__xludf.DUMMYFUNCTION("""COMPUTED_VALUE"""),"N")</f>
        <v>N</v>
      </c>
      <c r="W3" s="1"/>
      <c r="X3" s="1"/>
      <c r="Y3" s="1" t="str">
        <f ca="1">IFERROR(__xludf.DUMMYFUNCTION("""COMPUTED_VALUE"""),"Richard Atta")</f>
        <v>Richard Atta</v>
      </c>
      <c r="Z3" s="1" t="str">
        <f ca="1">IFERROR(__xludf.DUMMYFUNCTION("""COMPUTED_VALUE"""),"gyamfiatta.1@osu.edu")</f>
        <v>gyamfiatta.1@osu.edu</v>
      </c>
      <c r="AA3" s="1"/>
      <c r="AB3" s="1"/>
      <c r="AC3" s="1"/>
    </row>
    <row r="4" spans="1:29">
      <c r="A4" s="1" t="str">
        <f ca="1">IFERROR(__xludf.DUMMYFUNCTION("""COMPUTED_VALUE"""),"2 Montfern Avenue")</f>
        <v>2 Montfern Avenue</v>
      </c>
      <c r="B4" s="1">
        <f ca="1">IFERROR(__xludf.DUMMYFUNCTION("""COMPUTED_VALUE"""),2)</f>
        <v>2</v>
      </c>
      <c r="C4" s="1" t="str">
        <f ca="1">IFERROR(__xludf.DUMMYFUNCTION("""COMPUTED_VALUE"""),"#1")</f>
        <v>#1</v>
      </c>
      <c r="D4" s="1" t="str">
        <f ca="1">IFERROR(__xludf.DUMMYFUNCTION("""COMPUTED_VALUE"""),"2 Montfern Avenue Unit 1")</f>
        <v>2 Montfern Avenue Unit 1</v>
      </c>
      <c r="E4" s="1" t="str">
        <f ca="1">IFERROR(__xludf.DUMMYFUNCTION("""COMPUTED_VALUE"""),"Boston")</f>
        <v>Boston</v>
      </c>
      <c r="F4" s="1" t="str">
        <f ca="1">IFERROR(__xludf.DUMMYFUNCTION("""COMPUTED_VALUE"""),"Boston - Brighton")</f>
        <v>Boston - Brighton</v>
      </c>
      <c r="G4" s="1">
        <f ca="1">IFERROR(__xludf.DUMMYFUNCTION("""COMPUTED_VALUE"""),3)</f>
        <v>3</v>
      </c>
      <c r="H4" s="1" t="str">
        <f ca="1">IFERROR(__xludf.DUMMYFUNCTION("""COMPUTED_VALUE"""),"C")</f>
        <v>C</v>
      </c>
      <c r="I4" s="4" t="str">
        <f ca="1">IFERROR(__xludf.DUMMYFUNCTION("""COMPUTED_VALUE"""),"2 Montfern Avenue#1C")</f>
        <v>2 Montfern Avenue#1C</v>
      </c>
      <c r="J4" s="4" t="str">
        <f ca="1">IFERROR(__xludf.DUMMYFUNCTION("""COMPUTED_VALUE"""),"5eb01a75-8764-4520-b0e1-f3e07b7211c5")</f>
        <v>5eb01a75-8764-4520-b0e1-f3e07b7211c5</v>
      </c>
      <c r="K4" s="4">
        <f ca="1">IFERROR(__xludf.DUMMYFUNCTION("""COMPUTED_VALUE"""),800)</f>
        <v>800</v>
      </c>
      <c r="L4" s="1" t="str">
        <f ca="1">IFERROR(__xludf.DUMMYFUNCTION("""COMPUTED_VALUE"""),"Peter")</f>
        <v>Peter</v>
      </c>
      <c r="M4" s="1" t="str">
        <f ca="1">IFERROR(__xludf.DUMMYFUNCTION("""COMPUTED_VALUE"""),"")</f>
        <v/>
      </c>
      <c r="N4" s="1" t="str">
        <f ca="1">IFERROR(__xludf.DUMMYFUNCTION("""COMPUTED_VALUE"""),"")</f>
        <v/>
      </c>
      <c r="O4" s="1" t="str">
        <f ca="1">IFERROR(__xludf.DUMMYFUNCTION("""COMPUTED_VALUE"""),"Occupied")</f>
        <v>Occupied</v>
      </c>
      <c r="P4" s="1"/>
      <c r="Q4" s="1"/>
      <c r="R4" s="1"/>
      <c r="S4" s="1" t="str">
        <f ca="1">IFERROR(__xludf.DUMMYFUNCTION("""COMPUTED_VALUE"""),"NO DOGS")</f>
        <v>NO DOGS</v>
      </c>
      <c r="T4" s="1" t="str">
        <f ca="1">IFERROR(__xludf.DUMMYFUNCTION("""COMPUTED_VALUE"""),"Cat")</f>
        <v>Cat</v>
      </c>
      <c r="U4" s="1" t="str">
        <f ca="1">IFERROR(__xludf.DUMMYFUNCTION("""COMPUTED_VALUE"""),"N")</f>
        <v>N</v>
      </c>
      <c r="V4" s="1" t="str">
        <f ca="1">IFERROR(__xludf.DUMMYFUNCTION("""COMPUTED_VALUE"""),"N")</f>
        <v>N</v>
      </c>
      <c r="W4" s="1"/>
      <c r="X4" s="1"/>
      <c r="Y4" s="1" t="str">
        <f ca="1">IFERROR(__xludf.DUMMYFUNCTION("""COMPUTED_VALUE"""),"Melissa Chan")</f>
        <v>Melissa Chan</v>
      </c>
      <c r="Z4" s="1" t="str">
        <f ca="1">IFERROR(__xludf.DUMMYFUNCTION("""COMPUTED_VALUE"""),"melissachan11698@gmail.com")</f>
        <v>melissachan11698@gmail.com</v>
      </c>
      <c r="AA4" s="1"/>
      <c r="AB4" s="1"/>
      <c r="AC4" s="1"/>
    </row>
    <row r="5" spans="1:29">
      <c r="A5" s="1" t="str">
        <f ca="1">IFERROR(__xludf.DUMMYFUNCTION("""COMPUTED_VALUE"""),"2 Montfern Avenue")</f>
        <v>2 Montfern Avenue</v>
      </c>
      <c r="B5" s="1">
        <f ca="1">IFERROR(__xludf.DUMMYFUNCTION("""COMPUTED_VALUE"""),2)</f>
        <v>2</v>
      </c>
      <c r="C5" s="1" t="str">
        <f ca="1">IFERROR(__xludf.DUMMYFUNCTION("""COMPUTED_VALUE"""),"#1")</f>
        <v>#1</v>
      </c>
      <c r="D5" s="1" t="str">
        <f ca="1">IFERROR(__xludf.DUMMYFUNCTION("""COMPUTED_VALUE"""),"2 Montfern Avenue Unit 1")</f>
        <v>2 Montfern Avenue Unit 1</v>
      </c>
      <c r="E5" s="1" t="str">
        <f ca="1">IFERROR(__xludf.DUMMYFUNCTION("""COMPUTED_VALUE"""),"Boston")</f>
        <v>Boston</v>
      </c>
      <c r="F5" s="1" t="str">
        <f ca="1">IFERROR(__xludf.DUMMYFUNCTION("""COMPUTED_VALUE"""),"Boston - Brighton")</f>
        <v>Boston - Brighton</v>
      </c>
      <c r="G5" s="1">
        <f ca="1">IFERROR(__xludf.DUMMYFUNCTION("""COMPUTED_VALUE"""),4)</f>
        <v>4</v>
      </c>
      <c r="H5" s="1" t="str">
        <f ca="1">IFERROR(__xludf.DUMMYFUNCTION("""COMPUTED_VALUE"""),"D")</f>
        <v>D</v>
      </c>
      <c r="I5" s="4" t="str">
        <f ca="1">IFERROR(__xludf.DUMMYFUNCTION("""COMPUTED_VALUE"""),"2 Montfern Avenue#1D")</f>
        <v>2 Montfern Avenue#1D</v>
      </c>
      <c r="J5" s="4" t="str">
        <f ca="1">IFERROR(__xludf.DUMMYFUNCTION("""COMPUTED_VALUE"""),"5eb01a75-8764-4520-b0e1-f3e07b7211c5")</f>
        <v>5eb01a75-8764-4520-b0e1-f3e07b7211c5</v>
      </c>
      <c r="K5" s="4">
        <f ca="1">IFERROR(__xludf.DUMMYFUNCTION("""COMPUTED_VALUE"""),895)</f>
        <v>895</v>
      </c>
      <c r="L5" s="1" t="str">
        <f ca="1">IFERROR(__xludf.DUMMYFUNCTION("""COMPUTED_VALUE"""),"Peter")</f>
        <v>Peter</v>
      </c>
      <c r="M5" s="1" t="str">
        <f ca="1">IFERROR(__xludf.DUMMYFUNCTION("""COMPUTED_VALUE"""),"")</f>
        <v/>
      </c>
      <c r="N5" s="1" t="str">
        <f ca="1">IFERROR(__xludf.DUMMYFUNCTION("""COMPUTED_VALUE"""),"")</f>
        <v/>
      </c>
      <c r="O5" s="1" t="str">
        <f ca="1">IFERROR(__xludf.DUMMYFUNCTION("""COMPUTED_VALUE"""),"Occupied")</f>
        <v>Occupied</v>
      </c>
      <c r="P5" s="1"/>
      <c r="Q5" s="1"/>
      <c r="R5" s="1"/>
      <c r="S5" s="1" t="str">
        <f ca="1">IFERROR(__xludf.DUMMYFUNCTION("""COMPUTED_VALUE"""),"NO DOGS")</f>
        <v>NO DOGS</v>
      </c>
      <c r="T5" s="1"/>
      <c r="U5" s="1" t="str">
        <f ca="1">IFERROR(__xludf.DUMMYFUNCTION("""COMPUTED_VALUE"""),"N")</f>
        <v>N</v>
      </c>
      <c r="V5" s="1" t="str">
        <f ca="1">IFERROR(__xludf.DUMMYFUNCTION("""COMPUTED_VALUE"""),"N")</f>
        <v>N</v>
      </c>
      <c r="W5" s="1"/>
      <c r="X5" s="1"/>
      <c r="Y5" s="1" t="str">
        <f ca="1">IFERROR(__xludf.DUMMYFUNCTION("""COMPUTED_VALUE"""),"Dieter Ulrich")</f>
        <v>Dieter Ulrich</v>
      </c>
      <c r="Z5" s="1" t="str">
        <f ca="1">IFERROR(__xludf.DUMMYFUNCTION("""COMPUTED_VALUE"""),"dieter@ulken.com")</f>
        <v>dieter@ulken.com</v>
      </c>
      <c r="AA5" s="1"/>
      <c r="AB5" s="1"/>
      <c r="AC5" s="1"/>
    </row>
    <row r="6" spans="1:29">
      <c r="A6" s="1" t="str">
        <f ca="1">IFERROR(__xludf.DUMMYFUNCTION("""COMPUTED_VALUE"""),"2 Montfern Avenue")</f>
        <v>2 Montfern Avenue</v>
      </c>
      <c r="B6" s="1">
        <f ca="1">IFERROR(__xludf.DUMMYFUNCTION("""COMPUTED_VALUE"""),2)</f>
        <v>2</v>
      </c>
      <c r="C6" s="1" t="str">
        <f ca="1">IFERROR(__xludf.DUMMYFUNCTION("""COMPUTED_VALUE"""),"#2")</f>
        <v>#2</v>
      </c>
      <c r="D6" s="1" t="str">
        <f ca="1">IFERROR(__xludf.DUMMYFUNCTION("""COMPUTED_VALUE"""),"2 Montfern Avenue Unit 2")</f>
        <v>2 Montfern Avenue Unit 2</v>
      </c>
      <c r="E6" s="1" t="str">
        <f ca="1">IFERROR(__xludf.DUMMYFUNCTION("""COMPUTED_VALUE"""),"Boston")</f>
        <v>Boston</v>
      </c>
      <c r="F6" s="1" t="str">
        <f ca="1">IFERROR(__xludf.DUMMYFUNCTION("""COMPUTED_VALUE"""),"Boston - Brighton")</f>
        <v>Boston - Brighton</v>
      </c>
      <c r="G6" s="1">
        <f ca="1">IFERROR(__xludf.DUMMYFUNCTION("""COMPUTED_VALUE"""),1)</f>
        <v>1</v>
      </c>
      <c r="H6" s="1" t="str">
        <f ca="1">IFERROR(__xludf.DUMMYFUNCTION("""COMPUTED_VALUE"""),"A")</f>
        <v>A</v>
      </c>
      <c r="I6" s="4" t="str">
        <f ca="1">IFERROR(__xludf.DUMMYFUNCTION("""COMPUTED_VALUE"""),"2 Montfern Avenue#2A")</f>
        <v>2 Montfern Avenue#2A</v>
      </c>
      <c r="J6" s="4" t="str">
        <f ca="1">IFERROR(__xludf.DUMMYFUNCTION("""COMPUTED_VALUE"""),"0ea0cc63-d726-4362-b233-a6011ff6c6e1")</f>
        <v>0ea0cc63-d726-4362-b233-a6011ff6c6e1</v>
      </c>
      <c r="K6" s="4">
        <f ca="1">IFERROR(__xludf.DUMMYFUNCTION("""COMPUTED_VALUE"""),725)</f>
        <v>725</v>
      </c>
      <c r="L6" s="1" t="str">
        <f ca="1">IFERROR(__xludf.DUMMYFUNCTION("""COMPUTED_VALUE"""),"Peter")</f>
        <v>Peter</v>
      </c>
      <c r="M6" s="1" t="str">
        <f ca="1">IFERROR(__xludf.DUMMYFUNCTION("""COMPUTED_VALUE"""),"")</f>
        <v/>
      </c>
      <c r="N6" s="1" t="str">
        <f ca="1">IFERROR(__xludf.DUMMYFUNCTION("""COMPUTED_VALUE"""),"")</f>
        <v/>
      </c>
      <c r="O6" s="1" t="str">
        <f ca="1">IFERROR(__xludf.DUMMYFUNCTION("""COMPUTED_VALUE"""),"Occupied")</f>
        <v>Occupied</v>
      </c>
      <c r="P6" s="1"/>
      <c r="Q6" s="1"/>
      <c r="R6" s="1"/>
      <c r="S6" s="1" t="str">
        <f ca="1">IFERROR(__xludf.DUMMYFUNCTION("""COMPUTED_VALUE"""),"NO DOGS")</f>
        <v>NO DOGS</v>
      </c>
      <c r="T6" s="1" t="str">
        <f ca="1">IFERROR(__xludf.DUMMYFUNCTION("""COMPUTED_VALUE"""),"NO CATS")</f>
        <v>NO CATS</v>
      </c>
      <c r="U6" s="1" t="str">
        <f ca="1">IFERROR(__xludf.DUMMYFUNCTION("""COMPUTED_VALUE"""),"Y")</f>
        <v>Y</v>
      </c>
      <c r="V6" s="1" t="str">
        <f ca="1">IFERROR(__xludf.DUMMYFUNCTION("""COMPUTED_VALUE"""),"N")</f>
        <v>N</v>
      </c>
      <c r="W6" s="1"/>
      <c r="X6" s="1"/>
      <c r="Y6" s="1" t="str">
        <f ca="1">IFERROR(__xludf.DUMMYFUNCTION("""COMPUTED_VALUE"""),"Colton DiBiase")</f>
        <v>Colton DiBiase</v>
      </c>
      <c r="Z6" s="1" t="str">
        <f ca="1">IFERROR(__xludf.DUMMYFUNCTION("""COMPUTED_VALUE"""),"coltondibiase@yahoo.com")</f>
        <v>coltondibiase@yahoo.com</v>
      </c>
      <c r="AA6" s="1"/>
      <c r="AB6" s="1"/>
      <c r="AC6" s="1"/>
    </row>
    <row r="7" spans="1:29">
      <c r="A7" s="1" t="str">
        <f ca="1">IFERROR(__xludf.DUMMYFUNCTION("""COMPUTED_VALUE"""),"2 Montfern Avenue")</f>
        <v>2 Montfern Avenue</v>
      </c>
      <c r="B7" s="1">
        <f ca="1">IFERROR(__xludf.DUMMYFUNCTION("""COMPUTED_VALUE"""),2)</f>
        <v>2</v>
      </c>
      <c r="C7" s="1" t="str">
        <f ca="1">IFERROR(__xludf.DUMMYFUNCTION("""COMPUTED_VALUE"""),"#2")</f>
        <v>#2</v>
      </c>
      <c r="D7" s="1" t="str">
        <f ca="1">IFERROR(__xludf.DUMMYFUNCTION("""COMPUTED_VALUE"""),"2 Montfern Avenue Unit 2")</f>
        <v>2 Montfern Avenue Unit 2</v>
      </c>
      <c r="E7" s="1" t="str">
        <f ca="1">IFERROR(__xludf.DUMMYFUNCTION("""COMPUTED_VALUE"""),"Boston")</f>
        <v>Boston</v>
      </c>
      <c r="F7" s="1" t="str">
        <f ca="1">IFERROR(__xludf.DUMMYFUNCTION("""COMPUTED_VALUE"""),"Boston - Brighton")</f>
        <v>Boston - Brighton</v>
      </c>
      <c r="G7" s="1">
        <f ca="1">IFERROR(__xludf.DUMMYFUNCTION("""COMPUTED_VALUE"""),2)</f>
        <v>2</v>
      </c>
      <c r="H7" s="1" t="str">
        <f ca="1">IFERROR(__xludf.DUMMYFUNCTION("""COMPUTED_VALUE"""),"B")</f>
        <v>B</v>
      </c>
      <c r="I7" s="4" t="str">
        <f ca="1">IFERROR(__xludf.DUMMYFUNCTION("""COMPUTED_VALUE"""),"2 Montfern Avenue#2B")</f>
        <v>2 Montfern Avenue#2B</v>
      </c>
      <c r="J7" s="4" t="str">
        <f ca="1">IFERROR(__xludf.DUMMYFUNCTION("""COMPUTED_VALUE"""),"0ea0cc63-d726-4362-b233-a6011ff6c6e1")</f>
        <v>0ea0cc63-d726-4362-b233-a6011ff6c6e1</v>
      </c>
      <c r="K7" s="4">
        <f ca="1">IFERROR(__xludf.DUMMYFUNCTION("""COMPUTED_VALUE"""),795)</f>
        <v>795</v>
      </c>
      <c r="L7" s="1" t="str">
        <f ca="1">IFERROR(__xludf.DUMMYFUNCTION("""COMPUTED_VALUE"""),"Peter")</f>
        <v>Peter</v>
      </c>
      <c r="M7" s="1" t="str">
        <f ca="1">IFERROR(__xludf.DUMMYFUNCTION("""COMPUTED_VALUE"""),"Peter (NOW)")</f>
        <v>Peter (NOW)</v>
      </c>
      <c r="N7" s="1" t="str">
        <f ca="1">IFERROR(__xludf.DUMMYFUNCTION("""COMPUTED_VALUE"""),"")</f>
        <v/>
      </c>
      <c r="O7" s="1" t="str">
        <f ca="1">IFERROR(__xludf.DUMMYFUNCTION("""COMPUTED_VALUE"""),"Vacant")</f>
        <v>Vacant</v>
      </c>
      <c r="P7" s="1"/>
      <c r="Q7" s="1"/>
      <c r="R7" s="1"/>
      <c r="S7" s="1" t="str">
        <f ca="1">IFERROR(__xludf.DUMMYFUNCTION("""COMPUTED_VALUE"""),"NO DOGS")</f>
        <v>NO DOGS</v>
      </c>
      <c r="T7" s="1"/>
      <c r="U7" s="1" t="str">
        <f ca="1">IFERROR(__xludf.DUMMYFUNCTION("""COMPUTED_VALUE"""),"Y")</f>
        <v>Y</v>
      </c>
      <c r="V7" s="1" t="str">
        <f ca="1">IFERROR(__xludf.DUMMYFUNCTION("""COMPUTED_VALUE"""),"N")</f>
        <v>N</v>
      </c>
      <c r="W7" s="1"/>
      <c r="X7" s="1"/>
      <c r="Y7" s="1"/>
      <c r="Z7" s="1"/>
      <c r="AA7" s="1"/>
      <c r="AB7" s="1"/>
      <c r="AC7" s="1"/>
    </row>
    <row r="8" spans="1:29">
      <c r="A8" s="1" t="str">
        <f ca="1">IFERROR(__xludf.DUMMYFUNCTION("""COMPUTED_VALUE"""),"2 Montfern Avenue")</f>
        <v>2 Montfern Avenue</v>
      </c>
      <c r="B8" s="1">
        <f ca="1">IFERROR(__xludf.DUMMYFUNCTION("""COMPUTED_VALUE"""),2)</f>
        <v>2</v>
      </c>
      <c r="C8" s="1" t="str">
        <f ca="1">IFERROR(__xludf.DUMMYFUNCTION("""COMPUTED_VALUE"""),"#2")</f>
        <v>#2</v>
      </c>
      <c r="D8" s="1" t="str">
        <f ca="1">IFERROR(__xludf.DUMMYFUNCTION("""COMPUTED_VALUE"""),"2 Montfern Avenue Unit 2")</f>
        <v>2 Montfern Avenue Unit 2</v>
      </c>
      <c r="E8" s="1" t="str">
        <f ca="1">IFERROR(__xludf.DUMMYFUNCTION("""COMPUTED_VALUE"""),"Boston")</f>
        <v>Boston</v>
      </c>
      <c r="F8" s="1" t="str">
        <f ca="1">IFERROR(__xludf.DUMMYFUNCTION("""COMPUTED_VALUE"""),"Boston - Brighton")</f>
        <v>Boston - Brighton</v>
      </c>
      <c r="G8" s="1">
        <f ca="1">IFERROR(__xludf.DUMMYFUNCTION("""COMPUTED_VALUE"""),3)</f>
        <v>3</v>
      </c>
      <c r="H8" s="1" t="str">
        <f ca="1">IFERROR(__xludf.DUMMYFUNCTION("""COMPUTED_VALUE"""),"C")</f>
        <v>C</v>
      </c>
      <c r="I8" s="4" t="str">
        <f ca="1">IFERROR(__xludf.DUMMYFUNCTION("""COMPUTED_VALUE"""),"2 Montfern Avenue#2C")</f>
        <v>2 Montfern Avenue#2C</v>
      </c>
      <c r="J8" s="4" t="str">
        <f ca="1">IFERROR(__xludf.DUMMYFUNCTION("""COMPUTED_VALUE"""),"0ea0cc63-d726-4362-b233-a6011ff6c6e1")</f>
        <v>0ea0cc63-d726-4362-b233-a6011ff6c6e1</v>
      </c>
      <c r="K8" s="4">
        <f ca="1">IFERROR(__xludf.DUMMYFUNCTION("""COMPUTED_VALUE"""),795)</f>
        <v>795</v>
      </c>
      <c r="L8" s="1" t="str">
        <f ca="1">IFERROR(__xludf.DUMMYFUNCTION("""COMPUTED_VALUE"""),"Peter")</f>
        <v>Peter</v>
      </c>
      <c r="M8" s="1" t="str">
        <f ca="1">IFERROR(__xludf.DUMMYFUNCTION("""COMPUTED_VALUE"""),"")</f>
        <v/>
      </c>
      <c r="N8" s="1" t="str">
        <f ca="1">IFERROR(__xludf.DUMMYFUNCTION("""COMPUTED_VALUE"""),"")</f>
        <v/>
      </c>
      <c r="O8" s="1" t="str">
        <f ca="1">IFERROR(__xludf.DUMMYFUNCTION("""COMPUTED_VALUE"""),"Occupied")</f>
        <v>Occupied</v>
      </c>
      <c r="P8" s="1"/>
      <c r="Q8" s="1"/>
      <c r="R8" s="1"/>
      <c r="S8" s="1" t="str">
        <f ca="1">IFERROR(__xludf.DUMMYFUNCTION("""COMPUTED_VALUE"""),"NO DOGS")</f>
        <v>NO DOGS</v>
      </c>
      <c r="T8" s="1"/>
      <c r="U8" s="1" t="str">
        <f ca="1">IFERROR(__xludf.DUMMYFUNCTION("""COMPUTED_VALUE"""),"Y")</f>
        <v>Y</v>
      </c>
      <c r="V8" s="1" t="str">
        <f ca="1">IFERROR(__xludf.DUMMYFUNCTION("""COMPUTED_VALUE"""),"N")</f>
        <v>N</v>
      </c>
      <c r="W8" s="1"/>
      <c r="X8" s="1"/>
      <c r="Y8" s="1" t="str">
        <f ca="1">IFERROR(__xludf.DUMMYFUNCTION("""COMPUTED_VALUE"""),"Christian Estrada")</f>
        <v>Christian Estrada</v>
      </c>
      <c r="Z8" s="1" t="str">
        <f ca="1">IFERROR(__xludf.DUMMYFUNCTION("""COMPUTED_VALUE"""),"estradachrisp@gmail.com")</f>
        <v>estradachrisp@gmail.com</v>
      </c>
      <c r="AA8" s="1"/>
      <c r="AB8" s="1"/>
      <c r="AC8" s="1"/>
    </row>
    <row r="9" spans="1:29">
      <c r="A9" s="1" t="str">
        <f ca="1">IFERROR(__xludf.DUMMYFUNCTION("""COMPUTED_VALUE"""),"2 Montfern Avenue")</f>
        <v>2 Montfern Avenue</v>
      </c>
      <c r="B9" s="1">
        <f ca="1">IFERROR(__xludf.DUMMYFUNCTION("""COMPUTED_VALUE"""),2)</f>
        <v>2</v>
      </c>
      <c r="C9" s="1" t="str">
        <f ca="1">IFERROR(__xludf.DUMMYFUNCTION("""COMPUTED_VALUE"""),"#2")</f>
        <v>#2</v>
      </c>
      <c r="D9" s="1" t="str">
        <f ca="1">IFERROR(__xludf.DUMMYFUNCTION("""COMPUTED_VALUE"""),"2 Montfern Avenue Unit 2")</f>
        <v>2 Montfern Avenue Unit 2</v>
      </c>
      <c r="E9" s="1" t="str">
        <f ca="1">IFERROR(__xludf.DUMMYFUNCTION("""COMPUTED_VALUE"""),"Boston")</f>
        <v>Boston</v>
      </c>
      <c r="F9" s="1" t="str">
        <f ca="1">IFERROR(__xludf.DUMMYFUNCTION("""COMPUTED_VALUE"""),"Boston - Brighton")</f>
        <v>Boston - Brighton</v>
      </c>
      <c r="G9" s="1">
        <f ca="1">IFERROR(__xludf.DUMMYFUNCTION("""COMPUTED_VALUE"""),4)</f>
        <v>4</v>
      </c>
      <c r="H9" s="1" t="str">
        <f ca="1">IFERROR(__xludf.DUMMYFUNCTION("""COMPUTED_VALUE"""),"D")</f>
        <v>D</v>
      </c>
      <c r="I9" s="4" t="str">
        <f ca="1">IFERROR(__xludf.DUMMYFUNCTION("""COMPUTED_VALUE"""),"2 Montfern Avenue#2D")</f>
        <v>2 Montfern Avenue#2D</v>
      </c>
      <c r="J9" s="4" t="str">
        <f ca="1">IFERROR(__xludf.DUMMYFUNCTION("""COMPUTED_VALUE"""),"0ea0cc63-d726-4362-b233-a6011ff6c6e1")</f>
        <v>0ea0cc63-d726-4362-b233-a6011ff6c6e1</v>
      </c>
      <c r="K9" s="4">
        <f ca="1">IFERROR(__xludf.DUMMYFUNCTION("""COMPUTED_VALUE"""),895)</f>
        <v>895</v>
      </c>
      <c r="L9" s="1" t="str">
        <f ca="1">IFERROR(__xludf.DUMMYFUNCTION("""COMPUTED_VALUE"""),"Peter")</f>
        <v>Peter</v>
      </c>
      <c r="M9" s="1" t="str">
        <f ca="1">IFERROR(__xludf.DUMMYFUNCTION("""COMPUTED_VALUE"""),"")</f>
        <v/>
      </c>
      <c r="N9" s="1" t="str">
        <f ca="1">IFERROR(__xludf.DUMMYFUNCTION("""COMPUTED_VALUE"""),"")</f>
        <v/>
      </c>
      <c r="O9" s="1" t="str">
        <f ca="1">IFERROR(__xludf.DUMMYFUNCTION("""COMPUTED_VALUE"""),"Upcoming Vacancy")</f>
        <v>Upcoming Vacancy</v>
      </c>
      <c r="P9" s="1" t="str">
        <f ca="1">IFERROR(__xludf.DUMMYFUNCTION("""COMPUTED_VALUE"""),"September")</f>
        <v>September</v>
      </c>
      <c r="Q9" s="1"/>
      <c r="R9" s="1"/>
      <c r="S9" s="1" t="str">
        <f ca="1">IFERROR(__xludf.DUMMYFUNCTION("""COMPUTED_VALUE"""),"NO DOGS")</f>
        <v>NO DOGS</v>
      </c>
      <c r="T9" s="1"/>
      <c r="U9" s="1" t="str">
        <f ca="1">IFERROR(__xludf.DUMMYFUNCTION("""COMPUTED_VALUE"""),"Y")</f>
        <v>Y</v>
      </c>
      <c r="V9" s="1" t="str">
        <f ca="1">IFERROR(__xludf.DUMMYFUNCTION("""COMPUTED_VALUE"""),"N")</f>
        <v>N</v>
      </c>
      <c r="W9" s="1"/>
      <c r="X9" s="1"/>
      <c r="Y9" s="1" t="str">
        <f ca="1">IFERROR(__xludf.DUMMYFUNCTION("""COMPUTED_VALUE"""),"Carlos Lacombe")</f>
        <v>Carlos Lacombe</v>
      </c>
      <c r="Z9" s="1" t="str">
        <f ca="1">IFERROR(__xludf.DUMMYFUNCTION("""COMPUTED_VALUE"""),"karlzhaiti@gmail.com")</f>
        <v>karlzhaiti@gmail.com</v>
      </c>
      <c r="AA9" s="1"/>
      <c r="AB9" s="1"/>
      <c r="AC9" s="1" t="str">
        <f ca="1">IFERROR(__xludf.DUMMYFUNCTION("""COMPUTED_VALUE"""),"overpaid buildium, deposify not through, but good enough (8/30)")</f>
        <v>overpaid buildium, deposify not through, but good enough (8/30)</v>
      </c>
    </row>
    <row r="10" spans="1:29">
      <c r="A10" s="1" t="str">
        <f ca="1">IFERROR(__xludf.DUMMYFUNCTION("""COMPUTED_VALUE"""),"2 Montfern Avenue")</f>
        <v>2 Montfern Avenue</v>
      </c>
      <c r="B10" s="1">
        <f ca="1">IFERROR(__xludf.DUMMYFUNCTION("""COMPUTED_VALUE"""),2)</f>
        <v>2</v>
      </c>
      <c r="C10" s="1" t="str">
        <f ca="1">IFERROR(__xludf.DUMMYFUNCTION("""COMPUTED_VALUE"""),"#3")</f>
        <v>#3</v>
      </c>
      <c r="D10" s="1" t="str">
        <f ca="1">IFERROR(__xludf.DUMMYFUNCTION("""COMPUTED_VALUE"""),"2 Montfern Avenue Unit 3")</f>
        <v>2 Montfern Avenue Unit 3</v>
      </c>
      <c r="E10" s="1" t="str">
        <f ca="1">IFERROR(__xludf.DUMMYFUNCTION("""COMPUTED_VALUE"""),"Boston")</f>
        <v>Boston</v>
      </c>
      <c r="F10" s="1" t="str">
        <f ca="1">IFERROR(__xludf.DUMMYFUNCTION("""COMPUTED_VALUE"""),"Boston - Brighton")</f>
        <v>Boston - Brighton</v>
      </c>
      <c r="G10" s="1">
        <f ca="1">IFERROR(__xludf.DUMMYFUNCTION("""COMPUTED_VALUE"""),1)</f>
        <v>1</v>
      </c>
      <c r="H10" s="1" t="str">
        <f ca="1">IFERROR(__xludf.DUMMYFUNCTION("""COMPUTED_VALUE"""),"A")</f>
        <v>A</v>
      </c>
      <c r="I10" s="4" t="str">
        <f ca="1">IFERROR(__xludf.DUMMYFUNCTION("""COMPUTED_VALUE"""),"2 Montfern Avenue#3A")</f>
        <v>2 Montfern Avenue#3A</v>
      </c>
      <c r="J10" s="4" t="str">
        <f ca="1">IFERROR(__xludf.DUMMYFUNCTION("""COMPUTED_VALUE"""),"a31cf2b1-c315-4c41-9796-c31a31858ba9")</f>
        <v>a31cf2b1-c315-4c41-9796-c31a31858ba9</v>
      </c>
      <c r="K10" s="4">
        <f ca="1">IFERROR(__xludf.DUMMYFUNCTION("""COMPUTED_VALUE"""),700)</f>
        <v>700</v>
      </c>
      <c r="L10" s="1" t="str">
        <f ca="1">IFERROR(__xludf.DUMMYFUNCTION("""COMPUTED_VALUE"""),"Peter")</f>
        <v>Peter</v>
      </c>
      <c r="M10" s="1" t="str">
        <f ca="1">IFERROR(__xludf.DUMMYFUNCTION("""COMPUTED_VALUE"""),"")</f>
        <v/>
      </c>
      <c r="N10" s="1" t="str">
        <f ca="1">IFERROR(__xludf.DUMMYFUNCTION("""COMPUTED_VALUE"""),"")</f>
        <v/>
      </c>
      <c r="O10" s="1" t="str">
        <f ca="1">IFERROR(__xludf.DUMMYFUNCTION("""COMPUTED_VALUE"""),"Occupied")</f>
        <v>Occupied</v>
      </c>
      <c r="P10" s="1"/>
      <c r="Q10" s="1"/>
      <c r="R10" s="1"/>
      <c r="S10" s="1" t="str">
        <f ca="1">IFERROR(__xludf.DUMMYFUNCTION("""COMPUTED_VALUE"""),"NO DOGS")</f>
        <v>NO DOGS</v>
      </c>
      <c r="T10" s="1" t="str">
        <f ca="1">IFERROR(__xludf.DUMMYFUNCTION("""COMPUTED_VALUE"""),"NO CATS")</f>
        <v>NO CATS</v>
      </c>
      <c r="U10" s="1" t="str">
        <f ca="1">IFERROR(__xludf.DUMMYFUNCTION("""COMPUTED_VALUE"""),"Y")</f>
        <v>Y</v>
      </c>
      <c r="V10" s="1" t="str">
        <f ca="1">IFERROR(__xludf.DUMMYFUNCTION("""COMPUTED_VALUE"""),"N")</f>
        <v>N</v>
      </c>
      <c r="W10" s="1"/>
      <c r="X10" s="1"/>
      <c r="Y10" s="1" t="str">
        <f ca="1">IFERROR(__xludf.DUMMYFUNCTION("""COMPUTED_VALUE"""),"Zoe Neubauer")</f>
        <v>Zoe Neubauer</v>
      </c>
      <c r="Z10" s="1" t="str">
        <f ca="1">IFERROR(__xludf.DUMMYFUNCTION("""COMPUTED_VALUE"""),"zneubauer15@gmail.com")</f>
        <v>zneubauer15@gmail.com</v>
      </c>
      <c r="AA10" s="1"/>
      <c r="AB10" s="1"/>
      <c r="AC10" s="1"/>
    </row>
    <row r="11" spans="1:29">
      <c r="A11" s="1" t="str">
        <f ca="1">IFERROR(__xludf.DUMMYFUNCTION("""COMPUTED_VALUE"""),"2 Montfern Avenue")</f>
        <v>2 Montfern Avenue</v>
      </c>
      <c r="B11" s="1">
        <f ca="1">IFERROR(__xludf.DUMMYFUNCTION("""COMPUTED_VALUE"""),2)</f>
        <v>2</v>
      </c>
      <c r="C11" s="1" t="str">
        <f ca="1">IFERROR(__xludf.DUMMYFUNCTION("""COMPUTED_VALUE"""),"#3")</f>
        <v>#3</v>
      </c>
      <c r="D11" s="1" t="str">
        <f ca="1">IFERROR(__xludf.DUMMYFUNCTION("""COMPUTED_VALUE"""),"2 Montfern Avenue Unit 3")</f>
        <v>2 Montfern Avenue Unit 3</v>
      </c>
      <c r="E11" s="1" t="str">
        <f ca="1">IFERROR(__xludf.DUMMYFUNCTION("""COMPUTED_VALUE"""),"Boston")</f>
        <v>Boston</v>
      </c>
      <c r="F11" s="1" t="str">
        <f ca="1">IFERROR(__xludf.DUMMYFUNCTION("""COMPUTED_VALUE"""),"Boston - Brighton")</f>
        <v>Boston - Brighton</v>
      </c>
      <c r="G11" s="1">
        <f ca="1">IFERROR(__xludf.DUMMYFUNCTION("""COMPUTED_VALUE"""),2)</f>
        <v>2</v>
      </c>
      <c r="H11" s="1" t="str">
        <f ca="1">IFERROR(__xludf.DUMMYFUNCTION("""COMPUTED_VALUE"""),"B")</f>
        <v>B</v>
      </c>
      <c r="I11" s="4" t="str">
        <f ca="1">IFERROR(__xludf.DUMMYFUNCTION("""COMPUTED_VALUE"""),"2 Montfern Avenue#3B")</f>
        <v>2 Montfern Avenue#3B</v>
      </c>
      <c r="J11" s="4" t="str">
        <f ca="1">IFERROR(__xludf.DUMMYFUNCTION("""COMPUTED_VALUE"""),"a31cf2b1-c315-4c41-9796-c31a31858ba9")</f>
        <v>a31cf2b1-c315-4c41-9796-c31a31858ba9</v>
      </c>
      <c r="K11" s="4">
        <f ca="1">IFERROR(__xludf.DUMMYFUNCTION("""COMPUTED_VALUE"""),795)</f>
        <v>795</v>
      </c>
      <c r="L11" s="1" t="str">
        <f ca="1">IFERROR(__xludf.DUMMYFUNCTION("""COMPUTED_VALUE"""),"Peter")</f>
        <v>Peter</v>
      </c>
      <c r="M11" s="1" t="str">
        <f ca="1">IFERROR(__xludf.DUMMYFUNCTION("""COMPUTED_VALUE"""),"Peter (NOW)")</f>
        <v>Peter (NOW)</v>
      </c>
      <c r="N11" s="1" t="str">
        <f ca="1">IFERROR(__xludf.DUMMYFUNCTION("""COMPUTED_VALUE"""),"")</f>
        <v/>
      </c>
      <c r="O11" s="1" t="str">
        <f ca="1">IFERROR(__xludf.DUMMYFUNCTION("""COMPUTED_VALUE"""),"Vacant")</f>
        <v>Vacant</v>
      </c>
      <c r="P11" s="1"/>
      <c r="Q11" s="1"/>
      <c r="R11" s="1"/>
      <c r="S11" s="1" t="str">
        <f ca="1">IFERROR(__xludf.DUMMYFUNCTION("""COMPUTED_VALUE"""),"NO DOGS")</f>
        <v>NO DOGS</v>
      </c>
      <c r="T11" s="1"/>
      <c r="U11" s="1" t="str">
        <f ca="1">IFERROR(__xludf.DUMMYFUNCTION("""COMPUTED_VALUE"""),"Y")</f>
        <v>Y</v>
      </c>
      <c r="V11" s="1" t="str">
        <f ca="1">IFERROR(__xludf.DUMMYFUNCTION("""COMPUTED_VALUE"""),"N")</f>
        <v>N</v>
      </c>
      <c r="W11" s="1"/>
      <c r="X11" s="1"/>
      <c r="Y11" s="1"/>
      <c r="Z11" s="1"/>
      <c r="AA11" s="1"/>
      <c r="AB11" s="1"/>
      <c r="AC11" s="1"/>
    </row>
    <row r="12" spans="1:29">
      <c r="A12" s="1" t="str">
        <f ca="1">IFERROR(__xludf.DUMMYFUNCTION("""COMPUTED_VALUE"""),"2 Montfern Avenue")</f>
        <v>2 Montfern Avenue</v>
      </c>
      <c r="B12" s="1">
        <f ca="1">IFERROR(__xludf.DUMMYFUNCTION("""COMPUTED_VALUE"""),2)</f>
        <v>2</v>
      </c>
      <c r="C12" s="1" t="str">
        <f ca="1">IFERROR(__xludf.DUMMYFUNCTION("""COMPUTED_VALUE"""),"#3")</f>
        <v>#3</v>
      </c>
      <c r="D12" s="1" t="str">
        <f ca="1">IFERROR(__xludf.DUMMYFUNCTION("""COMPUTED_VALUE"""),"2 Montfern Avenue Unit 3")</f>
        <v>2 Montfern Avenue Unit 3</v>
      </c>
      <c r="E12" s="1" t="str">
        <f ca="1">IFERROR(__xludf.DUMMYFUNCTION("""COMPUTED_VALUE"""),"Boston")</f>
        <v>Boston</v>
      </c>
      <c r="F12" s="1" t="str">
        <f ca="1">IFERROR(__xludf.DUMMYFUNCTION("""COMPUTED_VALUE"""),"Boston - Brighton")</f>
        <v>Boston - Brighton</v>
      </c>
      <c r="G12" s="1">
        <f ca="1">IFERROR(__xludf.DUMMYFUNCTION("""COMPUTED_VALUE"""),3)</f>
        <v>3</v>
      </c>
      <c r="H12" s="1" t="str">
        <f ca="1">IFERROR(__xludf.DUMMYFUNCTION("""COMPUTED_VALUE"""),"C")</f>
        <v>C</v>
      </c>
      <c r="I12" s="4" t="str">
        <f ca="1">IFERROR(__xludf.DUMMYFUNCTION("""COMPUTED_VALUE"""),"2 Montfern Avenue#3C")</f>
        <v>2 Montfern Avenue#3C</v>
      </c>
      <c r="J12" s="4" t="str">
        <f ca="1">IFERROR(__xludf.DUMMYFUNCTION("""COMPUTED_VALUE"""),"a31cf2b1-c315-4c41-9796-c31a31858ba9")</f>
        <v>a31cf2b1-c315-4c41-9796-c31a31858ba9</v>
      </c>
      <c r="K12" s="4">
        <f ca="1">IFERROR(__xludf.DUMMYFUNCTION("""COMPUTED_VALUE"""),800)</f>
        <v>800</v>
      </c>
      <c r="L12" s="1" t="str">
        <f ca="1">IFERROR(__xludf.DUMMYFUNCTION("""COMPUTED_VALUE"""),"Peter")</f>
        <v>Peter</v>
      </c>
      <c r="M12" s="1" t="str">
        <f ca="1">IFERROR(__xludf.DUMMYFUNCTION("""COMPUTED_VALUE"""),"")</f>
        <v/>
      </c>
      <c r="N12" s="1" t="str">
        <f ca="1">IFERROR(__xludf.DUMMYFUNCTION("""COMPUTED_VALUE"""),"")</f>
        <v/>
      </c>
      <c r="O12" s="1" t="str">
        <f ca="1">IFERROR(__xludf.DUMMYFUNCTION("""COMPUTED_VALUE"""),"Occupied")</f>
        <v>Occupied</v>
      </c>
      <c r="P12" s="1"/>
      <c r="Q12" s="1"/>
      <c r="R12" s="1"/>
      <c r="S12" s="1" t="str">
        <f ca="1">IFERROR(__xludf.DUMMYFUNCTION("""COMPUTED_VALUE"""),"NO DOGS")</f>
        <v>NO DOGS</v>
      </c>
      <c r="T12" s="1"/>
      <c r="U12" s="1" t="str">
        <f ca="1">IFERROR(__xludf.DUMMYFUNCTION("""COMPUTED_VALUE"""),"Y")</f>
        <v>Y</v>
      </c>
      <c r="V12" s="1" t="str">
        <f ca="1">IFERROR(__xludf.DUMMYFUNCTION("""COMPUTED_VALUE"""),"N")</f>
        <v>N</v>
      </c>
      <c r="W12" s="1"/>
      <c r="X12" s="1"/>
      <c r="Y12" s="1" t="str">
        <f ca="1">IFERROR(__xludf.DUMMYFUNCTION("""COMPUTED_VALUE"""),"Stephanie Leblanc")</f>
        <v>Stephanie Leblanc</v>
      </c>
      <c r="Z12" s="1" t="str">
        <f ca="1">IFERROR(__xludf.DUMMYFUNCTION("""COMPUTED_VALUE"""),"stephanie.leblanc9216@gmail.com")</f>
        <v>stephanie.leblanc9216@gmail.com</v>
      </c>
      <c r="AA12" s="1"/>
      <c r="AB12" s="1"/>
      <c r="AC12" s="1"/>
    </row>
    <row r="13" spans="1:29">
      <c r="A13" s="1" t="str">
        <f ca="1">IFERROR(__xludf.DUMMYFUNCTION("""COMPUTED_VALUE"""),"2 Montfern Avenue")</f>
        <v>2 Montfern Avenue</v>
      </c>
      <c r="B13" s="1">
        <f ca="1">IFERROR(__xludf.DUMMYFUNCTION("""COMPUTED_VALUE"""),2)</f>
        <v>2</v>
      </c>
      <c r="C13" s="1" t="str">
        <f ca="1">IFERROR(__xludf.DUMMYFUNCTION("""COMPUTED_VALUE"""),"#3")</f>
        <v>#3</v>
      </c>
      <c r="D13" s="1" t="str">
        <f ca="1">IFERROR(__xludf.DUMMYFUNCTION("""COMPUTED_VALUE"""),"2 Montfern Avenue Unit 3")</f>
        <v>2 Montfern Avenue Unit 3</v>
      </c>
      <c r="E13" s="1" t="str">
        <f ca="1">IFERROR(__xludf.DUMMYFUNCTION("""COMPUTED_VALUE"""),"Boston")</f>
        <v>Boston</v>
      </c>
      <c r="F13" s="1" t="str">
        <f ca="1">IFERROR(__xludf.DUMMYFUNCTION("""COMPUTED_VALUE"""),"Boston - Brighton")</f>
        <v>Boston - Brighton</v>
      </c>
      <c r="G13" s="1">
        <f ca="1">IFERROR(__xludf.DUMMYFUNCTION("""COMPUTED_VALUE"""),4)</f>
        <v>4</v>
      </c>
      <c r="H13" s="1" t="str">
        <f ca="1">IFERROR(__xludf.DUMMYFUNCTION("""COMPUTED_VALUE"""),"D")</f>
        <v>D</v>
      </c>
      <c r="I13" s="4" t="str">
        <f ca="1">IFERROR(__xludf.DUMMYFUNCTION("""COMPUTED_VALUE"""),"2 Montfern Avenue#3D")</f>
        <v>2 Montfern Avenue#3D</v>
      </c>
      <c r="J13" s="4" t="str">
        <f ca="1">IFERROR(__xludf.DUMMYFUNCTION("""COMPUTED_VALUE"""),"a31cf2b1-c315-4c41-9796-c31a31858ba9")</f>
        <v>a31cf2b1-c315-4c41-9796-c31a31858ba9</v>
      </c>
      <c r="K13" s="4">
        <f ca="1">IFERROR(__xludf.DUMMYFUNCTION("""COMPUTED_VALUE"""),895)</f>
        <v>895</v>
      </c>
      <c r="L13" s="1" t="str">
        <f ca="1">IFERROR(__xludf.DUMMYFUNCTION("""COMPUTED_VALUE"""),"Peter")</f>
        <v>Peter</v>
      </c>
      <c r="M13" s="1" t="str">
        <f ca="1">IFERROR(__xludf.DUMMYFUNCTION("""COMPUTED_VALUE"""),"")</f>
        <v/>
      </c>
      <c r="N13" s="1" t="str">
        <f ca="1">IFERROR(__xludf.DUMMYFUNCTION("""COMPUTED_VALUE"""),"")</f>
        <v/>
      </c>
      <c r="O13" s="1" t="str">
        <f ca="1">IFERROR(__xludf.DUMMYFUNCTION("""COMPUTED_VALUE"""),"Occupied")</f>
        <v>Occupied</v>
      </c>
      <c r="P13" s="1"/>
      <c r="Q13" s="1"/>
      <c r="R13" s="1"/>
      <c r="S13" s="1" t="str">
        <f ca="1">IFERROR(__xludf.DUMMYFUNCTION("""COMPUTED_VALUE"""),"NO DOGS")</f>
        <v>NO DOGS</v>
      </c>
      <c r="T13" s="1"/>
      <c r="U13" s="1" t="str">
        <f ca="1">IFERROR(__xludf.DUMMYFUNCTION("""COMPUTED_VALUE"""),"Y")</f>
        <v>Y</v>
      </c>
      <c r="V13" s="1" t="str">
        <f ca="1">IFERROR(__xludf.DUMMYFUNCTION("""COMPUTED_VALUE"""),"N")</f>
        <v>N</v>
      </c>
      <c r="W13" s="1"/>
      <c r="X13" s="1"/>
      <c r="Y13" s="1" t="str">
        <f ca="1">IFERROR(__xludf.DUMMYFUNCTION("""COMPUTED_VALUE"""),"Mike Ernest")</f>
        <v>Mike Ernest</v>
      </c>
      <c r="Z13" s="1" t="str">
        <f ca="1">IFERROR(__xludf.DUMMYFUNCTION("""COMPUTED_VALUE"""),"michaelpsimkins@gmail.com")</f>
        <v>michaelpsimkins@gmail.com</v>
      </c>
      <c r="AA13" s="1"/>
      <c r="AB13" s="1"/>
      <c r="AC13" s="1" t="str">
        <f ca="1">IFERROR(__xludf.DUMMYFUNCTION("""COMPUTED_VALUE"""),"(Original name Emily, is Trans) ")</f>
        <v xml:space="preserve">(Original name Emily, is Trans) </v>
      </c>
    </row>
    <row r="14" spans="1:29">
      <c r="A14" s="1" t="str">
        <f ca="1">IFERROR(__xludf.DUMMYFUNCTION("""COMPUTED_VALUE"""),"4 Elko Street")</f>
        <v>4 Elko Street</v>
      </c>
      <c r="B14" s="1">
        <f ca="1">IFERROR(__xludf.DUMMYFUNCTION("""COMPUTED_VALUE"""),4)</f>
        <v>4</v>
      </c>
      <c r="C14" s="1" t="str">
        <f ca="1">IFERROR(__xludf.DUMMYFUNCTION("""COMPUTED_VALUE"""),"#B1")</f>
        <v>#B1</v>
      </c>
      <c r="D14" s="1" t="str">
        <f ca="1">IFERROR(__xludf.DUMMYFUNCTION("""COMPUTED_VALUE"""),"4 Elko Street Unit B1")</f>
        <v>4 Elko Street Unit B1</v>
      </c>
      <c r="E14" s="1" t="str">
        <f ca="1">IFERROR(__xludf.DUMMYFUNCTION("""COMPUTED_VALUE"""),"Boston")</f>
        <v>Boston</v>
      </c>
      <c r="F14" s="1" t="str">
        <f ca="1">IFERROR(__xludf.DUMMYFUNCTION("""COMPUTED_VALUE"""),"Boston - Brighton")</f>
        <v>Boston - Brighton</v>
      </c>
      <c r="G14" s="1">
        <f ca="1">IFERROR(__xludf.DUMMYFUNCTION("""COMPUTED_VALUE"""),1)</f>
        <v>1</v>
      </c>
      <c r="H14" s="1" t="str">
        <f ca="1">IFERROR(__xludf.DUMMYFUNCTION("""COMPUTED_VALUE"""),"A")</f>
        <v>A</v>
      </c>
      <c r="I14" s="4" t="str">
        <f ca="1">IFERROR(__xludf.DUMMYFUNCTION("""COMPUTED_VALUE"""),"4 Elko Street#B1A")</f>
        <v>4 Elko Street#B1A</v>
      </c>
      <c r="J14" s="4" t="str">
        <f ca="1">IFERROR(__xludf.DUMMYFUNCTION("""COMPUTED_VALUE"""),"f1aded2d-6a7c-4ea6-81f4-a93619a78112")</f>
        <v>f1aded2d-6a7c-4ea6-81f4-a93619a78112</v>
      </c>
      <c r="K14" s="4">
        <f ca="1">IFERROR(__xludf.DUMMYFUNCTION("""COMPUTED_VALUE"""),1100)</f>
        <v>1100</v>
      </c>
      <c r="L14" s="1" t="str">
        <f ca="1">IFERROR(__xludf.DUMMYFUNCTION("""COMPUTED_VALUE"""),"Peter")</f>
        <v>Peter</v>
      </c>
      <c r="M14" s="1" t="str">
        <f ca="1">IFERROR(__xludf.DUMMYFUNCTION("""COMPUTED_VALUE"""),"")</f>
        <v/>
      </c>
      <c r="N14" s="1" t="str">
        <f ca="1">IFERROR(__xludf.DUMMYFUNCTION("""COMPUTED_VALUE"""),"")</f>
        <v/>
      </c>
      <c r="O14" s="1" t="str">
        <f ca="1">IFERROR(__xludf.DUMMYFUNCTION("""COMPUTED_VALUE"""),"Occupied")</f>
        <v>Occupied</v>
      </c>
      <c r="P14" s="1"/>
      <c r="Q14" s="1"/>
      <c r="R14" s="1"/>
      <c r="S14" s="1"/>
      <c r="T14" s="1"/>
      <c r="U14" s="1" t="str">
        <f ca="1">IFERROR(__xludf.DUMMYFUNCTION("""COMPUTED_VALUE"""),"Y")</f>
        <v>Y</v>
      </c>
      <c r="V14" s="1" t="str">
        <f ca="1">IFERROR(__xludf.DUMMYFUNCTION("""COMPUTED_VALUE"""),"Y")</f>
        <v>Y</v>
      </c>
      <c r="W14" s="1"/>
      <c r="X14" s="1"/>
      <c r="Y14" s="1" t="str">
        <f ca="1">IFERROR(__xludf.DUMMYFUNCTION("""COMPUTED_VALUE"""),"William Zamites")</f>
        <v>William Zamites</v>
      </c>
      <c r="Z14" s="1" t="str">
        <f ca="1">IFERROR(__xludf.DUMMYFUNCTION("""COMPUTED_VALUE"""),"wzamites@gmail.com")</f>
        <v>wzamites@gmail.com</v>
      </c>
      <c r="AA14" s="1"/>
      <c r="AB14" s="1"/>
      <c r="AC14" s="1"/>
    </row>
    <row r="15" spans="1:29">
      <c r="A15" s="1" t="str">
        <f ca="1">IFERROR(__xludf.DUMMYFUNCTION("""COMPUTED_VALUE"""),"4 Elko Street")</f>
        <v>4 Elko Street</v>
      </c>
      <c r="B15" s="1">
        <f ca="1">IFERROR(__xludf.DUMMYFUNCTION("""COMPUTED_VALUE"""),4)</f>
        <v>4</v>
      </c>
      <c r="C15" s="1" t="str">
        <f ca="1">IFERROR(__xludf.DUMMYFUNCTION("""COMPUTED_VALUE"""),"#B1")</f>
        <v>#B1</v>
      </c>
      <c r="D15" s="1" t="str">
        <f ca="1">IFERROR(__xludf.DUMMYFUNCTION("""COMPUTED_VALUE"""),"4 Elko Street Unit B1")</f>
        <v>4 Elko Street Unit B1</v>
      </c>
      <c r="E15" s="1" t="str">
        <f ca="1">IFERROR(__xludf.DUMMYFUNCTION("""COMPUTED_VALUE"""),"Boston")</f>
        <v>Boston</v>
      </c>
      <c r="F15" s="1" t="str">
        <f ca="1">IFERROR(__xludf.DUMMYFUNCTION("""COMPUTED_VALUE"""),"Boston - Brighton")</f>
        <v>Boston - Brighton</v>
      </c>
      <c r="G15" s="1">
        <f ca="1">IFERROR(__xludf.DUMMYFUNCTION("""COMPUTED_VALUE"""),2)</f>
        <v>2</v>
      </c>
      <c r="H15" s="1" t="str">
        <f ca="1">IFERROR(__xludf.DUMMYFUNCTION("""COMPUTED_VALUE"""),"B")</f>
        <v>B</v>
      </c>
      <c r="I15" s="4" t="str">
        <f ca="1">IFERROR(__xludf.DUMMYFUNCTION("""COMPUTED_VALUE"""),"4 Elko Street#B1B")</f>
        <v>4 Elko Street#B1B</v>
      </c>
      <c r="J15" s="4" t="str">
        <f ca="1">IFERROR(__xludf.DUMMYFUNCTION("""COMPUTED_VALUE"""),"f1aded2d-6a7c-4ea6-81f4-a93619a78112")</f>
        <v>f1aded2d-6a7c-4ea6-81f4-a93619a78112</v>
      </c>
      <c r="K15" s="4">
        <f ca="1">IFERROR(__xludf.DUMMYFUNCTION("""COMPUTED_VALUE"""),895)</f>
        <v>895</v>
      </c>
      <c r="L15" s="1" t="str">
        <f ca="1">IFERROR(__xludf.DUMMYFUNCTION("""COMPUTED_VALUE"""),"Peter")</f>
        <v>Peter</v>
      </c>
      <c r="M15" s="1" t="str">
        <f ca="1">IFERROR(__xludf.DUMMYFUNCTION("""COMPUTED_VALUE"""),"Peter (NOW)")</f>
        <v>Peter (NOW)</v>
      </c>
      <c r="N15" s="1" t="str">
        <f ca="1">IFERROR(__xludf.DUMMYFUNCTION("""COMPUTED_VALUE"""),"")</f>
        <v/>
      </c>
      <c r="O15" s="1" t="str">
        <f ca="1">IFERROR(__xludf.DUMMYFUNCTION("""COMPUTED_VALUE"""),"Upcoming Vacancy")</f>
        <v>Upcoming Vacancy</v>
      </c>
      <c r="P15" s="1" t="str">
        <f ca="1">IFERROR(__xludf.DUMMYFUNCTION("""COMPUTED_VALUE"""),"February")</f>
        <v>February</v>
      </c>
      <c r="Q15" s="3">
        <f ca="1">IFERROR(__xludf.DUMMYFUNCTION("""COMPUTED_VALUE"""),43861)</f>
        <v>43861</v>
      </c>
      <c r="R15" s="1"/>
      <c r="S15" s="1"/>
      <c r="T15" s="1" t="str">
        <f ca="1">IFERROR(__xludf.DUMMYFUNCTION("""COMPUTED_VALUE"""),"Cat")</f>
        <v>Cat</v>
      </c>
      <c r="U15" s="1" t="str">
        <f ca="1">IFERROR(__xludf.DUMMYFUNCTION("""COMPUTED_VALUE"""),"Y")</f>
        <v>Y</v>
      </c>
      <c r="V15" s="1" t="str">
        <f ca="1">IFERROR(__xludf.DUMMYFUNCTION("""COMPUTED_VALUE"""),"Y")</f>
        <v>Y</v>
      </c>
      <c r="W15" s="1"/>
      <c r="X15" s="1"/>
      <c r="Y15" s="1" t="str">
        <f ca="1">IFERROR(__xludf.DUMMYFUNCTION("""COMPUTED_VALUE"""),"Tianna Taylor")</f>
        <v>Tianna Taylor</v>
      </c>
      <c r="Z15" s="1" t="str">
        <f ca="1">IFERROR(__xludf.DUMMYFUNCTION("""COMPUTED_VALUE"""),"Taylor.tianna617@gmail.com")</f>
        <v>Taylor.tianna617@gmail.com</v>
      </c>
      <c r="AA15" s="1"/>
      <c r="AB15" s="1"/>
      <c r="AC15" s="1"/>
    </row>
    <row r="16" spans="1:29">
      <c r="A16" s="1" t="str">
        <f ca="1">IFERROR(__xludf.DUMMYFUNCTION("""COMPUTED_VALUE"""),"4 Elko Street")</f>
        <v>4 Elko Street</v>
      </c>
      <c r="B16" s="1">
        <f ca="1">IFERROR(__xludf.DUMMYFUNCTION("""COMPUTED_VALUE"""),4)</f>
        <v>4</v>
      </c>
      <c r="C16" s="1" t="str">
        <f ca="1">IFERROR(__xludf.DUMMYFUNCTION("""COMPUTED_VALUE"""),"#B1")</f>
        <v>#B1</v>
      </c>
      <c r="D16" s="1" t="str">
        <f ca="1">IFERROR(__xludf.DUMMYFUNCTION("""COMPUTED_VALUE"""),"4 Elko Street Unit B1")</f>
        <v>4 Elko Street Unit B1</v>
      </c>
      <c r="E16" s="1" t="str">
        <f ca="1">IFERROR(__xludf.DUMMYFUNCTION("""COMPUTED_VALUE"""),"Boston")</f>
        <v>Boston</v>
      </c>
      <c r="F16" s="1" t="str">
        <f ca="1">IFERROR(__xludf.DUMMYFUNCTION("""COMPUTED_VALUE"""),"Boston - Brighton")</f>
        <v>Boston - Brighton</v>
      </c>
      <c r="G16" s="1">
        <f ca="1">IFERROR(__xludf.DUMMYFUNCTION("""COMPUTED_VALUE"""),3)</f>
        <v>3</v>
      </c>
      <c r="H16" s="1" t="str">
        <f ca="1">IFERROR(__xludf.DUMMYFUNCTION("""COMPUTED_VALUE"""),"C")</f>
        <v>C</v>
      </c>
      <c r="I16" s="4" t="str">
        <f ca="1">IFERROR(__xludf.DUMMYFUNCTION("""COMPUTED_VALUE"""),"4 Elko Street#B1C")</f>
        <v>4 Elko Street#B1C</v>
      </c>
      <c r="J16" s="4" t="str">
        <f ca="1">IFERROR(__xludf.DUMMYFUNCTION("""COMPUTED_VALUE"""),"f1aded2d-6a7c-4ea6-81f4-a93619a78112")</f>
        <v>f1aded2d-6a7c-4ea6-81f4-a93619a78112</v>
      </c>
      <c r="K16" s="4">
        <f ca="1">IFERROR(__xludf.DUMMYFUNCTION("""COMPUTED_VALUE"""),1100)</f>
        <v>1100</v>
      </c>
      <c r="L16" s="1" t="str">
        <f ca="1">IFERROR(__xludf.DUMMYFUNCTION("""COMPUTED_VALUE"""),"Peter")</f>
        <v>Peter</v>
      </c>
      <c r="M16" s="1" t="str">
        <f ca="1">IFERROR(__xludf.DUMMYFUNCTION("""COMPUTED_VALUE"""),"")</f>
        <v/>
      </c>
      <c r="N16" s="1" t="str">
        <f ca="1">IFERROR(__xludf.DUMMYFUNCTION("""COMPUTED_VALUE"""),"")</f>
        <v/>
      </c>
      <c r="O16" s="1" t="str">
        <f ca="1">IFERROR(__xludf.DUMMYFUNCTION("""COMPUTED_VALUE"""),"Occupied")</f>
        <v>Occupied</v>
      </c>
      <c r="P16" s="1"/>
      <c r="Q16" s="1"/>
      <c r="R16" s="1"/>
      <c r="S16" s="1"/>
      <c r="T16" s="1"/>
      <c r="U16" s="1" t="str">
        <f ca="1">IFERROR(__xludf.DUMMYFUNCTION("""COMPUTED_VALUE"""),"Y")</f>
        <v>Y</v>
      </c>
      <c r="V16" s="1" t="str">
        <f ca="1">IFERROR(__xludf.DUMMYFUNCTION("""COMPUTED_VALUE"""),"Y")</f>
        <v>Y</v>
      </c>
      <c r="W16" s="1"/>
      <c r="X16" s="1"/>
      <c r="Y16" s="1" t="str">
        <f ca="1">IFERROR(__xludf.DUMMYFUNCTION("""COMPUTED_VALUE"""),"Rachel Jeannine Bacon")</f>
        <v>Rachel Jeannine Bacon</v>
      </c>
      <c r="Z16" s="1" t="str">
        <f ca="1">IFERROR(__xludf.DUMMYFUNCTION("""COMPUTED_VALUE"""),"rbacon44@gmail.com")</f>
        <v>rbacon44@gmail.com</v>
      </c>
      <c r="AA16" s="1"/>
      <c r="AB16" s="1"/>
      <c r="AC16" s="1"/>
    </row>
    <row r="17" spans="1:29">
      <c r="A17" s="1" t="str">
        <f ca="1">IFERROR(__xludf.DUMMYFUNCTION("""COMPUTED_VALUE"""),"4 Litchfield Street")</f>
        <v>4 Litchfield Street</v>
      </c>
      <c r="B17" s="1">
        <f ca="1">IFERROR(__xludf.DUMMYFUNCTION("""COMPUTED_VALUE"""),4)</f>
        <v>4</v>
      </c>
      <c r="C17" s="1" t="str">
        <f ca="1">IFERROR(__xludf.DUMMYFUNCTION("""COMPUTED_VALUE"""),"#2")</f>
        <v>#2</v>
      </c>
      <c r="D17" s="1" t="str">
        <f ca="1">IFERROR(__xludf.DUMMYFUNCTION("""COMPUTED_VALUE"""),"4 Litchfield Street Unit 2")</f>
        <v>4 Litchfield Street Unit 2</v>
      </c>
      <c r="E17" s="1" t="str">
        <f ca="1">IFERROR(__xludf.DUMMYFUNCTION("""COMPUTED_VALUE"""),"Boston")</f>
        <v>Boston</v>
      </c>
      <c r="F17" s="1" t="str">
        <f ca="1">IFERROR(__xludf.DUMMYFUNCTION("""COMPUTED_VALUE"""),"Boston - Brighton")</f>
        <v>Boston - Brighton</v>
      </c>
      <c r="G17" s="1">
        <f ca="1">IFERROR(__xludf.DUMMYFUNCTION("""COMPUTED_VALUE"""),1)</f>
        <v>1</v>
      </c>
      <c r="H17" s="1" t="str">
        <f ca="1">IFERROR(__xludf.DUMMYFUNCTION("""COMPUTED_VALUE"""),"A")</f>
        <v>A</v>
      </c>
      <c r="I17" s="4" t="str">
        <f ca="1">IFERROR(__xludf.DUMMYFUNCTION("""COMPUTED_VALUE"""),"4 Litchfield Street#2A")</f>
        <v>4 Litchfield Street#2A</v>
      </c>
      <c r="J17" s="4" t="str">
        <f ca="1">IFERROR(__xludf.DUMMYFUNCTION("""COMPUTED_VALUE"""),"8ec4797f-0598-471c-a8a1-a589654c6c24")</f>
        <v>8ec4797f-0598-471c-a8a1-a589654c6c24</v>
      </c>
      <c r="K17" s="4">
        <f ca="1">IFERROR(__xludf.DUMMYFUNCTION("""COMPUTED_VALUE"""),800)</f>
        <v>800</v>
      </c>
      <c r="L17" s="1" t="str">
        <f ca="1">IFERROR(__xludf.DUMMYFUNCTION("""COMPUTED_VALUE"""),"Peter")</f>
        <v>Peter</v>
      </c>
      <c r="M17" s="1" t="str">
        <f ca="1">IFERROR(__xludf.DUMMYFUNCTION("""COMPUTED_VALUE"""),"")</f>
        <v/>
      </c>
      <c r="N17" s="1" t="str">
        <f ca="1">IFERROR(__xludf.DUMMYFUNCTION("""COMPUTED_VALUE"""),"")</f>
        <v/>
      </c>
      <c r="O17" s="1" t="str">
        <f ca="1">IFERROR(__xludf.DUMMYFUNCTION("""COMPUTED_VALUE"""),"Occupied")</f>
        <v>Occupied</v>
      </c>
      <c r="P17" s="1"/>
      <c r="Q17" s="1"/>
      <c r="R17" s="1"/>
      <c r="S17" s="1"/>
      <c r="T17" s="1"/>
      <c r="U17" s="1" t="str">
        <f ca="1">IFERROR(__xludf.DUMMYFUNCTION("""COMPUTED_VALUE"""),"N")</f>
        <v>N</v>
      </c>
      <c r="V17" s="1" t="str">
        <f ca="1">IFERROR(__xludf.DUMMYFUNCTION("""COMPUTED_VALUE"""),"N")</f>
        <v>N</v>
      </c>
      <c r="W17" s="1"/>
      <c r="X17" s="1"/>
      <c r="Y17" s="1" t="str">
        <f ca="1">IFERROR(__xludf.DUMMYFUNCTION("""COMPUTED_VALUE"""),"Sonya Harvey-Justiniano")</f>
        <v>Sonya Harvey-Justiniano</v>
      </c>
      <c r="Z17" s="1" t="str">
        <f ca="1">IFERROR(__xludf.DUMMYFUNCTION("""COMPUTED_VALUE"""),"crystal.tina998@gmail.com")</f>
        <v>crystal.tina998@gmail.com</v>
      </c>
      <c r="AA17" s="1"/>
      <c r="AB17" s="1"/>
      <c r="AC17" s="1"/>
    </row>
    <row r="18" spans="1:29">
      <c r="A18" s="1" t="str">
        <f ca="1">IFERROR(__xludf.DUMMYFUNCTION("""COMPUTED_VALUE"""),"4 Litchfield Street")</f>
        <v>4 Litchfield Street</v>
      </c>
      <c r="B18" s="1">
        <f ca="1">IFERROR(__xludf.DUMMYFUNCTION("""COMPUTED_VALUE"""),4)</f>
        <v>4</v>
      </c>
      <c r="C18" s="1" t="str">
        <f ca="1">IFERROR(__xludf.DUMMYFUNCTION("""COMPUTED_VALUE"""),"#2")</f>
        <v>#2</v>
      </c>
      <c r="D18" s="1" t="str">
        <f ca="1">IFERROR(__xludf.DUMMYFUNCTION("""COMPUTED_VALUE"""),"4 Litchfield Street Unit 2")</f>
        <v>4 Litchfield Street Unit 2</v>
      </c>
      <c r="E18" s="1" t="str">
        <f ca="1">IFERROR(__xludf.DUMMYFUNCTION("""COMPUTED_VALUE"""),"Boston")</f>
        <v>Boston</v>
      </c>
      <c r="F18" s="1" t="str">
        <f ca="1">IFERROR(__xludf.DUMMYFUNCTION("""COMPUTED_VALUE"""),"Boston - Brighton")</f>
        <v>Boston - Brighton</v>
      </c>
      <c r="G18" s="1">
        <f ca="1">IFERROR(__xludf.DUMMYFUNCTION("""COMPUTED_VALUE"""),2)</f>
        <v>2</v>
      </c>
      <c r="H18" s="1" t="str">
        <f ca="1">IFERROR(__xludf.DUMMYFUNCTION("""COMPUTED_VALUE"""),"B")</f>
        <v>B</v>
      </c>
      <c r="I18" s="4" t="str">
        <f ca="1">IFERROR(__xludf.DUMMYFUNCTION("""COMPUTED_VALUE"""),"4 Litchfield Street#2B")</f>
        <v>4 Litchfield Street#2B</v>
      </c>
      <c r="J18" s="4" t="str">
        <f ca="1">IFERROR(__xludf.DUMMYFUNCTION("""COMPUTED_VALUE"""),"8ec4797f-0598-471c-a8a1-a589654c6c24")</f>
        <v>8ec4797f-0598-471c-a8a1-a589654c6c24</v>
      </c>
      <c r="K18" s="4">
        <f ca="1">IFERROR(__xludf.DUMMYFUNCTION("""COMPUTED_VALUE"""),850)</f>
        <v>850</v>
      </c>
      <c r="L18" s="1" t="str">
        <f ca="1">IFERROR(__xludf.DUMMYFUNCTION("""COMPUTED_VALUE"""),"Peter")</f>
        <v>Peter</v>
      </c>
      <c r="M18" s="1" t="str">
        <f ca="1">IFERROR(__xludf.DUMMYFUNCTION("""COMPUTED_VALUE"""),"")</f>
        <v/>
      </c>
      <c r="N18" s="1" t="str">
        <f ca="1">IFERROR(__xludf.DUMMYFUNCTION("""COMPUTED_VALUE"""),"")</f>
        <v/>
      </c>
      <c r="O18" s="1" t="str">
        <f ca="1">IFERROR(__xludf.DUMMYFUNCTION("""COMPUTED_VALUE"""),"Occupied")</f>
        <v>Occupied</v>
      </c>
      <c r="P18" s="1"/>
      <c r="Q18" s="1"/>
      <c r="R18" s="1"/>
      <c r="S18" s="1"/>
      <c r="T18" s="1" t="str">
        <f ca="1">IFERROR(__xludf.DUMMYFUNCTION("""COMPUTED_VALUE"""),"Dog")</f>
        <v>Dog</v>
      </c>
      <c r="U18" s="1" t="str">
        <f ca="1">IFERROR(__xludf.DUMMYFUNCTION("""COMPUTED_VALUE"""),"N")</f>
        <v>N</v>
      </c>
      <c r="V18" s="1" t="str">
        <f ca="1">IFERROR(__xludf.DUMMYFUNCTION("""COMPUTED_VALUE"""),"N")</f>
        <v>N</v>
      </c>
      <c r="W18" s="1"/>
      <c r="X18" s="1"/>
      <c r="Y18" s="1" t="str">
        <f ca="1">IFERROR(__xludf.DUMMYFUNCTION("""COMPUTED_VALUE"""),"Mayra Trujillo")</f>
        <v>Mayra Trujillo</v>
      </c>
      <c r="Z18" s="1" t="str">
        <f ca="1">IFERROR(__xludf.DUMMYFUNCTION("""COMPUTED_VALUE"""),"mayraluisabel@gmail.com")</f>
        <v>mayraluisabel@gmail.com</v>
      </c>
      <c r="AA18" s="1"/>
      <c r="AB18" s="1"/>
      <c r="AC18" s="1"/>
    </row>
    <row r="19" spans="1:29">
      <c r="A19" s="1" t="str">
        <f ca="1">IFERROR(__xludf.DUMMYFUNCTION("""COMPUTED_VALUE"""),"4 Litchfield Street")</f>
        <v>4 Litchfield Street</v>
      </c>
      <c r="B19" s="1">
        <f ca="1">IFERROR(__xludf.DUMMYFUNCTION("""COMPUTED_VALUE"""),4)</f>
        <v>4</v>
      </c>
      <c r="C19" s="1" t="str">
        <f ca="1">IFERROR(__xludf.DUMMYFUNCTION("""COMPUTED_VALUE"""),"#2")</f>
        <v>#2</v>
      </c>
      <c r="D19" s="1" t="str">
        <f ca="1">IFERROR(__xludf.DUMMYFUNCTION("""COMPUTED_VALUE"""),"4 Litchfield Street Unit 2")</f>
        <v>4 Litchfield Street Unit 2</v>
      </c>
      <c r="E19" s="1" t="str">
        <f ca="1">IFERROR(__xludf.DUMMYFUNCTION("""COMPUTED_VALUE"""),"Boston")</f>
        <v>Boston</v>
      </c>
      <c r="F19" s="1" t="str">
        <f ca="1">IFERROR(__xludf.DUMMYFUNCTION("""COMPUTED_VALUE"""),"Boston - Brighton")</f>
        <v>Boston - Brighton</v>
      </c>
      <c r="G19" s="1">
        <f ca="1">IFERROR(__xludf.DUMMYFUNCTION("""COMPUTED_VALUE"""),3)</f>
        <v>3</v>
      </c>
      <c r="H19" s="1" t="str">
        <f ca="1">IFERROR(__xludf.DUMMYFUNCTION("""COMPUTED_VALUE"""),"C")</f>
        <v>C</v>
      </c>
      <c r="I19" s="4" t="str">
        <f ca="1">IFERROR(__xludf.DUMMYFUNCTION("""COMPUTED_VALUE"""),"4 Litchfield Street#2C")</f>
        <v>4 Litchfield Street#2C</v>
      </c>
      <c r="J19" s="4" t="str">
        <f ca="1">IFERROR(__xludf.DUMMYFUNCTION("""COMPUTED_VALUE"""),"8ec4797f-0598-471c-a8a1-a589654c6c24")</f>
        <v>8ec4797f-0598-471c-a8a1-a589654c6c24</v>
      </c>
      <c r="K19" s="4">
        <f ca="1">IFERROR(__xludf.DUMMYFUNCTION("""COMPUTED_VALUE"""),950)</f>
        <v>950</v>
      </c>
      <c r="L19" s="1" t="str">
        <f ca="1">IFERROR(__xludf.DUMMYFUNCTION("""COMPUTED_VALUE"""),"Peter")</f>
        <v>Peter</v>
      </c>
      <c r="M19" s="1" t="str">
        <f ca="1">IFERROR(__xludf.DUMMYFUNCTION("""COMPUTED_VALUE"""),"")</f>
        <v/>
      </c>
      <c r="N19" s="1" t="str">
        <f ca="1">IFERROR(__xludf.DUMMYFUNCTION("""COMPUTED_VALUE"""),"")</f>
        <v/>
      </c>
      <c r="O19" s="1" t="str">
        <f ca="1">IFERROR(__xludf.DUMMYFUNCTION("""COMPUTED_VALUE"""),"Occupied")</f>
        <v>Occupied</v>
      </c>
      <c r="P19" s="1"/>
      <c r="Q19" s="1"/>
      <c r="R19" s="1"/>
      <c r="S19" s="1"/>
      <c r="T19" s="1"/>
      <c r="U19" s="1" t="str">
        <f ca="1">IFERROR(__xludf.DUMMYFUNCTION("""COMPUTED_VALUE"""),"N")</f>
        <v>N</v>
      </c>
      <c r="V19" s="1" t="str">
        <f ca="1">IFERROR(__xludf.DUMMYFUNCTION("""COMPUTED_VALUE"""),"N")</f>
        <v>N</v>
      </c>
      <c r="W19" s="1"/>
      <c r="X19" s="1"/>
      <c r="Y19" s="1" t="str">
        <f ca="1">IFERROR(__xludf.DUMMYFUNCTION("""COMPUTED_VALUE"""),"Brian Bowman")</f>
        <v>Brian Bowman</v>
      </c>
      <c r="Z19" s="1" t="str">
        <f ca="1">IFERROR(__xludf.DUMMYFUNCTION("""COMPUTED_VALUE"""),"bjbowman83@hotmail.com")</f>
        <v>bjbowman83@hotmail.com</v>
      </c>
      <c r="AA19" s="1"/>
      <c r="AB19" s="1"/>
      <c r="AC19" s="1"/>
    </row>
    <row r="20" spans="1:29">
      <c r="A20" s="1" t="str">
        <f ca="1">IFERROR(__xludf.DUMMYFUNCTION("""COMPUTED_VALUE"""),"4 Litchfield Street")</f>
        <v>4 Litchfield Street</v>
      </c>
      <c r="B20" s="1">
        <f ca="1">IFERROR(__xludf.DUMMYFUNCTION("""COMPUTED_VALUE"""),4)</f>
        <v>4</v>
      </c>
      <c r="C20" s="1" t="str">
        <f ca="1">IFERROR(__xludf.DUMMYFUNCTION("""COMPUTED_VALUE"""),"#2")</f>
        <v>#2</v>
      </c>
      <c r="D20" s="1" t="str">
        <f ca="1">IFERROR(__xludf.DUMMYFUNCTION("""COMPUTED_VALUE"""),"4 Litchfield Street Unit 2")</f>
        <v>4 Litchfield Street Unit 2</v>
      </c>
      <c r="E20" s="1" t="str">
        <f ca="1">IFERROR(__xludf.DUMMYFUNCTION("""COMPUTED_VALUE"""),"Boston")</f>
        <v>Boston</v>
      </c>
      <c r="F20" s="1" t="str">
        <f ca="1">IFERROR(__xludf.DUMMYFUNCTION("""COMPUTED_VALUE"""),"Boston - Brighton")</f>
        <v>Boston - Brighton</v>
      </c>
      <c r="G20" s="1">
        <f ca="1">IFERROR(__xludf.DUMMYFUNCTION("""COMPUTED_VALUE"""),4)</f>
        <v>4</v>
      </c>
      <c r="H20" s="1" t="str">
        <f ca="1">IFERROR(__xludf.DUMMYFUNCTION("""COMPUTED_VALUE"""),"D")</f>
        <v>D</v>
      </c>
      <c r="I20" s="4" t="str">
        <f ca="1">IFERROR(__xludf.DUMMYFUNCTION("""COMPUTED_VALUE"""),"4 Litchfield Street#2D")</f>
        <v>4 Litchfield Street#2D</v>
      </c>
      <c r="J20" s="4" t="str">
        <f ca="1">IFERROR(__xludf.DUMMYFUNCTION("""COMPUTED_VALUE"""),"8ec4797f-0598-471c-a8a1-a589654c6c24")</f>
        <v>8ec4797f-0598-471c-a8a1-a589654c6c24</v>
      </c>
      <c r="K20" s="4">
        <f ca="1">IFERROR(__xludf.DUMMYFUNCTION("""COMPUTED_VALUE"""),875)</f>
        <v>875</v>
      </c>
      <c r="L20" s="1" t="str">
        <f ca="1">IFERROR(__xludf.DUMMYFUNCTION("""COMPUTED_VALUE"""),"Peter")</f>
        <v>Peter</v>
      </c>
      <c r="M20" s="1" t="str">
        <f ca="1">IFERROR(__xludf.DUMMYFUNCTION("""COMPUTED_VALUE"""),"")</f>
        <v/>
      </c>
      <c r="N20" s="1" t="str">
        <f ca="1">IFERROR(__xludf.DUMMYFUNCTION("""COMPUTED_VALUE"""),"")</f>
        <v/>
      </c>
      <c r="O20" s="1" t="str">
        <f ca="1">IFERROR(__xludf.DUMMYFUNCTION("""COMPUTED_VALUE"""),"Occupied")</f>
        <v>Occupied</v>
      </c>
      <c r="P20" s="1"/>
      <c r="Q20" s="1"/>
      <c r="R20" s="1"/>
      <c r="S20" s="1"/>
      <c r="T20" s="1" t="str">
        <f ca="1">IFERROR(__xludf.DUMMYFUNCTION("""COMPUTED_VALUE"""),"Cat")</f>
        <v>Cat</v>
      </c>
      <c r="U20" s="1" t="str">
        <f ca="1">IFERROR(__xludf.DUMMYFUNCTION("""COMPUTED_VALUE"""),"N")</f>
        <v>N</v>
      </c>
      <c r="V20" s="1" t="str">
        <f ca="1">IFERROR(__xludf.DUMMYFUNCTION("""COMPUTED_VALUE"""),"N")</f>
        <v>N</v>
      </c>
      <c r="W20" s="1"/>
      <c r="X20" s="1"/>
      <c r="Y20" s="1" t="str">
        <f ca="1">IFERROR(__xludf.DUMMYFUNCTION("""COMPUTED_VALUE"""),"Sebastian Antoniuk")</f>
        <v>Sebastian Antoniuk</v>
      </c>
      <c r="Z20" s="1" t="str">
        <f ca="1">IFERROR(__xludf.DUMMYFUNCTION("""COMPUTED_VALUE"""),"antoniuk.sebastian@gmail.com")</f>
        <v>antoniuk.sebastian@gmail.com</v>
      </c>
      <c r="AA20" s="1" t="str">
        <f ca="1">IFERROR(__xludf.DUMMYFUNCTION("""COMPUTED_VALUE"""),"2 cats ($60/month)")</f>
        <v>2 cats ($60/month)</v>
      </c>
      <c r="AB20" s="1"/>
      <c r="AC20" s="1"/>
    </row>
    <row r="21" spans="1:29">
      <c r="A21" s="1" t="str">
        <f ca="1">IFERROR(__xludf.DUMMYFUNCTION("""COMPUTED_VALUE"""),"5 Condor Street")</f>
        <v>5 Condor Street</v>
      </c>
      <c r="B21" s="1">
        <f ca="1">IFERROR(__xludf.DUMMYFUNCTION("""COMPUTED_VALUE"""),5)</f>
        <v>5</v>
      </c>
      <c r="C21" s="1" t="str">
        <f ca="1">IFERROR(__xludf.DUMMYFUNCTION("""COMPUTED_VALUE"""),"#3")</f>
        <v>#3</v>
      </c>
      <c r="D21" s="1" t="str">
        <f ca="1">IFERROR(__xludf.DUMMYFUNCTION("""COMPUTED_VALUE"""),"5 Condor Street Unit 3")</f>
        <v>5 Condor Street Unit 3</v>
      </c>
      <c r="E21" s="1" t="str">
        <f ca="1">IFERROR(__xludf.DUMMYFUNCTION("""COMPUTED_VALUE"""),"Boston")</f>
        <v>Boston</v>
      </c>
      <c r="F21" s="1" t="str">
        <f ca="1">IFERROR(__xludf.DUMMYFUNCTION("""COMPUTED_VALUE"""),"Boston - East Boston")</f>
        <v>Boston - East Boston</v>
      </c>
      <c r="G21" s="1">
        <f ca="1">IFERROR(__xludf.DUMMYFUNCTION("""COMPUTED_VALUE"""),1)</f>
        <v>1</v>
      </c>
      <c r="H21" s="1" t="str">
        <f ca="1">IFERROR(__xludf.DUMMYFUNCTION("""COMPUTED_VALUE"""),"A")</f>
        <v>A</v>
      </c>
      <c r="I21" s="4" t="str">
        <f ca="1">IFERROR(__xludf.DUMMYFUNCTION("""COMPUTED_VALUE"""),"5 Condor Street#3A")</f>
        <v>5 Condor Street#3A</v>
      </c>
      <c r="J21" s="4" t="str">
        <f ca="1">IFERROR(__xludf.DUMMYFUNCTION("""COMPUTED_VALUE"""),"f15ce743-6a9f-4b87-a9aa-08b4743ca8fc")</f>
        <v>f15ce743-6a9f-4b87-a9aa-08b4743ca8fc</v>
      </c>
      <c r="K21" s="4">
        <f ca="1">IFERROR(__xludf.DUMMYFUNCTION("""COMPUTED_VALUE"""),990)</f>
        <v>990</v>
      </c>
      <c r="L21" s="1" t="str">
        <f ca="1">IFERROR(__xludf.DUMMYFUNCTION("""COMPUTED_VALUE"""),"Lizzie")</f>
        <v>Lizzie</v>
      </c>
      <c r="M21" s="1" t="str">
        <f ca="1">IFERROR(__xludf.DUMMYFUNCTION("""COMPUTED_VALUE"""),"")</f>
        <v/>
      </c>
      <c r="N21" s="1" t="str">
        <f ca="1">IFERROR(__xludf.DUMMYFUNCTION("""COMPUTED_VALUE"""),"")</f>
        <v/>
      </c>
      <c r="O21" s="1" t="str">
        <f ca="1">IFERROR(__xludf.DUMMYFUNCTION("""COMPUTED_VALUE"""),"Upcoming Vacancy")</f>
        <v>Upcoming Vacancy</v>
      </c>
      <c r="P21" s="1" t="str">
        <f ca="1">IFERROR(__xludf.DUMMYFUNCTION("""COMPUTED_VALUE"""),"May")</f>
        <v>May</v>
      </c>
      <c r="Q21" s="3">
        <f ca="1">IFERROR(__xludf.DUMMYFUNCTION("""COMPUTED_VALUE"""),43951)</f>
        <v>43951</v>
      </c>
      <c r="R21" s="1"/>
      <c r="S21" s="1"/>
      <c r="T21" s="1"/>
      <c r="U21" s="1" t="str">
        <f ca="1">IFERROR(__xludf.DUMMYFUNCTION("""COMPUTED_VALUE"""),"Y")</f>
        <v>Y</v>
      </c>
      <c r="V21" s="1" t="str">
        <f ca="1">IFERROR(__xludf.DUMMYFUNCTION("""COMPUTED_VALUE"""),"Y")</f>
        <v>Y</v>
      </c>
      <c r="W21" s="1"/>
      <c r="X21" s="1"/>
      <c r="Y21" s="1" t="str">
        <f ca="1">IFERROR(__xludf.DUMMYFUNCTION("""COMPUTED_VALUE"""),"John Vidal")</f>
        <v>John Vidal</v>
      </c>
      <c r="Z21" s="1" t="str">
        <f ca="1">IFERROR(__xludf.DUMMYFUNCTION("""COMPUTED_VALUE"""),"j.andrewvidal@gmail.com")</f>
        <v>j.andrewvidal@gmail.com</v>
      </c>
      <c r="AA21" s="1"/>
      <c r="AB21" s="1"/>
      <c r="AC21" s="1"/>
    </row>
    <row r="22" spans="1:29">
      <c r="A22" s="1" t="str">
        <f ca="1">IFERROR(__xludf.DUMMYFUNCTION("""COMPUTED_VALUE"""),"5 Condor Street")</f>
        <v>5 Condor Street</v>
      </c>
      <c r="B22" s="1">
        <f ca="1">IFERROR(__xludf.DUMMYFUNCTION("""COMPUTED_VALUE"""),5)</f>
        <v>5</v>
      </c>
      <c r="C22" s="1" t="str">
        <f ca="1">IFERROR(__xludf.DUMMYFUNCTION("""COMPUTED_VALUE"""),"#3")</f>
        <v>#3</v>
      </c>
      <c r="D22" s="1" t="str">
        <f ca="1">IFERROR(__xludf.DUMMYFUNCTION("""COMPUTED_VALUE"""),"5 Condor Street Unit 3")</f>
        <v>5 Condor Street Unit 3</v>
      </c>
      <c r="E22" s="1" t="str">
        <f ca="1">IFERROR(__xludf.DUMMYFUNCTION("""COMPUTED_VALUE"""),"Boston")</f>
        <v>Boston</v>
      </c>
      <c r="F22" s="1" t="str">
        <f ca="1">IFERROR(__xludf.DUMMYFUNCTION("""COMPUTED_VALUE"""),"Boston - East Boston")</f>
        <v>Boston - East Boston</v>
      </c>
      <c r="G22" s="1">
        <f ca="1">IFERROR(__xludf.DUMMYFUNCTION("""COMPUTED_VALUE"""),2)</f>
        <v>2</v>
      </c>
      <c r="H22" s="1" t="str">
        <f ca="1">IFERROR(__xludf.DUMMYFUNCTION("""COMPUTED_VALUE"""),"B")</f>
        <v>B</v>
      </c>
      <c r="I22" s="4" t="str">
        <f ca="1">IFERROR(__xludf.DUMMYFUNCTION("""COMPUTED_VALUE"""),"5 Condor Street#3B")</f>
        <v>5 Condor Street#3B</v>
      </c>
      <c r="J22" s="4" t="str">
        <f ca="1">IFERROR(__xludf.DUMMYFUNCTION("""COMPUTED_VALUE"""),"f15ce743-6a9f-4b87-a9aa-08b4743ca8fc")</f>
        <v>f15ce743-6a9f-4b87-a9aa-08b4743ca8fc</v>
      </c>
      <c r="K22" s="4">
        <f ca="1">IFERROR(__xludf.DUMMYFUNCTION("""COMPUTED_VALUE"""),850)</f>
        <v>850</v>
      </c>
      <c r="L22" s="1" t="str">
        <f ca="1">IFERROR(__xludf.DUMMYFUNCTION("""COMPUTED_VALUE"""),"Lizzie")</f>
        <v>Lizzie</v>
      </c>
      <c r="M22" s="1" t="str">
        <f ca="1">IFERROR(__xludf.DUMMYFUNCTION("""COMPUTED_VALUE"""),"")</f>
        <v/>
      </c>
      <c r="N22" s="1" t="str">
        <f ca="1">IFERROR(__xludf.DUMMYFUNCTION("""COMPUTED_VALUE"""),"")</f>
        <v/>
      </c>
      <c r="O22" s="1" t="str">
        <f ca="1">IFERROR(__xludf.DUMMYFUNCTION("""COMPUTED_VALUE"""),"Occupied")</f>
        <v>Occupied</v>
      </c>
      <c r="P22" s="1"/>
      <c r="Q22" s="1"/>
      <c r="R22" s="1"/>
      <c r="S22" s="1"/>
      <c r="T22" s="1"/>
      <c r="U22" s="1" t="str">
        <f ca="1">IFERROR(__xludf.DUMMYFUNCTION("""COMPUTED_VALUE"""),"Y")</f>
        <v>Y</v>
      </c>
      <c r="V22" s="1" t="str">
        <f ca="1">IFERROR(__xludf.DUMMYFUNCTION("""COMPUTED_VALUE"""),"Y")</f>
        <v>Y</v>
      </c>
      <c r="W22" s="1"/>
      <c r="X22" s="1"/>
      <c r="Y22" s="1" t="str">
        <f ca="1">IFERROR(__xludf.DUMMYFUNCTION("""COMPUTED_VALUE"""),"Maureen Kalimba Isimbi")</f>
        <v>Maureen Kalimba Isimbi</v>
      </c>
      <c r="Z22" s="1" t="str">
        <f ca="1">IFERROR(__xludf.DUMMYFUNCTION("""COMPUTED_VALUE"""),"maureenisimbi@gmail.com")</f>
        <v>maureenisimbi@gmail.com</v>
      </c>
      <c r="AA22" s="1"/>
      <c r="AB22" s="1"/>
      <c r="AC22" s="1"/>
    </row>
    <row r="23" spans="1:29">
      <c r="A23" s="1" t="str">
        <f ca="1">IFERROR(__xludf.DUMMYFUNCTION("""COMPUTED_VALUE"""),"5 Condor Street")</f>
        <v>5 Condor Street</v>
      </c>
      <c r="B23" s="1">
        <f ca="1">IFERROR(__xludf.DUMMYFUNCTION("""COMPUTED_VALUE"""),5)</f>
        <v>5</v>
      </c>
      <c r="C23" s="1" t="str">
        <f ca="1">IFERROR(__xludf.DUMMYFUNCTION("""COMPUTED_VALUE"""),"#3")</f>
        <v>#3</v>
      </c>
      <c r="D23" s="1" t="str">
        <f ca="1">IFERROR(__xludf.DUMMYFUNCTION("""COMPUTED_VALUE"""),"5 Condor Street Unit 3")</f>
        <v>5 Condor Street Unit 3</v>
      </c>
      <c r="E23" s="1" t="str">
        <f ca="1">IFERROR(__xludf.DUMMYFUNCTION("""COMPUTED_VALUE"""),"Boston")</f>
        <v>Boston</v>
      </c>
      <c r="F23" s="1" t="str">
        <f ca="1">IFERROR(__xludf.DUMMYFUNCTION("""COMPUTED_VALUE"""),"Boston - East Boston")</f>
        <v>Boston - East Boston</v>
      </c>
      <c r="G23" s="1">
        <f ca="1">IFERROR(__xludf.DUMMYFUNCTION("""COMPUTED_VALUE"""),3)</f>
        <v>3</v>
      </c>
      <c r="H23" s="1" t="str">
        <f ca="1">IFERROR(__xludf.DUMMYFUNCTION("""COMPUTED_VALUE"""),"C")</f>
        <v>C</v>
      </c>
      <c r="I23" s="4" t="str">
        <f ca="1">IFERROR(__xludf.DUMMYFUNCTION("""COMPUTED_VALUE"""),"5 Condor Street#3C")</f>
        <v>5 Condor Street#3C</v>
      </c>
      <c r="J23" s="4" t="str">
        <f ca="1">IFERROR(__xludf.DUMMYFUNCTION("""COMPUTED_VALUE"""),"f15ce743-6a9f-4b87-a9aa-08b4743ca8fc")</f>
        <v>f15ce743-6a9f-4b87-a9aa-08b4743ca8fc</v>
      </c>
      <c r="K23" s="4">
        <f ca="1">IFERROR(__xludf.DUMMYFUNCTION("""COMPUTED_VALUE"""),790)</f>
        <v>790</v>
      </c>
      <c r="L23" s="1" t="str">
        <f ca="1">IFERROR(__xludf.DUMMYFUNCTION("""COMPUTED_VALUE"""),"Lizzie")</f>
        <v>Lizzie</v>
      </c>
      <c r="M23" s="1" t="str">
        <f ca="1">IFERROR(__xludf.DUMMYFUNCTION("""COMPUTED_VALUE"""),"")</f>
        <v/>
      </c>
      <c r="N23" s="1" t="str">
        <f ca="1">IFERROR(__xludf.DUMMYFUNCTION("""COMPUTED_VALUE"""),"")</f>
        <v/>
      </c>
      <c r="O23" s="1" t="str">
        <f ca="1">IFERROR(__xludf.DUMMYFUNCTION("""COMPUTED_VALUE"""),"Occupied")</f>
        <v>Occupied</v>
      </c>
      <c r="P23" s="1"/>
      <c r="Q23" s="1"/>
      <c r="R23" s="1"/>
      <c r="S23" s="1"/>
      <c r="T23" s="1"/>
      <c r="U23" s="1" t="str">
        <f ca="1">IFERROR(__xludf.DUMMYFUNCTION("""COMPUTED_VALUE"""),"Y")</f>
        <v>Y</v>
      </c>
      <c r="V23" s="1" t="str">
        <f ca="1">IFERROR(__xludf.DUMMYFUNCTION("""COMPUTED_VALUE"""),"Y")</f>
        <v>Y</v>
      </c>
      <c r="W23" s="1"/>
      <c r="X23" s="1"/>
      <c r="Y23" s="1" t="str">
        <f ca="1">IFERROR(__xludf.DUMMYFUNCTION("""COMPUTED_VALUE"""),"William Patten")</f>
        <v>William Patten</v>
      </c>
      <c r="Z23" s="1" t="str">
        <f ca="1">IFERROR(__xludf.DUMMYFUNCTION("""COMPUTED_VALUE"""),"thewallacewilliam@gmail.com")</f>
        <v>thewallacewilliam@gmail.com</v>
      </c>
      <c r="AA23" s="1"/>
      <c r="AB23" s="1"/>
      <c r="AC23" s="1"/>
    </row>
    <row r="24" spans="1:29">
      <c r="A24" s="1" t="str">
        <f ca="1">IFERROR(__xludf.DUMMYFUNCTION("""COMPUTED_VALUE"""),"5 Mark Street")</f>
        <v>5 Mark Street</v>
      </c>
      <c r="B24" s="1">
        <f ca="1">IFERROR(__xludf.DUMMYFUNCTION("""COMPUTED_VALUE"""),5)</f>
        <v>5</v>
      </c>
      <c r="C24" s="1" t="str">
        <f ca="1">IFERROR(__xludf.DUMMYFUNCTION("""COMPUTED_VALUE"""),"#1")</f>
        <v>#1</v>
      </c>
      <c r="D24" s="1" t="str">
        <f ca="1">IFERROR(__xludf.DUMMYFUNCTION("""COMPUTED_VALUE"""),"5 Mark Street Unit 1")</f>
        <v>5 Mark Street Unit 1</v>
      </c>
      <c r="E24" s="1" t="str">
        <f ca="1">IFERROR(__xludf.DUMMYFUNCTION("""COMPUTED_VALUE"""),"Boston")</f>
        <v>Boston</v>
      </c>
      <c r="F24" s="1" t="str">
        <f ca="1">IFERROR(__xludf.DUMMYFUNCTION("""COMPUTED_VALUE"""),"Boston - Jamaica Plain")</f>
        <v>Boston - Jamaica Plain</v>
      </c>
      <c r="G24" s="1">
        <f ca="1">IFERROR(__xludf.DUMMYFUNCTION("""COMPUTED_VALUE"""),1)</f>
        <v>1</v>
      </c>
      <c r="H24" s="1" t="str">
        <f ca="1">IFERROR(__xludf.DUMMYFUNCTION("""COMPUTED_VALUE"""),"A")</f>
        <v>A</v>
      </c>
      <c r="I24" s="4" t="str">
        <f ca="1">IFERROR(__xludf.DUMMYFUNCTION("""COMPUTED_VALUE"""),"5 Mark Street#1A")</f>
        <v>5 Mark Street#1A</v>
      </c>
      <c r="J24" s="4" t="str">
        <f ca="1">IFERROR(__xludf.DUMMYFUNCTION("""COMPUTED_VALUE"""),"8c9b8f63-56c7-4904-a82a-54e506eee01a")</f>
        <v>8c9b8f63-56c7-4904-a82a-54e506eee01a</v>
      </c>
      <c r="K24" s="4">
        <f ca="1">IFERROR(__xludf.DUMMYFUNCTION("""COMPUTED_VALUE"""),995)</f>
        <v>995</v>
      </c>
      <c r="L24" s="1" t="str">
        <f ca="1">IFERROR(__xludf.DUMMYFUNCTION("""COMPUTED_VALUE"""),"Cam")</f>
        <v>Cam</v>
      </c>
      <c r="M24" s="1" t="str">
        <f ca="1">IFERROR(__xludf.DUMMYFUNCTION("""COMPUTED_VALUE"""),"")</f>
        <v/>
      </c>
      <c r="N24" s="1" t="str">
        <f ca="1">IFERROR(__xludf.DUMMYFUNCTION("""COMPUTED_VALUE"""),"Furnished")</f>
        <v>Furnished</v>
      </c>
      <c r="O24" s="1" t="str">
        <f ca="1">IFERROR(__xludf.DUMMYFUNCTION("""COMPUTED_VALUE"""),"Upcoming Vacancy")</f>
        <v>Upcoming Vacancy</v>
      </c>
      <c r="P24" s="1" t="str">
        <f ca="1">IFERROR(__xludf.DUMMYFUNCTION("""COMPUTED_VALUE"""),"June")</f>
        <v>June</v>
      </c>
      <c r="Q24" s="3">
        <f ca="1">IFERROR(__xludf.DUMMYFUNCTION("""COMPUTED_VALUE"""),44347)</f>
        <v>44347</v>
      </c>
      <c r="R24" s="1"/>
      <c r="S24" s="1" t="str">
        <f ca="1">IFERROR(__xludf.DUMMYFUNCTION("""COMPUTED_VALUE"""),"NO CATS OR DOGS")</f>
        <v>NO CATS OR DOGS</v>
      </c>
      <c r="T24" s="1"/>
      <c r="U24" s="1" t="str">
        <f ca="1">IFERROR(__xludf.DUMMYFUNCTION("""COMPUTED_VALUE"""),"Y")</f>
        <v>Y</v>
      </c>
      <c r="V24" s="1" t="str">
        <f ca="1">IFERROR(__xludf.DUMMYFUNCTION("""COMPUTED_VALUE"""),"N")</f>
        <v>N</v>
      </c>
      <c r="W24" s="1"/>
      <c r="X24" s="1"/>
      <c r="Y24" s="1" t="str">
        <f ca="1">IFERROR(__xludf.DUMMYFUNCTION("""COMPUTED_VALUE"""),"Rakesh Bhatt")</f>
        <v>Rakesh Bhatt</v>
      </c>
      <c r="Z24" s="1" t="str">
        <f ca="1">IFERROR(__xludf.DUMMYFUNCTION("""COMPUTED_VALUE"""),"rmb06@bu.edu")</f>
        <v>rmb06@bu.edu</v>
      </c>
      <c r="AA24" s="1"/>
      <c r="AB24" s="1"/>
      <c r="AC24" s="1"/>
    </row>
    <row r="25" spans="1:29">
      <c r="A25" s="1" t="str">
        <f ca="1">IFERROR(__xludf.DUMMYFUNCTION("""COMPUTED_VALUE"""),"5 Mark Street")</f>
        <v>5 Mark Street</v>
      </c>
      <c r="B25" s="1">
        <f ca="1">IFERROR(__xludf.DUMMYFUNCTION("""COMPUTED_VALUE"""),5)</f>
        <v>5</v>
      </c>
      <c r="C25" s="1" t="str">
        <f ca="1">IFERROR(__xludf.DUMMYFUNCTION("""COMPUTED_VALUE"""),"#1")</f>
        <v>#1</v>
      </c>
      <c r="D25" s="1" t="str">
        <f ca="1">IFERROR(__xludf.DUMMYFUNCTION("""COMPUTED_VALUE"""),"5 Mark Street Unit 1")</f>
        <v>5 Mark Street Unit 1</v>
      </c>
      <c r="E25" s="1" t="str">
        <f ca="1">IFERROR(__xludf.DUMMYFUNCTION("""COMPUTED_VALUE"""),"Boston")</f>
        <v>Boston</v>
      </c>
      <c r="F25" s="1" t="str">
        <f ca="1">IFERROR(__xludf.DUMMYFUNCTION("""COMPUTED_VALUE"""),"Boston - Jamaica Plain")</f>
        <v>Boston - Jamaica Plain</v>
      </c>
      <c r="G25" s="1">
        <f ca="1">IFERROR(__xludf.DUMMYFUNCTION("""COMPUTED_VALUE"""),2)</f>
        <v>2</v>
      </c>
      <c r="H25" s="1" t="str">
        <f ca="1">IFERROR(__xludf.DUMMYFUNCTION("""COMPUTED_VALUE"""),"B")</f>
        <v>B</v>
      </c>
      <c r="I25" s="4" t="str">
        <f ca="1">IFERROR(__xludf.DUMMYFUNCTION("""COMPUTED_VALUE"""),"5 Mark Street#1B")</f>
        <v>5 Mark Street#1B</v>
      </c>
      <c r="J25" s="4" t="str">
        <f ca="1">IFERROR(__xludf.DUMMYFUNCTION("""COMPUTED_VALUE"""),"8c9b8f63-56c7-4904-a82a-54e506eee01a")</f>
        <v>8c9b8f63-56c7-4904-a82a-54e506eee01a</v>
      </c>
      <c r="K25" s="4">
        <f ca="1">IFERROR(__xludf.DUMMYFUNCTION("""COMPUTED_VALUE"""),1050)</f>
        <v>1050</v>
      </c>
      <c r="L25" s="1" t="str">
        <f ca="1">IFERROR(__xludf.DUMMYFUNCTION("""COMPUTED_VALUE"""),"Cam")</f>
        <v>Cam</v>
      </c>
      <c r="M25" s="1" t="str">
        <f ca="1">IFERROR(__xludf.DUMMYFUNCTION("""COMPUTED_VALUE"""),"")</f>
        <v/>
      </c>
      <c r="N25" s="1" t="str">
        <f ca="1">IFERROR(__xludf.DUMMYFUNCTION("""COMPUTED_VALUE"""),"Furnished")</f>
        <v>Furnished</v>
      </c>
      <c r="O25" s="1" t="str">
        <f ca="1">IFERROR(__xludf.DUMMYFUNCTION("""COMPUTED_VALUE"""),"Upcoming Vacancy")</f>
        <v>Upcoming Vacancy</v>
      </c>
      <c r="P25" s="1" t="str">
        <f ca="1">IFERROR(__xludf.DUMMYFUNCTION("""COMPUTED_VALUE"""),"May")</f>
        <v>May</v>
      </c>
      <c r="Q25" s="1"/>
      <c r="R25" s="1"/>
      <c r="S25" s="1" t="str">
        <f ca="1">IFERROR(__xludf.DUMMYFUNCTION("""COMPUTED_VALUE"""),"NO CATS OR DOGS")</f>
        <v>NO CATS OR DOGS</v>
      </c>
      <c r="T25" s="1"/>
      <c r="U25" s="1" t="str">
        <f ca="1">IFERROR(__xludf.DUMMYFUNCTION("""COMPUTED_VALUE"""),"Y")</f>
        <v>Y</v>
      </c>
      <c r="V25" s="1" t="str">
        <f ca="1">IFERROR(__xludf.DUMMYFUNCTION("""COMPUTED_VALUE"""),"N")</f>
        <v>N</v>
      </c>
      <c r="W25" s="1"/>
      <c r="X25" s="1"/>
      <c r="Y25" s="1" t="str">
        <f ca="1">IFERROR(__xludf.DUMMYFUNCTION("""COMPUTED_VALUE"""),"Ping-Kun Cheng")</f>
        <v>Ping-Kun Cheng</v>
      </c>
      <c r="Z25" s="1" t="str">
        <f ca="1">IFERROR(__xludf.DUMMYFUNCTION("""COMPUTED_VALUE"""),"angeal8211@gmail.com")</f>
        <v>angeal8211@gmail.com</v>
      </c>
      <c r="AA25" s="1"/>
      <c r="AB25" s="1"/>
      <c r="AC25" s="1"/>
    </row>
    <row r="26" spans="1:29">
      <c r="A26" s="1" t="str">
        <f ca="1">IFERROR(__xludf.DUMMYFUNCTION("""COMPUTED_VALUE"""),"5 Mark Street")</f>
        <v>5 Mark Street</v>
      </c>
      <c r="B26" s="1">
        <f ca="1">IFERROR(__xludf.DUMMYFUNCTION("""COMPUTED_VALUE"""),5)</f>
        <v>5</v>
      </c>
      <c r="C26" s="1" t="str">
        <f ca="1">IFERROR(__xludf.DUMMYFUNCTION("""COMPUTED_VALUE"""),"#1")</f>
        <v>#1</v>
      </c>
      <c r="D26" s="1" t="str">
        <f ca="1">IFERROR(__xludf.DUMMYFUNCTION("""COMPUTED_VALUE"""),"5 Mark Street Unit 1")</f>
        <v>5 Mark Street Unit 1</v>
      </c>
      <c r="E26" s="1" t="str">
        <f ca="1">IFERROR(__xludf.DUMMYFUNCTION("""COMPUTED_VALUE"""),"Boston")</f>
        <v>Boston</v>
      </c>
      <c r="F26" s="1" t="str">
        <f ca="1">IFERROR(__xludf.DUMMYFUNCTION("""COMPUTED_VALUE"""),"Boston - Jamaica Plain")</f>
        <v>Boston - Jamaica Plain</v>
      </c>
      <c r="G26" s="1">
        <f ca="1">IFERROR(__xludf.DUMMYFUNCTION("""COMPUTED_VALUE"""),3)</f>
        <v>3</v>
      </c>
      <c r="H26" s="1" t="str">
        <f ca="1">IFERROR(__xludf.DUMMYFUNCTION("""COMPUTED_VALUE"""),"C")</f>
        <v>C</v>
      </c>
      <c r="I26" s="4" t="str">
        <f ca="1">IFERROR(__xludf.DUMMYFUNCTION("""COMPUTED_VALUE"""),"5 Mark Street#1C")</f>
        <v>5 Mark Street#1C</v>
      </c>
      <c r="J26" s="4" t="str">
        <f ca="1">IFERROR(__xludf.DUMMYFUNCTION("""COMPUTED_VALUE"""),"8c9b8f63-56c7-4904-a82a-54e506eee01a")</f>
        <v>8c9b8f63-56c7-4904-a82a-54e506eee01a</v>
      </c>
      <c r="K26" s="4">
        <f ca="1">IFERROR(__xludf.DUMMYFUNCTION("""COMPUTED_VALUE"""),995)</f>
        <v>995</v>
      </c>
      <c r="L26" s="1" t="str">
        <f ca="1">IFERROR(__xludf.DUMMYFUNCTION("""COMPUTED_VALUE"""),"Cam")</f>
        <v>Cam</v>
      </c>
      <c r="M26" s="1" t="str">
        <f ca="1">IFERROR(__xludf.DUMMYFUNCTION("""COMPUTED_VALUE"""),"Cam (NOW)")</f>
        <v>Cam (NOW)</v>
      </c>
      <c r="N26" s="1" t="str">
        <f ca="1">IFERROR(__xludf.DUMMYFUNCTION("""COMPUTED_VALUE"""),"Furnished")</f>
        <v>Furnished</v>
      </c>
      <c r="O26" s="1" t="str">
        <f ca="1">IFERROR(__xludf.DUMMYFUNCTION("""COMPUTED_VALUE"""),"Upcoming Vacancy")</f>
        <v>Upcoming Vacancy</v>
      </c>
      <c r="P26" s="1" t="str">
        <f ca="1">IFERROR(__xludf.DUMMYFUNCTION("""COMPUTED_VALUE"""),"February")</f>
        <v>February</v>
      </c>
      <c r="Q26" s="3">
        <f ca="1">IFERROR(__xludf.DUMMYFUNCTION("""COMPUTED_VALUE"""),43861)</f>
        <v>43861</v>
      </c>
      <c r="R26" s="1"/>
      <c r="S26" s="1" t="str">
        <f ca="1">IFERROR(__xludf.DUMMYFUNCTION("""COMPUTED_VALUE"""),"NO CATS OR DOGS")</f>
        <v>NO CATS OR DOGS</v>
      </c>
      <c r="T26" s="1"/>
      <c r="U26" s="1" t="str">
        <f ca="1">IFERROR(__xludf.DUMMYFUNCTION("""COMPUTED_VALUE"""),"Y")</f>
        <v>Y</v>
      </c>
      <c r="V26" s="1" t="str">
        <f ca="1">IFERROR(__xludf.DUMMYFUNCTION("""COMPUTED_VALUE"""),"N")</f>
        <v>N</v>
      </c>
      <c r="W26" s="1"/>
      <c r="X26" s="1"/>
      <c r="Y26" s="1" t="str">
        <f ca="1">IFERROR(__xludf.DUMMYFUNCTION("""COMPUTED_VALUE"""),"Xun Du")</f>
        <v>Xun Du</v>
      </c>
      <c r="Z26" s="1" t="str">
        <f ca="1">IFERROR(__xludf.DUMMYFUNCTION("""COMPUTED_VALUE"""),"duxun729@gmail.com")</f>
        <v>duxun729@gmail.com</v>
      </c>
      <c r="AA26" s="1"/>
      <c r="AB26" s="1"/>
      <c r="AC26" s="1"/>
    </row>
    <row r="27" spans="1:29">
      <c r="A27" s="1" t="str">
        <f ca="1">IFERROR(__xludf.DUMMYFUNCTION("""COMPUTED_VALUE"""),"5 Mark Street")</f>
        <v>5 Mark Street</v>
      </c>
      <c r="B27" s="1">
        <f ca="1">IFERROR(__xludf.DUMMYFUNCTION("""COMPUTED_VALUE"""),5)</f>
        <v>5</v>
      </c>
      <c r="C27" s="1" t="str">
        <f ca="1">IFERROR(__xludf.DUMMYFUNCTION("""COMPUTED_VALUE"""),"#1")</f>
        <v>#1</v>
      </c>
      <c r="D27" s="1" t="str">
        <f ca="1">IFERROR(__xludf.DUMMYFUNCTION("""COMPUTED_VALUE"""),"5 Mark Street Unit 1")</f>
        <v>5 Mark Street Unit 1</v>
      </c>
      <c r="E27" s="1" t="str">
        <f ca="1">IFERROR(__xludf.DUMMYFUNCTION("""COMPUTED_VALUE"""),"Boston")</f>
        <v>Boston</v>
      </c>
      <c r="F27" s="1" t="str">
        <f ca="1">IFERROR(__xludf.DUMMYFUNCTION("""COMPUTED_VALUE"""),"Boston - Jamaica Plain")</f>
        <v>Boston - Jamaica Plain</v>
      </c>
      <c r="G27" s="1">
        <f ca="1">IFERROR(__xludf.DUMMYFUNCTION("""COMPUTED_VALUE"""),4)</f>
        <v>4</v>
      </c>
      <c r="H27" s="1" t="str">
        <f ca="1">IFERROR(__xludf.DUMMYFUNCTION("""COMPUTED_VALUE"""),"D")</f>
        <v>D</v>
      </c>
      <c r="I27" s="4" t="str">
        <f ca="1">IFERROR(__xludf.DUMMYFUNCTION("""COMPUTED_VALUE"""),"5 Mark Street#1D")</f>
        <v>5 Mark Street#1D</v>
      </c>
      <c r="J27" s="4" t="str">
        <f ca="1">IFERROR(__xludf.DUMMYFUNCTION("""COMPUTED_VALUE"""),"8c9b8f63-56c7-4904-a82a-54e506eee01a")</f>
        <v>8c9b8f63-56c7-4904-a82a-54e506eee01a</v>
      </c>
      <c r="K27" s="4">
        <f ca="1">IFERROR(__xludf.DUMMYFUNCTION("""COMPUTED_VALUE"""),895)</f>
        <v>895</v>
      </c>
      <c r="L27" s="1" t="str">
        <f ca="1">IFERROR(__xludf.DUMMYFUNCTION("""COMPUTED_VALUE"""),"Cam")</f>
        <v>Cam</v>
      </c>
      <c r="M27" s="1" t="str">
        <f ca="1">IFERROR(__xludf.DUMMYFUNCTION("""COMPUTED_VALUE"""),"Cam (NOW)")</f>
        <v>Cam (NOW)</v>
      </c>
      <c r="N27" s="1" t="str">
        <f ca="1">IFERROR(__xludf.DUMMYFUNCTION("""COMPUTED_VALUE"""),"Furnished")</f>
        <v>Furnished</v>
      </c>
      <c r="O27" s="1" t="str">
        <f ca="1">IFERROR(__xludf.DUMMYFUNCTION("""COMPUTED_VALUE"""),"Vacant")</f>
        <v>Vacant</v>
      </c>
      <c r="P27" s="1"/>
      <c r="Q27" s="1"/>
      <c r="R27" s="1"/>
      <c r="S27" s="1" t="str">
        <f ca="1">IFERROR(__xludf.DUMMYFUNCTION("""COMPUTED_VALUE"""),"NO CATS OR DOGS")</f>
        <v>NO CATS OR DOGS</v>
      </c>
      <c r="T27" s="1"/>
      <c r="U27" s="1" t="str">
        <f ca="1">IFERROR(__xludf.DUMMYFUNCTION("""COMPUTED_VALUE"""),"Y")</f>
        <v>Y</v>
      </c>
      <c r="V27" s="1" t="str">
        <f ca="1">IFERROR(__xludf.DUMMYFUNCTION("""COMPUTED_VALUE"""),"N")</f>
        <v>N</v>
      </c>
      <c r="W27" s="1"/>
      <c r="X27" s="1"/>
      <c r="Y27" s="1"/>
      <c r="Z27" s="1"/>
      <c r="AA27" s="1"/>
      <c r="AB27" s="1"/>
      <c r="AC27" s="1"/>
    </row>
    <row r="28" spans="1:29">
      <c r="A28" s="1" t="str">
        <f ca="1">IFERROR(__xludf.DUMMYFUNCTION("""COMPUTED_VALUE"""),"5 Mark Street")</f>
        <v>5 Mark Street</v>
      </c>
      <c r="B28" s="1">
        <f ca="1">IFERROR(__xludf.DUMMYFUNCTION("""COMPUTED_VALUE"""),5)</f>
        <v>5</v>
      </c>
      <c r="C28" s="1" t="str">
        <f ca="1">IFERROR(__xludf.DUMMYFUNCTION("""COMPUTED_VALUE"""),"#2")</f>
        <v>#2</v>
      </c>
      <c r="D28" s="1" t="str">
        <f ca="1">IFERROR(__xludf.DUMMYFUNCTION("""COMPUTED_VALUE"""),"5 Mark Street Unit 2")</f>
        <v>5 Mark Street Unit 2</v>
      </c>
      <c r="E28" s="1" t="str">
        <f ca="1">IFERROR(__xludf.DUMMYFUNCTION("""COMPUTED_VALUE"""),"Boston")</f>
        <v>Boston</v>
      </c>
      <c r="F28" s="1" t="str">
        <f ca="1">IFERROR(__xludf.DUMMYFUNCTION("""COMPUTED_VALUE"""),"Boston - Jamaica Plain")</f>
        <v>Boston - Jamaica Plain</v>
      </c>
      <c r="G28" s="1">
        <f ca="1">IFERROR(__xludf.DUMMYFUNCTION("""COMPUTED_VALUE"""),1)</f>
        <v>1</v>
      </c>
      <c r="H28" s="1" t="str">
        <f ca="1">IFERROR(__xludf.DUMMYFUNCTION("""COMPUTED_VALUE"""),"A")</f>
        <v>A</v>
      </c>
      <c r="I28" s="4" t="str">
        <f ca="1">IFERROR(__xludf.DUMMYFUNCTION("""COMPUTED_VALUE"""),"5 Mark Street#2A")</f>
        <v>5 Mark Street#2A</v>
      </c>
      <c r="J28" s="4" t="str">
        <f ca="1">IFERROR(__xludf.DUMMYFUNCTION("""COMPUTED_VALUE"""),"28b9afb3-92cb-46f5-a62b-a40d36832deb")</f>
        <v>28b9afb3-92cb-46f5-a62b-a40d36832deb</v>
      </c>
      <c r="K28" s="4">
        <f ca="1">IFERROR(__xludf.DUMMYFUNCTION("""COMPUTED_VALUE"""),700)</f>
        <v>700</v>
      </c>
      <c r="L28" s="1" t="str">
        <f ca="1">IFERROR(__xludf.DUMMYFUNCTION("""COMPUTED_VALUE"""),"Cam")</f>
        <v>Cam</v>
      </c>
      <c r="M28" s="1" t="str">
        <f ca="1">IFERROR(__xludf.DUMMYFUNCTION("""COMPUTED_VALUE"""),"")</f>
        <v/>
      </c>
      <c r="N28" s="1" t="str">
        <f ca="1">IFERROR(__xludf.DUMMYFUNCTION("""COMPUTED_VALUE"""),"Furnished")</f>
        <v>Furnished</v>
      </c>
      <c r="O28" s="1" t="str">
        <f ca="1">IFERROR(__xludf.DUMMYFUNCTION("""COMPUTED_VALUE"""),"Occupied")</f>
        <v>Occupied</v>
      </c>
      <c r="P28" s="1"/>
      <c r="Q28" s="1"/>
      <c r="R28" s="1"/>
      <c r="S28" s="1" t="str">
        <f ca="1">IFERROR(__xludf.DUMMYFUNCTION("""COMPUTED_VALUE"""),"NO CATS OR DOGS")</f>
        <v>NO CATS OR DOGS</v>
      </c>
      <c r="T28" s="1"/>
      <c r="U28" s="1" t="str">
        <f ca="1">IFERROR(__xludf.DUMMYFUNCTION("""COMPUTED_VALUE"""),"N")</f>
        <v>N</v>
      </c>
      <c r="V28" s="1" t="str">
        <f ca="1">IFERROR(__xludf.DUMMYFUNCTION("""COMPUTED_VALUE"""),"N")</f>
        <v>N</v>
      </c>
      <c r="W28" s="1"/>
      <c r="X28" s="1"/>
      <c r="Y28" s="1" t="str">
        <f ca="1">IFERROR(__xludf.DUMMYFUNCTION("""COMPUTED_VALUE"""),"Rowen Michael Henriques")</f>
        <v>Rowen Michael Henriques</v>
      </c>
      <c r="Z28" s="1" t="str">
        <f ca="1">IFERROR(__xludf.DUMMYFUNCTION("""COMPUTED_VALUE"""),"rowen.henriques@gmail.com")</f>
        <v>rowen.henriques@gmail.com</v>
      </c>
      <c r="AA28" s="1"/>
      <c r="AB28" s="1"/>
      <c r="AC28" s="1"/>
    </row>
    <row r="29" spans="1:29">
      <c r="A29" s="1" t="str">
        <f ca="1">IFERROR(__xludf.DUMMYFUNCTION("""COMPUTED_VALUE"""),"5 Mark Street")</f>
        <v>5 Mark Street</v>
      </c>
      <c r="B29" s="1">
        <f ca="1">IFERROR(__xludf.DUMMYFUNCTION("""COMPUTED_VALUE"""),5)</f>
        <v>5</v>
      </c>
      <c r="C29" s="1" t="str">
        <f ca="1">IFERROR(__xludf.DUMMYFUNCTION("""COMPUTED_VALUE"""),"#2")</f>
        <v>#2</v>
      </c>
      <c r="D29" s="1" t="str">
        <f ca="1">IFERROR(__xludf.DUMMYFUNCTION("""COMPUTED_VALUE"""),"5 Mark Street Unit 2")</f>
        <v>5 Mark Street Unit 2</v>
      </c>
      <c r="E29" s="1" t="str">
        <f ca="1">IFERROR(__xludf.DUMMYFUNCTION("""COMPUTED_VALUE"""),"Boston")</f>
        <v>Boston</v>
      </c>
      <c r="F29" s="1" t="str">
        <f ca="1">IFERROR(__xludf.DUMMYFUNCTION("""COMPUTED_VALUE"""),"Boston - Jamaica Plain")</f>
        <v>Boston - Jamaica Plain</v>
      </c>
      <c r="G29" s="1">
        <f ca="1">IFERROR(__xludf.DUMMYFUNCTION("""COMPUTED_VALUE"""),2)</f>
        <v>2</v>
      </c>
      <c r="H29" s="1" t="str">
        <f ca="1">IFERROR(__xludf.DUMMYFUNCTION("""COMPUTED_VALUE"""),"B")</f>
        <v>B</v>
      </c>
      <c r="I29" s="4" t="str">
        <f ca="1">IFERROR(__xludf.DUMMYFUNCTION("""COMPUTED_VALUE"""),"5 Mark Street#2B")</f>
        <v>5 Mark Street#2B</v>
      </c>
      <c r="J29" s="4" t="str">
        <f ca="1">IFERROR(__xludf.DUMMYFUNCTION("""COMPUTED_VALUE"""),"28b9afb3-92cb-46f5-a62b-a40d36832deb")</f>
        <v>28b9afb3-92cb-46f5-a62b-a40d36832deb</v>
      </c>
      <c r="K29" s="4">
        <f ca="1">IFERROR(__xludf.DUMMYFUNCTION("""COMPUTED_VALUE"""),750)</f>
        <v>750</v>
      </c>
      <c r="L29" s="1" t="str">
        <f ca="1">IFERROR(__xludf.DUMMYFUNCTION("""COMPUTED_VALUE"""),"Cam")</f>
        <v>Cam</v>
      </c>
      <c r="M29" s="1" t="str">
        <f ca="1">IFERROR(__xludf.DUMMYFUNCTION("""COMPUTED_VALUE"""),"")</f>
        <v/>
      </c>
      <c r="N29" s="1" t="str">
        <f ca="1">IFERROR(__xludf.DUMMYFUNCTION("""COMPUTED_VALUE"""),"Furnished")</f>
        <v>Furnished</v>
      </c>
      <c r="O29" s="1" t="str">
        <f ca="1">IFERROR(__xludf.DUMMYFUNCTION("""COMPUTED_VALUE"""),"Occupied")</f>
        <v>Occupied</v>
      </c>
      <c r="P29" s="1"/>
      <c r="Q29" s="1"/>
      <c r="R29" s="1"/>
      <c r="S29" s="1" t="str">
        <f ca="1">IFERROR(__xludf.DUMMYFUNCTION("""COMPUTED_VALUE"""),"NO CATS OR DOGS")</f>
        <v>NO CATS OR DOGS</v>
      </c>
      <c r="T29" s="1"/>
      <c r="U29" s="1" t="str">
        <f ca="1">IFERROR(__xludf.DUMMYFUNCTION("""COMPUTED_VALUE"""),"N")</f>
        <v>N</v>
      </c>
      <c r="V29" s="1" t="str">
        <f ca="1">IFERROR(__xludf.DUMMYFUNCTION("""COMPUTED_VALUE"""),"N")</f>
        <v>N</v>
      </c>
      <c r="W29" s="1"/>
      <c r="X29" s="1"/>
      <c r="Y29" s="1" t="str">
        <f ca="1">IFERROR(__xludf.DUMMYFUNCTION("""COMPUTED_VALUE"""),"Augustus Augustus")</f>
        <v>Augustus Augustus</v>
      </c>
      <c r="Z29" s="1" t="str">
        <f ca="1">IFERROR(__xludf.DUMMYFUNCTION("""COMPUTED_VALUE"""),"thataugustusguy@gmail.com")</f>
        <v>thataugustusguy@gmail.com</v>
      </c>
      <c r="AA29" s="1"/>
      <c r="AB29" s="1"/>
      <c r="AC29" s="1"/>
    </row>
    <row r="30" spans="1:29">
      <c r="A30" s="1" t="str">
        <f ca="1">IFERROR(__xludf.DUMMYFUNCTION("""COMPUTED_VALUE"""),"5 Mark Street")</f>
        <v>5 Mark Street</v>
      </c>
      <c r="B30" s="1">
        <f ca="1">IFERROR(__xludf.DUMMYFUNCTION("""COMPUTED_VALUE"""),5)</f>
        <v>5</v>
      </c>
      <c r="C30" s="1" t="str">
        <f ca="1">IFERROR(__xludf.DUMMYFUNCTION("""COMPUTED_VALUE"""),"#2")</f>
        <v>#2</v>
      </c>
      <c r="D30" s="1" t="str">
        <f ca="1">IFERROR(__xludf.DUMMYFUNCTION("""COMPUTED_VALUE"""),"5 Mark Street Unit 2")</f>
        <v>5 Mark Street Unit 2</v>
      </c>
      <c r="E30" s="1" t="str">
        <f ca="1">IFERROR(__xludf.DUMMYFUNCTION("""COMPUTED_VALUE"""),"Boston")</f>
        <v>Boston</v>
      </c>
      <c r="F30" s="1" t="str">
        <f ca="1">IFERROR(__xludf.DUMMYFUNCTION("""COMPUTED_VALUE"""),"Boston - Jamaica Plain")</f>
        <v>Boston - Jamaica Plain</v>
      </c>
      <c r="G30" s="1">
        <f ca="1">IFERROR(__xludf.DUMMYFUNCTION("""COMPUTED_VALUE"""),3)</f>
        <v>3</v>
      </c>
      <c r="H30" s="1" t="str">
        <f ca="1">IFERROR(__xludf.DUMMYFUNCTION("""COMPUTED_VALUE"""),"C")</f>
        <v>C</v>
      </c>
      <c r="I30" s="4" t="str">
        <f ca="1">IFERROR(__xludf.DUMMYFUNCTION("""COMPUTED_VALUE"""),"5 Mark Street#2C")</f>
        <v>5 Mark Street#2C</v>
      </c>
      <c r="J30" s="4" t="str">
        <f ca="1">IFERROR(__xludf.DUMMYFUNCTION("""COMPUTED_VALUE"""),"28b9afb3-92cb-46f5-a62b-a40d36832deb")</f>
        <v>28b9afb3-92cb-46f5-a62b-a40d36832deb</v>
      </c>
      <c r="K30" s="4">
        <f ca="1">IFERROR(__xludf.DUMMYFUNCTION("""COMPUTED_VALUE"""),750)</f>
        <v>750</v>
      </c>
      <c r="L30" s="1" t="str">
        <f ca="1">IFERROR(__xludf.DUMMYFUNCTION("""COMPUTED_VALUE"""),"Cam")</f>
        <v>Cam</v>
      </c>
      <c r="M30" s="1" t="str">
        <f ca="1">IFERROR(__xludf.DUMMYFUNCTION("""COMPUTED_VALUE"""),"")</f>
        <v/>
      </c>
      <c r="N30" s="1" t="str">
        <f ca="1">IFERROR(__xludf.DUMMYFUNCTION("""COMPUTED_VALUE"""),"Furnished")</f>
        <v>Furnished</v>
      </c>
      <c r="O30" s="1" t="str">
        <f ca="1">IFERROR(__xludf.DUMMYFUNCTION("""COMPUTED_VALUE"""),"Occupied")</f>
        <v>Occupied</v>
      </c>
      <c r="P30" s="1"/>
      <c r="Q30" s="1"/>
      <c r="R30" s="1"/>
      <c r="S30" s="1" t="str">
        <f ca="1">IFERROR(__xludf.DUMMYFUNCTION("""COMPUTED_VALUE"""),"NO CATS OR DOGS")</f>
        <v>NO CATS OR DOGS</v>
      </c>
      <c r="T30" s="1"/>
      <c r="U30" s="1" t="str">
        <f ca="1">IFERROR(__xludf.DUMMYFUNCTION("""COMPUTED_VALUE"""),"N")</f>
        <v>N</v>
      </c>
      <c r="V30" s="1" t="str">
        <f ca="1">IFERROR(__xludf.DUMMYFUNCTION("""COMPUTED_VALUE"""),"N")</f>
        <v>N</v>
      </c>
      <c r="W30" s="1"/>
      <c r="X30" s="1"/>
      <c r="Y30" s="1" t="str">
        <f ca="1">IFERROR(__xludf.DUMMYFUNCTION("""COMPUTED_VALUE"""),"Anna Pasekova")</f>
        <v>Anna Pasekova</v>
      </c>
      <c r="Z30" s="1" t="str">
        <f ca="1">IFERROR(__xludf.DUMMYFUNCTION("""COMPUTED_VALUE"""),"annpasekova@gmail.com")</f>
        <v>annpasekova@gmail.com</v>
      </c>
      <c r="AA30" s="1"/>
      <c r="AB30" s="1"/>
      <c r="AC30" s="1"/>
    </row>
    <row r="31" spans="1:29">
      <c r="A31" s="1" t="str">
        <f ca="1">IFERROR(__xludf.DUMMYFUNCTION("""COMPUTED_VALUE"""),"5 Mark Street")</f>
        <v>5 Mark Street</v>
      </c>
      <c r="B31" s="1">
        <f ca="1">IFERROR(__xludf.DUMMYFUNCTION("""COMPUTED_VALUE"""),5)</f>
        <v>5</v>
      </c>
      <c r="C31" s="1" t="str">
        <f ca="1">IFERROR(__xludf.DUMMYFUNCTION("""COMPUTED_VALUE"""),"#2")</f>
        <v>#2</v>
      </c>
      <c r="D31" s="1" t="str">
        <f ca="1">IFERROR(__xludf.DUMMYFUNCTION("""COMPUTED_VALUE"""),"5 Mark Street Unit 2")</f>
        <v>5 Mark Street Unit 2</v>
      </c>
      <c r="E31" s="1" t="str">
        <f ca="1">IFERROR(__xludf.DUMMYFUNCTION("""COMPUTED_VALUE"""),"Boston")</f>
        <v>Boston</v>
      </c>
      <c r="F31" s="1" t="str">
        <f ca="1">IFERROR(__xludf.DUMMYFUNCTION("""COMPUTED_VALUE"""),"Boston - Jamaica Plain")</f>
        <v>Boston - Jamaica Plain</v>
      </c>
      <c r="G31" s="1">
        <f ca="1">IFERROR(__xludf.DUMMYFUNCTION("""COMPUTED_VALUE"""),4)</f>
        <v>4</v>
      </c>
      <c r="H31" s="1" t="str">
        <f ca="1">IFERROR(__xludf.DUMMYFUNCTION("""COMPUTED_VALUE"""),"D")</f>
        <v>D</v>
      </c>
      <c r="I31" s="4" t="str">
        <f ca="1">IFERROR(__xludf.DUMMYFUNCTION("""COMPUTED_VALUE"""),"5 Mark Street#2D")</f>
        <v>5 Mark Street#2D</v>
      </c>
      <c r="J31" s="4" t="str">
        <f ca="1">IFERROR(__xludf.DUMMYFUNCTION("""COMPUTED_VALUE"""),"28b9afb3-92cb-46f5-a62b-a40d36832deb")</f>
        <v>28b9afb3-92cb-46f5-a62b-a40d36832deb</v>
      </c>
      <c r="K31" s="4">
        <f ca="1">IFERROR(__xludf.DUMMYFUNCTION("""COMPUTED_VALUE"""),795)</f>
        <v>795</v>
      </c>
      <c r="L31" s="1" t="str">
        <f ca="1">IFERROR(__xludf.DUMMYFUNCTION("""COMPUTED_VALUE"""),"Cam")</f>
        <v>Cam</v>
      </c>
      <c r="M31" s="1" t="str">
        <f ca="1">IFERROR(__xludf.DUMMYFUNCTION("""COMPUTED_VALUE"""),"")</f>
        <v/>
      </c>
      <c r="N31" s="1" t="str">
        <f ca="1">IFERROR(__xludf.DUMMYFUNCTION("""COMPUTED_VALUE"""),"Furnished")</f>
        <v>Furnished</v>
      </c>
      <c r="O31" s="1" t="str">
        <f ca="1">IFERROR(__xludf.DUMMYFUNCTION("""COMPUTED_VALUE"""),"Occupied")</f>
        <v>Occupied</v>
      </c>
      <c r="P31" s="1"/>
      <c r="Q31" s="1"/>
      <c r="R31" s="1"/>
      <c r="S31" s="1" t="str">
        <f ca="1">IFERROR(__xludf.DUMMYFUNCTION("""COMPUTED_VALUE"""),"NO CATS OR DOGS")</f>
        <v>NO CATS OR DOGS</v>
      </c>
      <c r="T31" s="1"/>
      <c r="U31" s="1" t="str">
        <f ca="1">IFERROR(__xludf.DUMMYFUNCTION("""COMPUTED_VALUE"""),"N")</f>
        <v>N</v>
      </c>
      <c r="V31" s="1" t="str">
        <f ca="1">IFERROR(__xludf.DUMMYFUNCTION("""COMPUTED_VALUE"""),"N")</f>
        <v>N</v>
      </c>
      <c r="W31" s="1"/>
      <c r="X31" s="1"/>
      <c r="Y31" s="1" t="str">
        <f ca="1">IFERROR(__xludf.DUMMYFUNCTION("""COMPUTED_VALUE"""),"Maleo Tyree Garvin")</f>
        <v>Maleo Tyree Garvin</v>
      </c>
      <c r="Z31" s="1" t="str">
        <f ca="1">IFERROR(__xludf.DUMMYFUNCTION("""COMPUTED_VALUE"""),"Maleogarvin@gmail.com")</f>
        <v>Maleogarvin@gmail.com</v>
      </c>
      <c r="AA31" s="1"/>
      <c r="AB31" s="1"/>
      <c r="AC31" s="1"/>
    </row>
    <row r="32" spans="1:29">
      <c r="A32" s="1" t="str">
        <f ca="1">IFERROR(__xludf.DUMMYFUNCTION("""COMPUTED_VALUE"""),"5 Mark Street")</f>
        <v>5 Mark Street</v>
      </c>
      <c r="B32" s="1">
        <f ca="1">IFERROR(__xludf.DUMMYFUNCTION("""COMPUTED_VALUE"""),5)</f>
        <v>5</v>
      </c>
      <c r="C32" s="1" t="str">
        <f ca="1">IFERROR(__xludf.DUMMYFUNCTION("""COMPUTED_VALUE"""),"#2")</f>
        <v>#2</v>
      </c>
      <c r="D32" s="1" t="str">
        <f ca="1">IFERROR(__xludf.DUMMYFUNCTION("""COMPUTED_VALUE"""),"5 Mark Street Unit 2")</f>
        <v>5 Mark Street Unit 2</v>
      </c>
      <c r="E32" s="1" t="str">
        <f ca="1">IFERROR(__xludf.DUMMYFUNCTION("""COMPUTED_VALUE"""),"Boston")</f>
        <v>Boston</v>
      </c>
      <c r="F32" s="1" t="str">
        <f ca="1">IFERROR(__xludf.DUMMYFUNCTION("""COMPUTED_VALUE"""),"Boston - Jamaica Plain")</f>
        <v>Boston - Jamaica Plain</v>
      </c>
      <c r="G32" s="1">
        <f ca="1">IFERROR(__xludf.DUMMYFUNCTION("""COMPUTED_VALUE"""),5)</f>
        <v>5</v>
      </c>
      <c r="H32" s="1" t="str">
        <f ca="1">IFERROR(__xludf.DUMMYFUNCTION("""COMPUTED_VALUE"""),"E")</f>
        <v>E</v>
      </c>
      <c r="I32" s="4" t="str">
        <f ca="1">IFERROR(__xludf.DUMMYFUNCTION("""COMPUTED_VALUE"""),"5 Mark Street#2E")</f>
        <v>5 Mark Street#2E</v>
      </c>
      <c r="J32" s="4" t="str">
        <f ca="1">IFERROR(__xludf.DUMMYFUNCTION("""COMPUTED_VALUE"""),"28b9afb3-92cb-46f5-a62b-a40d36832deb")</f>
        <v>28b9afb3-92cb-46f5-a62b-a40d36832deb</v>
      </c>
      <c r="K32" s="4">
        <f ca="1">IFERROR(__xludf.DUMMYFUNCTION("""COMPUTED_VALUE"""),850)</f>
        <v>850</v>
      </c>
      <c r="L32" s="1" t="str">
        <f ca="1">IFERROR(__xludf.DUMMYFUNCTION("""COMPUTED_VALUE"""),"Cam")</f>
        <v>Cam</v>
      </c>
      <c r="M32" s="1" t="str">
        <f ca="1">IFERROR(__xludf.DUMMYFUNCTION("""COMPUTED_VALUE"""),"")</f>
        <v/>
      </c>
      <c r="N32" s="1" t="str">
        <f ca="1">IFERROR(__xludf.DUMMYFUNCTION("""COMPUTED_VALUE"""),"Furnished")</f>
        <v>Furnished</v>
      </c>
      <c r="O32" s="1" t="str">
        <f ca="1">IFERROR(__xludf.DUMMYFUNCTION("""COMPUTED_VALUE"""),"Occupied")</f>
        <v>Occupied</v>
      </c>
      <c r="P32" s="1"/>
      <c r="Q32" s="1"/>
      <c r="R32" s="1"/>
      <c r="S32" s="1" t="str">
        <f ca="1">IFERROR(__xludf.DUMMYFUNCTION("""COMPUTED_VALUE"""),"NO CATS OR DOGS")</f>
        <v>NO CATS OR DOGS</v>
      </c>
      <c r="T32" s="1"/>
      <c r="U32" s="1" t="str">
        <f ca="1">IFERROR(__xludf.DUMMYFUNCTION("""COMPUTED_VALUE"""),"N")</f>
        <v>N</v>
      </c>
      <c r="V32" s="1" t="str">
        <f ca="1">IFERROR(__xludf.DUMMYFUNCTION("""COMPUTED_VALUE"""),"N")</f>
        <v>N</v>
      </c>
      <c r="W32" s="1"/>
      <c r="X32" s="1"/>
      <c r="Y32" s="1" t="str">
        <f ca="1">IFERROR(__xludf.DUMMYFUNCTION("""COMPUTED_VALUE"""),"Herbert Moore")</f>
        <v>Herbert Moore</v>
      </c>
      <c r="Z32" s="1" t="str">
        <f ca="1">IFERROR(__xludf.DUMMYFUNCTION("""COMPUTED_VALUE"""),"herbertfmoore@hotmail.com")</f>
        <v>herbertfmoore@hotmail.com</v>
      </c>
      <c r="AA32" s="1"/>
      <c r="AB32" s="1"/>
      <c r="AC32" s="1"/>
    </row>
    <row r="33" spans="1:29">
      <c r="A33" s="1" t="str">
        <f ca="1">IFERROR(__xludf.DUMMYFUNCTION("""COMPUTED_VALUE"""),"5 Mark Street")</f>
        <v>5 Mark Street</v>
      </c>
      <c r="B33" s="1">
        <f ca="1">IFERROR(__xludf.DUMMYFUNCTION("""COMPUTED_VALUE"""),5)</f>
        <v>5</v>
      </c>
      <c r="C33" s="1" t="str">
        <f ca="1">IFERROR(__xludf.DUMMYFUNCTION("""COMPUTED_VALUE"""),"#3")</f>
        <v>#3</v>
      </c>
      <c r="D33" s="1" t="str">
        <f ca="1">IFERROR(__xludf.DUMMYFUNCTION("""COMPUTED_VALUE"""),"5 Mark Street Unit 3")</f>
        <v>5 Mark Street Unit 3</v>
      </c>
      <c r="E33" s="1" t="str">
        <f ca="1">IFERROR(__xludf.DUMMYFUNCTION("""COMPUTED_VALUE"""),"Boston")</f>
        <v>Boston</v>
      </c>
      <c r="F33" s="1" t="str">
        <f ca="1">IFERROR(__xludf.DUMMYFUNCTION("""COMPUTED_VALUE"""),"Boston - Jamaica Plain")</f>
        <v>Boston - Jamaica Plain</v>
      </c>
      <c r="G33" s="1">
        <f ca="1">IFERROR(__xludf.DUMMYFUNCTION("""COMPUTED_VALUE"""),1)</f>
        <v>1</v>
      </c>
      <c r="H33" s="1" t="str">
        <f ca="1">IFERROR(__xludf.DUMMYFUNCTION("""COMPUTED_VALUE"""),"A")</f>
        <v>A</v>
      </c>
      <c r="I33" s="4" t="str">
        <f ca="1">IFERROR(__xludf.DUMMYFUNCTION("""COMPUTED_VALUE"""),"5 Mark Street#3A")</f>
        <v>5 Mark Street#3A</v>
      </c>
      <c r="J33" s="1"/>
      <c r="K33" s="4" t="str">
        <f ca="1">IFERROR(__xludf.DUMMYFUNCTION("""COMPUTED_VALUE"""),"#N/A")</f>
        <v>#N/A</v>
      </c>
      <c r="L33" s="1" t="str">
        <f ca="1">IFERROR(__xludf.DUMMYFUNCTION("""COMPUTED_VALUE"""),"Cam")</f>
        <v>Cam</v>
      </c>
      <c r="M33" s="1" t="str">
        <f ca="1">IFERROR(__xludf.DUMMYFUNCTION("""COMPUTED_VALUE"""),"")</f>
        <v/>
      </c>
      <c r="N33" s="1" t="str">
        <f ca="1">IFERROR(__xludf.DUMMYFUNCTION("""COMPUTED_VALUE"""),"Furnished")</f>
        <v>Furnished</v>
      </c>
      <c r="O33" s="1"/>
      <c r="P33" s="1"/>
      <c r="Q33" s="1"/>
      <c r="R33" s="1"/>
      <c r="S33" s="1" t="str">
        <f ca="1">IFERROR(__xludf.DUMMYFUNCTION("""COMPUTED_VALUE"""),"NO CATS OR DOGS")</f>
        <v>NO CATS OR DOGS</v>
      </c>
      <c r="T33" s="1"/>
      <c r="U33" s="1" t="str">
        <f ca="1">IFERROR(__xludf.DUMMYFUNCTION("""COMPUTED_VALUE"""),"N")</f>
        <v>N</v>
      </c>
      <c r="V33" s="1" t="str">
        <f ca="1">IFERROR(__xludf.DUMMYFUNCTION("""COMPUTED_VALUE"""),"N")</f>
        <v>N</v>
      </c>
      <c r="W33" s="1"/>
      <c r="X33" s="1"/>
      <c r="Y33" s="1"/>
      <c r="Z33" s="1"/>
      <c r="AA33" s="1"/>
      <c r="AB33" s="1"/>
      <c r="AC33" s="1"/>
    </row>
    <row r="34" spans="1:29">
      <c r="A34" s="1" t="str">
        <f ca="1">IFERROR(__xludf.DUMMYFUNCTION("""COMPUTED_VALUE"""),"5 Mark Street")</f>
        <v>5 Mark Street</v>
      </c>
      <c r="B34" s="1">
        <f ca="1">IFERROR(__xludf.DUMMYFUNCTION("""COMPUTED_VALUE"""),5)</f>
        <v>5</v>
      </c>
      <c r="C34" s="1" t="str">
        <f ca="1">IFERROR(__xludf.DUMMYFUNCTION("""COMPUTED_VALUE"""),"#3")</f>
        <v>#3</v>
      </c>
      <c r="D34" s="1" t="str">
        <f ca="1">IFERROR(__xludf.DUMMYFUNCTION("""COMPUTED_VALUE"""),"5 Mark Street Unit 3")</f>
        <v>5 Mark Street Unit 3</v>
      </c>
      <c r="E34" s="1" t="str">
        <f ca="1">IFERROR(__xludf.DUMMYFUNCTION("""COMPUTED_VALUE"""),"Boston")</f>
        <v>Boston</v>
      </c>
      <c r="F34" s="1" t="str">
        <f ca="1">IFERROR(__xludf.DUMMYFUNCTION("""COMPUTED_VALUE"""),"Boston - Jamaica Plain")</f>
        <v>Boston - Jamaica Plain</v>
      </c>
      <c r="G34" s="1">
        <f ca="1">IFERROR(__xludf.DUMMYFUNCTION("""COMPUTED_VALUE"""),2)</f>
        <v>2</v>
      </c>
      <c r="H34" s="1" t="str">
        <f ca="1">IFERROR(__xludf.DUMMYFUNCTION("""COMPUTED_VALUE"""),"B")</f>
        <v>B</v>
      </c>
      <c r="I34" s="4" t="str">
        <f ca="1">IFERROR(__xludf.DUMMYFUNCTION("""COMPUTED_VALUE"""),"5 Mark Street#3B")</f>
        <v>5 Mark Street#3B</v>
      </c>
      <c r="J34" s="1"/>
      <c r="K34" s="4" t="str">
        <f ca="1">IFERROR(__xludf.DUMMYFUNCTION("""COMPUTED_VALUE"""),"#N/A")</f>
        <v>#N/A</v>
      </c>
      <c r="L34" s="1" t="str">
        <f ca="1">IFERROR(__xludf.DUMMYFUNCTION("""COMPUTED_VALUE"""),"Cam")</f>
        <v>Cam</v>
      </c>
      <c r="M34" s="1" t="str">
        <f ca="1">IFERROR(__xludf.DUMMYFUNCTION("""COMPUTED_VALUE"""),"")</f>
        <v/>
      </c>
      <c r="N34" s="1" t="str">
        <f ca="1">IFERROR(__xludf.DUMMYFUNCTION("""COMPUTED_VALUE"""),"Furnished")</f>
        <v>Furnished</v>
      </c>
      <c r="O34" s="1"/>
      <c r="P34" s="1"/>
      <c r="Q34" s="1"/>
      <c r="R34" s="1"/>
      <c r="S34" s="1" t="str">
        <f ca="1">IFERROR(__xludf.DUMMYFUNCTION("""COMPUTED_VALUE"""),"NO CATS OR DOGS")</f>
        <v>NO CATS OR DOGS</v>
      </c>
      <c r="T34" s="1"/>
      <c r="U34" s="1" t="str">
        <f ca="1">IFERROR(__xludf.DUMMYFUNCTION("""COMPUTED_VALUE"""),"N")</f>
        <v>N</v>
      </c>
      <c r="V34" s="1" t="str">
        <f ca="1">IFERROR(__xludf.DUMMYFUNCTION("""COMPUTED_VALUE"""),"N")</f>
        <v>N</v>
      </c>
      <c r="W34" s="1"/>
      <c r="X34" s="1"/>
      <c r="Y34" s="1"/>
      <c r="Z34" s="1"/>
      <c r="AA34" s="1"/>
      <c r="AB34" s="1"/>
      <c r="AC34" s="1"/>
    </row>
    <row r="35" spans="1:29">
      <c r="A35" s="1" t="str">
        <f ca="1">IFERROR(__xludf.DUMMYFUNCTION("""COMPUTED_VALUE"""),"5 Mark Street")</f>
        <v>5 Mark Street</v>
      </c>
      <c r="B35" s="1">
        <f ca="1">IFERROR(__xludf.DUMMYFUNCTION("""COMPUTED_VALUE"""),5)</f>
        <v>5</v>
      </c>
      <c r="C35" s="1" t="str">
        <f ca="1">IFERROR(__xludf.DUMMYFUNCTION("""COMPUTED_VALUE"""),"#3")</f>
        <v>#3</v>
      </c>
      <c r="D35" s="1" t="str">
        <f ca="1">IFERROR(__xludf.DUMMYFUNCTION("""COMPUTED_VALUE"""),"5 Mark Street Unit 3")</f>
        <v>5 Mark Street Unit 3</v>
      </c>
      <c r="E35" s="1" t="str">
        <f ca="1">IFERROR(__xludf.DUMMYFUNCTION("""COMPUTED_VALUE"""),"Boston")</f>
        <v>Boston</v>
      </c>
      <c r="F35" s="1" t="str">
        <f ca="1">IFERROR(__xludf.DUMMYFUNCTION("""COMPUTED_VALUE"""),"Boston - Jamaica Plain")</f>
        <v>Boston - Jamaica Plain</v>
      </c>
      <c r="G35" s="1">
        <f ca="1">IFERROR(__xludf.DUMMYFUNCTION("""COMPUTED_VALUE"""),3)</f>
        <v>3</v>
      </c>
      <c r="H35" s="1" t="str">
        <f ca="1">IFERROR(__xludf.DUMMYFUNCTION("""COMPUTED_VALUE"""),"C")</f>
        <v>C</v>
      </c>
      <c r="I35" s="4" t="str">
        <f ca="1">IFERROR(__xludf.DUMMYFUNCTION("""COMPUTED_VALUE"""),"5 Mark Street#3C")</f>
        <v>5 Mark Street#3C</v>
      </c>
      <c r="J35" s="1"/>
      <c r="K35" s="4" t="str">
        <f ca="1">IFERROR(__xludf.DUMMYFUNCTION("""COMPUTED_VALUE"""),"#N/A")</f>
        <v>#N/A</v>
      </c>
      <c r="L35" s="1" t="str">
        <f ca="1">IFERROR(__xludf.DUMMYFUNCTION("""COMPUTED_VALUE"""),"Cam")</f>
        <v>Cam</v>
      </c>
      <c r="M35" s="1" t="str">
        <f ca="1">IFERROR(__xludf.DUMMYFUNCTION("""COMPUTED_VALUE"""),"")</f>
        <v/>
      </c>
      <c r="N35" s="1" t="str">
        <f ca="1">IFERROR(__xludf.DUMMYFUNCTION("""COMPUTED_VALUE"""),"Furnished")</f>
        <v>Furnished</v>
      </c>
      <c r="O35" s="1"/>
      <c r="P35" s="1"/>
      <c r="Q35" s="1"/>
      <c r="R35" s="1"/>
      <c r="S35" s="1" t="str">
        <f ca="1">IFERROR(__xludf.DUMMYFUNCTION("""COMPUTED_VALUE"""),"NO CATS OR DOGS")</f>
        <v>NO CATS OR DOGS</v>
      </c>
      <c r="T35" s="1"/>
      <c r="U35" s="1" t="str">
        <f ca="1">IFERROR(__xludf.DUMMYFUNCTION("""COMPUTED_VALUE"""),"N")</f>
        <v>N</v>
      </c>
      <c r="V35" s="1" t="str">
        <f ca="1">IFERROR(__xludf.DUMMYFUNCTION("""COMPUTED_VALUE"""),"N")</f>
        <v>N</v>
      </c>
      <c r="W35" s="1"/>
      <c r="X35" s="1"/>
      <c r="Y35" s="1"/>
      <c r="Z35" s="1"/>
      <c r="AA35" s="1"/>
      <c r="AB35" s="1"/>
      <c r="AC35" s="1"/>
    </row>
    <row r="36" spans="1:29">
      <c r="A36" s="1" t="str">
        <f ca="1">IFERROR(__xludf.DUMMYFUNCTION("""COMPUTED_VALUE"""),"5 Mark Street")</f>
        <v>5 Mark Street</v>
      </c>
      <c r="B36" s="1">
        <f ca="1">IFERROR(__xludf.DUMMYFUNCTION("""COMPUTED_VALUE"""),5)</f>
        <v>5</v>
      </c>
      <c r="C36" s="1" t="str">
        <f ca="1">IFERROR(__xludf.DUMMYFUNCTION("""COMPUTED_VALUE"""),"#3")</f>
        <v>#3</v>
      </c>
      <c r="D36" s="1" t="str">
        <f ca="1">IFERROR(__xludf.DUMMYFUNCTION("""COMPUTED_VALUE"""),"5 Mark Street Unit 3")</f>
        <v>5 Mark Street Unit 3</v>
      </c>
      <c r="E36" s="1" t="str">
        <f ca="1">IFERROR(__xludf.DUMMYFUNCTION("""COMPUTED_VALUE"""),"Boston")</f>
        <v>Boston</v>
      </c>
      <c r="F36" s="1" t="str">
        <f ca="1">IFERROR(__xludf.DUMMYFUNCTION("""COMPUTED_VALUE"""),"Boston - Jamaica Plain")</f>
        <v>Boston - Jamaica Plain</v>
      </c>
      <c r="G36" s="1">
        <f ca="1">IFERROR(__xludf.DUMMYFUNCTION("""COMPUTED_VALUE"""),4)</f>
        <v>4</v>
      </c>
      <c r="H36" s="1" t="str">
        <f ca="1">IFERROR(__xludf.DUMMYFUNCTION("""COMPUTED_VALUE"""),"D")</f>
        <v>D</v>
      </c>
      <c r="I36" s="4" t="str">
        <f ca="1">IFERROR(__xludf.DUMMYFUNCTION("""COMPUTED_VALUE"""),"5 Mark Street#3D")</f>
        <v>5 Mark Street#3D</v>
      </c>
      <c r="J36" s="1"/>
      <c r="K36" s="4" t="str">
        <f ca="1">IFERROR(__xludf.DUMMYFUNCTION("""COMPUTED_VALUE"""),"#N/A")</f>
        <v>#N/A</v>
      </c>
      <c r="L36" s="1" t="str">
        <f ca="1">IFERROR(__xludf.DUMMYFUNCTION("""COMPUTED_VALUE"""),"Cam")</f>
        <v>Cam</v>
      </c>
      <c r="M36" s="1" t="str">
        <f ca="1">IFERROR(__xludf.DUMMYFUNCTION("""COMPUTED_VALUE"""),"")</f>
        <v/>
      </c>
      <c r="N36" s="1" t="str">
        <f ca="1">IFERROR(__xludf.DUMMYFUNCTION("""COMPUTED_VALUE"""),"Furnished")</f>
        <v>Furnished</v>
      </c>
      <c r="O36" s="1"/>
      <c r="P36" s="1"/>
      <c r="Q36" s="1"/>
      <c r="R36" s="1"/>
      <c r="S36" s="1" t="str">
        <f ca="1">IFERROR(__xludf.DUMMYFUNCTION("""COMPUTED_VALUE"""),"NO CATS OR DOGS")</f>
        <v>NO CATS OR DOGS</v>
      </c>
      <c r="T36" s="1"/>
      <c r="U36" s="1" t="str">
        <f ca="1">IFERROR(__xludf.DUMMYFUNCTION("""COMPUTED_VALUE"""),"N")</f>
        <v>N</v>
      </c>
      <c r="V36" s="1" t="str">
        <f ca="1">IFERROR(__xludf.DUMMYFUNCTION("""COMPUTED_VALUE"""),"N")</f>
        <v>N</v>
      </c>
      <c r="W36" s="1"/>
      <c r="X36" s="1"/>
      <c r="Y36" s="1"/>
      <c r="Z36" s="1"/>
      <c r="AA36" s="1"/>
      <c r="AB36" s="1"/>
      <c r="AC36" s="1"/>
    </row>
    <row r="37" spans="1:29">
      <c r="A37" s="1" t="str">
        <f ca="1">IFERROR(__xludf.DUMMYFUNCTION("""COMPUTED_VALUE"""),"5 Mark Street")</f>
        <v>5 Mark Street</v>
      </c>
      <c r="B37" s="1">
        <f ca="1">IFERROR(__xludf.DUMMYFUNCTION("""COMPUTED_VALUE"""),5)</f>
        <v>5</v>
      </c>
      <c r="C37" s="1" t="str">
        <f ca="1">IFERROR(__xludf.DUMMYFUNCTION("""COMPUTED_VALUE"""),"#3")</f>
        <v>#3</v>
      </c>
      <c r="D37" s="1" t="str">
        <f ca="1">IFERROR(__xludf.DUMMYFUNCTION("""COMPUTED_VALUE"""),"5 Mark Street Unit 3")</f>
        <v>5 Mark Street Unit 3</v>
      </c>
      <c r="E37" s="1" t="str">
        <f ca="1">IFERROR(__xludf.DUMMYFUNCTION("""COMPUTED_VALUE"""),"Boston")</f>
        <v>Boston</v>
      </c>
      <c r="F37" s="1" t="str">
        <f ca="1">IFERROR(__xludf.DUMMYFUNCTION("""COMPUTED_VALUE"""),"Boston - Jamaica Plain")</f>
        <v>Boston - Jamaica Plain</v>
      </c>
      <c r="G37" s="1">
        <f ca="1">IFERROR(__xludf.DUMMYFUNCTION("""COMPUTED_VALUE"""),5)</f>
        <v>5</v>
      </c>
      <c r="H37" s="1" t="str">
        <f ca="1">IFERROR(__xludf.DUMMYFUNCTION("""COMPUTED_VALUE"""),"E")</f>
        <v>E</v>
      </c>
      <c r="I37" s="4" t="str">
        <f ca="1">IFERROR(__xludf.DUMMYFUNCTION("""COMPUTED_VALUE"""),"5 Mark Street#3E")</f>
        <v>5 Mark Street#3E</v>
      </c>
      <c r="J37" s="1"/>
      <c r="K37" s="4" t="str">
        <f ca="1">IFERROR(__xludf.DUMMYFUNCTION("""COMPUTED_VALUE"""),"#N/A")</f>
        <v>#N/A</v>
      </c>
      <c r="L37" s="1" t="str">
        <f ca="1">IFERROR(__xludf.DUMMYFUNCTION("""COMPUTED_VALUE"""),"Cam")</f>
        <v>Cam</v>
      </c>
      <c r="M37" s="1" t="str">
        <f ca="1">IFERROR(__xludf.DUMMYFUNCTION("""COMPUTED_VALUE"""),"")</f>
        <v/>
      </c>
      <c r="N37" s="1" t="str">
        <f ca="1">IFERROR(__xludf.DUMMYFUNCTION("""COMPUTED_VALUE"""),"Furnished")</f>
        <v>Furnished</v>
      </c>
      <c r="O37" s="1"/>
      <c r="P37" s="1"/>
      <c r="Q37" s="1"/>
      <c r="R37" s="1"/>
      <c r="S37" s="1" t="str">
        <f ca="1">IFERROR(__xludf.DUMMYFUNCTION("""COMPUTED_VALUE"""),"NO CATS OR DOGS")</f>
        <v>NO CATS OR DOGS</v>
      </c>
      <c r="T37" s="1"/>
      <c r="U37" s="1" t="str">
        <f ca="1">IFERROR(__xludf.DUMMYFUNCTION("""COMPUTED_VALUE"""),"N")</f>
        <v>N</v>
      </c>
      <c r="V37" s="1" t="str">
        <f ca="1">IFERROR(__xludf.DUMMYFUNCTION("""COMPUTED_VALUE"""),"N")</f>
        <v>N</v>
      </c>
      <c r="W37" s="1"/>
      <c r="X37" s="1"/>
      <c r="Y37" s="1"/>
      <c r="Z37" s="1"/>
      <c r="AA37" s="1"/>
      <c r="AB37" s="1"/>
      <c r="AC37" s="1"/>
    </row>
    <row r="38" spans="1:29">
      <c r="A38" s="1" t="str">
        <f ca="1">IFERROR(__xludf.DUMMYFUNCTION("""COMPUTED_VALUE"""),"6 7th Street")</f>
        <v>6 7th Street</v>
      </c>
      <c r="B38" s="1">
        <f ca="1">IFERROR(__xludf.DUMMYFUNCTION("""COMPUTED_VALUE"""),6)</f>
        <v>6</v>
      </c>
      <c r="C38" s="1" t="str">
        <f ca="1">IFERROR(__xludf.DUMMYFUNCTION("""COMPUTED_VALUE"""),"N/A")</f>
        <v>N/A</v>
      </c>
      <c r="D38" s="1" t="str">
        <f ca="1">IFERROR(__xludf.DUMMYFUNCTION("""COMPUTED_VALUE"""),"6 7th Street")</f>
        <v>6 7th Street</v>
      </c>
      <c r="E38" s="1" t="str">
        <f ca="1">IFERROR(__xludf.DUMMYFUNCTION("""COMPUTED_VALUE"""),"Cambridge")</f>
        <v>Cambridge</v>
      </c>
      <c r="F38" s="1" t="str">
        <f ca="1">IFERROR(__xludf.DUMMYFUNCTION("""COMPUTED_VALUE"""),"Cambridge - East Cambridge")</f>
        <v>Cambridge - East Cambridge</v>
      </c>
      <c r="G38" s="1">
        <f ca="1">IFERROR(__xludf.DUMMYFUNCTION("""COMPUTED_VALUE"""),1)</f>
        <v>1</v>
      </c>
      <c r="H38" s="1" t="str">
        <f ca="1">IFERROR(__xludf.DUMMYFUNCTION("""COMPUTED_VALUE"""),"A")</f>
        <v>A</v>
      </c>
      <c r="I38" s="4" t="str">
        <f ca="1">IFERROR(__xludf.DUMMYFUNCTION("""COMPUTED_VALUE"""),"6 7th StreetN/AA")</f>
        <v>6 7th StreetN/AA</v>
      </c>
      <c r="J38" s="4" t="str">
        <f ca="1">IFERROR(__xludf.DUMMYFUNCTION("""COMPUTED_VALUE"""),"9cfe5c99-ee15-4215-b756-d60a28153cac")</f>
        <v>9cfe5c99-ee15-4215-b756-d60a28153cac</v>
      </c>
      <c r="K38" s="4">
        <f ca="1">IFERROR(__xludf.DUMMYFUNCTION("""COMPUTED_VALUE"""),1295)</f>
        <v>1295</v>
      </c>
      <c r="L38" s="1" t="str">
        <f ca="1">IFERROR(__xludf.DUMMYFUNCTION("""COMPUTED_VALUE"""),"Daniel")</f>
        <v>Daniel</v>
      </c>
      <c r="M38" s="1" t="str">
        <f ca="1">IFERROR(__xludf.DUMMYFUNCTION("""COMPUTED_VALUE"""),"")</f>
        <v/>
      </c>
      <c r="N38" s="1" t="str">
        <f ca="1">IFERROR(__xludf.DUMMYFUNCTION("""COMPUTED_VALUE"""),"Furnished")</f>
        <v>Furnished</v>
      </c>
      <c r="O38" s="1" t="str">
        <f ca="1">IFERROR(__xludf.DUMMYFUNCTION("""COMPUTED_VALUE"""),"Upcoming Vacancy")</f>
        <v>Upcoming Vacancy</v>
      </c>
      <c r="P38" s="1" t="str">
        <f ca="1">IFERROR(__xludf.DUMMYFUNCTION("""COMPUTED_VALUE"""),"May")</f>
        <v>May</v>
      </c>
      <c r="Q38" s="1"/>
      <c r="R38" s="1"/>
      <c r="S38" s="1" t="str">
        <f ca="1">IFERROR(__xludf.DUMMYFUNCTION("""COMPUTED_VALUE"""),"NO CATS OR DOGS")</f>
        <v>NO CATS OR DOGS</v>
      </c>
      <c r="T38" s="1"/>
      <c r="U38" s="1" t="str">
        <f ca="1">IFERROR(__xludf.DUMMYFUNCTION("""COMPUTED_VALUE"""),"Y")</f>
        <v>Y</v>
      </c>
      <c r="V38" s="1" t="str">
        <f ca="1">IFERROR(__xludf.DUMMYFUNCTION("""COMPUTED_VALUE"""),"Y")</f>
        <v>Y</v>
      </c>
      <c r="W38" s="1"/>
      <c r="X38" s="1"/>
      <c r="Y38" s="1" t="str">
        <f ca="1">IFERROR(__xludf.DUMMYFUNCTION("""COMPUTED_VALUE"""),"Valeria Gardea")</f>
        <v>Valeria Gardea</v>
      </c>
      <c r="Z38" s="1" t="str">
        <f ca="1">IFERROR(__xludf.DUMMYFUNCTION("""COMPUTED_VALUE"""),"valeriagardea95@gmail.com")</f>
        <v>valeriagardea95@gmail.com</v>
      </c>
      <c r="AA38" s="1"/>
      <c r="AB38" s="1"/>
      <c r="AC38" s="1" t="str">
        <f ca="1">IFERROR(__xludf.DUMMYFUNCTION("""COMPUTED_VALUE"""),"Photos are organized in Drive")</f>
        <v>Photos are organized in Drive</v>
      </c>
    </row>
    <row r="39" spans="1:29">
      <c r="A39" s="1" t="str">
        <f ca="1">IFERROR(__xludf.DUMMYFUNCTION("""COMPUTED_VALUE"""),"6 7th Street")</f>
        <v>6 7th Street</v>
      </c>
      <c r="B39" s="1">
        <f ca="1">IFERROR(__xludf.DUMMYFUNCTION("""COMPUTED_VALUE"""),6)</f>
        <v>6</v>
      </c>
      <c r="C39" s="1" t="str">
        <f ca="1">IFERROR(__xludf.DUMMYFUNCTION("""COMPUTED_VALUE"""),"N/A")</f>
        <v>N/A</v>
      </c>
      <c r="D39" s="1" t="str">
        <f ca="1">IFERROR(__xludf.DUMMYFUNCTION("""COMPUTED_VALUE"""),"6 7th Street")</f>
        <v>6 7th Street</v>
      </c>
      <c r="E39" s="1" t="str">
        <f ca="1">IFERROR(__xludf.DUMMYFUNCTION("""COMPUTED_VALUE"""),"Cambridge")</f>
        <v>Cambridge</v>
      </c>
      <c r="F39" s="1" t="str">
        <f ca="1">IFERROR(__xludf.DUMMYFUNCTION("""COMPUTED_VALUE"""),"Cambridge - East Cambridge")</f>
        <v>Cambridge - East Cambridge</v>
      </c>
      <c r="G39" s="1">
        <f ca="1">IFERROR(__xludf.DUMMYFUNCTION("""COMPUTED_VALUE"""),2)</f>
        <v>2</v>
      </c>
      <c r="H39" s="1" t="str">
        <f ca="1">IFERROR(__xludf.DUMMYFUNCTION("""COMPUTED_VALUE"""),"B")</f>
        <v>B</v>
      </c>
      <c r="I39" s="4" t="str">
        <f ca="1">IFERROR(__xludf.DUMMYFUNCTION("""COMPUTED_VALUE"""),"6 7th StreetN/AB")</f>
        <v>6 7th StreetN/AB</v>
      </c>
      <c r="J39" s="4" t="str">
        <f ca="1">IFERROR(__xludf.DUMMYFUNCTION("""COMPUTED_VALUE"""),"9cfe5c99-ee15-4215-b756-d60a28153cac")</f>
        <v>9cfe5c99-ee15-4215-b756-d60a28153cac</v>
      </c>
      <c r="K39" s="4">
        <f ca="1">IFERROR(__xludf.DUMMYFUNCTION("""COMPUTED_VALUE"""),1295)</f>
        <v>1295</v>
      </c>
      <c r="L39" s="1" t="str">
        <f ca="1">IFERROR(__xludf.DUMMYFUNCTION("""COMPUTED_VALUE"""),"Daniel")</f>
        <v>Daniel</v>
      </c>
      <c r="M39" s="1" t="str">
        <f ca="1">IFERROR(__xludf.DUMMYFUNCTION("""COMPUTED_VALUE"""),"")</f>
        <v/>
      </c>
      <c r="N39" s="1" t="str">
        <f ca="1">IFERROR(__xludf.DUMMYFUNCTION("""COMPUTED_VALUE"""),"Furnished")</f>
        <v>Furnished</v>
      </c>
      <c r="O39" s="1" t="str">
        <f ca="1">IFERROR(__xludf.DUMMYFUNCTION("""COMPUTED_VALUE"""),"Upcoming Vacancy")</f>
        <v>Upcoming Vacancy</v>
      </c>
      <c r="P39" s="1" t="str">
        <f ca="1">IFERROR(__xludf.DUMMYFUNCTION("""COMPUTED_VALUE"""),"May")</f>
        <v>May</v>
      </c>
      <c r="Q39" s="1"/>
      <c r="R39" s="1"/>
      <c r="S39" s="1" t="str">
        <f ca="1">IFERROR(__xludf.DUMMYFUNCTION("""COMPUTED_VALUE"""),"NO CATS OR DOGS")</f>
        <v>NO CATS OR DOGS</v>
      </c>
      <c r="T39" s="1"/>
      <c r="U39" s="1" t="str">
        <f ca="1">IFERROR(__xludf.DUMMYFUNCTION("""COMPUTED_VALUE"""),"Y")</f>
        <v>Y</v>
      </c>
      <c r="V39" s="1" t="str">
        <f ca="1">IFERROR(__xludf.DUMMYFUNCTION("""COMPUTED_VALUE"""),"Y")</f>
        <v>Y</v>
      </c>
      <c r="W39" s="1"/>
      <c r="X39" s="1"/>
      <c r="Y39" s="1" t="str">
        <f ca="1">IFERROR(__xludf.DUMMYFUNCTION("""COMPUTED_VALUE"""),"Laura Garcia")</f>
        <v>Laura Garcia</v>
      </c>
      <c r="Z39" s="1" t="str">
        <f ca="1">IFERROR(__xludf.DUMMYFUNCTION("""COMPUTED_VALUE"""),"laaug257@gmail.com")</f>
        <v>laaug257@gmail.com</v>
      </c>
      <c r="AA39" s="1"/>
      <c r="AB39" s="1"/>
      <c r="AC39" s="1" t="str">
        <f ca="1">IFERROR(__xludf.DUMMYFUNCTION("""COMPUTED_VALUE"""),"Photos are organized in Drive")</f>
        <v>Photos are organized in Drive</v>
      </c>
    </row>
    <row r="40" spans="1:29">
      <c r="A40" s="1" t="str">
        <f ca="1">IFERROR(__xludf.DUMMYFUNCTION("""COMPUTED_VALUE"""),"6 7th Street")</f>
        <v>6 7th Street</v>
      </c>
      <c r="B40" s="1">
        <f ca="1">IFERROR(__xludf.DUMMYFUNCTION("""COMPUTED_VALUE"""),6)</f>
        <v>6</v>
      </c>
      <c r="C40" s="1" t="str">
        <f ca="1">IFERROR(__xludf.DUMMYFUNCTION("""COMPUTED_VALUE"""),"N/A")</f>
        <v>N/A</v>
      </c>
      <c r="D40" s="1" t="str">
        <f ca="1">IFERROR(__xludf.DUMMYFUNCTION("""COMPUTED_VALUE"""),"6 7th Street")</f>
        <v>6 7th Street</v>
      </c>
      <c r="E40" s="1" t="str">
        <f ca="1">IFERROR(__xludf.DUMMYFUNCTION("""COMPUTED_VALUE"""),"Cambridge")</f>
        <v>Cambridge</v>
      </c>
      <c r="F40" s="1" t="str">
        <f ca="1">IFERROR(__xludf.DUMMYFUNCTION("""COMPUTED_VALUE"""),"Cambridge - East Cambridge")</f>
        <v>Cambridge - East Cambridge</v>
      </c>
      <c r="G40" s="1">
        <f ca="1">IFERROR(__xludf.DUMMYFUNCTION("""COMPUTED_VALUE"""),3)</f>
        <v>3</v>
      </c>
      <c r="H40" s="1" t="str">
        <f ca="1">IFERROR(__xludf.DUMMYFUNCTION("""COMPUTED_VALUE"""),"C")</f>
        <v>C</v>
      </c>
      <c r="I40" s="4" t="str">
        <f ca="1">IFERROR(__xludf.DUMMYFUNCTION("""COMPUTED_VALUE"""),"6 7th StreetN/AC")</f>
        <v>6 7th StreetN/AC</v>
      </c>
      <c r="J40" s="4" t="str">
        <f ca="1">IFERROR(__xludf.DUMMYFUNCTION("""COMPUTED_VALUE"""),"9cfe5c99-ee15-4215-b756-d60a28153cac")</f>
        <v>9cfe5c99-ee15-4215-b756-d60a28153cac</v>
      </c>
      <c r="K40" s="4">
        <f ca="1">IFERROR(__xludf.DUMMYFUNCTION("""COMPUTED_VALUE"""),1295)</f>
        <v>1295</v>
      </c>
      <c r="L40" s="1" t="str">
        <f ca="1">IFERROR(__xludf.DUMMYFUNCTION("""COMPUTED_VALUE"""),"Daniel")</f>
        <v>Daniel</v>
      </c>
      <c r="M40" s="1" t="str">
        <f ca="1">IFERROR(__xludf.DUMMYFUNCTION("""COMPUTED_VALUE"""),"")</f>
        <v/>
      </c>
      <c r="N40" s="1" t="str">
        <f ca="1">IFERROR(__xludf.DUMMYFUNCTION("""COMPUTED_VALUE"""),"Furnished")</f>
        <v>Furnished</v>
      </c>
      <c r="O40" s="1" t="str">
        <f ca="1">IFERROR(__xludf.DUMMYFUNCTION("""COMPUTED_VALUE"""),"Upcoming Vacancy")</f>
        <v>Upcoming Vacancy</v>
      </c>
      <c r="P40" s="1" t="str">
        <f ca="1">IFERROR(__xludf.DUMMYFUNCTION("""COMPUTED_VALUE"""),"May")</f>
        <v>May</v>
      </c>
      <c r="Q40" s="1"/>
      <c r="R40" s="1"/>
      <c r="S40" s="1" t="str">
        <f ca="1">IFERROR(__xludf.DUMMYFUNCTION("""COMPUTED_VALUE"""),"NO CATS OR DOGS")</f>
        <v>NO CATS OR DOGS</v>
      </c>
      <c r="T40" s="1"/>
      <c r="U40" s="1" t="str">
        <f ca="1">IFERROR(__xludf.DUMMYFUNCTION("""COMPUTED_VALUE"""),"Y")</f>
        <v>Y</v>
      </c>
      <c r="V40" s="1" t="str">
        <f ca="1">IFERROR(__xludf.DUMMYFUNCTION("""COMPUTED_VALUE"""),"Y")</f>
        <v>Y</v>
      </c>
      <c r="W40" s="1"/>
      <c r="X40" s="1"/>
      <c r="Y40" s="1" t="str">
        <f ca="1">IFERROR(__xludf.DUMMYFUNCTION("""COMPUTED_VALUE"""),"Renata Perez")</f>
        <v>Renata Perez</v>
      </c>
      <c r="Z40" s="1" t="str">
        <f ca="1">IFERROR(__xludf.DUMMYFUNCTION("""COMPUTED_VALUE"""),"renata.retes.96@gmail.com")</f>
        <v>renata.retes.96@gmail.com</v>
      </c>
      <c r="AA40" s="1"/>
      <c r="AB40" s="1"/>
      <c r="AC40" s="1" t="str">
        <f ca="1">IFERROR(__xludf.DUMMYFUNCTION("""COMPUTED_VALUE"""),"Photos are organized in Drive")</f>
        <v>Photos are organized in Drive</v>
      </c>
    </row>
    <row r="41" spans="1:29">
      <c r="A41" s="1" t="str">
        <f ca="1">IFERROR(__xludf.DUMMYFUNCTION("""COMPUTED_VALUE"""),"7 Grant Street")</f>
        <v>7 Grant Street</v>
      </c>
      <c r="B41" s="1">
        <f ca="1">IFERROR(__xludf.DUMMYFUNCTION("""COMPUTED_VALUE"""),7)</f>
        <v>7</v>
      </c>
      <c r="C41" s="1" t="str">
        <f ca="1">IFERROR(__xludf.DUMMYFUNCTION("""COMPUTED_VALUE"""),"#2")</f>
        <v>#2</v>
      </c>
      <c r="D41" s="1" t="str">
        <f ca="1">IFERROR(__xludf.DUMMYFUNCTION("""COMPUTED_VALUE"""),"7 Grant Street Unit 2")</f>
        <v>7 Grant Street Unit 2</v>
      </c>
      <c r="E41" s="1" t="str">
        <f ca="1">IFERROR(__xludf.DUMMYFUNCTION("""COMPUTED_VALUE"""),"Boston")</f>
        <v>Boston</v>
      </c>
      <c r="F41" s="1" t="str">
        <f ca="1">IFERROR(__xludf.DUMMYFUNCTION("""COMPUTED_VALUE"""),"Boston - Dorchester")</f>
        <v>Boston - Dorchester</v>
      </c>
      <c r="G41" s="1">
        <f ca="1">IFERROR(__xludf.DUMMYFUNCTION("""COMPUTED_VALUE"""),1)</f>
        <v>1</v>
      </c>
      <c r="H41" s="1" t="str">
        <f ca="1">IFERROR(__xludf.DUMMYFUNCTION("""COMPUTED_VALUE"""),"A")</f>
        <v>A</v>
      </c>
      <c r="I41" s="4" t="str">
        <f ca="1">IFERROR(__xludf.DUMMYFUNCTION("""COMPUTED_VALUE"""),"7 Grant Street#2A")</f>
        <v>7 Grant Street#2A</v>
      </c>
      <c r="J41" s="4" t="str">
        <f ca="1">IFERROR(__xludf.DUMMYFUNCTION("""COMPUTED_VALUE"""),"5ab0d94c-9a8d-4262-aa99-55d880ffc259")</f>
        <v>5ab0d94c-9a8d-4262-aa99-55d880ffc259</v>
      </c>
      <c r="K41" s="4">
        <f ca="1">IFERROR(__xludf.DUMMYFUNCTION("""COMPUTED_VALUE"""),795)</f>
        <v>795</v>
      </c>
      <c r="L41" s="1" t="str">
        <f ca="1">IFERROR(__xludf.DUMMYFUNCTION("""COMPUTED_VALUE"""),"Self")</f>
        <v>Self</v>
      </c>
      <c r="M41" s="1" t="str">
        <f ca="1">IFERROR(__xludf.DUMMYFUNCTION("""COMPUTED_VALUE"""),"")</f>
        <v/>
      </c>
      <c r="N41" s="1" t="str">
        <f ca="1">IFERROR(__xludf.DUMMYFUNCTION("""COMPUTED_VALUE"""),"")</f>
        <v/>
      </c>
      <c r="O41" s="1" t="str">
        <f ca="1">IFERROR(__xludf.DUMMYFUNCTION("""COMPUTED_VALUE"""),"Occupied")</f>
        <v>Occupied</v>
      </c>
      <c r="P41" s="1"/>
      <c r="Q41" s="1"/>
      <c r="R41" s="1"/>
      <c r="S41" s="1" t="str">
        <f ca="1">IFERROR(__xludf.DUMMYFUNCTION("""COMPUTED_VALUE"""),"NO DOGS")</f>
        <v>NO DOGS</v>
      </c>
      <c r="T41" s="1"/>
      <c r="U41" s="1" t="str">
        <f ca="1">IFERROR(__xludf.DUMMYFUNCTION("""COMPUTED_VALUE"""),"Y")</f>
        <v>Y</v>
      </c>
      <c r="V41" s="1" t="str">
        <f ca="1">IFERROR(__xludf.DUMMYFUNCTION("""COMPUTED_VALUE"""),"N")</f>
        <v>N</v>
      </c>
      <c r="W41" s="1"/>
      <c r="X41" s="1"/>
      <c r="Y41" s="1" t="str">
        <f ca="1">IFERROR(__xludf.DUMMYFUNCTION("""COMPUTED_VALUE"""),"Annie Bae")</f>
        <v>Annie Bae</v>
      </c>
      <c r="Z41" s="1" t="str">
        <f ca="1">IFERROR(__xludf.DUMMYFUNCTION("""COMPUTED_VALUE"""),"abae13@gmail.com")</f>
        <v>abae13@gmail.com</v>
      </c>
      <c r="AA41" s="1"/>
      <c r="AB41" s="1"/>
      <c r="AC41" s="1"/>
    </row>
    <row r="42" spans="1:29">
      <c r="A42" s="1" t="str">
        <f ca="1">IFERROR(__xludf.DUMMYFUNCTION("""COMPUTED_VALUE"""),"7 Grant Street")</f>
        <v>7 Grant Street</v>
      </c>
      <c r="B42" s="1">
        <f ca="1">IFERROR(__xludf.DUMMYFUNCTION("""COMPUTED_VALUE"""),7)</f>
        <v>7</v>
      </c>
      <c r="C42" s="1" t="str">
        <f ca="1">IFERROR(__xludf.DUMMYFUNCTION("""COMPUTED_VALUE"""),"#2")</f>
        <v>#2</v>
      </c>
      <c r="D42" s="1" t="str">
        <f ca="1">IFERROR(__xludf.DUMMYFUNCTION("""COMPUTED_VALUE"""),"7 Grant Street Unit 2")</f>
        <v>7 Grant Street Unit 2</v>
      </c>
      <c r="E42" s="1" t="str">
        <f ca="1">IFERROR(__xludf.DUMMYFUNCTION("""COMPUTED_VALUE"""),"Boston")</f>
        <v>Boston</v>
      </c>
      <c r="F42" s="1" t="str">
        <f ca="1">IFERROR(__xludf.DUMMYFUNCTION("""COMPUTED_VALUE"""),"Boston - Dorchester")</f>
        <v>Boston - Dorchester</v>
      </c>
      <c r="G42" s="1">
        <f ca="1">IFERROR(__xludf.DUMMYFUNCTION("""COMPUTED_VALUE"""),2)</f>
        <v>2</v>
      </c>
      <c r="H42" s="1" t="str">
        <f ca="1">IFERROR(__xludf.DUMMYFUNCTION("""COMPUTED_VALUE"""),"B")</f>
        <v>B</v>
      </c>
      <c r="I42" s="4" t="str">
        <f ca="1">IFERROR(__xludf.DUMMYFUNCTION("""COMPUTED_VALUE"""),"7 Grant Street#2B")</f>
        <v>7 Grant Street#2B</v>
      </c>
      <c r="J42" s="4" t="str">
        <f ca="1">IFERROR(__xludf.DUMMYFUNCTION("""COMPUTED_VALUE"""),"5ab0d94c-9a8d-4262-aa99-55d880ffc259")</f>
        <v>5ab0d94c-9a8d-4262-aa99-55d880ffc259</v>
      </c>
      <c r="K42" s="4">
        <f ca="1">IFERROR(__xludf.DUMMYFUNCTION("""COMPUTED_VALUE"""),995)</f>
        <v>995</v>
      </c>
      <c r="L42" s="1" t="str">
        <f ca="1">IFERROR(__xludf.DUMMYFUNCTION("""COMPUTED_VALUE"""),"Self")</f>
        <v>Self</v>
      </c>
      <c r="M42" s="1" t="str">
        <f ca="1">IFERROR(__xludf.DUMMYFUNCTION("""COMPUTED_VALUE"""),"")</f>
        <v/>
      </c>
      <c r="N42" s="1" t="str">
        <f ca="1">IFERROR(__xludf.DUMMYFUNCTION("""COMPUTED_VALUE"""),"")</f>
        <v/>
      </c>
      <c r="O42" s="1" t="str">
        <f ca="1">IFERROR(__xludf.DUMMYFUNCTION("""COMPUTED_VALUE"""),"Occupied")</f>
        <v>Occupied</v>
      </c>
      <c r="P42" s="1"/>
      <c r="Q42" s="1"/>
      <c r="R42" s="1"/>
      <c r="S42" s="1" t="str">
        <f ca="1">IFERROR(__xludf.DUMMYFUNCTION("""COMPUTED_VALUE"""),"NO DOGS")</f>
        <v>NO DOGS</v>
      </c>
      <c r="T42" s="1"/>
      <c r="U42" s="1" t="str">
        <f ca="1">IFERROR(__xludf.DUMMYFUNCTION("""COMPUTED_VALUE"""),"Y")</f>
        <v>Y</v>
      </c>
      <c r="V42" s="1" t="str">
        <f ca="1">IFERROR(__xludf.DUMMYFUNCTION("""COMPUTED_VALUE"""),"N")</f>
        <v>N</v>
      </c>
      <c r="W42" s="1"/>
      <c r="X42" s="1"/>
      <c r="Y42" s="1" t="str">
        <f ca="1">IFERROR(__xludf.DUMMYFUNCTION("""COMPUTED_VALUE"""),"Joseph Peterson")</f>
        <v>Joseph Peterson</v>
      </c>
      <c r="Z42" s="1" t="str">
        <f ca="1">IFERROR(__xludf.DUMMYFUNCTION("""COMPUTED_VALUE"""),"jpeterson970@gmail.com")</f>
        <v>jpeterson970@gmail.com</v>
      </c>
      <c r="AA42" s="1"/>
      <c r="AB42" s="1"/>
      <c r="AC42" s="1"/>
    </row>
    <row r="43" spans="1:29">
      <c r="A43" s="1" t="str">
        <f ca="1">IFERROR(__xludf.DUMMYFUNCTION("""COMPUTED_VALUE"""),"7 Grant Street")</f>
        <v>7 Grant Street</v>
      </c>
      <c r="B43" s="1">
        <f ca="1">IFERROR(__xludf.DUMMYFUNCTION("""COMPUTED_VALUE"""),7)</f>
        <v>7</v>
      </c>
      <c r="C43" s="1" t="str">
        <f ca="1">IFERROR(__xludf.DUMMYFUNCTION("""COMPUTED_VALUE"""),"#2")</f>
        <v>#2</v>
      </c>
      <c r="D43" s="1" t="str">
        <f ca="1">IFERROR(__xludf.DUMMYFUNCTION("""COMPUTED_VALUE"""),"7 Grant Street Unit 2")</f>
        <v>7 Grant Street Unit 2</v>
      </c>
      <c r="E43" s="1" t="str">
        <f ca="1">IFERROR(__xludf.DUMMYFUNCTION("""COMPUTED_VALUE"""),"Boston")</f>
        <v>Boston</v>
      </c>
      <c r="F43" s="1" t="str">
        <f ca="1">IFERROR(__xludf.DUMMYFUNCTION("""COMPUTED_VALUE"""),"Boston - Dorchester")</f>
        <v>Boston - Dorchester</v>
      </c>
      <c r="G43" s="1">
        <f ca="1">IFERROR(__xludf.DUMMYFUNCTION("""COMPUTED_VALUE"""),3)</f>
        <v>3</v>
      </c>
      <c r="H43" s="1" t="str">
        <f ca="1">IFERROR(__xludf.DUMMYFUNCTION("""COMPUTED_VALUE"""),"C")</f>
        <v>C</v>
      </c>
      <c r="I43" s="4" t="str">
        <f ca="1">IFERROR(__xludf.DUMMYFUNCTION("""COMPUTED_VALUE"""),"7 Grant Street#2C")</f>
        <v>7 Grant Street#2C</v>
      </c>
      <c r="J43" s="4" t="str">
        <f ca="1">IFERROR(__xludf.DUMMYFUNCTION("""COMPUTED_VALUE"""),"5ab0d94c-9a8d-4262-aa99-55d880ffc259")</f>
        <v>5ab0d94c-9a8d-4262-aa99-55d880ffc259</v>
      </c>
      <c r="K43" s="4">
        <f ca="1">IFERROR(__xludf.DUMMYFUNCTION("""COMPUTED_VALUE"""),825)</f>
        <v>825</v>
      </c>
      <c r="L43" s="1" t="str">
        <f ca="1">IFERROR(__xludf.DUMMYFUNCTION("""COMPUTED_VALUE"""),"Self")</f>
        <v>Self</v>
      </c>
      <c r="M43" s="1" t="str">
        <f ca="1">IFERROR(__xludf.DUMMYFUNCTION("""COMPUTED_VALUE"""),"")</f>
        <v/>
      </c>
      <c r="N43" s="1" t="str">
        <f ca="1">IFERROR(__xludf.DUMMYFUNCTION("""COMPUTED_VALUE"""),"")</f>
        <v/>
      </c>
      <c r="O43" s="1" t="str">
        <f ca="1">IFERROR(__xludf.DUMMYFUNCTION("""COMPUTED_VALUE"""),"Occupied")</f>
        <v>Occupied</v>
      </c>
      <c r="P43" s="1"/>
      <c r="Q43" s="1"/>
      <c r="R43" s="1"/>
      <c r="S43" s="1" t="str">
        <f ca="1">IFERROR(__xludf.DUMMYFUNCTION("""COMPUTED_VALUE"""),"NO DOGS")</f>
        <v>NO DOGS</v>
      </c>
      <c r="T43" s="1"/>
      <c r="U43" s="1" t="str">
        <f ca="1">IFERROR(__xludf.DUMMYFUNCTION("""COMPUTED_VALUE"""),"Y")</f>
        <v>Y</v>
      </c>
      <c r="V43" s="1" t="str">
        <f ca="1">IFERROR(__xludf.DUMMYFUNCTION("""COMPUTED_VALUE"""),"N")</f>
        <v>N</v>
      </c>
      <c r="W43" s="1"/>
      <c r="X43" s="1"/>
      <c r="Y43" s="1" t="str">
        <f ca="1">IFERROR(__xludf.DUMMYFUNCTION("""COMPUTED_VALUE"""),"Anthony Rolon")</f>
        <v>Anthony Rolon</v>
      </c>
      <c r="Z43" s="1" t="str">
        <f ca="1">IFERROR(__xludf.DUMMYFUNCTION("""COMPUTED_VALUE"""),"abraloh51@gmail.com")</f>
        <v>abraloh51@gmail.com</v>
      </c>
      <c r="AA43" s="1"/>
      <c r="AB43" s="1"/>
      <c r="AC43" s="1"/>
    </row>
    <row r="44" spans="1:29">
      <c r="A44" s="1" t="str">
        <f ca="1">IFERROR(__xludf.DUMMYFUNCTION("""COMPUTED_VALUE"""),"7 Grant Street")</f>
        <v>7 Grant Street</v>
      </c>
      <c r="B44" s="1">
        <f ca="1">IFERROR(__xludf.DUMMYFUNCTION("""COMPUTED_VALUE"""),7)</f>
        <v>7</v>
      </c>
      <c r="C44" s="1" t="str">
        <f ca="1">IFERROR(__xludf.DUMMYFUNCTION("""COMPUTED_VALUE"""),"#2")</f>
        <v>#2</v>
      </c>
      <c r="D44" s="1" t="str">
        <f ca="1">IFERROR(__xludf.DUMMYFUNCTION("""COMPUTED_VALUE"""),"7 Grant Street Unit 2")</f>
        <v>7 Grant Street Unit 2</v>
      </c>
      <c r="E44" s="1" t="str">
        <f ca="1">IFERROR(__xludf.DUMMYFUNCTION("""COMPUTED_VALUE"""),"Boston")</f>
        <v>Boston</v>
      </c>
      <c r="F44" s="1" t="str">
        <f ca="1">IFERROR(__xludf.DUMMYFUNCTION("""COMPUTED_VALUE"""),"Boston - Dorchester")</f>
        <v>Boston - Dorchester</v>
      </c>
      <c r="G44" s="1">
        <f ca="1">IFERROR(__xludf.DUMMYFUNCTION("""COMPUTED_VALUE"""),4)</f>
        <v>4</v>
      </c>
      <c r="H44" s="1" t="str">
        <f ca="1">IFERROR(__xludf.DUMMYFUNCTION("""COMPUTED_VALUE"""),"D")</f>
        <v>D</v>
      </c>
      <c r="I44" s="4" t="str">
        <f ca="1">IFERROR(__xludf.DUMMYFUNCTION("""COMPUTED_VALUE"""),"7 Grant Street#2D")</f>
        <v>7 Grant Street#2D</v>
      </c>
      <c r="J44" s="4" t="str">
        <f ca="1">IFERROR(__xludf.DUMMYFUNCTION("""COMPUTED_VALUE"""),"5ab0d94c-9a8d-4262-aa99-55d880ffc259")</f>
        <v>5ab0d94c-9a8d-4262-aa99-55d880ffc259</v>
      </c>
      <c r="K44" s="4">
        <f ca="1">IFERROR(__xludf.DUMMYFUNCTION("""COMPUTED_VALUE"""),995)</f>
        <v>995</v>
      </c>
      <c r="L44" s="1" t="str">
        <f ca="1">IFERROR(__xludf.DUMMYFUNCTION("""COMPUTED_VALUE"""),"Self")</f>
        <v>Self</v>
      </c>
      <c r="M44" s="1" t="str">
        <f ca="1">IFERROR(__xludf.DUMMYFUNCTION("""COMPUTED_VALUE"""),"")</f>
        <v/>
      </c>
      <c r="N44" s="1" t="str">
        <f ca="1">IFERROR(__xludf.DUMMYFUNCTION("""COMPUTED_VALUE"""),"")</f>
        <v/>
      </c>
      <c r="O44" s="1" t="str">
        <f ca="1">IFERROR(__xludf.DUMMYFUNCTION("""COMPUTED_VALUE"""),"Occupied")</f>
        <v>Occupied</v>
      </c>
      <c r="P44" s="1"/>
      <c r="Q44" s="1"/>
      <c r="R44" s="1"/>
      <c r="S44" s="1" t="str">
        <f ca="1">IFERROR(__xludf.DUMMYFUNCTION("""COMPUTED_VALUE"""),"NO DOGS")</f>
        <v>NO DOGS</v>
      </c>
      <c r="T44" s="1"/>
      <c r="U44" s="1" t="str">
        <f ca="1">IFERROR(__xludf.DUMMYFUNCTION("""COMPUTED_VALUE"""),"Y")</f>
        <v>Y</v>
      </c>
      <c r="V44" s="1" t="str">
        <f ca="1">IFERROR(__xludf.DUMMYFUNCTION("""COMPUTED_VALUE"""),"N")</f>
        <v>N</v>
      </c>
      <c r="W44" s="1"/>
      <c r="X44" s="1"/>
      <c r="Y44" s="1" t="str">
        <f ca="1">IFERROR(__xludf.DUMMYFUNCTION("""COMPUTED_VALUE"""),"Rachel Knaack")</f>
        <v>Rachel Knaack</v>
      </c>
      <c r="Z44" s="1" t="str">
        <f ca="1">IFERROR(__xludf.DUMMYFUNCTION("""COMPUTED_VALUE"""),"rachel_knaack@yahoo.com")</f>
        <v>rachel_knaack@yahoo.com</v>
      </c>
      <c r="AA44" s="1"/>
      <c r="AB44" s="1"/>
      <c r="AC44" s="1"/>
    </row>
    <row r="45" spans="1:29">
      <c r="A45" s="1" t="str">
        <f ca="1">IFERROR(__xludf.DUMMYFUNCTION("""COMPUTED_VALUE"""),"7 Grant Street")</f>
        <v>7 Grant Street</v>
      </c>
      <c r="B45" s="1">
        <f ca="1">IFERROR(__xludf.DUMMYFUNCTION("""COMPUTED_VALUE"""),7)</f>
        <v>7</v>
      </c>
      <c r="C45" s="1" t="str">
        <f ca="1">IFERROR(__xludf.DUMMYFUNCTION("""COMPUTED_VALUE"""),"#2")</f>
        <v>#2</v>
      </c>
      <c r="D45" s="1" t="str">
        <f ca="1">IFERROR(__xludf.DUMMYFUNCTION("""COMPUTED_VALUE"""),"7 Grant Street Unit 2")</f>
        <v>7 Grant Street Unit 2</v>
      </c>
      <c r="E45" s="1" t="str">
        <f ca="1">IFERROR(__xludf.DUMMYFUNCTION("""COMPUTED_VALUE"""),"Boston")</f>
        <v>Boston</v>
      </c>
      <c r="F45" s="1" t="str">
        <f ca="1">IFERROR(__xludf.DUMMYFUNCTION("""COMPUTED_VALUE"""),"Boston - Dorchester")</f>
        <v>Boston - Dorchester</v>
      </c>
      <c r="G45" s="1">
        <f ca="1">IFERROR(__xludf.DUMMYFUNCTION("""COMPUTED_VALUE"""),5)</f>
        <v>5</v>
      </c>
      <c r="H45" s="1" t="str">
        <f ca="1">IFERROR(__xludf.DUMMYFUNCTION("""COMPUTED_VALUE"""),"E")</f>
        <v>E</v>
      </c>
      <c r="I45" s="4" t="str">
        <f ca="1">IFERROR(__xludf.DUMMYFUNCTION("""COMPUTED_VALUE"""),"7 Grant Street#2E")</f>
        <v>7 Grant Street#2E</v>
      </c>
      <c r="J45" s="4" t="str">
        <f ca="1">IFERROR(__xludf.DUMMYFUNCTION("""COMPUTED_VALUE"""),"5ab0d94c-9a8d-4262-aa99-55d880ffc259")</f>
        <v>5ab0d94c-9a8d-4262-aa99-55d880ffc259</v>
      </c>
      <c r="K45" s="4">
        <f ca="1">IFERROR(__xludf.DUMMYFUNCTION("""COMPUTED_VALUE"""),995)</f>
        <v>995</v>
      </c>
      <c r="L45" s="1" t="str">
        <f ca="1">IFERROR(__xludf.DUMMYFUNCTION("""COMPUTED_VALUE"""),"Self")</f>
        <v>Self</v>
      </c>
      <c r="M45" s="1" t="str">
        <f ca="1">IFERROR(__xludf.DUMMYFUNCTION("""COMPUTED_VALUE"""),"Self (NOW)")</f>
        <v>Self (NOW)</v>
      </c>
      <c r="N45" s="1" t="str">
        <f ca="1">IFERROR(__xludf.DUMMYFUNCTION("""COMPUTED_VALUE"""),"")</f>
        <v/>
      </c>
      <c r="O45" s="1" t="str">
        <f ca="1">IFERROR(__xludf.DUMMYFUNCTION("""COMPUTED_VALUE"""),"Upcoming Vacancy")</f>
        <v>Upcoming Vacancy</v>
      </c>
      <c r="P45" s="1" t="str">
        <f ca="1">IFERROR(__xludf.DUMMYFUNCTION("""COMPUTED_VALUE"""),"February")</f>
        <v>February</v>
      </c>
      <c r="Q45" s="3">
        <f ca="1">IFERROR(__xludf.DUMMYFUNCTION("""COMPUTED_VALUE"""),44227)</f>
        <v>44227</v>
      </c>
      <c r="R45" s="1"/>
      <c r="S45" s="1" t="str">
        <f ca="1">IFERROR(__xludf.DUMMYFUNCTION("""COMPUTED_VALUE"""),"NO DOGS")</f>
        <v>NO DOGS</v>
      </c>
      <c r="T45" s="1"/>
      <c r="U45" s="1" t="str">
        <f ca="1">IFERROR(__xludf.DUMMYFUNCTION("""COMPUTED_VALUE"""),"Y")</f>
        <v>Y</v>
      </c>
      <c r="V45" s="1" t="str">
        <f ca="1">IFERROR(__xludf.DUMMYFUNCTION("""COMPUTED_VALUE"""),"N")</f>
        <v>N</v>
      </c>
      <c r="W45" s="1"/>
      <c r="X45" s="1"/>
      <c r="Y45" s="1" t="str">
        <f ca="1">IFERROR(__xludf.DUMMYFUNCTION("""COMPUTED_VALUE"""),"Ulrich Dossou")</f>
        <v>Ulrich Dossou</v>
      </c>
      <c r="Z45" s="1" t="str">
        <f ca="1">IFERROR(__xludf.DUMMYFUNCTION("""COMPUTED_VALUE"""),"ulrichdo@gmail.com")</f>
        <v>ulrichdo@gmail.com</v>
      </c>
      <c r="AA45" s="1"/>
      <c r="AB45" s="1"/>
      <c r="AC45" s="1"/>
    </row>
    <row r="46" spans="1:29">
      <c r="A46" s="1" t="str">
        <f ca="1">IFERROR(__xludf.DUMMYFUNCTION("""COMPUTED_VALUE"""),"7 Grant Street")</f>
        <v>7 Grant Street</v>
      </c>
      <c r="B46" s="1">
        <f ca="1">IFERROR(__xludf.DUMMYFUNCTION("""COMPUTED_VALUE"""),7)</f>
        <v>7</v>
      </c>
      <c r="C46" s="1" t="str">
        <f ca="1">IFERROR(__xludf.DUMMYFUNCTION("""COMPUTED_VALUE"""),"#2")</f>
        <v>#2</v>
      </c>
      <c r="D46" s="1" t="str">
        <f ca="1">IFERROR(__xludf.DUMMYFUNCTION("""COMPUTED_VALUE"""),"7 Grant Street Unit 2")</f>
        <v>7 Grant Street Unit 2</v>
      </c>
      <c r="E46" s="1" t="str">
        <f ca="1">IFERROR(__xludf.DUMMYFUNCTION("""COMPUTED_VALUE"""),"Boston")</f>
        <v>Boston</v>
      </c>
      <c r="F46" s="1" t="str">
        <f ca="1">IFERROR(__xludf.DUMMYFUNCTION("""COMPUTED_VALUE"""),"Boston - Dorchester")</f>
        <v>Boston - Dorchester</v>
      </c>
      <c r="G46" s="1">
        <f ca="1">IFERROR(__xludf.DUMMYFUNCTION("""COMPUTED_VALUE"""),6)</f>
        <v>6</v>
      </c>
      <c r="H46" s="1" t="str">
        <f ca="1">IFERROR(__xludf.DUMMYFUNCTION("""COMPUTED_VALUE"""),"F")</f>
        <v>F</v>
      </c>
      <c r="I46" s="4" t="str">
        <f ca="1">IFERROR(__xludf.DUMMYFUNCTION("""COMPUTED_VALUE"""),"7 Grant Street#2F")</f>
        <v>7 Grant Street#2F</v>
      </c>
      <c r="J46" s="4" t="str">
        <f ca="1">IFERROR(__xludf.DUMMYFUNCTION("""COMPUTED_VALUE"""),"5ab0d94c-9a8d-4262-aa99-55d880ffc259")</f>
        <v>5ab0d94c-9a8d-4262-aa99-55d880ffc259</v>
      </c>
      <c r="K46" s="4">
        <f ca="1">IFERROR(__xludf.DUMMYFUNCTION("""COMPUTED_VALUE"""),795)</f>
        <v>795</v>
      </c>
      <c r="L46" s="1" t="str">
        <f ca="1">IFERROR(__xludf.DUMMYFUNCTION("""COMPUTED_VALUE"""),"Self")</f>
        <v>Self</v>
      </c>
      <c r="M46" s="1" t="str">
        <f ca="1">IFERROR(__xludf.DUMMYFUNCTION("""COMPUTED_VALUE"""),"Self (NOW)")</f>
        <v>Self (NOW)</v>
      </c>
      <c r="N46" s="1" t="str">
        <f ca="1">IFERROR(__xludf.DUMMYFUNCTION("""COMPUTED_VALUE"""),"")</f>
        <v/>
      </c>
      <c r="O46" s="1" t="str">
        <f ca="1">IFERROR(__xludf.DUMMYFUNCTION("""COMPUTED_VALUE"""),"Upcoming Vacancy")</f>
        <v>Upcoming Vacancy</v>
      </c>
      <c r="P46" s="1" t="str">
        <f ca="1">IFERROR(__xludf.DUMMYFUNCTION("""COMPUTED_VALUE"""),"March")</f>
        <v>March</v>
      </c>
      <c r="Q46" s="3">
        <f ca="1">IFERROR(__xludf.DUMMYFUNCTION("""COMPUTED_VALUE"""),43889)</f>
        <v>43889</v>
      </c>
      <c r="R46" s="1"/>
      <c r="S46" s="1" t="str">
        <f ca="1">IFERROR(__xludf.DUMMYFUNCTION("""COMPUTED_VALUE"""),"NO DOGS")</f>
        <v>NO DOGS</v>
      </c>
      <c r="T46" s="1"/>
      <c r="U46" s="1" t="str">
        <f ca="1">IFERROR(__xludf.DUMMYFUNCTION("""COMPUTED_VALUE"""),"Y")</f>
        <v>Y</v>
      </c>
      <c r="V46" s="1" t="str">
        <f ca="1">IFERROR(__xludf.DUMMYFUNCTION("""COMPUTED_VALUE"""),"N")</f>
        <v>N</v>
      </c>
      <c r="W46" s="1"/>
      <c r="X46" s="1"/>
      <c r="Y46" s="1" t="str">
        <f ca="1">IFERROR(__xludf.DUMMYFUNCTION("""COMPUTED_VALUE"""),"Lerby Menendez")</f>
        <v>Lerby Menendez</v>
      </c>
      <c r="Z46" s="1" t="str">
        <f ca="1">IFERROR(__xludf.DUMMYFUNCTION("""COMPUTED_VALUE"""),"lerbylenin@gmail.com")</f>
        <v>lerbylenin@gmail.com</v>
      </c>
      <c r="AA46" s="1"/>
      <c r="AB46" s="1"/>
      <c r="AC46" s="1" t="str">
        <f ca="1">IFERROR(__xludf.DUMMYFUNCTION("""COMPUTED_VALUE"""),"waiting for rent (reversed)")</f>
        <v>waiting for rent (reversed)</v>
      </c>
    </row>
    <row r="47" spans="1:29">
      <c r="A47" s="1" t="str">
        <f ca="1">IFERROR(__xludf.DUMMYFUNCTION("""COMPUTED_VALUE"""),"8 7th Street")</f>
        <v>8 7th Street</v>
      </c>
      <c r="B47" s="1">
        <f ca="1">IFERROR(__xludf.DUMMYFUNCTION("""COMPUTED_VALUE"""),8)</f>
        <v>8</v>
      </c>
      <c r="C47" s="1" t="str">
        <f ca="1">IFERROR(__xludf.DUMMYFUNCTION("""COMPUTED_VALUE"""),"N/A")</f>
        <v>N/A</v>
      </c>
      <c r="D47" s="1" t="str">
        <f ca="1">IFERROR(__xludf.DUMMYFUNCTION("""COMPUTED_VALUE"""),"8 7th Street")</f>
        <v>8 7th Street</v>
      </c>
      <c r="E47" s="1" t="str">
        <f ca="1">IFERROR(__xludf.DUMMYFUNCTION("""COMPUTED_VALUE"""),"Cambridge")</f>
        <v>Cambridge</v>
      </c>
      <c r="F47" s="1" t="str">
        <f ca="1">IFERROR(__xludf.DUMMYFUNCTION("""COMPUTED_VALUE"""),"Cambridge - East Cambridge")</f>
        <v>Cambridge - East Cambridge</v>
      </c>
      <c r="G47" s="1">
        <f ca="1">IFERROR(__xludf.DUMMYFUNCTION("""COMPUTED_VALUE"""),1)</f>
        <v>1</v>
      </c>
      <c r="H47" s="1" t="str">
        <f ca="1">IFERROR(__xludf.DUMMYFUNCTION("""COMPUTED_VALUE"""),"A")</f>
        <v>A</v>
      </c>
      <c r="I47" s="4" t="str">
        <f ca="1">IFERROR(__xludf.DUMMYFUNCTION("""COMPUTED_VALUE"""),"8 7th StreetN/AA")</f>
        <v>8 7th StreetN/AA</v>
      </c>
      <c r="J47" s="4" t="str">
        <f ca="1">IFERROR(__xludf.DUMMYFUNCTION("""COMPUTED_VALUE"""),"42b17f9b-afce-4045-873d-e6330883cc2e")</f>
        <v>42b17f9b-afce-4045-873d-e6330883cc2e</v>
      </c>
      <c r="K47" s="4">
        <f ca="1">IFERROR(__xludf.DUMMYFUNCTION("""COMPUTED_VALUE"""),1195)</f>
        <v>1195</v>
      </c>
      <c r="L47" s="1" t="str">
        <f ca="1">IFERROR(__xludf.DUMMYFUNCTION("""COMPUTED_VALUE"""),"Daniel")</f>
        <v>Daniel</v>
      </c>
      <c r="M47" s="1" t="str">
        <f ca="1">IFERROR(__xludf.DUMMYFUNCTION("""COMPUTED_VALUE"""),"")</f>
        <v/>
      </c>
      <c r="N47" s="1" t="str">
        <f ca="1">IFERROR(__xludf.DUMMYFUNCTION("""COMPUTED_VALUE"""),"Furnished")</f>
        <v>Furnished</v>
      </c>
      <c r="O47" s="1" t="str">
        <f ca="1">IFERROR(__xludf.DUMMYFUNCTION("""COMPUTED_VALUE"""),"Occupied")</f>
        <v>Occupied</v>
      </c>
      <c r="P47" s="1"/>
      <c r="Q47" s="1"/>
      <c r="R47" s="1"/>
      <c r="S47" s="1" t="str">
        <f ca="1">IFERROR(__xludf.DUMMYFUNCTION("""COMPUTED_VALUE"""),"NO CATS OR DOGS")</f>
        <v>NO CATS OR DOGS</v>
      </c>
      <c r="T47" s="1"/>
      <c r="U47" s="1" t="str">
        <f ca="1">IFERROR(__xludf.DUMMYFUNCTION("""COMPUTED_VALUE"""),"Y")</f>
        <v>Y</v>
      </c>
      <c r="V47" s="1" t="str">
        <f ca="1">IFERROR(__xludf.DUMMYFUNCTION("""COMPUTED_VALUE"""),"Y")</f>
        <v>Y</v>
      </c>
      <c r="W47" s="1"/>
      <c r="X47" s="1"/>
      <c r="Y47" s="1" t="str">
        <f ca="1">IFERROR(__xludf.DUMMYFUNCTION("""COMPUTED_VALUE"""),"Christopher Head")</f>
        <v>Christopher Head</v>
      </c>
      <c r="Z47" s="1" t="str">
        <f ca="1">IFERROR(__xludf.DUMMYFUNCTION("""COMPUTED_VALUE"""),"christopherhead23@gmail.com")</f>
        <v>christopherhead23@gmail.com</v>
      </c>
      <c r="AA47" s="1"/>
      <c r="AB47" s="1"/>
      <c r="AC47" s="1" t="str">
        <f ca="1">IFERROR(__xludf.DUMMYFUNCTION("""COMPUTED_VALUE"""),"Photos are organized in Drive")</f>
        <v>Photos are organized in Drive</v>
      </c>
    </row>
    <row r="48" spans="1:29">
      <c r="A48" s="1" t="str">
        <f ca="1">IFERROR(__xludf.DUMMYFUNCTION("""COMPUTED_VALUE"""),"8 7th Street")</f>
        <v>8 7th Street</v>
      </c>
      <c r="B48" s="1">
        <f ca="1">IFERROR(__xludf.DUMMYFUNCTION("""COMPUTED_VALUE"""),8)</f>
        <v>8</v>
      </c>
      <c r="C48" s="1" t="str">
        <f ca="1">IFERROR(__xludf.DUMMYFUNCTION("""COMPUTED_VALUE"""),"N/A")</f>
        <v>N/A</v>
      </c>
      <c r="D48" s="1" t="str">
        <f ca="1">IFERROR(__xludf.DUMMYFUNCTION("""COMPUTED_VALUE"""),"8 7th Street")</f>
        <v>8 7th Street</v>
      </c>
      <c r="E48" s="1" t="str">
        <f ca="1">IFERROR(__xludf.DUMMYFUNCTION("""COMPUTED_VALUE"""),"Cambridge")</f>
        <v>Cambridge</v>
      </c>
      <c r="F48" s="1" t="str">
        <f ca="1">IFERROR(__xludf.DUMMYFUNCTION("""COMPUTED_VALUE"""),"Cambridge - East Cambridge")</f>
        <v>Cambridge - East Cambridge</v>
      </c>
      <c r="G48" s="1">
        <f ca="1">IFERROR(__xludf.DUMMYFUNCTION("""COMPUTED_VALUE"""),2)</f>
        <v>2</v>
      </c>
      <c r="H48" s="1" t="str">
        <f ca="1">IFERROR(__xludf.DUMMYFUNCTION("""COMPUTED_VALUE"""),"B")</f>
        <v>B</v>
      </c>
      <c r="I48" s="4" t="str">
        <f ca="1">IFERROR(__xludf.DUMMYFUNCTION("""COMPUTED_VALUE"""),"8 7th StreetN/AB")</f>
        <v>8 7th StreetN/AB</v>
      </c>
      <c r="J48" s="4" t="str">
        <f ca="1">IFERROR(__xludf.DUMMYFUNCTION("""COMPUTED_VALUE"""),"42b17f9b-afce-4045-873d-e6330883cc2e")</f>
        <v>42b17f9b-afce-4045-873d-e6330883cc2e</v>
      </c>
      <c r="K48" s="4">
        <f ca="1">IFERROR(__xludf.DUMMYFUNCTION("""COMPUTED_VALUE"""),895)</f>
        <v>895</v>
      </c>
      <c r="L48" s="1" t="str">
        <f ca="1">IFERROR(__xludf.DUMMYFUNCTION("""COMPUTED_VALUE"""),"Daniel")</f>
        <v>Daniel</v>
      </c>
      <c r="M48" s="1" t="str">
        <f ca="1">IFERROR(__xludf.DUMMYFUNCTION("""COMPUTED_VALUE"""),"")</f>
        <v/>
      </c>
      <c r="N48" s="1" t="str">
        <f ca="1">IFERROR(__xludf.DUMMYFUNCTION("""COMPUTED_VALUE"""),"Furnished")</f>
        <v>Furnished</v>
      </c>
      <c r="O48" s="1" t="str">
        <f ca="1">IFERROR(__xludf.DUMMYFUNCTION("""COMPUTED_VALUE"""),"Upcoming Vacancy")</f>
        <v>Upcoming Vacancy</v>
      </c>
      <c r="P48" s="1" t="str">
        <f ca="1">IFERROR(__xludf.DUMMYFUNCTION("""COMPUTED_VALUE"""),"May")</f>
        <v>May</v>
      </c>
      <c r="Q48" s="3">
        <f ca="1">IFERROR(__xludf.DUMMYFUNCTION("""COMPUTED_VALUE"""),43951)</f>
        <v>43951</v>
      </c>
      <c r="R48" s="1"/>
      <c r="S48" s="1" t="str">
        <f ca="1">IFERROR(__xludf.DUMMYFUNCTION("""COMPUTED_VALUE"""),"NO CATS OR DOGS")</f>
        <v>NO CATS OR DOGS</v>
      </c>
      <c r="T48" s="1"/>
      <c r="U48" s="1" t="str">
        <f ca="1">IFERROR(__xludf.DUMMYFUNCTION("""COMPUTED_VALUE"""),"Y")</f>
        <v>Y</v>
      </c>
      <c r="V48" s="1" t="str">
        <f ca="1">IFERROR(__xludf.DUMMYFUNCTION("""COMPUTED_VALUE"""),"Y")</f>
        <v>Y</v>
      </c>
      <c r="W48" s="1"/>
      <c r="X48" s="1"/>
      <c r="Y48" s="1" t="str">
        <f ca="1">IFERROR(__xludf.DUMMYFUNCTION("""COMPUTED_VALUE"""),"Marco Antonetto")</f>
        <v>Marco Antonetto</v>
      </c>
      <c r="Z48" s="1" t="str">
        <f ca="1">IFERROR(__xludf.DUMMYFUNCTION("""COMPUTED_VALUE"""),"m.marco.a.antonetto@gmail.com")</f>
        <v>m.marco.a.antonetto@gmail.com</v>
      </c>
      <c r="AA48" s="1"/>
      <c r="AB48" s="1"/>
      <c r="AC48" s="1" t="str">
        <f ca="1">IFERROR(__xludf.DUMMYFUNCTION("""COMPUTED_VALUE"""),"Photos are organized in Drive")</f>
        <v>Photos are organized in Drive</v>
      </c>
    </row>
    <row r="49" spans="1:29">
      <c r="A49" s="1" t="str">
        <f ca="1">IFERROR(__xludf.DUMMYFUNCTION("""COMPUTED_VALUE"""),"8 7th Street")</f>
        <v>8 7th Street</v>
      </c>
      <c r="B49" s="1">
        <f ca="1">IFERROR(__xludf.DUMMYFUNCTION("""COMPUTED_VALUE"""),8)</f>
        <v>8</v>
      </c>
      <c r="C49" s="1" t="str">
        <f ca="1">IFERROR(__xludf.DUMMYFUNCTION("""COMPUTED_VALUE"""),"N/A")</f>
        <v>N/A</v>
      </c>
      <c r="D49" s="1" t="str">
        <f ca="1">IFERROR(__xludf.DUMMYFUNCTION("""COMPUTED_VALUE"""),"8 7th Street")</f>
        <v>8 7th Street</v>
      </c>
      <c r="E49" s="1" t="str">
        <f ca="1">IFERROR(__xludf.DUMMYFUNCTION("""COMPUTED_VALUE"""),"Cambridge")</f>
        <v>Cambridge</v>
      </c>
      <c r="F49" s="1" t="str">
        <f ca="1">IFERROR(__xludf.DUMMYFUNCTION("""COMPUTED_VALUE"""),"Cambridge - East Cambridge")</f>
        <v>Cambridge - East Cambridge</v>
      </c>
      <c r="G49" s="1">
        <f ca="1">IFERROR(__xludf.DUMMYFUNCTION("""COMPUTED_VALUE"""),3)</f>
        <v>3</v>
      </c>
      <c r="H49" s="1" t="str">
        <f ca="1">IFERROR(__xludf.DUMMYFUNCTION("""COMPUTED_VALUE"""),"C")</f>
        <v>C</v>
      </c>
      <c r="I49" s="4" t="str">
        <f ca="1">IFERROR(__xludf.DUMMYFUNCTION("""COMPUTED_VALUE"""),"8 7th StreetN/AC")</f>
        <v>8 7th StreetN/AC</v>
      </c>
      <c r="J49" s="4" t="str">
        <f ca="1">IFERROR(__xludf.DUMMYFUNCTION("""COMPUTED_VALUE"""),"42b17f9b-afce-4045-873d-e6330883cc2e")</f>
        <v>42b17f9b-afce-4045-873d-e6330883cc2e</v>
      </c>
      <c r="K49" s="4">
        <f ca="1">IFERROR(__xludf.DUMMYFUNCTION("""COMPUTED_VALUE"""),1095)</f>
        <v>1095</v>
      </c>
      <c r="L49" s="1" t="str">
        <f ca="1">IFERROR(__xludf.DUMMYFUNCTION("""COMPUTED_VALUE"""),"Daniel")</f>
        <v>Daniel</v>
      </c>
      <c r="M49" s="1" t="str">
        <f ca="1">IFERROR(__xludf.DUMMYFUNCTION("""COMPUTED_VALUE"""),"")</f>
        <v/>
      </c>
      <c r="N49" s="1" t="str">
        <f ca="1">IFERROR(__xludf.DUMMYFUNCTION("""COMPUTED_VALUE"""),"Furnished")</f>
        <v>Furnished</v>
      </c>
      <c r="O49" s="1" t="str">
        <f ca="1">IFERROR(__xludf.DUMMYFUNCTION("""COMPUTED_VALUE"""),"Upcoming Vacancy")</f>
        <v>Upcoming Vacancy</v>
      </c>
      <c r="P49" s="1" t="str">
        <f ca="1">IFERROR(__xludf.DUMMYFUNCTION("""COMPUTED_VALUE"""),"June")</f>
        <v>June</v>
      </c>
      <c r="Q49" s="3">
        <f ca="1">IFERROR(__xludf.DUMMYFUNCTION("""COMPUTED_VALUE"""),43982)</f>
        <v>43982</v>
      </c>
      <c r="R49" s="1"/>
      <c r="S49" s="1" t="str">
        <f ca="1">IFERROR(__xludf.DUMMYFUNCTION("""COMPUTED_VALUE"""),"NO CATS OR DOGS")</f>
        <v>NO CATS OR DOGS</v>
      </c>
      <c r="T49" s="1"/>
      <c r="U49" s="1" t="str">
        <f ca="1">IFERROR(__xludf.DUMMYFUNCTION("""COMPUTED_VALUE"""),"Y")</f>
        <v>Y</v>
      </c>
      <c r="V49" s="1" t="str">
        <f ca="1">IFERROR(__xludf.DUMMYFUNCTION("""COMPUTED_VALUE"""),"Y")</f>
        <v>Y</v>
      </c>
      <c r="W49" s="1"/>
      <c r="X49" s="1"/>
      <c r="Y49" s="1" t="str">
        <f ca="1">IFERROR(__xludf.DUMMYFUNCTION("""COMPUTED_VALUE"""),"Silvia Zanini")</f>
        <v>Silvia Zanini</v>
      </c>
      <c r="Z49" s="1" t="str">
        <f ca="1">IFERROR(__xludf.DUMMYFUNCTION("""COMPUTED_VALUE"""),"szanini2019@student.hult.edu")</f>
        <v>szanini2019@student.hult.edu</v>
      </c>
      <c r="AA49" s="1"/>
      <c r="AB49" s="1"/>
      <c r="AC49" s="1" t="str">
        <f ca="1">IFERROR(__xludf.DUMMYFUNCTION("""COMPUTED_VALUE"""),"Photos are organized in Drive")</f>
        <v>Photos are organized in Drive</v>
      </c>
    </row>
    <row r="50" spans="1:29">
      <c r="A50" s="1" t="str">
        <f ca="1">IFERROR(__xludf.DUMMYFUNCTION("""COMPUTED_VALUE"""),"8 Elko Street")</f>
        <v>8 Elko Street</v>
      </c>
      <c r="B50" s="1">
        <f ca="1">IFERROR(__xludf.DUMMYFUNCTION("""COMPUTED_VALUE"""),8)</f>
        <v>8</v>
      </c>
      <c r="C50" s="1" t="str">
        <f ca="1">IFERROR(__xludf.DUMMYFUNCTION("""COMPUTED_VALUE"""),"#5")</f>
        <v>#5</v>
      </c>
      <c r="D50" s="1" t="str">
        <f ca="1">IFERROR(__xludf.DUMMYFUNCTION("""COMPUTED_VALUE"""),"8 Elko Street Unit 5")</f>
        <v>8 Elko Street Unit 5</v>
      </c>
      <c r="E50" s="1" t="str">
        <f ca="1">IFERROR(__xludf.DUMMYFUNCTION("""COMPUTED_VALUE"""),"Boston")</f>
        <v>Boston</v>
      </c>
      <c r="F50" s="1" t="str">
        <f ca="1">IFERROR(__xludf.DUMMYFUNCTION("""COMPUTED_VALUE"""),"Boston - Brighton")</f>
        <v>Boston - Brighton</v>
      </c>
      <c r="G50" s="1">
        <f ca="1">IFERROR(__xludf.DUMMYFUNCTION("""COMPUTED_VALUE"""),1)</f>
        <v>1</v>
      </c>
      <c r="H50" s="1" t="str">
        <f ca="1">IFERROR(__xludf.DUMMYFUNCTION("""COMPUTED_VALUE"""),"A")</f>
        <v>A</v>
      </c>
      <c r="I50" s="4" t="str">
        <f ca="1">IFERROR(__xludf.DUMMYFUNCTION("""COMPUTED_VALUE"""),"8 Elko Street#5A")</f>
        <v>8 Elko Street#5A</v>
      </c>
      <c r="J50" s="4" t="str">
        <f ca="1">IFERROR(__xludf.DUMMYFUNCTION("""COMPUTED_VALUE"""),"db7bbb94-965b-400a-aaaa-a344a87b1c56")</f>
        <v>db7bbb94-965b-400a-aaaa-a344a87b1c56</v>
      </c>
      <c r="K50" s="4">
        <f ca="1">IFERROR(__xludf.DUMMYFUNCTION("""COMPUTED_VALUE"""),995)</f>
        <v>995</v>
      </c>
      <c r="L50" s="1" t="str">
        <f ca="1">IFERROR(__xludf.DUMMYFUNCTION("""COMPUTED_VALUE"""),"Peter")</f>
        <v>Peter</v>
      </c>
      <c r="M50" s="1" t="str">
        <f ca="1">IFERROR(__xludf.DUMMYFUNCTION("""COMPUTED_VALUE"""),"")</f>
        <v/>
      </c>
      <c r="N50" s="1" t="str">
        <f ca="1">IFERROR(__xludf.DUMMYFUNCTION("""COMPUTED_VALUE"""),"")</f>
        <v/>
      </c>
      <c r="O50" s="1" t="str">
        <f ca="1">IFERROR(__xludf.DUMMYFUNCTION("""COMPUTED_VALUE"""),"Occupied")</f>
        <v>Occupied</v>
      </c>
      <c r="P50" s="1"/>
      <c r="Q50" s="1"/>
      <c r="R50" s="1"/>
      <c r="S50" s="1"/>
      <c r="T50" s="1" t="str">
        <f ca="1">IFERROR(__xludf.DUMMYFUNCTION("""COMPUTED_VALUE"""),"Cat")</f>
        <v>Cat</v>
      </c>
      <c r="U50" s="1" t="str">
        <f ca="1">IFERROR(__xludf.DUMMYFUNCTION("""COMPUTED_VALUE"""),"N")</f>
        <v>N</v>
      </c>
      <c r="V50" s="1" t="str">
        <f ca="1">IFERROR(__xludf.DUMMYFUNCTION("""COMPUTED_VALUE"""),"Y")</f>
        <v>Y</v>
      </c>
      <c r="W50" s="1"/>
      <c r="X50" s="1"/>
      <c r="Y50" s="1" t="str">
        <f ca="1">IFERROR(__xludf.DUMMYFUNCTION("""COMPUTED_VALUE"""),"Erin Collopy")</f>
        <v>Erin Collopy</v>
      </c>
      <c r="Z50" s="1" t="str">
        <f ca="1">IFERROR(__xludf.DUMMYFUNCTION("""COMPUTED_VALUE"""),"erin.mairead.c@gmail.com")</f>
        <v>erin.mairead.c@gmail.com</v>
      </c>
      <c r="AA50" s="1"/>
      <c r="AB50" s="1"/>
      <c r="AC50" s="1"/>
    </row>
    <row r="51" spans="1:29">
      <c r="A51" s="1" t="str">
        <f ca="1">IFERROR(__xludf.DUMMYFUNCTION("""COMPUTED_VALUE"""),"8 Elko Street")</f>
        <v>8 Elko Street</v>
      </c>
      <c r="B51" s="1">
        <f ca="1">IFERROR(__xludf.DUMMYFUNCTION("""COMPUTED_VALUE"""),8)</f>
        <v>8</v>
      </c>
      <c r="C51" s="1" t="str">
        <f ca="1">IFERROR(__xludf.DUMMYFUNCTION("""COMPUTED_VALUE"""),"#5")</f>
        <v>#5</v>
      </c>
      <c r="D51" s="1" t="str">
        <f ca="1">IFERROR(__xludf.DUMMYFUNCTION("""COMPUTED_VALUE"""),"8 Elko Street Unit 5")</f>
        <v>8 Elko Street Unit 5</v>
      </c>
      <c r="E51" s="1" t="str">
        <f ca="1">IFERROR(__xludf.DUMMYFUNCTION("""COMPUTED_VALUE"""),"Boston")</f>
        <v>Boston</v>
      </c>
      <c r="F51" s="1" t="str">
        <f ca="1">IFERROR(__xludf.DUMMYFUNCTION("""COMPUTED_VALUE"""),"Boston - Brighton")</f>
        <v>Boston - Brighton</v>
      </c>
      <c r="G51" s="1">
        <f ca="1">IFERROR(__xludf.DUMMYFUNCTION("""COMPUTED_VALUE"""),2)</f>
        <v>2</v>
      </c>
      <c r="H51" s="1" t="str">
        <f ca="1">IFERROR(__xludf.DUMMYFUNCTION("""COMPUTED_VALUE"""),"B")</f>
        <v>B</v>
      </c>
      <c r="I51" s="4" t="str">
        <f ca="1">IFERROR(__xludf.DUMMYFUNCTION("""COMPUTED_VALUE"""),"8 Elko Street#5B")</f>
        <v>8 Elko Street#5B</v>
      </c>
      <c r="J51" s="4" t="str">
        <f ca="1">IFERROR(__xludf.DUMMYFUNCTION("""COMPUTED_VALUE"""),"db7bbb94-965b-400a-aaaa-a344a87b1c56")</f>
        <v>db7bbb94-965b-400a-aaaa-a344a87b1c56</v>
      </c>
      <c r="K51" s="4">
        <f ca="1">IFERROR(__xludf.DUMMYFUNCTION("""COMPUTED_VALUE"""),995)</f>
        <v>995</v>
      </c>
      <c r="L51" s="1" t="str">
        <f ca="1">IFERROR(__xludf.DUMMYFUNCTION("""COMPUTED_VALUE"""),"Peter")</f>
        <v>Peter</v>
      </c>
      <c r="M51" s="1" t="str">
        <f ca="1">IFERROR(__xludf.DUMMYFUNCTION("""COMPUTED_VALUE"""),"")</f>
        <v/>
      </c>
      <c r="N51" s="1" t="str">
        <f ca="1">IFERROR(__xludf.DUMMYFUNCTION("""COMPUTED_VALUE"""),"")</f>
        <v/>
      </c>
      <c r="O51" s="1" t="str">
        <f ca="1">IFERROR(__xludf.DUMMYFUNCTION("""COMPUTED_VALUE"""),"Occupied")</f>
        <v>Occupied</v>
      </c>
      <c r="P51" s="1"/>
      <c r="Q51" s="1"/>
      <c r="R51" s="1"/>
      <c r="S51" s="1"/>
      <c r="T51" s="1"/>
      <c r="U51" s="1" t="str">
        <f ca="1">IFERROR(__xludf.DUMMYFUNCTION("""COMPUTED_VALUE"""),"N")</f>
        <v>N</v>
      </c>
      <c r="V51" s="1" t="str">
        <f ca="1">IFERROR(__xludf.DUMMYFUNCTION("""COMPUTED_VALUE"""),"Y")</f>
        <v>Y</v>
      </c>
      <c r="W51" s="1"/>
      <c r="X51" s="1"/>
      <c r="Y51" s="1" t="str">
        <f ca="1">IFERROR(__xludf.DUMMYFUNCTION("""COMPUTED_VALUE"""),"Donaldson Oduniyi")</f>
        <v>Donaldson Oduniyi</v>
      </c>
      <c r="Z51" s="1" t="str">
        <f ca="1">IFERROR(__xludf.DUMMYFUNCTION("""COMPUTED_VALUE"""),"oduniyiibukunoluwa@gmail.com")</f>
        <v>oduniyiibukunoluwa@gmail.com</v>
      </c>
      <c r="AA51" s="1"/>
      <c r="AB51" s="1"/>
      <c r="AC51" s="1"/>
    </row>
    <row r="52" spans="1:29">
      <c r="A52" s="1" t="str">
        <f ca="1">IFERROR(__xludf.DUMMYFUNCTION("""COMPUTED_VALUE"""),"8 Elko Street")</f>
        <v>8 Elko Street</v>
      </c>
      <c r="B52" s="1">
        <f ca="1">IFERROR(__xludf.DUMMYFUNCTION("""COMPUTED_VALUE"""),8)</f>
        <v>8</v>
      </c>
      <c r="C52" s="1" t="str">
        <f ca="1">IFERROR(__xludf.DUMMYFUNCTION("""COMPUTED_VALUE"""),"#5")</f>
        <v>#5</v>
      </c>
      <c r="D52" s="1" t="str">
        <f ca="1">IFERROR(__xludf.DUMMYFUNCTION("""COMPUTED_VALUE"""),"8 Elko Street Unit 5")</f>
        <v>8 Elko Street Unit 5</v>
      </c>
      <c r="E52" s="1" t="str">
        <f ca="1">IFERROR(__xludf.DUMMYFUNCTION("""COMPUTED_VALUE"""),"Boston")</f>
        <v>Boston</v>
      </c>
      <c r="F52" s="1" t="str">
        <f ca="1">IFERROR(__xludf.DUMMYFUNCTION("""COMPUTED_VALUE"""),"Boston - Brighton")</f>
        <v>Boston - Brighton</v>
      </c>
      <c r="G52" s="1">
        <f ca="1">IFERROR(__xludf.DUMMYFUNCTION("""COMPUTED_VALUE"""),3)</f>
        <v>3</v>
      </c>
      <c r="H52" s="1" t="str">
        <f ca="1">IFERROR(__xludf.DUMMYFUNCTION("""COMPUTED_VALUE"""),"C")</f>
        <v>C</v>
      </c>
      <c r="I52" s="4" t="str">
        <f ca="1">IFERROR(__xludf.DUMMYFUNCTION("""COMPUTED_VALUE"""),"8 Elko Street#5C")</f>
        <v>8 Elko Street#5C</v>
      </c>
      <c r="J52" s="4" t="str">
        <f ca="1">IFERROR(__xludf.DUMMYFUNCTION("""COMPUTED_VALUE"""),"db7bbb94-965b-400a-aaaa-a344a87b1c56")</f>
        <v>db7bbb94-965b-400a-aaaa-a344a87b1c56</v>
      </c>
      <c r="K52" s="4">
        <f ca="1">IFERROR(__xludf.DUMMYFUNCTION("""COMPUTED_VALUE"""),900)</f>
        <v>900</v>
      </c>
      <c r="L52" s="1" t="str">
        <f ca="1">IFERROR(__xludf.DUMMYFUNCTION("""COMPUTED_VALUE"""),"Peter")</f>
        <v>Peter</v>
      </c>
      <c r="M52" s="1" t="str">
        <f ca="1">IFERROR(__xludf.DUMMYFUNCTION("""COMPUTED_VALUE"""),"")</f>
        <v/>
      </c>
      <c r="N52" s="1" t="str">
        <f ca="1">IFERROR(__xludf.DUMMYFUNCTION("""COMPUTED_VALUE"""),"")</f>
        <v/>
      </c>
      <c r="O52" s="1" t="str">
        <f ca="1">IFERROR(__xludf.DUMMYFUNCTION("""COMPUTED_VALUE"""),"Occupied")</f>
        <v>Occupied</v>
      </c>
      <c r="P52" s="1"/>
      <c r="Q52" s="1"/>
      <c r="R52" s="1"/>
      <c r="S52" s="1"/>
      <c r="T52" s="1"/>
      <c r="U52" s="1" t="str">
        <f ca="1">IFERROR(__xludf.DUMMYFUNCTION("""COMPUTED_VALUE"""),"N")</f>
        <v>N</v>
      </c>
      <c r="V52" s="1" t="str">
        <f ca="1">IFERROR(__xludf.DUMMYFUNCTION("""COMPUTED_VALUE"""),"Y")</f>
        <v>Y</v>
      </c>
      <c r="W52" s="1"/>
      <c r="X52" s="1"/>
      <c r="Y52" s="1" t="str">
        <f ca="1">IFERROR(__xludf.DUMMYFUNCTION("""COMPUTED_VALUE"""),"Maren Higgins")</f>
        <v>Maren Higgins</v>
      </c>
      <c r="Z52" s="1" t="str">
        <f ca="1">IFERROR(__xludf.DUMMYFUNCTION("""COMPUTED_VALUE"""),"marenhiggins98@gmail.com")</f>
        <v>marenhiggins98@gmail.com</v>
      </c>
      <c r="AA52" s="1"/>
      <c r="AB52" s="1"/>
      <c r="AC52" s="1"/>
    </row>
    <row r="53" spans="1:29">
      <c r="A53" s="1" t="str">
        <f ca="1">IFERROR(__xludf.DUMMYFUNCTION("""COMPUTED_VALUE"""),"8 Elko Street")</f>
        <v>8 Elko Street</v>
      </c>
      <c r="B53" s="1">
        <f ca="1">IFERROR(__xludf.DUMMYFUNCTION("""COMPUTED_VALUE"""),8)</f>
        <v>8</v>
      </c>
      <c r="C53" s="1" t="str">
        <f ca="1">IFERROR(__xludf.DUMMYFUNCTION("""COMPUTED_VALUE"""),"#6")</f>
        <v>#6</v>
      </c>
      <c r="D53" s="1" t="str">
        <f ca="1">IFERROR(__xludf.DUMMYFUNCTION("""COMPUTED_VALUE"""),"8 Elko Street Unit 6")</f>
        <v>8 Elko Street Unit 6</v>
      </c>
      <c r="E53" s="1" t="str">
        <f ca="1">IFERROR(__xludf.DUMMYFUNCTION("""COMPUTED_VALUE"""),"Boston")</f>
        <v>Boston</v>
      </c>
      <c r="F53" s="1" t="str">
        <f ca="1">IFERROR(__xludf.DUMMYFUNCTION("""COMPUTED_VALUE"""),"Boston - Brighton")</f>
        <v>Boston - Brighton</v>
      </c>
      <c r="G53" s="1">
        <f ca="1">IFERROR(__xludf.DUMMYFUNCTION("""COMPUTED_VALUE"""),1)</f>
        <v>1</v>
      </c>
      <c r="H53" s="1" t="str">
        <f ca="1">IFERROR(__xludf.DUMMYFUNCTION("""COMPUTED_VALUE"""),"A")</f>
        <v>A</v>
      </c>
      <c r="I53" s="4" t="str">
        <f ca="1">IFERROR(__xludf.DUMMYFUNCTION("""COMPUTED_VALUE"""),"8 Elko Street#6A")</f>
        <v>8 Elko Street#6A</v>
      </c>
      <c r="J53" s="4" t="str">
        <f ca="1">IFERROR(__xludf.DUMMYFUNCTION("""COMPUTED_VALUE"""),"00000000-0000-0000-0000-000000000006")</f>
        <v>00000000-0000-0000-0000-000000000006</v>
      </c>
      <c r="K53" s="4">
        <f ca="1">IFERROR(__xludf.DUMMYFUNCTION("""COMPUTED_VALUE"""),1225)</f>
        <v>1225</v>
      </c>
      <c r="L53" s="1" t="str">
        <f ca="1">IFERROR(__xludf.DUMMYFUNCTION("""COMPUTED_VALUE"""),"Peter")</f>
        <v>Peter</v>
      </c>
      <c r="M53" s="1" t="str">
        <f ca="1">IFERROR(__xludf.DUMMYFUNCTION("""COMPUTED_VALUE"""),"")</f>
        <v/>
      </c>
      <c r="N53" s="1" t="str">
        <f ca="1">IFERROR(__xludf.DUMMYFUNCTION("""COMPUTED_VALUE"""),"")</f>
        <v/>
      </c>
      <c r="O53" s="1" t="str">
        <f ca="1">IFERROR(__xludf.DUMMYFUNCTION("""COMPUTED_VALUE"""),"Occupied")</f>
        <v>Occupied</v>
      </c>
      <c r="P53" s="1"/>
      <c r="Q53" s="1"/>
      <c r="R53" s="1"/>
      <c r="S53" s="1"/>
      <c r="T53" s="1"/>
      <c r="U53" s="1" t="str">
        <f ca="1">IFERROR(__xludf.DUMMYFUNCTION("""COMPUTED_VALUE"""),"N")</f>
        <v>N</v>
      </c>
      <c r="V53" s="1" t="str">
        <f ca="1">IFERROR(__xludf.DUMMYFUNCTION("""COMPUTED_VALUE"""),"Y")</f>
        <v>Y</v>
      </c>
      <c r="W53" s="1"/>
      <c r="X53" s="1"/>
      <c r="Y53" s="1" t="str">
        <f ca="1">IFERROR(__xludf.DUMMYFUNCTION("""COMPUTED_VALUE"""),"Carlton Wells")</f>
        <v>Carlton Wells</v>
      </c>
      <c r="Z53" s="1" t="str">
        <f ca="1">IFERROR(__xludf.DUMMYFUNCTION("""COMPUTED_VALUE"""),"Cwells710420@gmail.com")</f>
        <v>Cwells710420@gmail.com</v>
      </c>
      <c r="AA53" s="1"/>
      <c r="AB53" s="1"/>
      <c r="AC53" s="1"/>
    </row>
    <row r="54" spans="1:29">
      <c r="A54" s="1" t="str">
        <f ca="1">IFERROR(__xludf.DUMMYFUNCTION("""COMPUTED_VALUE"""),"8 Elko Street")</f>
        <v>8 Elko Street</v>
      </c>
      <c r="B54" s="1">
        <f ca="1">IFERROR(__xludf.DUMMYFUNCTION("""COMPUTED_VALUE"""),8)</f>
        <v>8</v>
      </c>
      <c r="C54" s="1" t="str">
        <f ca="1">IFERROR(__xludf.DUMMYFUNCTION("""COMPUTED_VALUE"""),"#6")</f>
        <v>#6</v>
      </c>
      <c r="D54" s="1" t="str">
        <f ca="1">IFERROR(__xludf.DUMMYFUNCTION("""COMPUTED_VALUE"""),"8 Elko Street Unit 6")</f>
        <v>8 Elko Street Unit 6</v>
      </c>
      <c r="E54" s="1" t="str">
        <f ca="1">IFERROR(__xludf.DUMMYFUNCTION("""COMPUTED_VALUE"""),"Boston")</f>
        <v>Boston</v>
      </c>
      <c r="F54" s="1" t="str">
        <f ca="1">IFERROR(__xludf.DUMMYFUNCTION("""COMPUTED_VALUE"""),"Boston - Brighton")</f>
        <v>Boston - Brighton</v>
      </c>
      <c r="G54" s="1">
        <f ca="1">IFERROR(__xludf.DUMMYFUNCTION("""COMPUTED_VALUE"""),2)</f>
        <v>2</v>
      </c>
      <c r="H54" s="1" t="str">
        <f ca="1">IFERROR(__xludf.DUMMYFUNCTION("""COMPUTED_VALUE"""),"B")</f>
        <v>B</v>
      </c>
      <c r="I54" s="4" t="str">
        <f ca="1">IFERROR(__xludf.DUMMYFUNCTION("""COMPUTED_VALUE"""),"8 Elko Street#6B")</f>
        <v>8 Elko Street#6B</v>
      </c>
      <c r="J54" s="4" t="str">
        <f ca="1">IFERROR(__xludf.DUMMYFUNCTION("""COMPUTED_VALUE"""),"00000000-0000-0000-0000-000000000006")</f>
        <v>00000000-0000-0000-0000-000000000006</v>
      </c>
      <c r="K54" s="4">
        <f ca="1">IFERROR(__xludf.DUMMYFUNCTION("""COMPUTED_VALUE"""),1175)</f>
        <v>1175</v>
      </c>
      <c r="L54" s="1" t="str">
        <f ca="1">IFERROR(__xludf.DUMMYFUNCTION("""COMPUTED_VALUE"""),"Peter")</f>
        <v>Peter</v>
      </c>
      <c r="M54" s="1" t="str">
        <f ca="1">IFERROR(__xludf.DUMMYFUNCTION("""COMPUTED_VALUE"""),"")</f>
        <v/>
      </c>
      <c r="N54" s="1" t="str">
        <f ca="1">IFERROR(__xludf.DUMMYFUNCTION("""COMPUTED_VALUE"""),"")</f>
        <v/>
      </c>
      <c r="O54" s="1" t="str">
        <f ca="1">IFERROR(__xludf.DUMMYFUNCTION("""COMPUTED_VALUE"""),"Occupied")</f>
        <v>Occupied</v>
      </c>
      <c r="P54" s="1"/>
      <c r="Q54" s="1"/>
      <c r="R54" s="1"/>
      <c r="S54" s="1"/>
      <c r="T54" s="1"/>
      <c r="U54" s="1" t="str">
        <f ca="1">IFERROR(__xludf.DUMMYFUNCTION("""COMPUTED_VALUE"""),"N")</f>
        <v>N</v>
      </c>
      <c r="V54" s="1" t="str">
        <f ca="1">IFERROR(__xludf.DUMMYFUNCTION("""COMPUTED_VALUE"""),"Y")</f>
        <v>Y</v>
      </c>
      <c r="W54" s="1"/>
      <c r="X54" s="1"/>
      <c r="Y54" s="1" t="str">
        <f ca="1">IFERROR(__xludf.DUMMYFUNCTION("""COMPUTED_VALUE"""),"Brian William Cavicchi")</f>
        <v>Brian William Cavicchi</v>
      </c>
      <c r="Z54" s="1" t="str">
        <f ca="1">IFERROR(__xludf.DUMMYFUNCTION("""COMPUTED_VALUE"""),"bcavicchi23@gmail.com")</f>
        <v>bcavicchi23@gmail.com</v>
      </c>
      <c r="AA54" s="1"/>
      <c r="AB54" s="1"/>
      <c r="AC54" s="1"/>
    </row>
    <row r="55" spans="1:29">
      <c r="A55" s="1" t="str">
        <f ca="1">IFERROR(__xludf.DUMMYFUNCTION("""COMPUTED_VALUE"""),"8 Elko Street")</f>
        <v>8 Elko Street</v>
      </c>
      <c r="B55" s="1">
        <f ca="1">IFERROR(__xludf.DUMMYFUNCTION("""COMPUTED_VALUE"""),8)</f>
        <v>8</v>
      </c>
      <c r="C55" s="1" t="str">
        <f ca="1">IFERROR(__xludf.DUMMYFUNCTION("""COMPUTED_VALUE"""),"#6")</f>
        <v>#6</v>
      </c>
      <c r="D55" s="1" t="str">
        <f ca="1">IFERROR(__xludf.DUMMYFUNCTION("""COMPUTED_VALUE"""),"8 Elko Street Unit 6")</f>
        <v>8 Elko Street Unit 6</v>
      </c>
      <c r="E55" s="1" t="str">
        <f ca="1">IFERROR(__xludf.DUMMYFUNCTION("""COMPUTED_VALUE"""),"Boston")</f>
        <v>Boston</v>
      </c>
      <c r="F55" s="1" t="str">
        <f ca="1">IFERROR(__xludf.DUMMYFUNCTION("""COMPUTED_VALUE"""),"Boston - Brighton")</f>
        <v>Boston - Brighton</v>
      </c>
      <c r="G55" s="1">
        <f ca="1">IFERROR(__xludf.DUMMYFUNCTION("""COMPUTED_VALUE"""),3)</f>
        <v>3</v>
      </c>
      <c r="H55" s="1" t="str">
        <f ca="1">IFERROR(__xludf.DUMMYFUNCTION("""COMPUTED_VALUE"""),"C")</f>
        <v>C</v>
      </c>
      <c r="I55" s="4" t="str">
        <f ca="1">IFERROR(__xludf.DUMMYFUNCTION("""COMPUTED_VALUE"""),"8 Elko Street#6C")</f>
        <v>8 Elko Street#6C</v>
      </c>
      <c r="J55" s="4" t="str">
        <f ca="1">IFERROR(__xludf.DUMMYFUNCTION("""COMPUTED_VALUE"""),"00000000-0000-0000-0000-000000000006")</f>
        <v>00000000-0000-0000-0000-000000000006</v>
      </c>
      <c r="K55" s="4">
        <f ca="1">IFERROR(__xludf.DUMMYFUNCTION("""COMPUTED_VALUE"""),1175)</f>
        <v>1175</v>
      </c>
      <c r="L55" s="1" t="str">
        <f ca="1">IFERROR(__xludf.DUMMYFUNCTION("""COMPUTED_VALUE"""),"Peter")</f>
        <v>Peter</v>
      </c>
      <c r="M55" s="1" t="str">
        <f ca="1">IFERROR(__xludf.DUMMYFUNCTION("""COMPUTED_VALUE"""),"")</f>
        <v/>
      </c>
      <c r="N55" s="1" t="str">
        <f ca="1">IFERROR(__xludf.DUMMYFUNCTION("""COMPUTED_VALUE"""),"")</f>
        <v/>
      </c>
      <c r="O55" s="1" t="str">
        <f ca="1">IFERROR(__xludf.DUMMYFUNCTION("""COMPUTED_VALUE"""),"Occupied")</f>
        <v>Occupied</v>
      </c>
      <c r="P55" s="1"/>
      <c r="Q55" s="1"/>
      <c r="R55" s="1"/>
      <c r="S55" s="1"/>
      <c r="T55" s="1"/>
      <c r="U55" s="1" t="str">
        <f ca="1">IFERROR(__xludf.DUMMYFUNCTION("""COMPUTED_VALUE"""),"N")</f>
        <v>N</v>
      </c>
      <c r="V55" s="1" t="str">
        <f ca="1">IFERROR(__xludf.DUMMYFUNCTION("""COMPUTED_VALUE"""),"Y")</f>
        <v>Y</v>
      </c>
      <c r="W55" s="1"/>
      <c r="X55" s="1"/>
      <c r="Y55" s="1" t="str">
        <f ca="1">IFERROR(__xludf.DUMMYFUNCTION("""COMPUTED_VALUE"""),"Wahhaj Beg")</f>
        <v>Wahhaj Beg</v>
      </c>
      <c r="Z55" s="1" t="str">
        <f ca="1">IFERROR(__xludf.DUMMYFUNCTION("""COMPUTED_VALUE"""),"wahhajbeg@gmail.com")</f>
        <v>wahhajbeg@gmail.com</v>
      </c>
      <c r="AA55" s="1"/>
      <c r="AB55" s="1"/>
      <c r="AC55" s="1"/>
    </row>
    <row r="56" spans="1:29">
      <c r="A56" s="1" t="str">
        <f ca="1">IFERROR(__xludf.DUMMYFUNCTION("""COMPUTED_VALUE"""),"8 Hardwick Terrace")</f>
        <v>8 Hardwick Terrace</v>
      </c>
      <c r="B56" s="1">
        <f ca="1">IFERROR(__xludf.DUMMYFUNCTION("""COMPUTED_VALUE"""),8)</f>
        <v>8</v>
      </c>
      <c r="C56" s="1" t="str">
        <f ca="1">IFERROR(__xludf.DUMMYFUNCTION("""COMPUTED_VALUE"""),"#1")</f>
        <v>#1</v>
      </c>
      <c r="D56" s="1" t="str">
        <f ca="1">IFERROR(__xludf.DUMMYFUNCTION("""COMPUTED_VALUE"""),"8 Hardwick Terrace Unit 1")</f>
        <v>8 Hardwick Terrace Unit 1</v>
      </c>
      <c r="E56" s="1" t="str">
        <f ca="1">IFERROR(__xludf.DUMMYFUNCTION("""COMPUTED_VALUE"""),"Boston")</f>
        <v>Boston</v>
      </c>
      <c r="F56" s="1" t="str">
        <f ca="1">IFERROR(__xludf.DUMMYFUNCTION("""COMPUTED_VALUE"""),"Boston - Brighton")</f>
        <v>Boston - Brighton</v>
      </c>
      <c r="G56" s="1">
        <f ca="1">IFERROR(__xludf.DUMMYFUNCTION("""COMPUTED_VALUE"""),1)</f>
        <v>1</v>
      </c>
      <c r="H56" s="1" t="str">
        <f ca="1">IFERROR(__xludf.DUMMYFUNCTION("""COMPUTED_VALUE"""),"A")</f>
        <v>A</v>
      </c>
      <c r="I56" s="4" t="str">
        <f ca="1">IFERROR(__xludf.DUMMYFUNCTION("""COMPUTED_VALUE"""),"8 Hardwick Terrace#1A")</f>
        <v>8 Hardwick Terrace#1A</v>
      </c>
      <c r="J56" s="4" t="str">
        <f ca="1">IFERROR(__xludf.DUMMYFUNCTION("""COMPUTED_VALUE"""),"b5ac5375-d434-4ff3-9253-15d0d0162673")</f>
        <v>b5ac5375-d434-4ff3-9253-15d0d0162673</v>
      </c>
      <c r="K56" s="4">
        <f ca="1">IFERROR(__xludf.DUMMYFUNCTION("""COMPUTED_VALUE"""),795)</f>
        <v>795</v>
      </c>
      <c r="L56" s="1" t="str">
        <f ca="1">IFERROR(__xludf.DUMMYFUNCTION("""COMPUTED_VALUE"""),"Peter")</f>
        <v>Peter</v>
      </c>
      <c r="M56" s="1" t="str">
        <f ca="1">IFERROR(__xludf.DUMMYFUNCTION("""COMPUTED_VALUE"""),"")</f>
        <v/>
      </c>
      <c r="N56" s="1" t="str">
        <f ca="1">IFERROR(__xludf.DUMMYFUNCTION("""COMPUTED_VALUE"""),"")</f>
        <v/>
      </c>
      <c r="O56" s="1" t="str">
        <f ca="1">IFERROR(__xludf.DUMMYFUNCTION("""COMPUTED_VALUE"""),"Occupied")</f>
        <v>Occupied</v>
      </c>
      <c r="P56" s="1"/>
      <c r="Q56" s="1"/>
      <c r="R56" s="1"/>
      <c r="S56" s="1" t="str">
        <f ca="1">IFERROR(__xludf.DUMMYFUNCTION("""COMPUTED_VALUE"""),"NO CATS OR DOGS")</f>
        <v>NO CATS OR DOGS</v>
      </c>
      <c r="T56" s="1"/>
      <c r="U56" s="1" t="str">
        <f ca="1">IFERROR(__xludf.DUMMYFUNCTION("""COMPUTED_VALUE"""),"N")</f>
        <v>N</v>
      </c>
      <c r="V56" s="1" t="str">
        <f ca="1">IFERROR(__xludf.DUMMYFUNCTION("""COMPUTED_VALUE"""),"N")</f>
        <v>N</v>
      </c>
      <c r="W56" s="1"/>
      <c r="X56" s="1"/>
      <c r="Y56" s="1" t="str">
        <f ca="1">IFERROR(__xludf.DUMMYFUNCTION("""COMPUTED_VALUE"""),"Carl Haggard")</f>
        <v>Carl Haggard</v>
      </c>
      <c r="Z56" s="1" t="str">
        <f ca="1">IFERROR(__xludf.DUMMYFUNCTION("""COMPUTED_VALUE"""),"haggardcd@yahoo.com")</f>
        <v>haggardcd@yahoo.com</v>
      </c>
      <c r="AA56" s="1"/>
      <c r="AB56" s="1"/>
      <c r="AC56" s="1"/>
    </row>
    <row r="57" spans="1:29">
      <c r="A57" s="1" t="str">
        <f ca="1">IFERROR(__xludf.DUMMYFUNCTION("""COMPUTED_VALUE"""),"8 Hardwick Terrace")</f>
        <v>8 Hardwick Terrace</v>
      </c>
      <c r="B57" s="1">
        <f ca="1">IFERROR(__xludf.DUMMYFUNCTION("""COMPUTED_VALUE"""),8)</f>
        <v>8</v>
      </c>
      <c r="C57" s="1" t="str">
        <f ca="1">IFERROR(__xludf.DUMMYFUNCTION("""COMPUTED_VALUE"""),"#1")</f>
        <v>#1</v>
      </c>
      <c r="D57" s="1" t="str">
        <f ca="1">IFERROR(__xludf.DUMMYFUNCTION("""COMPUTED_VALUE"""),"8 Hardwick Terrace Unit 1")</f>
        <v>8 Hardwick Terrace Unit 1</v>
      </c>
      <c r="E57" s="1" t="str">
        <f ca="1">IFERROR(__xludf.DUMMYFUNCTION("""COMPUTED_VALUE"""),"Boston")</f>
        <v>Boston</v>
      </c>
      <c r="F57" s="1" t="str">
        <f ca="1">IFERROR(__xludf.DUMMYFUNCTION("""COMPUTED_VALUE"""),"Boston - Brighton")</f>
        <v>Boston - Brighton</v>
      </c>
      <c r="G57" s="1">
        <f ca="1">IFERROR(__xludf.DUMMYFUNCTION("""COMPUTED_VALUE"""),2)</f>
        <v>2</v>
      </c>
      <c r="H57" s="1" t="str">
        <f ca="1">IFERROR(__xludf.DUMMYFUNCTION("""COMPUTED_VALUE"""),"B")</f>
        <v>B</v>
      </c>
      <c r="I57" s="4" t="str">
        <f ca="1">IFERROR(__xludf.DUMMYFUNCTION("""COMPUTED_VALUE"""),"8 Hardwick Terrace#1B")</f>
        <v>8 Hardwick Terrace#1B</v>
      </c>
      <c r="J57" s="4" t="str">
        <f ca="1">IFERROR(__xludf.DUMMYFUNCTION("""COMPUTED_VALUE"""),"b5ac5375-d434-4ff3-9253-15d0d0162673")</f>
        <v>b5ac5375-d434-4ff3-9253-15d0d0162673</v>
      </c>
      <c r="K57" s="4">
        <f ca="1">IFERROR(__xludf.DUMMYFUNCTION("""COMPUTED_VALUE"""),995)</f>
        <v>995</v>
      </c>
      <c r="L57" s="1" t="str">
        <f ca="1">IFERROR(__xludf.DUMMYFUNCTION("""COMPUTED_VALUE"""),"Peter")</f>
        <v>Peter</v>
      </c>
      <c r="M57" s="1" t="str">
        <f ca="1">IFERROR(__xludf.DUMMYFUNCTION("""COMPUTED_VALUE"""),"")</f>
        <v/>
      </c>
      <c r="N57" s="1" t="str">
        <f ca="1">IFERROR(__xludf.DUMMYFUNCTION("""COMPUTED_VALUE"""),"")</f>
        <v/>
      </c>
      <c r="O57" s="1" t="str">
        <f ca="1">IFERROR(__xludf.DUMMYFUNCTION("""COMPUTED_VALUE"""),"Occupied")</f>
        <v>Occupied</v>
      </c>
      <c r="P57" s="1"/>
      <c r="Q57" s="1"/>
      <c r="R57" s="1"/>
      <c r="S57" s="1" t="str">
        <f ca="1">IFERROR(__xludf.DUMMYFUNCTION("""COMPUTED_VALUE"""),"NO CATS OR DOGS")</f>
        <v>NO CATS OR DOGS</v>
      </c>
      <c r="T57" s="1"/>
      <c r="U57" s="1" t="str">
        <f ca="1">IFERROR(__xludf.DUMMYFUNCTION("""COMPUTED_VALUE"""),"N")</f>
        <v>N</v>
      </c>
      <c r="V57" s="1" t="str">
        <f ca="1">IFERROR(__xludf.DUMMYFUNCTION("""COMPUTED_VALUE"""),"N")</f>
        <v>N</v>
      </c>
      <c r="W57" s="1"/>
      <c r="X57" s="1"/>
      <c r="Y57" s="1" t="str">
        <f ca="1">IFERROR(__xludf.DUMMYFUNCTION("""COMPUTED_VALUE"""),"Paul Southworth")</f>
        <v>Paul Southworth</v>
      </c>
      <c r="Z57" s="1" t="str">
        <f ca="1">IFERROR(__xludf.DUMMYFUNCTION("""COMPUTED_VALUE"""),"pjsouthworth@outlook.com")</f>
        <v>pjsouthworth@outlook.com</v>
      </c>
      <c r="AA57" s="1"/>
      <c r="AB57" s="1"/>
      <c r="AC57" s="1"/>
    </row>
    <row r="58" spans="1:29">
      <c r="A58" s="1" t="str">
        <f ca="1">IFERROR(__xludf.DUMMYFUNCTION("""COMPUTED_VALUE"""),"8 Hardwick Terrace")</f>
        <v>8 Hardwick Terrace</v>
      </c>
      <c r="B58" s="1">
        <f ca="1">IFERROR(__xludf.DUMMYFUNCTION("""COMPUTED_VALUE"""),8)</f>
        <v>8</v>
      </c>
      <c r="C58" s="1" t="str">
        <f ca="1">IFERROR(__xludf.DUMMYFUNCTION("""COMPUTED_VALUE"""),"#1")</f>
        <v>#1</v>
      </c>
      <c r="D58" s="1" t="str">
        <f ca="1">IFERROR(__xludf.DUMMYFUNCTION("""COMPUTED_VALUE"""),"8 Hardwick Terrace Unit 1")</f>
        <v>8 Hardwick Terrace Unit 1</v>
      </c>
      <c r="E58" s="1" t="str">
        <f ca="1">IFERROR(__xludf.DUMMYFUNCTION("""COMPUTED_VALUE"""),"Boston")</f>
        <v>Boston</v>
      </c>
      <c r="F58" s="1" t="str">
        <f ca="1">IFERROR(__xludf.DUMMYFUNCTION("""COMPUTED_VALUE"""),"Boston - Brighton")</f>
        <v>Boston - Brighton</v>
      </c>
      <c r="G58" s="1">
        <f ca="1">IFERROR(__xludf.DUMMYFUNCTION("""COMPUTED_VALUE"""),3)</f>
        <v>3</v>
      </c>
      <c r="H58" s="1" t="str">
        <f ca="1">IFERROR(__xludf.DUMMYFUNCTION("""COMPUTED_VALUE"""),"C")</f>
        <v>C</v>
      </c>
      <c r="I58" s="4" t="str">
        <f ca="1">IFERROR(__xludf.DUMMYFUNCTION("""COMPUTED_VALUE"""),"8 Hardwick Terrace#1C")</f>
        <v>8 Hardwick Terrace#1C</v>
      </c>
      <c r="J58" s="4" t="str">
        <f ca="1">IFERROR(__xludf.DUMMYFUNCTION("""COMPUTED_VALUE"""),"b5ac5375-d434-4ff3-9253-15d0d0162673")</f>
        <v>b5ac5375-d434-4ff3-9253-15d0d0162673</v>
      </c>
      <c r="K58" s="4">
        <f ca="1">IFERROR(__xludf.DUMMYFUNCTION("""COMPUTED_VALUE"""),995)</f>
        <v>995</v>
      </c>
      <c r="L58" s="1" t="str">
        <f ca="1">IFERROR(__xludf.DUMMYFUNCTION("""COMPUTED_VALUE"""),"Peter")</f>
        <v>Peter</v>
      </c>
      <c r="M58" s="1" t="str">
        <f ca="1">IFERROR(__xludf.DUMMYFUNCTION("""COMPUTED_VALUE"""),"")</f>
        <v/>
      </c>
      <c r="N58" s="1" t="str">
        <f ca="1">IFERROR(__xludf.DUMMYFUNCTION("""COMPUTED_VALUE"""),"")</f>
        <v/>
      </c>
      <c r="O58" s="1" t="str">
        <f ca="1">IFERROR(__xludf.DUMMYFUNCTION("""COMPUTED_VALUE"""),"Occupied")</f>
        <v>Occupied</v>
      </c>
      <c r="P58" s="1"/>
      <c r="Q58" s="1"/>
      <c r="R58" s="1"/>
      <c r="S58" s="1" t="str">
        <f ca="1">IFERROR(__xludf.DUMMYFUNCTION("""COMPUTED_VALUE"""),"NO CATS OR DOGS")</f>
        <v>NO CATS OR DOGS</v>
      </c>
      <c r="T58" s="1"/>
      <c r="U58" s="1" t="str">
        <f ca="1">IFERROR(__xludf.DUMMYFUNCTION("""COMPUTED_VALUE"""),"N")</f>
        <v>N</v>
      </c>
      <c r="V58" s="1" t="str">
        <f ca="1">IFERROR(__xludf.DUMMYFUNCTION("""COMPUTED_VALUE"""),"N")</f>
        <v>N</v>
      </c>
      <c r="W58" s="1"/>
      <c r="X58" s="1"/>
      <c r="Y58" s="1" t="str">
        <f ca="1">IFERROR(__xludf.DUMMYFUNCTION("""COMPUTED_VALUE"""),"Zachary Brower")</f>
        <v>Zachary Brower</v>
      </c>
      <c r="Z58" s="1" t="str">
        <f ca="1">IFERROR(__xludf.DUMMYFUNCTION("""COMPUTED_VALUE"""),"brozack1@gmail.com")</f>
        <v>brozack1@gmail.com</v>
      </c>
      <c r="AA58" s="1"/>
      <c r="AB58" s="1"/>
      <c r="AC58" s="1"/>
    </row>
    <row r="59" spans="1:29">
      <c r="A59" s="1" t="str">
        <f ca="1">IFERROR(__xludf.DUMMYFUNCTION("""COMPUTED_VALUE"""),"8 Hardwick Terrace")</f>
        <v>8 Hardwick Terrace</v>
      </c>
      <c r="B59" s="1">
        <f ca="1">IFERROR(__xludf.DUMMYFUNCTION("""COMPUTED_VALUE"""),8)</f>
        <v>8</v>
      </c>
      <c r="C59" s="1" t="str">
        <f ca="1">IFERROR(__xludf.DUMMYFUNCTION("""COMPUTED_VALUE"""),"#1")</f>
        <v>#1</v>
      </c>
      <c r="D59" s="1" t="str">
        <f ca="1">IFERROR(__xludf.DUMMYFUNCTION("""COMPUTED_VALUE"""),"8 Hardwick Terrace Unit 1")</f>
        <v>8 Hardwick Terrace Unit 1</v>
      </c>
      <c r="E59" s="1" t="str">
        <f ca="1">IFERROR(__xludf.DUMMYFUNCTION("""COMPUTED_VALUE"""),"Boston")</f>
        <v>Boston</v>
      </c>
      <c r="F59" s="1" t="str">
        <f ca="1">IFERROR(__xludf.DUMMYFUNCTION("""COMPUTED_VALUE"""),"Boston - Brighton")</f>
        <v>Boston - Brighton</v>
      </c>
      <c r="G59" s="1">
        <f ca="1">IFERROR(__xludf.DUMMYFUNCTION("""COMPUTED_VALUE"""),4)</f>
        <v>4</v>
      </c>
      <c r="H59" s="1" t="str">
        <f ca="1">IFERROR(__xludf.DUMMYFUNCTION("""COMPUTED_VALUE"""),"D")</f>
        <v>D</v>
      </c>
      <c r="I59" s="4" t="str">
        <f ca="1">IFERROR(__xludf.DUMMYFUNCTION("""COMPUTED_VALUE"""),"8 Hardwick Terrace#1D")</f>
        <v>8 Hardwick Terrace#1D</v>
      </c>
      <c r="J59" s="4" t="str">
        <f ca="1">IFERROR(__xludf.DUMMYFUNCTION("""COMPUTED_VALUE"""),"b5ac5375-d434-4ff3-9253-15d0d0162673")</f>
        <v>b5ac5375-d434-4ff3-9253-15d0d0162673</v>
      </c>
      <c r="K59" s="4">
        <f ca="1">IFERROR(__xludf.DUMMYFUNCTION("""COMPUTED_VALUE"""),850)</f>
        <v>850</v>
      </c>
      <c r="L59" s="1" t="str">
        <f ca="1">IFERROR(__xludf.DUMMYFUNCTION("""COMPUTED_VALUE"""),"Peter")</f>
        <v>Peter</v>
      </c>
      <c r="M59" s="1" t="str">
        <f ca="1">IFERROR(__xludf.DUMMYFUNCTION("""COMPUTED_VALUE"""),"")</f>
        <v/>
      </c>
      <c r="N59" s="1" t="str">
        <f ca="1">IFERROR(__xludf.DUMMYFUNCTION("""COMPUTED_VALUE"""),"")</f>
        <v/>
      </c>
      <c r="O59" s="1" t="str">
        <f ca="1">IFERROR(__xludf.DUMMYFUNCTION("""COMPUTED_VALUE"""),"Occupied")</f>
        <v>Occupied</v>
      </c>
      <c r="P59" s="1"/>
      <c r="Q59" s="1"/>
      <c r="R59" s="1"/>
      <c r="S59" s="1" t="str">
        <f ca="1">IFERROR(__xludf.DUMMYFUNCTION("""COMPUTED_VALUE"""),"NO CATS OR DOGS")</f>
        <v>NO CATS OR DOGS</v>
      </c>
      <c r="T59" s="1"/>
      <c r="U59" s="1" t="str">
        <f ca="1">IFERROR(__xludf.DUMMYFUNCTION("""COMPUTED_VALUE"""),"N")</f>
        <v>N</v>
      </c>
      <c r="V59" s="1" t="str">
        <f ca="1">IFERROR(__xludf.DUMMYFUNCTION("""COMPUTED_VALUE"""),"N")</f>
        <v>N</v>
      </c>
      <c r="W59" s="1"/>
      <c r="X59" s="1"/>
      <c r="Y59" s="1" t="str">
        <f ca="1">IFERROR(__xludf.DUMMYFUNCTION("""COMPUTED_VALUE"""),"Luke Zabotka")</f>
        <v>Luke Zabotka</v>
      </c>
      <c r="Z59" s="1" t="str">
        <f ca="1">IFERROR(__xludf.DUMMYFUNCTION("""COMPUTED_VALUE"""),"lezabotka@gmail.com")</f>
        <v>lezabotka@gmail.com</v>
      </c>
      <c r="AA59" s="1"/>
      <c r="AB59" s="1"/>
      <c r="AC59" s="1"/>
    </row>
    <row r="60" spans="1:29">
      <c r="A60" s="1" t="str">
        <f ca="1">IFERROR(__xludf.DUMMYFUNCTION("""COMPUTED_VALUE"""),"9 Fairfield Street")</f>
        <v>9 Fairfield Street</v>
      </c>
      <c r="B60" s="1">
        <f ca="1">IFERROR(__xludf.DUMMYFUNCTION("""COMPUTED_VALUE"""),9)</f>
        <v>9</v>
      </c>
      <c r="C60" s="1" t="str">
        <f ca="1">IFERROR(__xludf.DUMMYFUNCTION("""COMPUTED_VALUE"""),"#1L")</f>
        <v>#1L</v>
      </c>
      <c r="D60" s="1" t="str">
        <f ca="1">IFERROR(__xludf.DUMMYFUNCTION("""COMPUTED_VALUE"""),"9 Fairfield Street Unit 1L")</f>
        <v>9 Fairfield Street Unit 1L</v>
      </c>
      <c r="E60" s="1" t="str">
        <f ca="1">IFERROR(__xludf.DUMMYFUNCTION("""COMPUTED_VALUE"""),"Cambridge")</f>
        <v>Cambridge</v>
      </c>
      <c r="F60" s="1" t="str">
        <f ca="1">IFERROR(__xludf.DUMMYFUNCTION("""COMPUTED_VALUE"""),"Cambridge - Porter Square")</f>
        <v>Cambridge - Porter Square</v>
      </c>
      <c r="G60" s="1">
        <f ca="1">IFERROR(__xludf.DUMMYFUNCTION("""COMPUTED_VALUE"""),1)</f>
        <v>1</v>
      </c>
      <c r="H60" s="1" t="str">
        <f ca="1">IFERROR(__xludf.DUMMYFUNCTION("""COMPUTED_VALUE"""),"A")</f>
        <v>A</v>
      </c>
      <c r="I60" s="4" t="str">
        <f ca="1">IFERROR(__xludf.DUMMYFUNCTION("""COMPUTED_VALUE"""),"9 Fairfield Street#1LA")</f>
        <v>9 Fairfield Street#1LA</v>
      </c>
      <c r="J60" s="4" t="str">
        <f ca="1">IFERROR(__xludf.DUMMYFUNCTION("""COMPUTED_VALUE"""),"00000000-0000-0000-0000-000000000005")</f>
        <v>00000000-0000-0000-0000-000000000005</v>
      </c>
      <c r="K60" s="4">
        <f ca="1">IFERROR(__xludf.DUMMYFUNCTION("""COMPUTED_VALUE"""),895)</f>
        <v>895</v>
      </c>
      <c r="L60" s="1" t="str">
        <f ca="1">IFERROR(__xludf.DUMMYFUNCTION("""COMPUTED_VALUE"""),"Self")</f>
        <v>Self</v>
      </c>
      <c r="M60" s="1" t="str">
        <f ca="1">IFERROR(__xludf.DUMMYFUNCTION("""COMPUTED_VALUE"""),"Self (NOW)")</f>
        <v>Self (NOW)</v>
      </c>
      <c r="N60" s="1" t="str">
        <f ca="1">IFERROR(__xludf.DUMMYFUNCTION("""COMPUTED_VALUE"""),"")</f>
        <v/>
      </c>
      <c r="O60" s="1" t="str">
        <f ca="1">IFERROR(__xludf.DUMMYFUNCTION("""COMPUTED_VALUE"""),"Upcoming Vacancy")</f>
        <v>Upcoming Vacancy</v>
      </c>
      <c r="P60" s="1" t="str">
        <f ca="1">IFERROR(__xludf.DUMMYFUNCTION("""COMPUTED_VALUE"""),"February")</f>
        <v>February</v>
      </c>
      <c r="Q60" s="3">
        <f ca="1">IFERROR(__xludf.DUMMYFUNCTION("""COMPUTED_VALUE"""),43861)</f>
        <v>43861</v>
      </c>
      <c r="R60" s="1"/>
      <c r="S60" s="1" t="str">
        <f ca="1">IFERROR(__xludf.DUMMYFUNCTION("""COMPUTED_VALUE"""),"NO DOGS")</f>
        <v>NO DOGS</v>
      </c>
      <c r="T60" s="1"/>
      <c r="U60" s="1" t="str">
        <f ca="1">IFERROR(__xludf.DUMMYFUNCTION("""COMPUTED_VALUE"""),"Y")</f>
        <v>Y</v>
      </c>
      <c r="V60" s="1" t="str">
        <f ca="1">IFERROR(__xludf.DUMMYFUNCTION("""COMPUTED_VALUE"""),"Y")</f>
        <v>Y</v>
      </c>
      <c r="W60" s="1"/>
      <c r="X60" s="1"/>
      <c r="Y60" s="1" t="str">
        <f ca="1">IFERROR(__xludf.DUMMYFUNCTION("""COMPUTED_VALUE"""),"Brian Vado")</f>
        <v>Brian Vado</v>
      </c>
      <c r="Z60" s="1" t="str">
        <f ca="1">IFERROR(__xludf.DUMMYFUNCTION("""COMPUTED_VALUE"""),"brianvado96@gmail.com")</f>
        <v>brianvado96@gmail.com</v>
      </c>
      <c r="AA60" s="1"/>
      <c r="AB60" s="1"/>
      <c r="AC60" s="1"/>
    </row>
    <row r="61" spans="1:29">
      <c r="A61" s="1" t="str">
        <f ca="1">IFERROR(__xludf.DUMMYFUNCTION("""COMPUTED_VALUE"""),"9 Fairfield Street")</f>
        <v>9 Fairfield Street</v>
      </c>
      <c r="B61" s="1">
        <f ca="1">IFERROR(__xludf.DUMMYFUNCTION("""COMPUTED_VALUE"""),9)</f>
        <v>9</v>
      </c>
      <c r="C61" s="1" t="str">
        <f ca="1">IFERROR(__xludf.DUMMYFUNCTION("""COMPUTED_VALUE"""),"#1L")</f>
        <v>#1L</v>
      </c>
      <c r="D61" s="1" t="str">
        <f ca="1">IFERROR(__xludf.DUMMYFUNCTION("""COMPUTED_VALUE"""),"9 Fairfield Street Unit 1L")</f>
        <v>9 Fairfield Street Unit 1L</v>
      </c>
      <c r="E61" s="1" t="str">
        <f ca="1">IFERROR(__xludf.DUMMYFUNCTION("""COMPUTED_VALUE"""),"Cambridge")</f>
        <v>Cambridge</v>
      </c>
      <c r="F61" s="1" t="str">
        <f ca="1">IFERROR(__xludf.DUMMYFUNCTION("""COMPUTED_VALUE"""),"Cambridge - Porter Square")</f>
        <v>Cambridge - Porter Square</v>
      </c>
      <c r="G61" s="1">
        <f ca="1">IFERROR(__xludf.DUMMYFUNCTION("""COMPUTED_VALUE"""),2)</f>
        <v>2</v>
      </c>
      <c r="H61" s="1" t="str">
        <f ca="1">IFERROR(__xludf.DUMMYFUNCTION("""COMPUTED_VALUE"""),"B")</f>
        <v>B</v>
      </c>
      <c r="I61" s="4" t="str">
        <f ca="1">IFERROR(__xludf.DUMMYFUNCTION("""COMPUTED_VALUE"""),"9 Fairfield Street#1LB")</f>
        <v>9 Fairfield Street#1LB</v>
      </c>
      <c r="J61" s="4" t="str">
        <f ca="1">IFERROR(__xludf.DUMMYFUNCTION("""COMPUTED_VALUE"""),"00000000-0000-0000-0000-000000000005")</f>
        <v>00000000-0000-0000-0000-000000000005</v>
      </c>
      <c r="K61" s="4">
        <f ca="1">IFERROR(__xludf.DUMMYFUNCTION("""COMPUTED_VALUE"""),1440)</f>
        <v>1440</v>
      </c>
      <c r="L61" s="1" t="str">
        <f ca="1">IFERROR(__xludf.DUMMYFUNCTION("""COMPUTED_VALUE"""),"Self")</f>
        <v>Self</v>
      </c>
      <c r="M61" s="1" t="str">
        <f ca="1">IFERROR(__xludf.DUMMYFUNCTION("""COMPUTED_VALUE"""),"")</f>
        <v/>
      </c>
      <c r="N61" s="1" t="str">
        <f ca="1">IFERROR(__xludf.DUMMYFUNCTION("""COMPUTED_VALUE"""),"")</f>
        <v/>
      </c>
      <c r="O61" s="1" t="str">
        <f ca="1">IFERROR(__xludf.DUMMYFUNCTION("""COMPUTED_VALUE"""),"Occupied")</f>
        <v>Occupied</v>
      </c>
      <c r="P61" s="1"/>
      <c r="Q61" s="1"/>
      <c r="R61" s="1"/>
      <c r="S61" s="1" t="str">
        <f ca="1">IFERROR(__xludf.DUMMYFUNCTION("""COMPUTED_VALUE"""),"NO DOGS")</f>
        <v>NO DOGS</v>
      </c>
      <c r="T61" s="1"/>
      <c r="U61" s="1" t="str">
        <f ca="1">IFERROR(__xludf.DUMMYFUNCTION("""COMPUTED_VALUE"""),"Y")</f>
        <v>Y</v>
      </c>
      <c r="V61" s="1" t="str">
        <f ca="1">IFERROR(__xludf.DUMMYFUNCTION("""COMPUTED_VALUE"""),"Y")</f>
        <v>Y</v>
      </c>
      <c r="W61" s="1"/>
      <c r="X61" s="1"/>
      <c r="Y61" s="1" t="str">
        <f ca="1">IFERROR(__xludf.DUMMYFUNCTION("""COMPUTED_VALUE"""),"Christopher Bauer")</f>
        <v>Christopher Bauer</v>
      </c>
      <c r="Z61" s="1" t="str">
        <f ca="1">IFERROR(__xludf.DUMMYFUNCTION("""COMPUTED_VALUE"""),"chris92bauer@gmail.com")</f>
        <v>chris92bauer@gmail.com</v>
      </c>
      <c r="AA61" s="1"/>
      <c r="AB61" s="1"/>
      <c r="AC61" s="1"/>
    </row>
    <row r="62" spans="1:29">
      <c r="A62" s="1" t="str">
        <f ca="1">IFERROR(__xludf.DUMMYFUNCTION("""COMPUTED_VALUE"""),"9 Fairfield Street")</f>
        <v>9 Fairfield Street</v>
      </c>
      <c r="B62" s="1">
        <f ca="1">IFERROR(__xludf.DUMMYFUNCTION("""COMPUTED_VALUE"""),9)</f>
        <v>9</v>
      </c>
      <c r="C62" s="1" t="str">
        <f ca="1">IFERROR(__xludf.DUMMYFUNCTION("""COMPUTED_VALUE"""),"#1L")</f>
        <v>#1L</v>
      </c>
      <c r="D62" s="1" t="str">
        <f ca="1">IFERROR(__xludf.DUMMYFUNCTION("""COMPUTED_VALUE"""),"9 Fairfield Street Unit 1L")</f>
        <v>9 Fairfield Street Unit 1L</v>
      </c>
      <c r="E62" s="1" t="str">
        <f ca="1">IFERROR(__xludf.DUMMYFUNCTION("""COMPUTED_VALUE"""),"Cambridge")</f>
        <v>Cambridge</v>
      </c>
      <c r="F62" s="1" t="str">
        <f ca="1">IFERROR(__xludf.DUMMYFUNCTION("""COMPUTED_VALUE"""),"Cambridge - Porter Square")</f>
        <v>Cambridge - Porter Square</v>
      </c>
      <c r="G62" s="1">
        <f ca="1">IFERROR(__xludf.DUMMYFUNCTION("""COMPUTED_VALUE"""),3)</f>
        <v>3</v>
      </c>
      <c r="H62" s="1" t="str">
        <f ca="1">IFERROR(__xludf.DUMMYFUNCTION("""COMPUTED_VALUE"""),"C")</f>
        <v>C</v>
      </c>
      <c r="I62" s="4" t="str">
        <f ca="1">IFERROR(__xludf.DUMMYFUNCTION("""COMPUTED_VALUE"""),"9 Fairfield Street#1LC")</f>
        <v>9 Fairfield Street#1LC</v>
      </c>
      <c r="J62" s="4" t="str">
        <f ca="1">IFERROR(__xludf.DUMMYFUNCTION("""COMPUTED_VALUE"""),"00000000-0000-0000-0000-000000000005")</f>
        <v>00000000-0000-0000-0000-000000000005</v>
      </c>
      <c r="K62" s="4">
        <f ca="1">IFERROR(__xludf.DUMMYFUNCTION("""COMPUTED_VALUE"""),1370)</f>
        <v>1370</v>
      </c>
      <c r="L62" s="1" t="str">
        <f ca="1">IFERROR(__xludf.DUMMYFUNCTION("""COMPUTED_VALUE"""),"Self")</f>
        <v>Self</v>
      </c>
      <c r="M62" s="1" t="str">
        <f ca="1">IFERROR(__xludf.DUMMYFUNCTION("""COMPUTED_VALUE"""),"")</f>
        <v/>
      </c>
      <c r="N62" s="1" t="str">
        <f ca="1">IFERROR(__xludf.DUMMYFUNCTION("""COMPUTED_VALUE"""),"")</f>
        <v/>
      </c>
      <c r="O62" s="1" t="str">
        <f ca="1">IFERROR(__xludf.DUMMYFUNCTION("""COMPUTED_VALUE"""),"Upcoming Vacancy")</f>
        <v>Upcoming Vacancy</v>
      </c>
      <c r="P62" s="1" t="str">
        <f ca="1">IFERROR(__xludf.DUMMYFUNCTION("""COMPUTED_VALUE"""),"May")</f>
        <v>May</v>
      </c>
      <c r="Q62" s="3">
        <f ca="1">IFERROR(__xludf.DUMMYFUNCTION("""COMPUTED_VALUE"""),44316)</f>
        <v>44316</v>
      </c>
      <c r="R62" s="1"/>
      <c r="S62" s="1" t="str">
        <f ca="1">IFERROR(__xludf.DUMMYFUNCTION("""COMPUTED_VALUE"""),"NO DOGS")</f>
        <v>NO DOGS</v>
      </c>
      <c r="T62" s="1"/>
      <c r="U62" s="1" t="str">
        <f ca="1">IFERROR(__xludf.DUMMYFUNCTION("""COMPUTED_VALUE"""),"Y")</f>
        <v>Y</v>
      </c>
      <c r="V62" s="1" t="str">
        <f ca="1">IFERROR(__xludf.DUMMYFUNCTION("""COMPUTED_VALUE"""),"Y")</f>
        <v>Y</v>
      </c>
      <c r="W62" s="1"/>
      <c r="X62" s="1"/>
      <c r="Y62" s="1" t="str">
        <f ca="1">IFERROR(__xludf.DUMMYFUNCTION("""COMPUTED_VALUE"""),"Ryan Lopez-Dunn; Brittany Warren")</f>
        <v>Ryan Lopez-Dunn; Brittany Warren</v>
      </c>
      <c r="Z62" s="1" t="str">
        <f ca="1">IFERROR(__xludf.DUMMYFUNCTION("""COMPUTED_VALUE"""),"lopezdunn90@gmail.com; brittany.warren.313@gmail.com")</f>
        <v>lopezdunn90@gmail.com; brittany.warren.313@gmail.com</v>
      </c>
      <c r="AA62" s="1"/>
      <c r="AB62" s="1"/>
      <c r="AC62" s="1"/>
    </row>
    <row r="63" spans="1:29">
      <c r="A63" s="1" t="str">
        <f ca="1">IFERROR(__xludf.DUMMYFUNCTION("""COMPUTED_VALUE"""),"9 Fairfield Street")</f>
        <v>9 Fairfield Street</v>
      </c>
      <c r="B63" s="1">
        <f ca="1">IFERROR(__xludf.DUMMYFUNCTION("""COMPUTED_VALUE"""),9)</f>
        <v>9</v>
      </c>
      <c r="C63" s="1" t="str">
        <f ca="1">IFERROR(__xludf.DUMMYFUNCTION("""COMPUTED_VALUE"""),"#1R")</f>
        <v>#1R</v>
      </c>
      <c r="D63" s="1" t="str">
        <f ca="1">IFERROR(__xludf.DUMMYFUNCTION("""COMPUTED_VALUE"""),"9 Fairfield Street Unit 1R")</f>
        <v>9 Fairfield Street Unit 1R</v>
      </c>
      <c r="E63" s="1" t="str">
        <f ca="1">IFERROR(__xludf.DUMMYFUNCTION("""COMPUTED_VALUE"""),"Cambridge")</f>
        <v>Cambridge</v>
      </c>
      <c r="F63" s="1" t="str">
        <f ca="1">IFERROR(__xludf.DUMMYFUNCTION("""COMPUTED_VALUE"""),"Cambridge - Porter Square")</f>
        <v>Cambridge - Porter Square</v>
      </c>
      <c r="G63" s="1">
        <f ca="1">IFERROR(__xludf.DUMMYFUNCTION("""COMPUTED_VALUE"""),1)</f>
        <v>1</v>
      </c>
      <c r="H63" s="1" t="str">
        <f ca="1">IFERROR(__xludf.DUMMYFUNCTION("""COMPUTED_VALUE"""),"A")</f>
        <v>A</v>
      </c>
      <c r="I63" s="4" t="str">
        <f ca="1">IFERROR(__xludf.DUMMYFUNCTION("""COMPUTED_VALUE"""),"9 Fairfield Street#1RA")</f>
        <v>9 Fairfield Street#1RA</v>
      </c>
      <c r="J63" s="4" t="str">
        <f ca="1">IFERROR(__xludf.DUMMYFUNCTION("""COMPUTED_VALUE"""),"4b6ac85e-0398-41aa-8025-7758a1c689e4")</f>
        <v>4b6ac85e-0398-41aa-8025-7758a1c689e4</v>
      </c>
      <c r="K63" s="4">
        <f ca="1">IFERROR(__xludf.DUMMYFUNCTION("""COMPUTED_VALUE"""),1195)</f>
        <v>1195</v>
      </c>
      <c r="L63" s="1" t="str">
        <f ca="1">IFERROR(__xludf.DUMMYFUNCTION("""COMPUTED_VALUE"""),"Lizzie")</f>
        <v>Lizzie</v>
      </c>
      <c r="M63" s="1" t="str">
        <f ca="1">IFERROR(__xludf.DUMMYFUNCTION("""COMPUTED_VALUE"""),"Lizzie (NOW)")</f>
        <v>Lizzie (NOW)</v>
      </c>
      <c r="N63" s="1" t="str">
        <f ca="1">IFERROR(__xludf.DUMMYFUNCTION("""COMPUTED_VALUE"""),"")</f>
        <v/>
      </c>
      <c r="O63" s="1" t="str">
        <f ca="1">IFERROR(__xludf.DUMMYFUNCTION("""COMPUTED_VALUE"""),"Upcoming Vacancy")</f>
        <v>Upcoming Vacancy</v>
      </c>
      <c r="P63" s="1" t="str">
        <f ca="1">IFERROR(__xludf.DUMMYFUNCTION("""COMPUTED_VALUE"""),"March")</f>
        <v>March</v>
      </c>
      <c r="Q63" s="3">
        <f ca="1">IFERROR(__xludf.DUMMYFUNCTION("""COMPUTED_VALUE"""),43889)</f>
        <v>43889</v>
      </c>
      <c r="R63" s="1"/>
      <c r="S63" s="1" t="str">
        <f ca="1">IFERROR(__xludf.DUMMYFUNCTION("""COMPUTED_VALUE"""),"NO DOGS")</f>
        <v>NO DOGS</v>
      </c>
      <c r="T63" s="1"/>
      <c r="U63" s="1" t="str">
        <f ca="1">IFERROR(__xludf.DUMMYFUNCTION("""COMPUTED_VALUE"""),"Y")</f>
        <v>Y</v>
      </c>
      <c r="V63" s="1" t="str">
        <f ca="1">IFERROR(__xludf.DUMMYFUNCTION("""COMPUTED_VALUE"""),"Y")</f>
        <v>Y</v>
      </c>
      <c r="W63" s="1"/>
      <c r="X63" s="1"/>
      <c r="Y63" s="1" t="str">
        <f ca="1">IFERROR(__xludf.DUMMYFUNCTION("""COMPUTED_VALUE"""),"Havhaji Wilson")</f>
        <v>Havhaji Wilson</v>
      </c>
      <c r="Z63" s="1" t="str">
        <f ca="1">IFERROR(__xludf.DUMMYFUNCTION("""COMPUTED_VALUE"""),"hwilson744@gmail.com")</f>
        <v>hwilson744@gmail.com</v>
      </c>
      <c r="AA63" s="1"/>
      <c r="AB63" s="1"/>
      <c r="AC63" s="1"/>
    </row>
    <row r="64" spans="1:29">
      <c r="A64" s="1" t="str">
        <f ca="1">IFERROR(__xludf.DUMMYFUNCTION("""COMPUTED_VALUE"""),"9 Fairfield Street")</f>
        <v>9 Fairfield Street</v>
      </c>
      <c r="B64" s="1">
        <f ca="1">IFERROR(__xludf.DUMMYFUNCTION("""COMPUTED_VALUE"""),9)</f>
        <v>9</v>
      </c>
      <c r="C64" s="1" t="str">
        <f ca="1">IFERROR(__xludf.DUMMYFUNCTION("""COMPUTED_VALUE"""),"#1R")</f>
        <v>#1R</v>
      </c>
      <c r="D64" s="1" t="str">
        <f ca="1">IFERROR(__xludf.DUMMYFUNCTION("""COMPUTED_VALUE"""),"9 Fairfield Street Unit 1R")</f>
        <v>9 Fairfield Street Unit 1R</v>
      </c>
      <c r="E64" s="1" t="str">
        <f ca="1">IFERROR(__xludf.DUMMYFUNCTION("""COMPUTED_VALUE"""),"Cambridge")</f>
        <v>Cambridge</v>
      </c>
      <c r="F64" s="1" t="str">
        <f ca="1">IFERROR(__xludf.DUMMYFUNCTION("""COMPUTED_VALUE"""),"Cambridge - Porter Square")</f>
        <v>Cambridge - Porter Square</v>
      </c>
      <c r="G64" s="1">
        <f ca="1">IFERROR(__xludf.DUMMYFUNCTION("""COMPUTED_VALUE"""),2)</f>
        <v>2</v>
      </c>
      <c r="H64" s="1" t="str">
        <f ca="1">IFERROR(__xludf.DUMMYFUNCTION("""COMPUTED_VALUE"""),"B")</f>
        <v>B</v>
      </c>
      <c r="I64" s="4" t="str">
        <f ca="1">IFERROR(__xludf.DUMMYFUNCTION("""COMPUTED_VALUE"""),"9 Fairfield Street#1RB")</f>
        <v>9 Fairfield Street#1RB</v>
      </c>
      <c r="J64" s="4" t="str">
        <f ca="1">IFERROR(__xludf.DUMMYFUNCTION("""COMPUTED_VALUE"""),"4b6ac85e-0398-41aa-8025-7758a1c689e4")</f>
        <v>4b6ac85e-0398-41aa-8025-7758a1c689e4</v>
      </c>
      <c r="K64" s="4">
        <f ca="1">IFERROR(__xludf.DUMMYFUNCTION("""COMPUTED_VALUE"""),1095)</f>
        <v>1095</v>
      </c>
      <c r="L64" s="1" t="str">
        <f ca="1">IFERROR(__xludf.DUMMYFUNCTION("""COMPUTED_VALUE"""),"Lizzie")</f>
        <v>Lizzie</v>
      </c>
      <c r="M64" s="1" t="str">
        <f ca="1">IFERROR(__xludf.DUMMYFUNCTION("""COMPUTED_VALUE"""),"")</f>
        <v/>
      </c>
      <c r="N64" s="1" t="str">
        <f ca="1">IFERROR(__xludf.DUMMYFUNCTION("""COMPUTED_VALUE"""),"")</f>
        <v/>
      </c>
      <c r="O64" s="1" t="str">
        <f ca="1">IFERROR(__xludf.DUMMYFUNCTION("""COMPUTED_VALUE"""),"Deposits Complete")</f>
        <v>Deposits Complete</v>
      </c>
      <c r="P64" s="1" t="str">
        <f ca="1">IFERROR(__xludf.DUMMYFUNCTION("""COMPUTED_VALUE"""),"February")</f>
        <v>February</v>
      </c>
      <c r="Q64" s="3">
        <f ca="1">IFERROR(__xludf.DUMMYFUNCTION("""COMPUTED_VALUE"""),43861)</f>
        <v>43861</v>
      </c>
      <c r="R64" s="5">
        <f ca="1">IFERROR(__xludf.DUMMYFUNCTION("""COMPUTED_VALUE"""),43862)</f>
        <v>43862</v>
      </c>
      <c r="S64" s="1" t="str">
        <f ca="1">IFERROR(__xludf.DUMMYFUNCTION("""COMPUTED_VALUE"""),"NO DOGS")</f>
        <v>NO DOGS</v>
      </c>
      <c r="T64" s="1"/>
      <c r="U64" s="1" t="str">
        <f ca="1">IFERROR(__xludf.DUMMYFUNCTION("""COMPUTED_VALUE"""),"Y")</f>
        <v>Y</v>
      </c>
      <c r="V64" s="1" t="str">
        <f ca="1">IFERROR(__xludf.DUMMYFUNCTION("""COMPUTED_VALUE"""),"Y")</f>
        <v>Y</v>
      </c>
      <c r="W64" s="1" t="str">
        <f ca="1">IFERROR(__xludf.DUMMYFUNCTION("""COMPUTED_VALUE"""),"Benjamin Clauss")</f>
        <v>Benjamin Clauss</v>
      </c>
      <c r="X64" s="1" t="str">
        <f ca="1">IFERROR(__xludf.DUMMYFUNCTION("""COMPUTED_VALUE"""),"benjaminrclauss@gmail.com")</f>
        <v>benjaminrclauss@gmail.com</v>
      </c>
      <c r="Y64" s="1" t="str">
        <f ca="1">IFERROR(__xludf.DUMMYFUNCTION("""COMPUTED_VALUE"""),"Sarah McCullough; Jerry Britto")</f>
        <v>Sarah McCullough; Jerry Britto</v>
      </c>
      <c r="Z64" s="1" t="str">
        <f ca="1">IFERROR(__xludf.DUMMYFUNCTION("""COMPUTED_VALUE"""),"smccullough6612@yahoo.com; jerrybritto@gmail.com")</f>
        <v>smccullough6612@yahoo.com; jerrybritto@gmail.com</v>
      </c>
      <c r="AA64" s="1"/>
      <c r="AB64" s="1"/>
      <c r="AC64" s="1"/>
    </row>
    <row r="65" spans="1:29">
      <c r="A65" s="1" t="str">
        <f ca="1">IFERROR(__xludf.DUMMYFUNCTION("""COMPUTED_VALUE"""),"9 Fairfield Street")</f>
        <v>9 Fairfield Street</v>
      </c>
      <c r="B65" s="1">
        <f ca="1">IFERROR(__xludf.DUMMYFUNCTION("""COMPUTED_VALUE"""),9)</f>
        <v>9</v>
      </c>
      <c r="C65" s="1" t="str">
        <f ca="1">IFERROR(__xludf.DUMMYFUNCTION("""COMPUTED_VALUE"""),"#1R")</f>
        <v>#1R</v>
      </c>
      <c r="D65" s="1" t="str">
        <f ca="1">IFERROR(__xludf.DUMMYFUNCTION("""COMPUTED_VALUE"""),"9 Fairfield Street Unit 1R")</f>
        <v>9 Fairfield Street Unit 1R</v>
      </c>
      <c r="E65" s="1" t="str">
        <f ca="1">IFERROR(__xludf.DUMMYFUNCTION("""COMPUTED_VALUE"""),"Cambridge")</f>
        <v>Cambridge</v>
      </c>
      <c r="F65" s="1" t="str">
        <f ca="1">IFERROR(__xludf.DUMMYFUNCTION("""COMPUTED_VALUE"""),"Cambridge - Porter Square")</f>
        <v>Cambridge - Porter Square</v>
      </c>
      <c r="G65" s="1">
        <f ca="1">IFERROR(__xludf.DUMMYFUNCTION("""COMPUTED_VALUE"""),3)</f>
        <v>3</v>
      </c>
      <c r="H65" s="1" t="str">
        <f ca="1">IFERROR(__xludf.DUMMYFUNCTION("""COMPUTED_VALUE"""),"C")</f>
        <v>C</v>
      </c>
      <c r="I65" s="4" t="str">
        <f ca="1">IFERROR(__xludf.DUMMYFUNCTION("""COMPUTED_VALUE"""),"9 Fairfield Street#1RC")</f>
        <v>9 Fairfield Street#1RC</v>
      </c>
      <c r="J65" s="4" t="str">
        <f ca="1">IFERROR(__xludf.DUMMYFUNCTION("""COMPUTED_VALUE"""),"4b6ac85e-0398-41aa-8025-7758a1c689e4")</f>
        <v>4b6ac85e-0398-41aa-8025-7758a1c689e4</v>
      </c>
      <c r="K65" s="4">
        <f ca="1">IFERROR(__xludf.DUMMYFUNCTION("""COMPUTED_VALUE"""),895)</f>
        <v>895</v>
      </c>
      <c r="L65" s="1" t="str">
        <f ca="1">IFERROR(__xludf.DUMMYFUNCTION("""COMPUTED_VALUE"""),"Lizzie")</f>
        <v>Lizzie</v>
      </c>
      <c r="M65" s="1" t="str">
        <f ca="1">IFERROR(__xludf.DUMMYFUNCTION("""COMPUTED_VALUE"""),"Lizzie (later)")</f>
        <v>Lizzie (later)</v>
      </c>
      <c r="N65" s="1" t="str">
        <f ca="1">IFERROR(__xludf.DUMMYFUNCTION("""COMPUTED_VALUE"""),"")</f>
        <v/>
      </c>
      <c r="O65" s="1" t="str">
        <f ca="1">IFERROR(__xludf.DUMMYFUNCTION("""COMPUTED_VALUE"""),"Lease Sent")</f>
        <v>Lease Sent</v>
      </c>
      <c r="P65" s="1" t="str">
        <f ca="1">IFERROR(__xludf.DUMMYFUNCTION("""COMPUTED_VALUE"""),"February")</f>
        <v>February</v>
      </c>
      <c r="Q65" s="3">
        <f ca="1">IFERROR(__xludf.DUMMYFUNCTION("""COMPUTED_VALUE"""),43861)</f>
        <v>43861</v>
      </c>
      <c r="R65" s="5">
        <f ca="1">IFERROR(__xludf.DUMMYFUNCTION("""COMPUTED_VALUE"""),44228)</f>
        <v>44228</v>
      </c>
      <c r="S65" s="1" t="str">
        <f ca="1">IFERROR(__xludf.DUMMYFUNCTION("""COMPUTED_VALUE"""),"NO DOGS")</f>
        <v>NO DOGS</v>
      </c>
      <c r="T65" s="1"/>
      <c r="U65" s="1" t="str">
        <f ca="1">IFERROR(__xludf.DUMMYFUNCTION("""COMPUTED_VALUE"""),"Y")</f>
        <v>Y</v>
      </c>
      <c r="V65" s="1" t="str">
        <f ca="1">IFERROR(__xludf.DUMMYFUNCTION("""COMPUTED_VALUE"""),"Y")</f>
        <v>Y</v>
      </c>
      <c r="W65" s="1" t="str">
        <f ca="1">IFERROR(__xludf.DUMMYFUNCTION("""COMPUTED_VALUE"""),"Julian Davila")</f>
        <v>Julian Davila</v>
      </c>
      <c r="X65" s="1" t="str">
        <f ca="1">IFERROR(__xludf.DUMMYFUNCTION("""COMPUTED_VALUE"""),"mail@jrdr.net")</f>
        <v>mail@jrdr.net</v>
      </c>
      <c r="Y65" s="1" t="str">
        <f ca="1">IFERROR(__xludf.DUMMYFUNCTION("""COMPUTED_VALUE"""),"Alex Kreutzberger")</f>
        <v>Alex Kreutzberger</v>
      </c>
      <c r="Z65" s="1" t="str">
        <f ca="1">IFERROR(__xludf.DUMMYFUNCTION("""COMPUTED_VALUE"""),"ajk5jw@virginia.edu")</f>
        <v>ajk5jw@virginia.edu</v>
      </c>
      <c r="AA65" s="1"/>
      <c r="AB65" s="1"/>
      <c r="AC65" s="1"/>
    </row>
    <row r="66" spans="1:29">
      <c r="A66" s="1" t="str">
        <f ca="1">IFERROR(__xludf.DUMMYFUNCTION("""COMPUTED_VALUE"""),"10 7th Street")</f>
        <v>10 7th Street</v>
      </c>
      <c r="B66" s="1">
        <f ca="1">IFERROR(__xludf.DUMMYFUNCTION("""COMPUTED_VALUE"""),10)</f>
        <v>10</v>
      </c>
      <c r="C66" s="1" t="str">
        <f ca="1">IFERROR(__xludf.DUMMYFUNCTION("""COMPUTED_VALUE"""),"N/A")</f>
        <v>N/A</v>
      </c>
      <c r="D66" s="1" t="str">
        <f ca="1">IFERROR(__xludf.DUMMYFUNCTION("""COMPUTED_VALUE"""),"10 7th Street")</f>
        <v>10 7th Street</v>
      </c>
      <c r="E66" s="1" t="str">
        <f ca="1">IFERROR(__xludf.DUMMYFUNCTION("""COMPUTED_VALUE"""),"Cambridge")</f>
        <v>Cambridge</v>
      </c>
      <c r="F66" s="1" t="str">
        <f ca="1">IFERROR(__xludf.DUMMYFUNCTION("""COMPUTED_VALUE"""),"Cambridge - East Cambridge")</f>
        <v>Cambridge - East Cambridge</v>
      </c>
      <c r="G66" s="1">
        <f ca="1">IFERROR(__xludf.DUMMYFUNCTION("""COMPUTED_VALUE"""),1)</f>
        <v>1</v>
      </c>
      <c r="H66" s="1" t="str">
        <f ca="1">IFERROR(__xludf.DUMMYFUNCTION("""COMPUTED_VALUE"""),"A")</f>
        <v>A</v>
      </c>
      <c r="I66" s="4" t="str">
        <f ca="1">IFERROR(__xludf.DUMMYFUNCTION("""COMPUTED_VALUE"""),"10 7th StreetN/AA")</f>
        <v>10 7th StreetN/AA</v>
      </c>
      <c r="J66" s="4" t="str">
        <f ca="1">IFERROR(__xludf.DUMMYFUNCTION("""COMPUTED_VALUE"""),"93bb2dd9-3b96-4f3d-beca-c35365b76a25")</f>
        <v>93bb2dd9-3b96-4f3d-beca-c35365b76a25</v>
      </c>
      <c r="K66" s="4">
        <f ca="1">IFERROR(__xludf.DUMMYFUNCTION("""COMPUTED_VALUE"""),920)</f>
        <v>920</v>
      </c>
      <c r="L66" s="1" t="str">
        <f ca="1">IFERROR(__xludf.DUMMYFUNCTION("""COMPUTED_VALUE"""),"Daniel")</f>
        <v>Daniel</v>
      </c>
      <c r="M66" s="1" t="str">
        <f ca="1">IFERROR(__xludf.DUMMYFUNCTION("""COMPUTED_VALUE"""),"Daniel (later)")</f>
        <v>Daniel (later)</v>
      </c>
      <c r="N66" s="1" t="str">
        <f ca="1">IFERROR(__xludf.DUMMYFUNCTION("""COMPUTED_VALUE"""),"Furnished")</f>
        <v>Furnished</v>
      </c>
      <c r="O66" s="1" t="str">
        <f ca="1">IFERROR(__xludf.DUMMYFUNCTION("""COMPUTED_VALUE"""),"Upcoming Vacancy")</f>
        <v>Upcoming Vacancy</v>
      </c>
      <c r="P66" s="1" t="str">
        <f ca="1">IFERROR(__xludf.DUMMYFUNCTION("""COMPUTED_VALUE"""),"April")</f>
        <v>April</v>
      </c>
      <c r="Q66" s="3">
        <f ca="1">IFERROR(__xludf.DUMMYFUNCTION("""COMPUTED_VALUE"""),43921)</f>
        <v>43921</v>
      </c>
      <c r="R66" s="1"/>
      <c r="S66" s="1" t="str">
        <f ca="1">IFERROR(__xludf.DUMMYFUNCTION("""COMPUTED_VALUE"""),"NO CATS OR DOGS")</f>
        <v>NO CATS OR DOGS</v>
      </c>
      <c r="T66" s="1"/>
      <c r="U66" s="1" t="str">
        <f ca="1">IFERROR(__xludf.DUMMYFUNCTION("""COMPUTED_VALUE"""),"Y")</f>
        <v>Y</v>
      </c>
      <c r="V66" s="1" t="str">
        <f ca="1">IFERROR(__xludf.DUMMYFUNCTION("""COMPUTED_VALUE"""),"N")</f>
        <v>N</v>
      </c>
      <c r="W66" s="1"/>
      <c r="X66" s="1"/>
      <c r="Y66" s="1" t="str">
        <f ca="1">IFERROR(__xludf.DUMMYFUNCTION("""COMPUTED_VALUE"""),"Ida Sanchez")</f>
        <v>Ida Sanchez</v>
      </c>
      <c r="Z66" s="1" t="str">
        <f ca="1">IFERROR(__xludf.DUMMYFUNCTION("""COMPUTED_VALUE"""),"ida.sanchez6@gmail.com")</f>
        <v>ida.sanchez6@gmail.com</v>
      </c>
      <c r="AA66" s="1"/>
      <c r="AB66" s="1"/>
      <c r="AC66" s="1" t="str">
        <f ca="1">IFERROR(__xludf.DUMMYFUNCTION("""COMPUTED_VALUE"""),"SplitSpot style pricing")</f>
        <v>SplitSpot style pricing</v>
      </c>
    </row>
    <row r="67" spans="1:29">
      <c r="A67" s="1" t="str">
        <f ca="1">IFERROR(__xludf.DUMMYFUNCTION("""COMPUTED_VALUE"""),"10 7th Street")</f>
        <v>10 7th Street</v>
      </c>
      <c r="B67" s="1">
        <f ca="1">IFERROR(__xludf.DUMMYFUNCTION("""COMPUTED_VALUE"""),10)</f>
        <v>10</v>
      </c>
      <c r="C67" s="1" t="str">
        <f ca="1">IFERROR(__xludf.DUMMYFUNCTION("""COMPUTED_VALUE"""),"N/A")</f>
        <v>N/A</v>
      </c>
      <c r="D67" s="1" t="str">
        <f ca="1">IFERROR(__xludf.DUMMYFUNCTION("""COMPUTED_VALUE"""),"10 7th Street")</f>
        <v>10 7th Street</v>
      </c>
      <c r="E67" s="1" t="str">
        <f ca="1">IFERROR(__xludf.DUMMYFUNCTION("""COMPUTED_VALUE"""),"Cambridge")</f>
        <v>Cambridge</v>
      </c>
      <c r="F67" s="1" t="str">
        <f ca="1">IFERROR(__xludf.DUMMYFUNCTION("""COMPUTED_VALUE"""),"Cambridge - East Cambridge")</f>
        <v>Cambridge - East Cambridge</v>
      </c>
      <c r="G67" s="1">
        <f ca="1">IFERROR(__xludf.DUMMYFUNCTION("""COMPUTED_VALUE"""),2)</f>
        <v>2</v>
      </c>
      <c r="H67" s="1" t="str">
        <f ca="1">IFERROR(__xludf.DUMMYFUNCTION("""COMPUTED_VALUE"""),"B")</f>
        <v>B</v>
      </c>
      <c r="I67" s="4" t="str">
        <f ca="1">IFERROR(__xludf.DUMMYFUNCTION("""COMPUTED_VALUE"""),"10 7th StreetN/AB")</f>
        <v>10 7th StreetN/AB</v>
      </c>
      <c r="J67" s="4" t="str">
        <f ca="1">IFERROR(__xludf.DUMMYFUNCTION("""COMPUTED_VALUE"""),"93bb2dd9-3b96-4f3d-beca-c35365b76a25")</f>
        <v>93bb2dd9-3b96-4f3d-beca-c35365b76a25</v>
      </c>
      <c r="K67" s="4">
        <f ca="1">IFERROR(__xludf.DUMMYFUNCTION("""COMPUTED_VALUE"""),1000)</f>
        <v>1000</v>
      </c>
      <c r="L67" s="1" t="str">
        <f ca="1">IFERROR(__xludf.DUMMYFUNCTION("""COMPUTED_VALUE"""),"Daniel")</f>
        <v>Daniel</v>
      </c>
      <c r="M67" s="1" t="str">
        <f ca="1">IFERROR(__xludf.DUMMYFUNCTION("""COMPUTED_VALUE"""),"")</f>
        <v/>
      </c>
      <c r="N67" s="1" t="str">
        <f ca="1">IFERROR(__xludf.DUMMYFUNCTION("""COMPUTED_VALUE"""),"Furnished")</f>
        <v>Furnished</v>
      </c>
      <c r="O67" s="1" t="str">
        <f ca="1">IFERROR(__xludf.DUMMYFUNCTION("""COMPUTED_VALUE"""),"Occupied")</f>
        <v>Occupied</v>
      </c>
      <c r="P67" s="1"/>
      <c r="Q67" s="1"/>
      <c r="R67" s="1"/>
      <c r="S67" s="1" t="str">
        <f ca="1">IFERROR(__xludf.DUMMYFUNCTION("""COMPUTED_VALUE"""),"NO CATS OR DOGS")</f>
        <v>NO CATS OR DOGS</v>
      </c>
      <c r="T67" s="1"/>
      <c r="U67" s="1" t="str">
        <f ca="1">IFERROR(__xludf.DUMMYFUNCTION("""COMPUTED_VALUE"""),"Y")</f>
        <v>Y</v>
      </c>
      <c r="V67" s="1" t="str">
        <f ca="1">IFERROR(__xludf.DUMMYFUNCTION("""COMPUTED_VALUE"""),"N")</f>
        <v>N</v>
      </c>
      <c r="W67" s="1"/>
      <c r="X67" s="1"/>
      <c r="Y67" s="1" t="str">
        <f ca="1">IFERROR(__xludf.DUMMYFUNCTION("""COMPUTED_VALUE"""),"Karen Kanazawa")</f>
        <v>Karen Kanazawa</v>
      </c>
      <c r="Z67" s="1" t="str">
        <f ca="1">IFERROR(__xludf.DUMMYFUNCTION("""COMPUTED_VALUE"""),"karenkay1019@gmail.com")</f>
        <v>karenkay1019@gmail.com</v>
      </c>
      <c r="AA67" s="1"/>
      <c r="AB67" s="1"/>
      <c r="AC67" s="1"/>
    </row>
    <row r="68" spans="1:29">
      <c r="A68" s="1" t="str">
        <f ca="1">IFERROR(__xludf.DUMMYFUNCTION("""COMPUTED_VALUE"""),"10 7th Street")</f>
        <v>10 7th Street</v>
      </c>
      <c r="B68" s="1">
        <f ca="1">IFERROR(__xludf.DUMMYFUNCTION("""COMPUTED_VALUE"""),10)</f>
        <v>10</v>
      </c>
      <c r="C68" s="1" t="str">
        <f ca="1">IFERROR(__xludf.DUMMYFUNCTION("""COMPUTED_VALUE"""),"N/A")</f>
        <v>N/A</v>
      </c>
      <c r="D68" s="1" t="str">
        <f ca="1">IFERROR(__xludf.DUMMYFUNCTION("""COMPUTED_VALUE"""),"10 7th Street")</f>
        <v>10 7th Street</v>
      </c>
      <c r="E68" s="1" t="str">
        <f ca="1">IFERROR(__xludf.DUMMYFUNCTION("""COMPUTED_VALUE"""),"Cambridge")</f>
        <v>Cambridge</v>
      </c>
      <c r="F68" s="1" t="str">
        <f ca="1">IFERROR(__xludf.DUMMYFUNCTION("""COMPUTED_VALUE"""),"Cambridge - East Cambridge")</f>
        <v>Cambridge - East Cambridge</v>
      </c>
      <c r="G68" s="1">
        <f ca="1">IFERROR(__xludf.DUMMYFUNCTION("""COMPUTED_VALUE"""),3)</f>
        <v>3</v>
      </c>
      <c r="H68" s="1" t="str">
        <f ca="1">IFERROR(__xludf.DUMMYFUNCTION("""COMPUTED_VALUE"""),"C")</f>
        <v>C</v>
      </c>
      <c r="I68" s="4" t="str">
        <f ca="1">IFERROR(__xludf.DUMMYFUNCTION("""COMPUTED_VALUE"""),"10 7th StreetN/AC")</f>
        <v>10 7th StreetN/AC</v>
      </c>
      <c r="J68" s="4" t="str">
        <f ca="1">IFERROR(__xludf.DUMMYFUNCTION("""COMPUTED_VALUE"""),"93bb2dd9-3b96-4f3d-beca-c35365b76a25")</f>
        <v>93bb2dd9-3b96-4f3d-beca-c35365b76a25</v>
      </c>
      <c r="K68" s="4">
        <f ca="1">IFERROR(__xludf.DUMMYFUNCTION("""COMPUTED_VALUE"""),980)</f>
        <v>980</v>
      </c>
      <c r="L68" s="1" t="str">
        <f ca="1">IFERROR(__xludf.DUMMYFUNCTION("""COMPUTED_VALUE"""),"Daniel")</f>
        <v>Daniel</v>
      </c>
      <c r="M68" s="1" t="str">
        <f ca="1">IFERROR(__xludf.DUMMYFUNCTION("""COMPUTED_VALUE"""),"")</f>
        <v/>
      </c>
      <c r="N68" s="1" t="str">
        <f ca="1">IFERROR(__xludf.DUMMYFUNCTION("""COMPUTED_VALUE"""),"Furnished")</f>
        <v>Furnished</v>
      </c>
      <c r="O68" s="1" t="str">
        <f ca="1">IFERROR(__xludf.DUMMYFUNCTION("""COMPUTED_VALUE"""),"Occupied")</f>
        <v>Occupied</v>
      </c>
      <c r="P68" s="1"/>
      <c r="Q68" s="1"/>
      <c r="R68" s="1"/>
      <c r="S68" s="1" t="str">
        <f ca="1">IFERROR(__xludf.DUMMYFUNCTION("""COMPUTED_VALUE"""),"NO CATS OR DOGS")</f>
        <v>NO CATS OR DOGS</v>
      </c>
      <c r="T68" s="1"/>
      <c r="U68" s="1" t="str">
        <f ca="1">IFERROR(__xludf.DUMMYFUNCTION("""COMPUTED_VALUE"""),"Y")</f>
        <v>Y</v>
      </c>
      <c r="V68" s="1" t="str">
        <f ca="1">IFERROR(__xludf.DUMMYFUNCTION("""COMPUTED_VALUE"""),"N")</f>
        <v>N</v>
      </c>
      <c r="W68" s="1"/>
      <c r="X68" s="1"/>
      <c r="Y68" s="1" t="str">
        <f ca="1">IFERROR(__xludf.DUMMYFUNCTION("""COMPUTED_VALUE"""),"Armando Asensio Vela")</f>
        <v>Armando Asensio Vela</v>
      </c>
      <c r="Z68" s="1" t="str">
        <f ca="1">IFERROR(__xludf.DUMMYFUNCTION("""COMPUTED_VALUE"""),"armandoasensiovela@gmail.com")</f>
        <v>armandoasensiovela@gmail.com</v>
      </c>
      <c r="AA68" s="1"/>
      <c r="AB68" s="1"/>
      <c r="AC68" s="1"/>
    </row>
    <row r="69" spans="1:29">
      <c r="A69" s="1" t="str">
        <f ca="1">IFERROR(__xludf.DUMMYFUNCTION("""COMPUTED_VALUE"""),"10 7th Street")</f>
        <v>10 7th Street</v>
      </c>
      <c r="B69" s="1">
        <f ca="1">IFERROR(__xludf.DUMMYFUNCTION("""COMPUTED_VALUE"""),10)</f>
        <v>10</v>
      </c>
      <c r="C69" s="1" t="str">
        <f ca="1">IFERROR(__xludf.DUMMYFUNCTION("""COMPUTED_VALUE"""),"N/A")</f>
        <v>N/A</v>
      </c>
      <c r="D69" s="1" t="str">
        <f ca="1">IFERROR(__xludf.DUMMYFUNCTION("""COMPUTED_VALUE"""),"10 7th Street")</f>
        <v>10 7th Street</v>
      </c>
      <c r="E69" s="1" t="str">
        <f ca="1">IFERROR(__xludf.DUMMYFUNCTION("""COMPUTED_VALUE"""),"Cambridge")</f>
        <v>Cambridge</v>
      </c>
      <c r="F69" s="1" t="str">
        <f ca="1">IFERROR(__xludf.DUMMYFUNCTION("""COMPUTED_VALUE"""),"Cambridge - East Cambridge")</f>
        <v>Cambridge - East Cambridge</v>
      </c>
      <c r="G69" s="1">
        <f ca="1">IFERROR(__xludf.DUMMYFUNCTION("""COMPUTED_VALUE"""),4)</f>
        <v>4</v>
      </c>
      <c r="H69" s="1" t="str">
        <f ca="1">IFERROR(__xludf.DUMMYFUNCTION("""COMPUTED_VALUE"""),"D")</f>
        <v>D</v>
      </c>
      <c r="I69" s="4" t="str">
        <f ca="1">IFERROR(__xludf.DUMMYFUNCTION("""COMPUTED_VALUE"""),"10 7th StreetN/AD")</f>
        <v>10 7th StreetN/AD</v>
      </c>
      <c r="J69" s="4" t="str">
        <f ca="1">IFERROR(__xludf.DUMMYFUNCTION("""COMPUTED_VALUE"""),"93bb2dd9-3b96-4f3d-beca-c35365b76a25")</f>
        <v>93bb2dd9-3b96-4f3d-beca-c35365b76a25</v>
      </c>
      <c r="K69" s="4">
        <f ca="1">IFERROR(__xludf.DUMMYFUNCTION("""COMPUTED_VALUE"""),980)</f>
        <v>980</v>
      </c>
      <c r="L69" s="1" t="str">
        <f ca="1">IFERROR(__xludf.DUMMYFUNCTION("""COMPUTED_VALUE"""),"Daniel")</f>
        <v>Daniel</v>
      </c>
      <c r="M69" s="1" t="str">
        <f ca="1">IFERROR(__xludf.DUMMYFUNCTION("""COMPUTED_VALUE"""),"")</f>
        <v/>
      </c>
      <c r="N69" s="1" t="str">
        <f ca="1">IFERROR(__xludf.DUMMYFUNCTION("""COMPUTED_VALUE"""),"Furnished")</f>
        <v>Furnished</v>
      </c>
      <c r="O69" s="1" t="str">
        <f ca="1">IFERROR(__xludf.DUMMYFUNCTION("""COMPUTED_VALUE"""),"Occupied")</f>
        <v>Occupied</v>
      </c>
      <c r="P69" s="1"/>
      <c r="Q69" s="1"/>
      <c r="R69" s="1"/>
      <c r="S69" s="1" t="str">
        <f ca="1">IFERROR(__xludf.DUMMYFUNCTION("""COMPUTED_VALUE"""),"NO CATS OR DOGS")</f>
        <v>NO CATS OR DOGS</v>
      </c>
      <c r="T69" s="1"/>
      <c r="U69" s="1" t="str">
        <f ca="1">IFERROR(__xludf.DUMMYFUNCTION("""COMPUTED_VALUE"""),"Y")</f>
        <v>Y</v>
      </c>
      <c r="V69" s="1" t="str">
        <f ca="1">IFERROR(__xludf.DUMMYFUNCTION("""COMPUTED_VALUE"""),"N")</f>
        <v>N</v>
      </c>
      <c r="W69" s="1"/>
      <c r="X69" s="1"/>
      <c r="Y69" s="1" t="str">
        <f ca="1">IFERROR(__xludf.DUMMYFUNCTION("""COMPUTED_VALUE"""),"Mable Nalugya")</f>
        <v>Mable Nalugya</v>
      </c>
      <c r="Z69" s="1" t="str">
        <f ca="1">IFERROR(__xludf.DUMMYFUNCTION("""COMPUTED_VALUE"""),"mablenalugya@gmail.com")</f>
        <v>mablenalugya@gmail.com</v>
      </c>
      <c r="AA69" s="1"/>
      <c r="AB69" s="1"/>
      <c r="AC69" s="1"/>
    </row>
    <row r="70" spans="1:29">
      <c r="A70" s="1" t="str">
        <f ca="1">IFERROR(__xludf.DUMMYFUNCTION("""COMPUTED_VALUE"""),"12 7th Street")</f>
        <v>12 7th Street</v>
      </c>
      <c r="B70" s="1">
        <f ca="1">IFERROR(__xludf.DUMMYFUNCTION("""COMPUTED_VALUE"""),12)</f>
        <v>12</v>
      </c>
      <c r="C70" s="1" t="str">
        <f ca="1">IFERROR(__xludf.DUMMYFUNCTION("""COMPUTED_VALUE"""),"N/A")</f>
        <v>N/A</v>
      </c>
      <c r="D70" s="1" t="str">
        <f ca="1">IFERROR(__xludf.DUMMYFUNCTION("""COMPUTED_VALUE"""),"12 7th Street")</f>
        <v>12 7th Street</v>
      </c>
      <c r="E70" s="1" t="str">
        <f ca="1">IFERROR(__xludf.DUMMYFUNCTION("""COMPUTED_VALUE"""),"Cambridge")</f>
        <v>Cambridge</v>
      </c>
      <c r="F70" s="1" t="str">
        <f ca="1">IFERROR(__xludf.DUMMYFUNCTION("""COMPUTED_VALUE"""),"Cambridge - East Cambridge")</f>
        <v>Cambridge - East Cambridge</v>
      </c>
      <c r="G70" s="1">
        <f ca="1">IFERROR(__xludf.DUMMYFUNCTION("""COMPUTED_VALUE"""),1)</f>
        <v>1</v>
      </c>
      <c r="H70" s="1" t="str">
        <f ca="1">IFERROR(__xludf.DUMMYFUNCTION("""COMPUTED_VALUE"""),"A")</f>
        <v>A</v>
      </c>
      <c r="I70" s="4" t="str">
        <f ca="1">IFERROR(__xludf.DUMMYFUNCTION("""COMPUTED_VALUE"""),"12 7th StreetN/AA")</f>
        <v>12 7th StreetN/AA</v>
      </c>
      <c r="J70" s="1"/>
      <c r="K70" s="4">
        <f ca="1">IFERROR(__xludf.DUMMYFUNCTION("""COMPUTED_VALUE"""),1295)</f>
        <v>1295</v>
      </c>
      <c r="L70" s="1" t="str">
        <f ca="1">IFERROR(__xludf.DUMMYFUNCTION("""COMPUTED_VALUE"""),"Daniel")</f>
        <v>Daniel</v>
      </c>
      <c r="M70" s="1" t="str">
        <f ca="1">IFERROR(__xludf.DUMMYFUNCTION("""COMPUTED_VALUE"""),"")</f>
        <v/>
      </c>
      <c r="N70" s="1" t="str">
        <f ca="1">IFERROR(__xludf.DUMMYFUNCTION("""COMPUTED_VALUE"""),"Furnished")</f>
        <v>Furnished</v>
      </c>
      <c r="O70" s="1" t="str">
        <f ca="1">IFERROR(__xludf.DUMMYFUNCTION("""COMPUTED_VALUE"""),"Upcoming Vacancy")</f>
        <v>Upcoming Vacancy</v>
      </c>
      <c r="P70" s="1" t="str">
        <f ca="1">IFERROR(__xludf.DUMMYFUNCTION("""COMPUTED_VALUE"""),"May")</f>
        <v>May</v>
      </c>
      <c r="Q70" s="1"/>
      <c r="R70" s="1"/>
      <c r="S70" s="1" t="str">
        <f ca="1">IFERROR(__xludf.DUMMYFUNCTION("""COMPUTED_VALUE"""),"NO CATS OR DOGS")</f>
        <v>NO CATS OR DOGS</v>
      </c>
      <c r="T70" s="1"/>
      <c r="U70" s="1" t="str">
        <f ca="1">IFERROR(__xludf.DUMMYFUNCTION("""COMPUTED_VALUE"""),"Y")</f>
        <v>Y</v>
      </c>
      <c r="V70" s="1" t="str">
        <f ca="1">IFERROR(__xludf.DUMMYFUNCTION("""COMPUTED_VALUE"""),"Y")</f>
        <v>Y</v>
      </c>
      <c r="W70" s="1"/>
      <c r="X70" s="1"/>
      <c r="Y70" s="1" t="str">
        <f ca="1">IFERROR(__xludf.DUMMYFUNCTION("""COMPUTED_VALUE"""),"Giorgio Troia")</f>
        <v>Giorgio Troia</v>
      </c>
      <c r="Z70" s="1" t="str">
        <f ca="1">IFERROR(__xludf.DUMMYFUNCTION("""COMPUTED_VALUE"""),"giorgio.troia10@gmail.com")</f>
        <v>giorgio.troia10@gmail.com</v>
      </c>
      <c r="AA70" s="1"/>
      <c r="AB70" s="1"/>
      <c r="AC70" s="1"/>
    </row>
    <row r="71" spans="1:29">
      <c r="A71" s="1" t="str">
        <f ca="1">IFERROR(__xludf.DUMMYFUNCTION("""COMPUTED_VALUE"""),"12 7th Street")</f>
        <v>12 7th Street</v>
      </c>
      <c r="B71" s="1">
        <f ca="1">IFERROR(__xludf.DUMMYFUNCTION("""COMPUTED_VALUE"""),12)</f>
        <v>12</v>
      </c>
      <c r="C71" s="1" t="str">
        <f ca="1">IFERROR(__xludf.DUMMYFUNCTION("""COMPUTED_VALUE"""),"N/A")</f>
        <v>N/A</v>
      </c>
      <c r="D71" s="1" t="str">
        <f ca="1">IFERROR(__xludf.DUMMYFUNCTION("""COMPUTED_VALUE"""),"12 7th Street")</f>
        <v>12 7th Street</v>
      </c>
      <c r="E71" s="1" t="str">
        <f ca="1">IFERROR(__xludf.DUMMYFUNCTION("""COMPUTED_VALUE"""),"Cambridge")</f>
        <v>Cambridge</v>
      </c>
      <c r="F71" s="1" t="str">
        <f ca="1">IFERROR(__xludf.DUMMYFUNCTION("""COMPUTED_VALUE"""),"Cambridge - East Cambridge")</f>
        <v>Cambridge - East Cambridge</v>
      </c>
      <c r="G71" s="1">
        <f ca="1">IFERROR(__xludf.DUMMYFUNCTION("""COMPUTED_VALUE"""),2)</f>
        <v>2</v>
      </c>
      <c r="H71" s="1" t="str">
        <f ca="1">IFERROR(__xludf.DUMMYFUNCTION("""COMPUTED_VALUE"""),"B")</f>
        <v>B</v>
      </c>
      <c r="I71" s="4" t="str">
        <f ca="1">IFERROR(__xludf.DUMMYFUNCTION("""COMPUTED_VALUE"""),"12 7th StreetN/AB")</f>
        <v>12 7th StreetN/AB</v>
      </c>
      <c r="J71" s="1"/>
      <c r="K71" s="4">
        <f ca="1">IFERROR(__xludf.DUMMYFUNCTION("""COMPUTED_VALUE"""),1195)</f>
        <v>1195</v>
      </c>
      <c r="L71" s="1" t="str">
        <f ca="1">IFERROR(__xludf.DUMMYFUNCTION("""COMPUTED_VALUE"""),"Daniel")</f>
        <v>Daniel</v>
      </c>
      <c r="M71" s="1" t="str">
        <f ca="1">IFERROR(__xludf.DUMMYFUNCTION("""COMPUTED_VALUE"""),"")</f>
        <v/>
      </c>
      <c r="N71" s="1" t="str">
        <f ca="1">IFERROR(__xludf.DUMMYFUNCTION("""COMPUTED_VALUE"""),"Furnished")</f>
        <v>Furnished</v>
      </c>
      <c r="O71" s="1" t="str">
        <f ca="1">IFERROR(__xludf.DUMMYFUNCTION("""COMPUTED_VALUE"""),"Upcoming Vacancy")</f>
        <v>Upcoming Vacancy</v>
      </c>
      <c r="P71" s="1" t="str">
        <f ca="1">IFERROR(__xludf.DUMMYFUNCTION("""COMPUTED_VALUE"""),"May")</f>
        <v>May</v>
      </c>
      <c r="Q71" s="1"/>
      <c r="R71" s="1"/>
      <c r="S71" s="1" t="str">
        <f ca="1">IFERROR(__xludf.DUMMYFUNCTION("""COMPUTED_VALUE"""),"NO CATS OR DOGS")</f>
        <v>NO CATS OR DOGS</v>
      </c>
      <c r="T71" s="1"/>
      <c r="U71" s="1" t="str">
        <f ca="1">IFERROR(__xludf.DUMMYFUNCTION("""COMPUTED_VALUE"""),"Y")</f>
        <v>Y</v>
      </c>
      <c r="V71" s="1" t="str">
        <f ca="1">IFERROR(__xludf.DUMMYFUNCTION("""COMPUTED_VALUE"""),"Y")</f>
        <v>Y</v>
      </c>
      <c r="W71" s="1"/>
      <c r="X71" s="1"/>
      <c r="Y71" s="1" t="str">
        <f ca="1">IFERROR(__xludf.DUMMYFUNCTION("""COMPUTED_VALUE"""),"Sofia Caputo")</f>
        <v>Sofia Caputo</v>
      </c>
      <c r="Z71" s="1" t="str">
        <f ca="1">IFERROR(__xludf.DUMMYFUNCTION("""COMPUTED_VALUE"""),"sofia.caputo.sc@icloud.com")</f>
        <v>sofia.caputo.sc@icloud.com</v>
      </c>
      <c r="AA71" s="1"/>
      <c r="AB71" s="1"/>
      <c r="AC71" s="1"/>
    </row>
    <row r="72" spans="1:29">
      <c r="A72" s="1" t="str">
        <f ca="1">IFERROR(__xludf.DUMMYFUNCTION("""COMPUTED_VALUE"""),"12 7th Street")</f>
        <v>12 7th Street</v>
      </c>
      <c r="B72" s="1">
        <f ca="1">IFERROR(__xludf.DUMMYFUNCTION("""COMPUTED_VALUE"""),12)</f>
        <v>12</v>
      </c>
      <c r="C72" s="1" t="str">
        <f ca="1">IFERROR(__xludf.DUMMYFUNCTION("""COMPUTED_VALUE"""),"N/A")</f>
        <v>N/A</v>
      </c>
      <c r="D72" s="1" t="str">
        <f ca="1">IFERROR(__xludf.DUMMYFUNCTION("""COMPUTED_VALUE"""),"12 7th Street")</f>
        <v>12 7th Street</v>
      </c>
      <c r="E72" s="1" t="str">
        <f ca="1">IFERROR(__xludf.DUMMYFUNCTION("""COMPUTED_VALUE"""),"Cambridge")</f>
        <v>Cambridge</v>
      </c>
      <c r="F72" s="1" t="str">
        <f ca="1">IFERROR(__xludf.DUMMYFUNCTION("""COMPUTED_VALUE"""),"Cambridge - East Cambridge")</f>
        <v>Cambridge - East Cambridge</v>
      </c>
      <c r="G72" s="1">
        <f ca="1">IFERROR(__xludf.DUMMYFUNCTION("""COMPUTED_VALUE"""),3)</f>
        <v>3</v>
      </c>
      <c r="H72" s="1" t="str">
        <f ca="1">IFERROR(__xludf.DUMMYFUNCTION("""COMPUTED_VALUE"""),"C")</f>
        <v>C</v>
      </c>
      <c r="I72" s="4" t="str">
        <f ca="1">IFERROR(__xludf.DUMMYFUNCTION("""COMPUTED_VALUE"""),"12 7th StreetN/AC")</f>
        <v>12 7th StreetN/AC</v>
      </c>
      <c r="J72" s="1"/>
      <c r="K72" s="4">
        <f ca="1">IFERROR(__xludf.DUMMYFUNCTION("""COMPUTED_VALUE"""),1395)</f>
        <v>1395</v>
      </c>
      <c r="L72" s="1" t="str">
        <f ca="1">IFERROR(__xludf.DUMMYFUNCTION("""COMPUTED_VALUE"""),"Daniel")</f>
        <v>Daniel</v>
      </c>
      <c r="M72" s="1" t="str">
        <f ca="1">IFERROR(__xludf.DUMMYFUNCTION("""COMPUTED_VALUE"""),"")</f>
        <v/>
      </c>
      <c r="N72" s="1" t="str">
        <f ca="1">IFERROR(__xludf.DUMMYFUNCTION("""COMPUTED_VALUE"""),"Furnished")</f>
        <v>Furnished</v>
      </c>
      <c r="O72" s="1" t="str">
        <f ca="1">IFERROR(__xludf.DUMMYFUNCTION("""COMPUTED_VALUE"""),"Upcoming Vacancy")</f>
        <v>Upcoming Vacancy</v>
      </c>
      <c r="P72" s="1" t="str">
        <f ca="1">IFERROR(__xludf.DUMMYFUNCTION("""COMPUTED_VALUE"""),"September")</f>
        <v>September</v>
      </c>
      <c r="Q72" s="1"/>
      <c r="R72" s="1"/>
      <c r="S72" s="1" t="str">
        <f ca="1">IFERROR(__xludf.DUMMYFUNCTION("""COMPUTED_VALUE"""),"NO CATS OR DOGS")</f>
        <v>NO CATS OR DOGS</v>
      </c>
      <c r="T72" s="1"/>
      <c r="U72" s="1" t="str">
        <f ca="1">IFERROR(__xludf.DUMMYFUNCTION("""COMPUTED_VALUE"""),"Y")</f>
        <v>Y</v>
      </c>
      <c r="V72" s="1" t="str">
        <f ca="1">IFERROR(__xludf.DUMMYFUNCTION("""COMPUTED_VALUE"""),"Y")</f>
        <v>Y</v>
      </c>
      <c r="W72" s="1"/>
      <c r="X72" s="1"/>
      <c r="Y72" s="1" t="str">
        <f ca="1">IFERROR(__xludf.DUMMYFUNCTION("""COMPUTED_VALUE"""),"Jake Nielsen; Michelle Agustine ")</f>
        <v xml:space="preserve">Jake Nielsen; Michelle Agustine </v>
      </c>
      <c r="Z72" s="1" t="str">
        <f ca="1">IFERROR(__xludf.DUMMYFUNCTION("""COMPUTED_VALUE"""),"jnielsen@su.suffolk.edu; magustine@su.suffolk.edu")</f>
        <v>jnielsen@su.suffolk.edu; magustine@su.suffolk.edu</v>
      </c>
      <c r="AA72" s="1"/>
      <c r="AB72" s="1"/>
      <c r="AC72" s="1" t="str">
        <f ca="1">IFERROR(__xludf.DUMMYFUNCTION("""COMPUTED_VALUE"""),"Couple")</f>
        <v>Couple</v>
      </c>
    </row>
    <row r="73" spans="1:29">
      <c r="A73" s="1" t="str">
        <f ca="1">IFERROR(__xludf.DUMMYFUNCTION("""COMPUTED_VALUE"""),"12 Estrella Street")</f>
        <v>12 Estrella Street</v>
      </c>
      <c r="B73" s="1">
        <f ca="1">IFERROR(__xludf.DUMMYFUNCTION("""COMPUTED_VALUE"""),12)</f>
        <v>12</v>
      </c>
      <c r="C73" s="1" t="str">
        <f ca="1">IFERROR(__xludf.DUMMYFUNCTION("""COMPUTED_VALUE"""),"#2")</f>
        <v>#2</v>
      </c>
      <c r="D73" s="1" t="str">
        <f ca="1">IFERROR(__xludf.DUMMYFUNCTION("""COMPUTED_VALUE"""),"12 Estrella Street Unit 2")</f>
        <v>12 Estrella Street Unit 2</v>
      </c>
      <c r="E73" s="1" t="str">
        <f ca="1">IFERROR(__xludf.DUMMYFUNCTION("""COMPUTED_VALUE"""),"Boston")</f>
        <v>Boston</v>
      </c>
      <c r="F73" s="1" t="str">
        <f ca="1">IFERROR(__xludf.DUMMYFUNCTION("""COMPUTED_VALUE"""),"Boston - Jamaica Plain")</f>
        <v>Boston - Jamaica Plain</v>
      </c>
      <c r="G73" s="1">
        <f ca="1">IFERROR(__xludf.DUMMYFUNCTION("""COMPUTED_VALUE"""),1)</f>
        <v>1</v>
      </c>
      <c r="H73" s="1" t="str">
        <f ca="1">IFERROR(__xludf.DUMMYFUNCTION("""COMPUTED_VALUE"""),"A")</f>
        <v>A</v>
      </c>
      <c r="I73" s="4" t="str">
        <f ca="1">IFERROR(__xludf.DUMMYFUNCTION("""COMPUTED_VALUE"""),"12 Estrella Street#2A")</f>
        <v>12 Estrella Street#2A</v>
      </c>
      <c r="J73" s="4" t="str">
        <f ca="1">IFERROR(__xludf.DUMMYFUNCTION("""COMPUTED_VALUE"""),"b274f7ba-0909-4d3a-974c-55f391130094")</f>
        <v>b274f7ba-0909-4d3a-974c-55f391130094</v>
      </c>
      <c r="K73" s="4">
        <f ca="1">IFERROR(__xludf.DUMMYFUNCTION("""COMPUTED_VALUE"""),895)</f>
        <v>895</v>
      </c>
      <c r="L73" s="1" t="str">
        <f ca="1">IFERROR(__xludf.DUMMYFUNCTION("""COMPUTED_VALUE"""),"Cam")</f>
        <v>Cam</v>
      </c>
      <c r="M73" s="1" t="str">
        <f ca="1">IFERROR(__xludf.DUMMYFUNCTION("""COMPUTED_VALUE"""),"")</f>
        <v/>
      </c>
      <c r="N73" s="1"/>
      <c r="O73" s="1" t="str">
        <f ca="1">IFERROR(__xludf.DUMMYFUNCTION("""COMPUTED_VALUE"""),"Occupied")</f>
        <v>Occupied</v>
      </c>
      <c r="P73" s="1"/>
      <c r="Q73" s="1"/>
      <c r="R73" s="1"/>
      <c r="S73" s="1" t="str">
        <f ca="1">IFERROR(__xludf.DUMMYFUNCTION("""COMPUTED_VALUE"""),"NO DOGS")</f>
        <v>NO DOGS</v>
      </c>
      <c r="T73" s="1"/>
      <c r="U73" s="1" t="str">
        <f ca="1">IFERROR(__xludf.DUMMYFUNCTION("""COMPUTED_VALUE"""),"N")</f>
        <v>N</v>
      </c>
      <c r="V73" s="1" t="str">
        <f ca="1">IFERROR(__xludf.DUMMYFUNCTION("""COMPUTED_VALUE"""),"N")</f>
        <v>N</v>
      </c>
      <c r="W73" s="1"/>
      <c r="X73" s="1"/>
      <c r="Y73" s="1" t="str">
        <f ca="1">IFERROR(__xludf.DUMMYFUNCTION("""COMPUTED_VALUE"""),"Alexandria Paul")</f>
        <v>Alexandria Paul</v>
      </c>
      <c r="Z73" s="1" t="str">
        <f ca="1">IFERROR(__xludf.DUMMYFUNCTION("""COMPUTED_VALUE"""),"alexandriap77@gmail.com")</f>
        <v>alexandriap77@gmail.com</v>
      </c>
      <c r="AA73" s="1"/>
      <c r="AB73" s="1"/>
      <c r="AC73" s="1"/>
    </row>
    <row r="74" spans="1:29">
      <c r="A74" s="1" t="str">
        <f ca="1">IFERROR(__xludf.DUMMYFUNCTION("""COMPUTED_VALUE"""),"12 Estrella Street")</f>
        <v>12 Estrella Street</v>
      </c>
      <c r="B74" s="1">
        <f ca="1">IFERROR(__xludf.DUMMYFUNCTION("""COMPUTED_VALUE"""),12)</f>
        <v>12</v>
      </c>
      <c r="C74" s="1" t="str">
        <f ca="1">IFERROR(__xludf.DUMMYFUNCTION("""COMPUTED_VALUE"""),"#2")</f>
        <v>#2</v>
      </c>
      <c r="D74" s="1" t="str">
        <f ca="1">IFERROR(__xludf.DUMMYFUNCTION("""COMPUTED_VALUE"""),"12 Estrella Street Unit 2")</f>
        <v>12 Estrella Street Unit 2</v>
      </c>
      <c r="E74" s="1" t="str">
        <f ca="1">IFERROR(__xludf.DUMMYFUNCTION("""COMPUTED_VALUE"""),"Boston")</f>
        <v>Boston</v>
      </c>
      <c r="F74" s="1" t="str">
        <f ca="1">IFERROR(__xludf.DUMMYFUNCTION("""COMPUTED_VALUE"""),"Boston - Jamaica Plain")</f>
        <v>Boston - Jamaica Plain</v>
      </c>
      <c r="G74" s="1">
        <f ca="1">IFERROR(__xludf.DUMMYFUNCTION("""COMPUTED_VALUE"""),2)</f>
        <v>2</v>
      </c>
      <c r="H74" s="1" t="str">
        <f ca="1">IFERROR(__xludf.DUMMYFUNCTION("""COMPUTED_VALUE"""),"B")</f>
        <v>B</v>
      </c>
      <c r="I74" s="4" t="str">
        <f ca="1">IFERROR(__xludf.DUMMYFUNCTION("""COMPUTED_VALUE"""),"12 Estrella Street#2B")</f>
        <v>12 Estrella Street#2B</v>
      </c>
      <c r="J74" s="4" t="str">
        <f ca="1">IFERROR(__xludf.DUMMYFUNCTION("""COMPUTED_VALUE"""),"b274f7ba-0909-4d3a-974c-55f391130094")</f>
        <v>b274f7ba-0909-4d3a-974c-55f391130094</v>
      </c>
      <c r="K74" s="4">
        <f ca="1">IFERROR(__xludf.DUMMYFUNCTION("""COMPUTED_VALUE"""),695)</f>
        <v>695</v>
      </c>
      <c r="L74" s="1" t="str">
        <f ca="1">IFERROR(__xludf.DUMMYFUNCTION("""COMPUTED_VALUE"""),"Cam")</f>
        <v>Cam</v>
      </c>
      <c r="M74" s="1" t="str">
        <f ca="1">IFERROR(__xludf.DUMMYFUNCTION("""COMPUTED_VALUE"""),"")</f>
        <v/>
      </c>
      <c r="N74" s="1"/>
      <c r="O74" s="1" t="str">
        <f ca="1">IFERROR(__xludf.DUMMYFUNCTION("""COMPUTED_VALUE"""),"Occupied")</f>
        <v>Occupied</v>
      </c>
      <c r="P74" s="1"/>
      <c r="Q74" s="1"/>
      <c r="R74" s="1"/>
      <c r="S74" s="1" t="str">
        <f ca="1">IFERROR(__xludf.DUMMYFUNCTION("""COMPUTED_VALUE"""),"NO DOGS")</f>
        <v>NO DOGS</v>
      </c>
      <c r="T74" s="1" t="str">
        <f ca="1">IFERROR(__xludf.DUMMYFUNCTION("""COMPUTED_VALUE"""),"NO CATS")</f>
        <v>NO CATS</v>
      </c>
      <c r="U74" s="1" t="str">
        <f ca="1">IFERROR(__xludf.DUMMYFUNCTION("""COMPUTED_VALUE"""),"N")</f>
        <v>N</v>
      </c>
      <c r="V74" s="1" t="str">
        <f ca="1">IFERROR(__xludf.DUMMYFUNCTION("""COMPUTED_VALUE"""),"N")</f>
        <v>N</v>
      </c>
      <c r="W74" s="1"/>
      <c r="X74" s="1"/>
      <c r="Y74" s="1" t="str">
        <f ca="1">IFERROR(__xludf.DUMMYFUNCTION("""COMPUTED_VALUE"""),"Grace Yang")</f>
        <v>Grace Yang</v>
      </c>
      <c r="Z74" s="1" t="str">
        <f ca="1">IFERROR(__xludf.DUMMYFUNCTION("""COMPUTED_VALUE"""),"gdy@bu.edu")</f>
        <v>gdy@bu.edu</v>
      </c>
      <c r="AA74" s="1"/>
      <c r="AB74" s="1"/>
      <c r="AC74" s="1"/>
    </row>
    <row r="75" spans="1:29">
      <c r="A75" s="1" t="str">
        <f ca="1">IFERROR(__xludf.DUMMYFUNCTION("""COMPUTED_VALUE"""),"12 Estrella Street")</f>
        <v>12 Estrella Street</v>
      </c>
      <c r="B75" s="1">
        <f ca="1">IFERROR(__xludf.DUMMYFUNCTION("""COMPUTED_VALUE"""),12)</f>
        <v>12</v>
      </c>
      <c r="C75" s="1" t="str">
        <f ca="1">IFERROR(__xludf.DUMMYFUNCTION("""COMPUTED_VALUE"""),"#2")</f>
        <v>#2</v>
      </c>
      <c r="D75" s="1" t="str">
        <f ca="1">IFERROR(__xludf.DUMMYFUNCTION("""COMPUTED_VALUE"""),"12 Estrella Street Unit 2")</f>
        <v>12 Estrella Street Unit 2</v>
      </c>
      <c r="E75" s="1" t="str">
        <f ca="1">IFERROR(__xludf.DUMMYFUNCTION("""COMPUTED_VALUE"""),"Boston")</f>
        <v>Boston</v>
      </c>
      <c r="F75" s="1" t="str">
        <f ca="1">IFERROR(__xludf.DUMMYFUNCTION("""COMPUTED_VALUE"""),"Boston - Jamaica Plain")</f>
        <v>Boston - Jamaica Plain</v>
      </c>
      <c r="G75" s="1">
        <f ca="1">IFERROR(__xludf.DUMMYFUNCTION("""COMPUTED_VALUE"""),3)</f>
        <v>3</v>
      </c>
      <c r="H75" s="1" t="str">
        <f ca="1">IFERROR(__xludf.DUMMYFUNCTION("""COMPUTED_VALUE"""),"C")</f>
        <v>C</v>
      </c>
      <c r="I75" s="4" t="str">
        <f ca="1">IFERROR(__xludf.DUMMYFUNCTION("""COMPUTED_VALUE"""),"12 Estrella Street#2C")</f>
        <v>12 Estrella Street#2C</v>
      </c>
      <c r="J75" s="4" t="str">
        <f ca="1">IFERROR(__xludf.DUMMYFUNCTION("""COMPUTED_VALUE"""),"b274f7ba-0909-4d3a-974c-55f391130094")</f>
        <v>b274f7ba-0909-4d3a-974c-55f391130094</v>
      </c>
      <c r="K75" s="4">
        <f ca="1">IFERROR(__xludf.DUMMYFUNCTION("""COMPUTED_VALUE"""),795)</f>
        <v>795</v>
      </c>
      <c r="L75" s="1" t="str">
        <f ca="1">IFERROR(__xludf.DUMMYFUNCTION("""COMPUTED_VALUE"""),"Cam")</f>
        <v>Cam</v>
      </c>
      <c r="M75" s="1" t="str">
        <f ca="1">IFERROR(__xludf.DUMMYFUNCTION("""COMPUTED_VALUE"""),"")</f>
        <v/>
      </c>
      <c r="N75" s="1"/>
      <c r="O75" s="1" t="str">
        <f ca="1">IFERROR(__xludf.DUMMYFUNCTION("""COMPUTED_VALUE"""),"Lease Signed")</f>
        <v>Lease Signed</v>
      </c>
      <c r="P75" s="1" t="str">
        <f ca="1">IFERROR(__xludf.DUMMYFUNCTION("""COMPUTED_VALUE"""),"February")</f>
        <v>February</v>
      </c>
      <c r="Q75" s="1"/>
      <c r="R75" s="5">
        <f ca="1">IFERROR(__xludf.DUMMYFUNCTION("""COMPUTED_VALUE"""),44233)</f>
        <v>44233</v>
      </c>
      <c r="S75" s="1" t="str">
        <f ca="1">IFERROR(__xludf.DUMMYFUNCTION("""COMPUTED_VALUE"""),"NO DOGS")</f>
        <v>NO DOGS</v>
      </c>
      <c r="T75" s="1"/>
      <c r="U75" s="1" t="str">
        <f ca="1">IFERROR(__xludf.DUMMYFUNCTION("""COMPUTED_VALUE"""),"N")</f>
        <v>N</v>
      </c>
      <c r="V75" s="1" t="str">
        <f ca="1">IFERROR(__xludf.DUMMYFUNCTION("""COMPUTED_VALUE"""),"N")</f>
        <v>N</v>
      </c>
      <c r="W75" s="1" t="str">
        <f ca="1">IFERROR(__xludf.DUMMYFUNCTION("""COMPUTED_VALUE"""),"Zoie White")</f>
        <v>Zoie White</v>
      </c>
      <c r="X75" s="1" t="str">
        <f ca="1">IFERROR(__xludf.DUMMYFUNCTION("""COMPUTED_VALUE"""),"Zoiewhite8@gmail.com")</f>
        <v>Zoiewhite8@gmail.com</v>
      </c>
      <c r="Y75" s="1"/>
      <c r="Z75" s="1"/>
      <c r="AA75" s="1"/>
      <c r="AB75" s="1"/>
      <c r="AC75" s="1"/>
    </row>
    <row r="76" spans="1:29">
      <c r="A76" s="1" t="str">
        <f ca="1">IFERROR(__xludf.DUMMYFUNCTION("""COMPUTED_VALUE"""),"12 Estrella Street")</f>
        <v>12 Estrella Street</v>
      </c>
      <c r="B76" s="1">
        <f ca="1">IFERROR(__xludf.DUMMYFUNCTION("""COMPUTED_VALUE"""),12)</f>
        <v>12</v>
      </c>
      <c r="C76" s="1" t="str">
        <f ca="1">IFERROR(__xludf.DUMMYFUNCTION("""COMPUTED_VALUE"""),"#2")</f>
        <v>#2</v>
      </c>
      <c r="D76" s="1" t="str">
        <f ca="1">IFERROR(__xludf.DUMMYFUNCTION("""COMPUTED_VALUE"""),"12 Estrella Street Unit 2")</f>
        <v>12 Estrella Street Unit 2</v>
      </c>
      <c r="E76" s="1" t="str">
        <f ca="1">IFERROR(__xludf.DUMMYFUNCTION("""COMPUTED_VALUE"""),"Boston")</f>
        <v>Boston</v>
      </c>
      <c r="F76" s="1" t="str">
        <f ca="1">IFERROR(__xludf.DUMMYFUNCTION("""COMPUTED_VALUE"""),"Boston - Jamaica Plain")</f>
        <v>Boston - Jamaica Plain</v>
      </c>
      <c r="G76" s="1">
        <f ca="1">IFERROR(__xludf.DUMMYFUNCTION("""COMPUTED_VALUE"""),4)</f>
        <v>4</v>
      </c>
      <c r="H76" s="1" t="str">
        <f ca="1">IFERROR(__xludf.DUMMYFUNCTION("""COMPUTED_VALUE"""),"D")</f>
        <v>D</v>
      </c>
      <c r="I76" s="4" t="str">
        <f ca="1">IFERROR(__xludf.DUMMYFUNCTION("""COMPUTED_VALUE"""),"12 Estrella Street#2D")</f>
        <v>12 Estrella Street#2D</v>
      </c>
      <c r="J76" s="4" t="str">
        <f ca="1">IFERROR(__xludf.DUMMYFUNCTION("""COMPUTED_VALUE"""),"b274f7ba-0909-4d3a-974c-55f391130094")</f>
        <v>b274f7ba-0909-4d3a-974c-55f391130094</v>
      </c>
      <c r="K76" s="4">
        <f ca="1">IFERROR(__xludf.DUMMYFUNCTION("""COMPUTED_VALUE"""),795)</f>
        <v>795</v>
      </c>
      <c r="L76" s="1" t="str">
        <f ca="1">IFERROR(__xludf.DUMMYFUNCTION("""COMPUTED_VALUE"""),"Cam")</f>
        <v>Cam</v>
      </c>
      <c r="M76" s="1" t="str">
        <f ca="1">IFERROR(__xludf.DUMMYFUNCTION("""COMPUTED_VALUE"""),"")</f>
        <v/>
      </c>
      <c r="N76" s="1"/>
      <c r="O76" s="1" t="str">
        <f ca="1">IFERROR(__xludf.DUMMYFUNCTION("""COMPUTED_VALUE"""),"Occupied")</f>
        <v>Occupied</v>
      </c>
      <c r="P76" s="1"/>
      <c r="Q76" s="1"/>
      <c r="R76" s="1"/>
      <c r="S76" s="1" t="str">
        <f ca="1">IFERROR(__xludf.DUMMYFUNCTION("""COMPUTED_VALUE"""),"NO DOGS")</f>
        <v>NO DOGS</v>
      </c>
      <c r="T76" s="1"/>
      <c r="U76" s="1" t="str">
        <f ca="1">IFERROR(__xludf.DUMMYFUNCTION("""COMPUTED_VALUE"""),"N")</f>
        <v>N</v>
      </c>
      <c r="V76" s="1" t="str">
        <f ca="1">IFERROR(__xludf.DUMMYFUNCTION("""COMPUTED_VALUE"""),"N")</f>
        <v>N</v>
      </c>
      <c r="W76" s="1"/>
      <c r="X76" s="1"/>
      <c r="Y76" s="1" t="str">
        <f ca="1">IFERROR(__xludf.DUMMYFUNCTION("""COMPUTED_VALUE"""),"Sadiya Ervin")</f>
        <v>Sadiya Ervin</v>
      </c>
      <c r="Z76" s="1" t="str">
        <f ca="1">IFERROR(__xludf.DUMMYFUNCTION("""COMPUTED_VALUE"""),"Sadiyaervin@gmail.com")</f>
        <v>Sadiyaervin@gmail.com</v>
      </c>
      <c r="AA76" s="1"/>
      <c r="AB76" s="1"/>
      <c r="AC76" s="1"/>
    </row>
    <row r="77" spans="1:29">
      <c r="A77" s="1" t="str">
        <f ca="1">IFERROR(__xludf.DUMMYFUNCTION("""COMPUTED_VALUE"""),"12 Stoneholm Street")</f>
        <v>12 Stoneholm Street</v>
      </c>
      <c r="B77" s="1">
        <f ca="1">IFERROR(__xludf.DUMMYFUNCTION("""COMPUTED_VALUE"""),12)</f>
        <v>12</v>
      </c>
      <c r="C77" s="1" t="str">
        <f ca="1">IFERROR(__xludf.DUMMYFUNCTION("""COMPUTED_VALUE"""),"#610")</f>
        <v>#610</v>
      </c>
      <c r="D77" s="1" t="str">
        <f ca="1">IFERROR(__xludf.DUMMYFUNCTION("""COMPUTED_VALUE"""),"12 Stoneholm Street Unit 610")</f>
        <v>12 Stoneholm Street Unit 610</v>
      </c>
      <c r="E77" s="1" t="str">
        <f ca="1">IFERROR(__xludf.DUMMYFUNCTION("""COMPUTED_VALUE"""),"Boston")</f>
        <v>Boston</v>
      </c>
      <c r="F77" s="1" t="str">
        <f ca="1">IFERROR(__xludf.DUMMYFUNCTION("""COMPUTED_VALUE"""),"Boston - Back Bay")</f>
        <v>Boston - Back Bay</v>
      </c>
      <c r="G77" s="1">
        <f ca="1">IFERROR(__xludf.DUMMYFUNCTION("""COMPUTED_VALUE"""),1)</f>
        <v>1</v>
      </c>
      <c r="H77" s="1" t="str">
        <f ca="1">IFERROR(__xludf.DUMMYFUNCTION("""COMPUTED_VALUE"""),"A")</f>
        <v>A</v>
      </c>
      <c r="I77" s="4" t="str">
        <f ca="1">IFERROR(__xludf.DUMMYFUNCTION("""COMPUTED_VALUE"""),"12 Stoneholm Street#610A")</f>
        <v>12 Stoneholm Street#610A</v>
      </c>
      <c r="J77" s="4" t="str">
        <f ca="1">IFERROR(__xludf.DUMMYFUNCTION("""COMPUTED_VALUE"""),"84c2287f-6bcd-4f74-bf75-53818d2fa3c5")</f>
        <v>84c2287f-6bcd-4f74-bf75-53818d2fa3c5</v>
      </c>
      <c r="K77" s="4">
        <f ca="1">IFERROR(__xludf.DUMMYFUNCTION("""COMPUTED_VALUE"""),1275)</f>
        <v>1275</v>
      </c>
      <c r="L77" s="1" t="str">
        <f ca="1">IFERROR(__xludf.DUMMYFUNCTION("""COMPUTED_VALUE"""),"Daniel")</f>
        <v>Daniel</v>
      </c>
      <c r="M77" s="1" t="str">
        <f ca="1">IFERROR(__xludf.DUMMYFUNCTION("""COMPUTED_VALUE"""),"")</f>
        <v/>
      </c>
      <c r="N77" s="1"/>
      <c r="O77" s="1" t="str">
        <f ca="1">IFERROR(__xludf.DUMMYFUNCTION("""COMPUTED_VALUE"""),"Occupied")</f>
        <v>Occupied</v>
      </c>
      <c r="P77" s="1"/>
      <c r="Q77" s="1"/>
      <c r="R77" s="1"/>
      <c r="S77" s="1" t="str">
        <f ca="1">IFERROR(__xludf.DUMMYFUNCTION("""COMPUTED_VALUE"""),"NO CATS OR DOGS")</f>
        <v>NO CATS OR DOGS</v>
      </c>
      <c r="T77" s="1"/>
      <c r="U77" s="1" t="str">
        <f ca="1">IFERROR(__xludf.DUMMYFUNCTION("""COMPUTED_VALUE"""),"Y")</f>
        <v>Y</v>
      </c>
      <c r="V77" s="1" t="str">
        <f ca="1">IFERROR(__xludf.DUMMYFUNCTION("""COMPUTED_VALUE"""),"Y")</f>
        <v>Y</v>
      </c>
      <c r="W77" s="1"/>
      <c r="X77" s="1"/>
      <c r="Y77" s="1" t="str">
        <f ca="1">IFERROR(__xludf.DUMMYFUNCTION("""COMPUTED_VALUE"""),"Shabnam Safarzadeh")</f>
        <v>Shabnam Safarzadeh</v>
      </c>
      <c r="Z77" s="1" t="str">
        <f ca="1">IFERROR(__xludf.DUMMYFUNCTION("""COMPUTED_VALUE"""),"inquire@eclinicalcert.org")</f>
        <v>inquire@eclinicalcert.org</v>
      </c>
      <c r="AA77" s="1"/>
      <c r="AB77" s="1"/>
      <c r="AC77" s="1"/>
    </row>
    <row r="78" spans="1:29">
      <c r="A78" s="1" t="str">
        <f ca="1">IFERROR(__xludf.DUMMYFUNCTION("""COMPUTED_VALUE"""),"12 Stoneholm Street")</f>
        <v>12 Stoneholm Street</v>
      </c>
      <c r="B78" s="1">
        <f ca="1">IFERROR(__xludf.DUMMYFUNCTION("""COMPUTED_VALUE"""),12)</f>
        <v>12</v>
      </c>
      <c r="C78" s="1" t="str">
        <f ca="1">IFERROR(__xludf.DUMMYFUNCTION("""COMPUTED_VALUE"""),"#610")</f>
        <v>#610</v>
      </c>
      <c r="D78" s="1" t="str">
        <f ca="1">IFERROR(__xludf.DUMMYFUNCTION("""COMPUTED_VALUE"""),"12 Stoneholm Street Unit 610")</f>
        <v>12 Stoneholm Street Unit 610</v>
      </c>
      <c r="E78" s="1" t="str">
        <f ca="1">IFERROR(__xludf.DUMMYFUNCTION("""COMPUTED_VALUE"""),"Boston")</f>
        <v>Boston</v>
      </c>
      <c r="F78" s="1" t="str">
        <f ca="1">IFERROR(__xludf.DUMMYFUNCTION("""COMPUTED_VALUE"""),"Boston - Back Bay")</f>
        <v>Boston - Back Bay</v>
      </c>
      <c r="G78" s="1">
        <f ca="1">IFERROR(__xludf.DUMMYFUNCTION("""COMPUTED_VALUE"""),2)</f>
        <v>2</v>
      </c>
      <c r="H78" s="1" t="str">
        <f ca="1">IFERROR(__xludf.DUMMYFUNCTION("""COMPUTED_VALUE"""),"B")</f>
        <v>B</v>
      </c>
      <c r="I78" s="4" t="str">
        <f ca="1">IFERROR(__xludf.DUMMYFUNCTION("""COMPUTED_VALUE"""),"12 Stoneholm Street#610B")</f>
        <v>12 Stoneholm Street#610B</v>
      </c>
      <c r="J78" s="4" t="str">
        <f ca="1">IFERROR(__xludf.DUMMYFUNCTION("""COMPUTED_VALUE"""),"84c2287f-6bcd-4f74-bf75-53818d2fa3c5")</f>
        <v>84c2287f-6bcd-4f74-bf75-53818d2fa3c5</v>
      </c>
      <c r="K78" s="4">
        <f ca="1">IFERROR(__xludf.DUMMYFUNCTION("""COMPUTED_VALUE"""),1275)</f>
        <v>1275</v>
      </c>
      <c r="L78" s="1" t="str">
        <f ca="1">IFERROR(__xludf.DUMMYFUNCTION("""COMPUTED_VALUE"""),"Daniel")</f>
        <v>Daniel</v>
      </c>
      <c r="M78" s="1" t="str">
        <f ca="1">IFERROR(__xludf.DUMMYFUNCTION("""COMPUTED_VALUE"""),"")</f>
        <v/>
      </c>
      <c r="N78" s="1"/>
      <c r="O78" s="1" t="str">
        <f ca="1">IFERROR(__xludf.DUMMYFUNCTION("""COMPUTED_VALUE"""),"Occupied")</f>
        <v>Occupied</v>
      </c>
      <c r="P78" s="1"/>
      <c r="Q78" s="1"/>
      <c r="R78" s="1"/>
      <c r="S78" s="1" t="str">
        <f ca="1">IFERROR(__xludf.DUMMYFUNCTION("""COMPUTED_VALUE"""),"NO CATS OR DOGS")</f>
        <v>NO CATS OR DOGS</v>
      </c>
      <c r="T78" s="1"/>
      <c r="U78" s="1" t="str">
        <f ca="1">IFERROR(__xludf.DUMMYFUNCTION("""COMPUTED_VALUE"""),"Y")</f>
        <v>Y</v>
      </c>
      <c r="V78" s="1" t="str">
        <f ca="1">IFERROR(__xludf.DUMMYFUNCTION("""COMPUTED_VALUE"""),"Y")</f>
        <v>Y</v>
      </c>
      <c r="W78" s="1"/>
      <c r="X78" s="1"/>
      <c r="Y78" s="1" t="str">
        <f ca="1">IFERROR(__xludf.DUMMYFUNCTION("""COMPUTED_VALUE"""),"Shaghayegh Safarzadeh")</f>
        <v>Shaghayegh Safarzadeh</v>
      </c>
      <c r="Z78" s="1" t="str">
        <f ca="1">IFERROR(__xludf.DUMMYFUNCTION("""COMPUTED_VALUE"""),"livelivelymealplans@gmail.com")</f>
        <v>livelivelymealplans@gmail.com</v>
      </c>
      <c r="AA78" s="1"/>
      <c r="AB78" s="1"/>
      <c r="AC78" s="1"/>
    </row>
    <row r="79" spans="1:29">
      <c r="A79" s="1" t="str">
        <f ca="1">IFERROR(__xludf.DUMMYFUNCTION("""COMPUTED_VALUE"""),"12 Stoneholm Street")</f>
        <v>12 Stoneholm Street</v>
      </c>
      <c r="B79" s="1">
        <f ca="1">IFERROR(__xludf.DUMMYFUNCTION("""COMPUTED_VALUE"""),12)</f>
        <v>12</v>
      </c>
      <c r="C79" s="1" t="str">
        <f ca="1">IFERROR(__xludf.DUMMYFUNCTION("""COMPUTED_VALUE"""),"#610")</f>
        <v>#610</v>
      </c>
      <c r="D79" s="1" t="str">
        <f ca="1">IFERROR(__xludf.DUMMYFUNCTION("""COMPUTED_VALUE"""),"12 Stoneholm Street Unit 610")</f>
        <v>12 Stoneholm Street Unit 610</v>
      </c>
      <c r="E79" s="1" t="str">
        <f ca="1">IFERROR(__xludf.DUMMYFUNCTION("""COMPUTED_VALUE"""),"Boston")</f>
        <v>Boston</v>
      </c>
      <c r="F79" s="1" t="str">
        <f ca="1">IFERROR(__xludf.DUMMYFUNCTION("""COMPUTED_VALUE"""),"Boston - Back Bay")</f>
        <v>Boston - Back Bay</v>
      </c>
      <c r="G79" s="1">
        <f ca="1">IFERROR(__xludf.DUMMYFUNCTION("""COMPUTED_VALUE"""),3)</f>
        <v>3</v>
      </c>
      <c r="H79" s="1" t="str">
        <f ca="1">IFERROR(__xludf.DUMMYFUNCTION("""COMPUTED_VALUE"""),"C")</f>
        <v>C</v>
      </c>
      <c r="I79" s="4" t="str">
        <f ca="1">IFERROR(__xludf.DUMMYFUNCTION("""COMPUTED_VALUE"""),"12 Stoneholm Street#610C")</f>
        <v>12 Stoneholm Street#610C</v>
      </c>
      <c r="J79" s="4" t="str">
        <f ca="1">IFERROR(__xludf.DUMMYFUNCTION("""COMPUTED_VALUE"""),"84c2287f-6bcd-4f74-bf75-53818d2fa3c5")</f>
        <v>84c2287f-6bcd-4f74-bf75-53818d2fa3c5</v>
      </c>
      <c r="K79" s="4">
        <f ca="1">IFERROR(__xludf.DUMMYFUNCTION("""COMPUTED_VALUE"""),1275)</f>
        <v>1275</v>
      </c>
      <c r="L79" s="1" t="str">
        <f ca="1">IFERROR(__xludf.DUMMYFUNCTION("""COMPUTED_VALUE"""),"Daniel")</f>
        <v>Daniel</v>
      </c>
      <c r="M79" s="1" t="str">
        <f ca="1">IFERROR(__xludf.DUMMYFUNCTION("""COMPUTED_VALUE"""),"Daniel (NOW)")</f>
        <v>Daniel (NOW)</v>
      </c>
      <c r="N79" s="1"/>
      <c r="O79" s="1" t="str">
        <f ca="1">IFERROR(__xludf.DUMMYFUNCTION("""COMPUTED_VALUE"""),"Upcoming Vacancy")</f>
        <v>Upcoming Vacancy</v>
      </c>
      <c r="P79" s="1" t="str">
        <f ca="1">IFERROR(__xludf.DUMMYFUNCTION("""COMPUTED_VALUE"""),"March")</f>
        <v>March</v>
      </c>
      <c r="Q79" s="3">
        <f ca="1">IFERROR(__xludf.DUMMYFUNCTION("""COMPUTED_VALUE"""),44255)</f>
        <v>44255</v>
      </c>
      <c r="R79" s="1"/>
      <c r="S79" s="1" t="str">
        <f ca="1">IFERROR(__xludf.DUMMYFUNCTION("""COMPUTED_VALUE"""),"NO CATS OR DOGS")</f>
        <v>NO CATS OR DOGS</v>
      </c>
      <c r="T79" s="1"/>
      <c r="U79" s="1" t="str">
        <f ca="1">IFERROR(__xludf.DUMMYFUNCTION("""COMPUTED_VALUE"""),"Y")</f>
        <v>Y</v>
      </c>
      <c r="V79" s="1" t="str">
        <f ca="1">IFERROR(__xludf.DUMMYFUNCTION("""COMPUTED_VALUE"""),"Y")</f>
        <v>Y</v>
      </c>
      <c r="W79" s="1"/>
      <c r="X79" s="1"/>
      <c r="Y79" s="1" t="str">
        <f ca="1">IFERROR(__xludf.DUMMYFUNCTION("""COMPUTED_VALUE"""),"Sasikumar Kannan")</f>
        <v>Sasikumar Kannan</v>
      </c>
      <c r="Z79" s="1" t="str">
        <f ca="1">IFERROR(__xludf.DUMMYFUNCTION("""COMPUTED_VALUE"""),"ksasikumar90@gmail.com")</f>
        <v>ksasikumar90@gmail.com</v>
      </c>
      <c r="AA79" s="1"/>
      <c r="AB79" s="1"/>
      <c r="AC79" s="1"/>
    </row>
    <row r="80" spans="1:29">
      <c r="A80" s="1" t="str">
        <f ca="1">IFERROR(__xludf.DUMMYFUNCTION("""COMPUTED_VALUE"""),"12 Verndale Street")</f>
        <v>12 Verndale Street</v>
      </c>
      <c r="B80" s="1">
        <f ca="1">IFERROR(__xludf.DUMMYFUNCTION("""COMPUTED_VALUE"""),12)</f>
        <v>12</v>
      </c>
      <c r="C80" s="1" t="str">
        <f ca="1">IFERROR(__xludf.DUMMYFUNCTION("""COMPUTED_VALUE"""),"#1")</f>
        <v>#1</v>
      </c>
      <c r="D80" s="1" t="str">
        <f ca="1">IFERROR(__xludf.DUMMYFUNCTION("""COMPUTED_VALUE"""),"12 Verndale Street Unit 1")</f>
        <v>12 Verndale Street Unit 1</v>
      </c>
      <c r="E80" s="1" t="str">
        <f ca="1">IFERROR(__xludf.DUMMYFUNCTION("""COMPUTED_VALUE"""),"Brookline")</f>
        <v>Brookline</v>
      </c>
      <c r="F80" s="1" t="str">
        <f ca="1">IFERROR(__xludf.DUMMYFUNCTION("""COMPUTED_VALUE"""),"Brookline - Packards Corner")</f>
        <v>Brookline - Packards Corner</v>
      </c>
      <c r="G80" s="1">
        <f ca="1">IFERROR(__xludf.DUMMYFUNCTION("""COMPUTED_VALUE"""),1)</f>
        <v>1</v>
      </c>
      <c r="H80" s="1" t="str">
        <f ca="1">IFERROR(__xludf.DUMMYFUNCTION("""COMPUTED_VALUE"""),"A")</f>
        <v>A</v>
      </c>
      <c r="I80" s="4" t="str">
        <f ca="1">IFERROR(__xludf.DUMMYFUNCTION("""COMPUTED_VALUE"""),"12 Verndale Street#1A")</f>
        <v>12 Verndale Street#1A</v>
      </c>
      <c r="J80" s="4" t="str">
        <f ca="1">IFERROR(__xludf.DUMMYFUNCTION("""COMPUTED_VALUE"""),"93ba6fde-b825-498c-ac2b-df2c061885e1")</f>
        <v>93ba6fde-b825-498c-ac2b-df2c061885e1</v>
      </c>
      <c r="K80" s="4">
        <f ca="1">IFERROR(__xludf.DUMMYFUNCTION("""COMPUTED_VALUE"""),795)</f>
        <v>795</v>
      </c>
      <c r="L80" s="1" t="str">
        <f ca="1">IFERROR(__xludf.DUMMYFUNCTION("""COMPUTED_VALUE"""),"Peter")</f>
        <v>Peter</v>
      </c>
      <c r="M80" s="1" t="str">
        <f ca="1">IFERROR(__xludf.DUMMYFUNCTION("""COMPUTED_VALUE"""),"Peter (NOW)")</f>
        <v>Peter (NOW)</v>
      </c>
      <c r="N80" s="1" t="str">
        <f ca="1">IFERROR(__xludf.DUMMYFUNCTION("""COMPUTED_VALUE"""),"Furnished")</f>
        <v>Furnished</v>
      </c>
      <c r="O80" s="1" t="str">
        <f ca="1">IFERROR(__xludf.DUMMYFUNCTION("""COMPUTED_VALUE"""),"Upcoming Vacancy")</f>
        <v>Upcoming Vacancy</v>
      </c>
      <c r="P80" s="1" t="str">
        <f ca="1">IFERROR(__xludf.DUMMYFUNCTION("""COMPUTED_VALUE"""),"March")</f>
        <v>March</v>
      </c>
      <c r="Q80" s="3">
        <f ca="1">IFERROR(__xludf.DUMMYFUNCTION("""COMPUTED_VALUE"""),43889)</f>
        <v>43889</v>
      </c>
      <c r="R80" s="1"/>
      <c r="S80" s="1" t="str">
        <f ca="1">IFERROR(__xludf.DUMMYFUNCTION("""COMPUTED_VALUE"""),"NO CATS OR DOGS")</f>
        <v>NO CATS OR DOGS</v>
      </c>
      <c r="T80" s="1"/>
      <c r="U80" s="1" t="str">
        <f ca="1">IFERROR(__xludf.DUMMYFUNCTION("""COMPUTED_VALUE"""),"Y")</f>
        <v>Y</v>
      </c>
      <c r="V80" s="1" t="str">
        <f ca="1">IFERROR(__xludf.DUMMYFUNCTION("""COMPUTED_VALUE"""),"N")</f>
        <v>N</v>
      </c>
      <c r="W80" s="1"/>
      <c r="X80" s="1"/>
      <c r="Y80" s="1" t="str">
        <f ca="1">IFERROR(__xludf.DUMMYFUNCTION("""COMPUTED_VALUE"""),"Elena Desmond")</f>
        <v>Elena Desmond</v>
      </c>
      <c r="Z80" s="1" t="str">
        <f ca="1">IFERROR(__xludf.DUMMYFUNCTION("""COMPUTED_VALUE"""),"elena.k.desmond@gmail.com")</f>
        <v>elena.k.desmond@gmail.com</v>
      </c>
      <c r="AA80" s="1"/>
      <c r="AB80" s="1"/>
      <c r="AC80" s="1"/>
    </row>
    <row r="81" spans="1:29">
      <c r="A81" s="1" t="str">
        <f ca="1">IFERROR(__xludf.DUMMYFUNCTION("""COMPUTED_VALUE"""),"12 Verndale Street")</f>
        <v>12 Verndale Street</v>
      </c>
      <c r="B81" s="1">
        <f ca="1">IFERROR(__xludf.DUMMYFUNCTION("""COMPUTED_VALUE"""),12)</f>
        <v>12</v>
      </c>
      <c r="C81" s="1" t="str">
        <f ca="1">IFERROR(__xludf.DUMMYFUNCTION("""COMPUTED_VALUE"""),"#1")</f>
        <v>#1</v>
      </c>
      <c r="D81" s="1" t="str">
        <f ca="1">IFERROR(__xludf.DUMMYFUNCTION("""COMPUTED_VALUE"""),"12 Verndale Street Unit 1")</f>
        <v>12 Verndale Street Unit 1</v>
      </c>
      <c r="E81" s="1" t="str">
        <f ca="1">IFERROR(__xludf.DUMMYFUNCTION("""COMPUTED_VALUE"""),"Brookline")</f>
        <v>Brookline</v>
      </c>
      <c r="F81" s="1" t="str">
        <f ca="1">IFERROR(__xludf.DUMMYFUNCTION("""COMPUTED_VALUE"""),"Brookline - Packards Corner")</f>
        <v>Brookline - Packards Corner</v>
      </c>
      <c r="G81" s="1">
        <f ca="1">IFERROR(__xludf.DUMMYFUNCTION("""COMPUTED_VALUE"""),2)</f>
        <v>2</v>
      </c>
      <c r="H81" s="1" t="str">
        <f ca="1">IFERROR(__xludf.DUMMYFUNCTION("""COMPUTED_VALUE"""),"B")</f>
        <v>B</v>
      </c>
      <c r="I81" s="4" t="str">
        <f ca="1">IFERROR(__xludf.DUMMYFUNCTION("""COMPUTED_VALUE"""),"12 Verndale Street#1B")</f>
        <v>12 Verndale Street#1B</v>
      </c>
      <c r="J81" s="4" t="str">
        <f ca="1">IFERROR(__xludf.DUMMYFUNCTION("""COMPUTED_VALUE"""),"93ba6fde-b825-498c-ac2b-df2c061885e1")</f>
        <v>93ba6fde-b825-498c-ac2b-df2c061885e1</v>
      </c>
      <c r="K81" s="4">
        <f ca="1">IFERROR(__xludf.DUMMYFUNCTION("""COMPUTED_VALUE"""),995)</f>
        <v>995</v>
      </c>
      <c r="L81" s="1" t="str">
        <f ca="1">IFERROR(__xludf.DUMMYFUNCTION("""COMPUTED_VALUE"""),"Peter")</f>
        <v>Peter</v>
      </c>
      <c r="M81" s="1" t="str">
        <f ca="1">IFERROR(__xludf.DUMMYFUNCTION("""COMPUTED_VALUE"""),"")</f>
        <v/>
      </c>
      <c r="N81" s="1" t="str">
        <f ca="1">IFERROR(__xludf.DUMMYFUNCTION("""COMPUTED_VALUE"""),"Furnished")</f>
        <v>Furnished</v>
      </c>
      <c r="O81" s="1" t="str">
        <f ca="1">IFERROR(__xludf.DUMMYFUNCTION("""COMPUTED_VALUE"""),"Occupied")</f>
        <v>Occupied</v>
      </c>
      <c r="P81" s="1"/>
      <c r="Q81" s="1"/>
      <c r="R81" s="1"/>
      <c r="S81" s="1" t="str">
        <f ca="1">IFERROR(__xludf.DUMMYFUNCTION("""COMPUTED_VALUE"""),"NO CATS OR DOGS")</f>
        <v>NO CATS OR DOGS</v>
      </c>
      <c r="T81" s="1"/>
      <c r="U81" s="1" t="str">
        <f ca="1">IFERROR(__xludf.DUMMYFUNCTION("""COMPUTED_VALUE"""),"Y")</f>
        <v>Y</v>
      </c>
      <c r="V81" s="1" t="str">
        <f ca="1">IFERROR(__xludf.DUMMYFUNCTION("""COMPUTED_VALUE"""),"N")</f>
        <v>N</v>
      </c>
      <c r="W81" s="1"/>
      <c r="X81" s="1"/>
      <c r="Y81" s="1" t="str">
        <f ca="1">IFERROR(__xludf.DUMMYFUNCTION("""COMPUTED_VALUE"""),"Amanda Reyes")</f>
        <v>Amanda Reyes</v>
      </c>
      <c r="Z81" s="1" t="str">
        <f ca="1">IFERROR(__xludf.DUMMYFUNCTION("""COMPUTED_VALUE"""),"amandahreyes@gmail.com")</f>
        <v>amandahreyes@gmail.com</v>
      </c>
      <c r="AA81" s="1"/>
      <c r="AB81" s="1"/>
      <c r="AC81" s="1"/>
    </row>
    <row r="82" spans="1:29">
      <c r="A82" s="1" t="str">
        <f ca="1">IFERROR(__xludf.DUMMYFUNCTION("""COMPUTED_VALUE"""),"12 Verndale Street")</f>
        <v>12 Verndale Street</v>
      </c>
      <c r="B82" s="1">
        <f ca="1">IFERROR(__xludf.DUMMYFUNCTION("""COMPUTED_VALUE"""),12)</f>
        <v>12</v>
      </c>
      <c r="C82" s="1" t="str">
        <f ca="1">IFERROR(__xludf.DUMMYFUNCTION("""COMPUTED_VALUE"""),"#1")</f>
        <v>#1</v>
      </c>
      <c r="D82" s="1" t="str">
        <f ca="1">IFERROR(__xludf.DUMMYFUNCTION("""COMPUTED_VALUE"""),"12 Verndale Street Unit 1")</f>
        <v>12 Verndale Street Unit 1</v>
      </c>
      <c r="E82" s="1" t="str">
        <f ca="1">IFERROR(__xludf.DUMMYFUNCTION("""COMPUTED_VALUE"""),"Brookline")</f>
        <v>Brookline</v>
      </c>
      <c r="F82" s="1" t="str">
        <f ca="1">IFERROR(__xludf.DUMMYFUNCTION("""COMPUTED_VALUE"""),"Brookline - Packards Corner")</f>
        <v>Brookline - Packards Corner</v>
      </c>
      <c r="G82" s="1">
        <f ca="1">IFERROR(__xludf.DUMMYFUNCTION("""COMPUTED_VALUE"""),3)</f>
        <v>3</v>
      </c>
      <c r="H82" s="1" t="str">
        <f ca="1">IFERROR(__xludf.DUMMYFUNCTION("""COMPUTED_VALUE"""),"C")</f>
        <v>C</v>
      </c>
      <c r="I82" s="4" t="str">
        <f ca="1">IFERROR(__xludf.DUMMYFUNCTION("""COMPUTED_VALUE"""),"12 Verndale Street#1C")</f>
        <v>12 Verndale Street#1C</v>
      </c>
      <c r="J82" s="4" t="str">
        <f ca="1">IFERROR(__xludf.DUMMYFUNCTION("""COMPUTED_VALUE"""),"93ba6fde-b825-498c-ac2b-df2c061885e1")</f>
        <v>93ba6fde-b825-498c-ac2b-df2c061885e1</v>
      </c>
      <c r="K82" s="4">
        <f ca="1">IFERROR(__xludf.DUMMYFUNCTION("""COMPUTED_VALUE"""),995)</f>
        <v>995</v>
      </c>
      <c r="L82" s="1" t="str">
        <f ca="1">IFERROR(__xludf.DUMMYFUNCTION("""COMPUTED_VALUE"""),"Peter")</f>
        <v>Peter</v>
      </c>
      <c r="M82" s="1" t="str">
        <f ca="1">IFERROR(__xludf.DUMMYFUNCTION("""COMPUTED_VALUE"""),"")</f>
        <v/>
      </c>
      <c r="N82" s="1" t="str">
        <f ca="1">IFERROR(__xludf.DUMMYFUNCTION("""COMPUTED_VALUE"""),"Furnished")</f>
        <v>Furnished</v>
      </c>
      <c r="O82" s="1" t="str">
        <f ca="1">IFERROR(__xludf.DUMMYFUNCTION("""COMPUTED_VALUE"""),"Occupied")</f>
        <v>Occupied</v>
      </c>
      <c r="P82" s="1"/>
      <c r="Q82" s="1"/>
      <c r="R82" s="1"/>
      <c r="S82" s="1" t="str">
        <f ca="1">IFERROR(__xludf.DUMMYFUNCTION("""COMPUTED_VALUE"""),"NO CATS OR DOGS")</f>
        <v>NO CATS OR DOGS</v>
      </c>
      <c r="T82" s="1"/>
      <c r="U82" s="1" t="str">
        <f ca="1">IFERROR(__xludf.DUMMYFUNCTION("""COMPUTED_VALUE"""),"Y")</f>
        <v>Y</v>
      </c>
      <c r="V82" s="1" t="str">
        <f ca="1">IFERROR(__xludf.DUMMYFUNCTION("""COMPUTED_VALUE"""),"N")</f>
        <v>N</v>
      </c>
      <c r="W82" s="1"/>
      <c r="X82" s="1"/>
      <c r="Y82" s="1" t="str">
        <f ca="1">IFERROR(__xludf.DUMMYFUNCTION("""COMPUTED_VALUE"""),"Dean Feldman")</f>
        <v>Dean Feldman</v>
      </c>
      <c r="Z82" s="1" t="str">
        <f ca="1">IFERROR(__xludf.DUMMYFUNCTION("""COMPUTED_VALUE"""),"deanb99@comcast.net")</f>
        <v>deanb99@comcast.net</v>
      </c>
      <c r="AA82" s="1"/>
      <c r="AB82" s="1"/>
      <c r="AC82" s="1"/>
    </row>
    <row r="83" spans="1:29">
      <c r="A83" s="1" t="str">
        <f ca="1">IFERROR(__xludf.DUMMYFUNCTION("""COMPUTED_VALUE"""),"12 Verndale Street")</f>
        <v>12 Verndale Street</v>
      </c>
      <c r="B83" s="1">
        <f ca="1">IFERROR(__xludf.DUMMYFUNCTION("""COMPUTED_VALUE"""),12)</f>
        <v>12</v>
      </c>
      <c r="C83" s="1" t="str">
        <f ca="1">IFERROR(__xludf.DUMMYFUNCTION("""COMPUTED_VALUE"""),"#1")</f>
        <v>#1</v>
      </c>
      <c r="D83" s="1" t="str">
        <f ca="1">IFERROR(__xludf.DUMMYFUNCTION("""COMPUTED_VALUE"""),"12 Verndale Street Unit 1")</f>
        <v>12 Verndale Street Unit 1</v>
      </c>
      <c r="E83" s="1" t="str">
        <f ca="1">IFERROR(__xludf.DUMMYFUNCTION("""COMPUTED_VALUE"""),"Brookline")</f>
        <v>Brookline</v>
      </c>
      <c r="F83" s="1" t="str">
        <f ca="1">IFERROR(__xludf.DUMMYFUNCTION("""COMPUTED_VALUE"""),"Brookline - Packards Corner")</f>
        <v>Brookline - Packards Corner</v>
      </c>
      <c r="G83" s="1">
        <f ca="1">IFERROR(__xludf.DUMMYFUNCTION("""COMPUTED_VALUE"""),4)</f>
        <v>4</v>
      </c>
      <c r="H83" s="1" t="str">
        <f ca="1">IFERROR(__xludf.DUMMYFUNCTION("""COMPUTED_VALUE"""),"D")</f>
        <v>D</v>
      </c>
      <c r="I83" s="4" t="str">
        <f ca="1">IFERROR(__xludf.DUMMYFUNCTION("""COMPUTED_VALUE"""),"12 Verndale Street#1D")</f>
        <v>12 Verndale Street#1D</v>
      </c>
      <c r="J83" s="4" t="str">
        <f ca="1">IFERROR(__xludf.DUMMYFUNCTION("""COMPUTED_VALUE"""),"93ba6fde-b825-498c-ac2b-df2c061885e1")</f>
        <v>93ba6fde-b825-498c-ac2b-df2c061885e1</v>
      </c>
      <c r="K83" s="4">
        <f ca="1">IFERROR(__xludf.DUMMYFUNCTION("""COMPUTED_VALUE"""),1400)</f>
        <v>1400</v>
      </c>
      <c r="L83" s="1" t="str">
        <f ca="1">IFERROR(__xludf.DUMMYFUNCTION("""COMPUTED_VALUE"""),"Peter")</f>
        <v>Peter</v>
      </c>
      <c r="M83" s="1" t="str">
        <f ca="1">IFERROR(__xludf.DUMMYFUNCTION("""COMPUTED_VALUE"""),"")</f>
        <v/>
      </c>
      <c r="N83" s="1" t="str">
        <f ca="1">IFERROR(__xludf.DUMMYFUNCTION("""COMPUTED_VALUE"""),"Furnished")</f>
        <v>Furnished</v>
      </c>
      <c r="O83" s="1" t="str">
        <f ca="1">IFERROR(__xludf.DUMMYFUNCTION("""COMPUTED_VALUE"""),"Occupied")</f>
        <v>Occupied</v>
      </c>
      <c r="P83" s="1"/>
      <c r="Q83" s="1"/>
      <c r="R83" s="1"/>
      <c r="S83" s="1" t="str">
        <f ca="1">IFERROR(__xludf.DUMMYFUNCTION("""COMPUTED_VALUE"""),"NO CATS OR DOGS")</f>
        <v>NO CATS OR DOGS</v>
      </c>
      <c r="T83" s="1"/>
      <c r="U83" s="1" t="str">
        <f ca="1">IFERROR(__xludf.DUMMYFUNCTION("""COMPUTED_VALUE"""),"Y")</f>
        <v>Y</v>
      </c>
      <c r="V83" s="1" t="str">
        <f ca="1">IFERROR(__xludf.DUMMYFUNCTION("""COMPUTED_VALUE"""),"N")</f>
        <v>N</v>
      </c>
      <c r="W83" s="1"/>
      <c r="X83" s="1"/>
      <c r="Y83" s="1" t="str">
        <f ca="1">IFERROR(__xludf.DUMMYFUNCTION("""COMPUTED_VALUE"""),"Andrew Moise")</f>
        <v>Andrew Moise</v>
      </c>
      <c r="Z83" s="1" t="str">
        <f ca="1">IFERROR(__xludf.DUMMYFUNCTION("""COMPUTED_VALUE"""),"andrew.moise@gmail.com")</f>
        <v>andrew.moise@gmail.com</v>
      </c>
      <c r="AA83" s="1"/>
      <c r="AB83" s="1"/>
      <c r="AC83" s="1"/>
    </row>
    <row r="84" spans="1:29">
      <c r="A84" s="1" t="str">
        <f ca="1">IFERROR(__xludf.DUMMYFUNCTION("""COMPUTED_VALUE"""),"12 Verndale Street")</f>
        <v>12 Verndale Street</v>
      </c>
      <c r="B84" s="1">
        <f ca="1">IFERROR(__xludf.DUMMYFUNCTION("""COMPUTED_VALUE"""),12)</f>
        <v>12</v>
      </c>
      <c r="C84" s="1" t="str">
        <f ca="1">IFERROR(__xludf.DUMMYFUNCTION("""COMPUTED_VALUE"""),"#1")</f>
        <v>#1</v>
      </c>
      <c r="D84" s="1" t="str">
        <f ca="1">IFERROR(__xludf.DUMMYFUNCTION("""COMPUTED_VALUE"""),"12 Verndale Street Unit 1")</f>
        <v>12 Verndale Street Unit 1</v>
      </c>
      <c r="E84" s="1" t="str">
        <f ca="1">IFERROR(__xludf.DUMMYFUNCTION("""COMPUTED_VALUE"""),"Brookline")</f>
        <v>Brookline</v>
      </c>
      <c r="F84" s="1" t="str">
        <f ca="1">IFERROR(__xludf.DUMMYFUNCTION("""COMPUTED_VALUE"""),"Brookline - Packards Corner")</f>
        <v>Brookline - Packards Corner</v>
      </c>
      <c r="G84" s="1">
        <f ca="1">IFERROR(__xludf.DUMMYFUNCTION("""COMPUTED_VALUE"""),5)</f>
        <v>5</v>
      </c>
      <c r="H84" s="1" t="str">
        <f ca="1">IFERROR(__xludf.DUMMYFUNCTION("""COMPUTED_VALUE"""),"E")</f>
        <v>E</v>
      </c>
      <c r="I84" s="4" t="str">
        <f ca="1">IFERROR(__xludf.DUMMYFUNCTION("""COMPUTED_VALUE"""),"12 Verndale Street#1E")</f>
        <v>12 Verndale Street#1E</v>
      </c>
      <c r="J84" s="4" t="str">
        <f ca="1">IFERROR(__xludf.DUMMYFUNCTION("""COMPUTED_VALUE"""),"93ba6fde-b825-498c-ac2b-df2c061885e1")</f>
        <v>93ba6fde-b825-498c-ac2b-df2c061885e1</v>
      </c>
      <c r="K84" s="4">
        <f ca="1">IFERROR(__xludf.DUMMYFUNCTION("""COMPUTED_VALUE"""),895)</f>
        <v>895</v>
      </c>
      <c r="L84" s="1" t="str">
        <f ca="1">IFERROR(__xludf.DUMMYFUNCTION("""COMPUTED_VALUE"""),"Peter")</f>
        <v>Peter</v>
      </c>
      <c r="M84" s="1" t="str">
        <f ca="1">IFERROR(__xludf.DUMMYFUNCTION("""COMPUTED_VALUE"""),"Peter (NOW)")</f>
        <v>Peter (NOW)</v>
      </c>
      <c r="N84" s="1" t="str">
        <f ca="1">IFERROR(__xludf.DUMMYFUNCTION("""COMPUTED_VALUE"""),"Furnished")</f>
        <v>Furnished</v>
      </c>
      <c r="O84" s="1" t="str">
        <f ca="1">IFERROR(__xludf.DUMMYFUNCTION("""COMPUTED_VALUE"""),"Upcoming Vacancy")</f>
        <v>Upcoming Vacancy</v>
      </c>
      <c r="P84" s="1" t="str">
        <f ca="1">IFERROR(__xludf.DUMMYFUNCTION("""COMPUTED_VALUE"""),"February")</f>
        <v>February</v>
      </c>
      <c r="Q84" s="3">
        <f ca="1">IFERROR(__xludf.DUMMYFUNCTION("""COMPUTED_VALUE"""),43859)</f>
        <v>43859</v>
      </c>
      <c r="R84" s="1"/>
      <c r="S84" s="1" t="str">
        <f ca="1">IFERROR(__xludf.DUMMYFUNCTION("""COMPUTED_VALUE"""),"NO CATS OR DOGS")</f>
        <v>NO CATS OR DOGS</v>
      </c>
      <c r="T84" s="1"/>
      <c r="U84" s="1" t="str">
        <f ca="1">IFERROR(__xludf.DUMMYFUNCTION("""COMPUTED_VALUE"""),"Y")</f>
        <v>Y</v>
      </c>
      <c r="V84" s="1" t="str">
        <f ca="1">IFERROR(__xludf.DUMMYFUNCTION("""COMPUTED_VALUE"""),"N")</f>
        <v>N</v>
      </c>
      <c r="W84" s="1"/>
      <c r="X84" s="1"/>
      <c r="Y84" s="1" t="str">
        <f ca="1">IFERROR(__xludf.DUMMYFUNCTION("""COMPUTED_VALUE"""),"Judi Pittman")</f>
        <v>Judi Pittman</v>
      </c>
      <c r="Z84" s="1" t="str">
        <f ca="1">IFERROR(__xludf.DUMMYFUNCTION("""COMPUTED_VALUE"""),"pittmanjudi1@gmail.com")</f>
        <v>pittmanjudi1@gmail.com</v>
      </c>
      <c r="AA84" s="1"/>
      <c r="AB84" s="1"/>
      <c r="AC84" s="1"/>
    </row>
    <row r="85" spans="1:29">
      <c r="A85" s="1" t="str">
        <f ca="1">IFERROR(__xludf.DUMMYFUNCTION("""COMPUTED_VALUE"""),"12 Verndale Street")</f>
        <v>12 Verndale Street</v>
      </c>
      <c r="B85" s="1">
        <f ca="1">IFERROR(__xludf.DUMMYFUNCTION("""COMPUTED_VALUE"""),12)</f>
        <v>12</v>
      </c>
      <c r="C85" s="1" t="str">
        <f ca="1">IFERROR(__xludf.DUMMYFUNCTION("""COMPUTED_VALUE"""),"#1")</f>
        <v>#1</v>
      </c>
      <c r="D85" s="1" t="str">
        <f ca="1">IFERROR(__xludf.DUMMYFUNCTION("""COMPUTED_VALUE"""),"12 Verndale Street Unit 1")</f>
        <v>12 Verndale Street Unit 1</v>
      </c>
      <c r="E85" s="1" t="str">
        <f ca="1">IFERROR(__xludf.DUMMYFUNCTION("""COMPUTED_VALUE"""),"Brookline")</f>
        <v>Brookline</v>
      </c>
      <c r="F85" s="1" t="str">
        <f ca="1">IFERROR(__xludf.DUMMYFUNCTION("""COMPUTED_VALUE"""),"Brookline - Packards Corner")</f>
        <v>Brookline - Packards Corner</v>
      </c>
      <c r="G85" s="1">
        <f ca="1">IFERROR(__xludf.DUMMYFUNCTION("""COMPUTED_VALUE"""),6)</f>
        <v>6</v>
      </c>
      <c r="H85" s="1" t="str">
        <f ca="1">IFERROR(__xludf.DUMMYFUNCTION("""COMPUTED_VALUE"""),"F")</f>
        <v>F</v>
      </c>
      <c r="I85" s="4" t="str">
        <f ca="1">IFERROR(__xludf.DUMMYFUNCTION("""COMPUTED_VALUE"""),"12 Verndale Street#1F")</f>
        <v>12 Verndale Street#1F</v>
      </c>
      <c r="J85" s="4" t="str">
        <f ca="1">IFERROR(__xludf.DUMMYFUNCTION("""COMPUTED_VALUE"""),"93ba6fde-b825-498c-ac2b-df2c061885e1")</f>
        <v>93ba6fde-b825-498c-ac2b-df2c061885e1</v>
      </c>
      <c r="K85" s="4">
        <f ca="1">IFERROR(__xludf.DUMMYFUNCTION("""COMPUTED_VALUE"""),895)</f>
        <v>895</v>
      </c>
      <c r="L85" s="1" t="str">
        <f ca="1">IFERROR(__xludf.DUMMYFUNCTION("""COMPUTED_VALUE"""),"Peter")</f>
        <v>Peter</v>
      </c>
      <c r="M85" s="1" t="str">
        <f ca="1">IFERROR(__xludf.DUMMYFUNCTION("""COMPUTED_VALUE"""),"")</f>
        <v/>
      </c>
      <c r="N85" s="1" t="str">
        <f ca="1">IFERROR(__xludf.DUMMYFUNCTION("""COMPUTED_VALUE"""),"Furnished")</f>
        <v>Furnished</v>
      </c>
      <c r="O85" s="1" t="str">
        <f ca="1">IFERROR(__xludf.DUMMYFUNCTION("""COMPUTED_VALUE"""),"Occupied")</f>
        <v>Occupied</v>
      </c>
      <c r="P85" s="1"/>
      <c r="Q85" s="1"/>
      <c r="R85" s="1"/>
      <c r="S85" s="1" t="str">
        <f ca="1">IFERROR(__xludf.DUMMYFUNCTION("""COMPUTED_VALUE"""),"NO CATS OR DOGS")</f>
        <v>NO CATS OR DOGS</v>
      </c>
      <c r="T85" s="1"/>
      <c r="U85" s="1" t="str">
        <f ca="1">IFERROR(__xludf.DUMMYFUNCTION("""COMPUTED_VALUE"""),"Y")</f>
        <v>Y</v>
      </c>
      <c r="V85" s="1" t="str">
        <f ca="1">IFERROR(__xludf.DUMMYFUNCTION("""COMPUTED_VALUE"""),"N")</f>
        <v>N</v>
      </c>
      <c r="W85" s="1"/>
      <c r="X85" s="1"/>
      <c r="Y85" s="1" t="str">
        <f ca="1">IFERROR(__xludf.DUMMYFUNCTION("""COMPUTED_VALUE"""),"Roseena Hussain")</f>
        <v>Roseena Hussain</v>
      </c>
      <c r="Z85" s="1" t="str">
        <f ca="1">IFERROR(__xludf.DUMMYFUNCTION("""COMPUTED_VALUE"""),"roseena1988@icloud.com")</f>
        <v>roseena1988@icloud.com</v>
      </c>
      <c r="AA85" s="1"/>
      <c r="AB85" s="1"/>
      <c r="AC85" s="1"/>
    </row>
    <row r="86" spans="1:29">
      <c r="A86" s="1" t="str">
        <f ca="1">IFERROR(__xludf.DUMMYFUNCTION("""COMPUTED_VALUE"""),"12 Verndale Street")</f>
        <v>12 Verndale Street</v>
      </c>
      <c r="B86" s="1">
        <f ca="1">IFERROR(__xludf.DUMMYFUNCTION("""COMPUTED_VALUE"""),12)</f>
        <v>12</v>
      </c>
      <c r="C86" s="1" t="str">
        <f ca="1">IFERROR(__xludf.DUMMYFUNCTION("""COMPUTED_VALUE"""),"#1")</f>
        <v>#1</v>
      </c>
      <c r="D86" s="1" t="str">
        <f ca="1">IFERROR(__xludf.DUMMYFUNCTION("""COMPUTED_VALUE"""),"12 Verndale Street Unit 1")</f>
        <v>12 Verndale Street Unit 1</v>
      </c>
      <c r="E86" s="1" t="str">
        <f ca="1">IFERROR(__xludf.DUMMYFUNCTION("""COMPUTED_VALUE"""),"Brookline")</f>
        <v>Brookline</v>
      </c>
      <c r="F86" s="1" t="str">
        <f ca="1">IFERROR(__xludf.DUMMYFUNCTION("""COMPUTED_VALUE"""),"Brookline - Packards Corner")</f>
        <v>Brookline - Packards Corner</v>
      </c>
      <c r="G86" s="1">
        <f ca="1">IFERROR(__xludf.DUMMYFUNCTION("""COMPUTED_VALUE"""),7)</f>
        <v>7</v>
      </c>
      <c r="H86" s="1" t="str">
        <f ca="1">IFERROR(__xludf.DUMMYFUNCTION("""COMPUTED_VALUE"""),"G")</f>
        <v>G</v>
      </c>
      <c r="I86" s="4" t="str">
        <f ca="1">IFERROR(__xludf.DUMMYFUNCTION("""COMPUTED_VALUE"""),"12 Verndale Street#1G")</f>
        <v>12 Verndale Street#1G</v>
      </c>
      <c r="J86" s="4" t="str">
        <f ca="1">IFERROR(__xludf.DUMMYFUNCTION("""COMPUTED_VALUE"""),"93ba6fde-b825-498c-ac2b-df2c061885e1")</f>
        <v>93ba6fde-b825-498c-ac2b-df2c061885e1</v>
      </c>
      <c r="K86" s="4">
        <f ca="1">IFERROR(__xludf.DUMMYFUNCTION("""COMPUTED_VALUE"""),895)</f>
        <v>895</v>
      </c>
      <c r="L86" s="1" t="str">
        <f ca="1">IFERROR(__xludf.DUMMYFUNCTION("""COMPUTED_VALUE"""),"Peter")</f>
        <v>Peter</v>
      </c>
      <c r="M86" s="1" t="str">
        <f ca="1">IFERROR(__xludf.DUMMYFUNCTION("""COMPUTED_VALUE"""),"")</f>
        <v/>
      </c>
      <c r="N86" s="1" t="str">
        <f ca="1">IFERROR(__xludf.DUMMYFUNCTION("""COMPUTED_VALUE"""),"Furnished")</f>
        <v>Furnished</v>
      </c>
      <c r="O86" s="1" t="str">
        <f ca="1">IFERROR(__xludf.DUMMYFUNCTION("""COMPUTED_VALUE"""),"Occupied")</f>
        <v>Occupied</v>
      </c>
      <c r="P86" s="1"/>
      <c r="Q86" s="1"/>
      <c r="R86" s="1"/>
      <c r="S86" s="1" t="str">
        <f ca="1">IFERROR(__xludf.DUMMYFUNCTION("""COMPUTED_VALUE"""),"NO CATS OR DOGS")</f>
        <v>NO CATS OR DOGS</v>
      </c>
      <c r="T86" s="1"/>
      <c r="U86" s="1" t="str">
        <f ca="1">IFERROR(__xludf.DUMMYFUNCTION("""COMPUTED_VALUE"""),"Y")</f>
        <v>Y</v>
      </c>
      <c r="V86" s="1" t="str">
        <f ca="1">IFERROR(__xludf.DUMMYFUNCTION("""COMPUTED_VALUE"""),"N")</f>
        <v>N</v>
      </c>
      <c r="W86" s="1"/>
      <c r="X86" s="1"/>
      <c r="Y86" s="1" t="str">
        <f ca="1">IFERROR(__xludf.DUMMYFUNCTION("""COMPUTED_VALUE"""),"Franklin Corea-Dilbert")</f>
        <v>Franklin Corea-Dilbert</v>
      </c>
      <c r="Z86" s="1" t="str">
        <f ca="1">IFERROR(__xludf.DUMMYFUNCTION("""COMPUTED_VALUE"""),"franklin.e.corea@gmail.com")</f>
        <v>franklin.e.corea@gmail.com</v>
      </c>
      <c r="AA86" s="1"/>
      <c r="AB86" s="1"/>
      <c r="AC86" s="1"/>
    </row>
    <row r="87" spans="1:29">
      <c r="A87" s="1" t="str">
        <f ca="1">IFERROR(__xludf.DUMMYFUNCTION("""COMPUTED_VALUE"""),"12 Verndale Street")</f>
        <v>12 Verndale Street</v>
      </c>
      <c r="B87" s="1">
        <f ca="1">IFERROR(__xludf.DUMMYFUNCTION("""COMPUTED_VALUE"""),12)</f>
        <v>12</v>
      </c>
      <c r="C87" s="1" t="str">
        <f ca="1">IFERROR(__xludf.DUMMYFUNCTION("""COMPUTED_VALUE"""),"#2")</f>
        <v>#2</v>
      </c>
      <c r="D87" s="1" t="str">
        <f ca="1">IFERROR(__xludf.DUMMYFUNCTION("""COMPUTED_VALUE"""),"12 Verndale Street Unit 2")</f>
        <v>12 Verndale Street Unit 2</v>
      </c>
      <c r="E87" s="1" t="str">
        <f ca="1">IFERROR(__xludf.DUMMYFUNCTION("""COMPUTED_VALUE"""),"Brookline")</f>
        <v>Brookline</v>
      </c>
      <c r="F87" s="1" t="str">
        <f ca="1">IFERROR(__xludf.DUMMYFUNCTION("""COMPUTED_VALUE"""),"Brookline - Packards Corner")</f>
        <v>Brookline - Packards Corner</v>
      </c>
      <c r="G87" s="1">
        <f ca="1">IFERROR(__xludf.DUMMYFUNCTION("""COMPUTED_VALUE"""),1)</f>
        <v>1</v>
      </c>
      <c r="H87" s="1" t="str">
        <f ca="1">IFERROR(__xludf.DUMMYFUNCTION("""COMPUTED_VALUE"""),"A")</f>
        <v>A</v>
      </c>
      <c r="I87" s="4" t="str">
        <f ca="1">IFERROR(__xludf.DUMMYFUNCTION("""COMPUTED_VALUE"""),"12 Verndale Street#2A")</f>
        <v>12 Verndale Street#2A</v>
      </c>
      <c r="J87" s="4" t="str">
        <f ca="1">IFERROR(__xludf.DUMMYFUNCTION("""COMPUTED_VALUE"""),"362e6408-3c07-4271-a5d1-522869672e12")</f>
        <v>362e6408-3c07-4271-a5d1-522869672e12</v>
      </c>
      <c r="K87" s="4">
        <f ca="1">IFERROR(__xludf.DUMMYFUNCTION("""COMPUTED_VALUE"""),1295)</f>
        <v>1295</v>
      </c>
      <c r="L87" s="1" t="str">
        <f ca="1">IFERROR(__xludf.DUMMYFUNCTION("""COMPUTED_VALUE"""),"Peter")</f>
        <v>Peter</v>
      </c>
      <c r="M87" s="1" t="str">
        <f ca="1">IFERROR(__xludf.DUMMYFUNCTION("""COMPUTED_VALUE"""),"Peter (later)")</f>
        <v>Peter (later)</v>
      </c>
      <c r="N87" s="1" t="str">
        <f ca="1">IFERROR(__xludf.DUMMYFUNCTION("""COMPUTED_VALUE"""),"Furnished")</f>
        <v>Furnished</v>
      </c>
      <c r="O87" s="1" t="str">
        <f ca="1">IFERROR(__xludf.DUMMYFUNCTION("""COMPUTED_VALUE"""),"Upcoming Vacancy")</f>
        <v>Upcoming Vacancy</v>
      </c>
      <c r="P87" s="1" t="str">
        <f ca="1">IFERROR(__xludf.DUMMYFUNCTION("""COMPUTED_VALUE"""),"April")</f>
        <v>April</v>
      </c>
      <c r="Q87" s="1"/>
      <c r="R87" s="1"/>
      <c r="S87" s="1" t="str">
        <f ca="1">IFERROR(__xludf.DUMMYFUNCTION("""COMPUTED_VALUE"""),"NO CATS OR DOGS")</f>
        <v>NO CATS OR DOGS</v>
      </c>
      <c r="T87" s="1"/>
      <c r="U87" s="1" t="str">
        <f ca="1">IFERROR(__xludf.DUMMYFUNCTION("""COMPUTED_VALUE"""),"Y")</f>
        <v>Y</v>
      </c>
      <c r="V87" s="1" t="str">
        <f ca="1">IFERROR(__xludf.DUMMYFUNCTION("""COMPUTED_VALUE"""),"N")</f>
        <v>N</v>
      </c>
      <c r="W87" s="1"/>
      <c r="X87" s="1"/>
      <c r="Y87" s="1" t="str">
        <f ca="1">IFERROR(__xludf.DUMMYFUNCTION("""COMPUTED_VALUE"""),"Varun Prasad")</f>
        <v>Varun Prasad</v>
      </c>
      <c r="Z87" s="1" t="str">
        <f ca="1">IFERROR(__xludf.DUMMYFUNCTION("""COMPUTED_VALUE"""),"varun1503@gmail.com")</f>
        <v>varun1503@gmail.com</v>
      </c>
      <c r="AA87" s="1"/>
      <c r="AB87" s="1"/>
      <c r="AC87" s="1"/>
    </row>
    <row r="88" spans="1:29">
      <c r="A88" s="1" t="str">
        <f ca="1">IFERROR(__xludf.DUMMYFUNCTION("""COMPUTED_VALUE"""),"12 Verndale Street")</f>
        <v>12 Verndale Street</v>
      </c>
      <c r="B88" s="1">
        <f ca="1">IFERROR(__xludf.DUMMYFUNCTION("""COMPUTED_VALUE"""),12)</f>
        <v>12</v>
      </c>
      <c r="C88" s="1" t="str">
        <f ca="1">IFERROR(__xludf.DUMMYFUNCTION("""COMPUTED_VALUE"""),"#2")</f>
        <v>#2</v>
      </c>
      <c r="D88" s="1" t="str">
        <f ca="1">IFERROR(__xludf.DUMMYFUNCTION("""COMPUTED_VALUE"""),"12 Verndale Street Unit 2")</f>
        <v>12 Verndale Street Unit 2</v>
      </c>
      <c r="E88" s="1" t="str">
        <f ca="1">IFERROR(__xludf.DUMMYFUNCTION("""COMPUTED_VALUE"""),"Brookline")</f>
        <v>Brookline</v>
      </c>
      <c r="F88" s="1" t="str">
        <f ca="1">IFERROR(__xludf.DUMMYFUNCTION("""COMPUTED_VALUE"""),"Brookline - Packards Corner")</f>
        <v>Brookline - Packards Corner</v>
      </c>
      <c r="G88" s="1">
        <f ca="1">IFERROR(__xludf.DUMMYFUNCTION("""COMPUTED_VALUE"""),2)</f>
        <v>2</v>
      </c>
      <c r="H88" s="1" t="str">
        <f ca="1">IFERROR(__xludf.DUMMYFUNCTION("""COMPUTED_VALUE"""),"B")</f>
        <v>B</v>
      </c>
      <c r="I88" s="4" t="str">
        <f ca="1">IFERROR(__xludf.DUMMYFUNCTION("""COMPUTED_VALUE"""),"12 Verndale Street#2B")</f>
        <v>12 Verndale Street#2B</v>
      </c>
      <c r="J88" s="4" t="str">
        <f ca="1">IFERROR(__xludf.DUMMYFUNCTION("""COMPUTED_VALUE"""),"362e6408-3c07-4271-a5d1-522869672e12")</f>
        <v>362e6408-3c07-4271-a5d1-522869672e12</v>
      </c>
      <c r="K88" s="4">
        <f ca="1">IFERROR(__xludf.DUMMYFUNCTION("""COMPUTED_VALUE"""),1195)</f>
        <v>1195</v>
      </c>
      <c r="L88" s="1" t="str">
        <f ca="1">IFERROR(__xludf.DUMMYFUNCTION("""COMPUTED_VALUE"""),"Peter")</f>
        <v>Peter</v>
      </c>
      <c r="M88" s="1" t="str">
        <f ca="1">IFERROR(__xludf.DUMMYFUNCTION("""COMPUTED_VALUE"""),"")</f>
        <v/>
      </c>
      <c r="N88" s="1" t="str">
        <f ca="1">IFERROR(__xludf.DUMMYFUNCTION("""COMPUTED_VALUE"""),"Furnished")</f>
        <v>Furnished</v>
      </c>
      <c r="O88" s="1" t="str">
        <f ca="1">IFERROR(__xludf.DUMMYFUNCTION("""COMPUTED_VALUE"""),"Deposits Complete")</f>
        <v>Deposits Complete</v>
      </c>
      <c r="P88" s="1" t="str">
        <f ca="1">IFERROR(__xludf.DUMMYFUNCTION("""COMPUTED_VALUE"""),"February")</f>
        <v>February</v>
      </c>
      <c r="Q88" s="1"/>
      <c r="R88" s="5">
        <f ca="1">IFERROR(__xludf.DUMMYFUNCTION("""COMPUTED_VALUE"""),43862)</f>
        <v>43862</v>
      </c>
      <c r="S88" s="1" t="str">
        <f ca="1">IFERROR(__xludf.DUMMYFUNCTION("""COMPUTED_VALUE"""),"NO CATS OR DOGS")</f>
        <v>NO CATS OR DOGS</v>
      </c>
      <c r="T88" s="1"/>
      <c r="U88" s="1" t="str">
        <f ca="1">IFERROR(__xludf.DUMMYFUNCTION("""COMPUTED_VALUE"""),"Y")</f>
        <v>Y</v>
      </c>
      <c r="V88" s="1" t="str">
        <f ca="1">IFERROR(__xludf.DUMMYFUNCTION("""COMPUTED_VALUE"""),"N")</f>
        <v>N</v>
      </c>
      <c r="W88" s="1" t="str">
        <f ca="1">IFERROR(__xludf.DUMMYFUNCTION("""COMPUTED_VALUE"""),"Aaron Bao")</f>
        <v>Aaron Bao</v>
      </c>
      <c r="X88" s="1" t="str">
        <f ca="1">IFERROR(__xludf.DUMMYFUNCTION("""COMPUTED_VALUE"""),"a.bao@wustl.edu")</f>
        <v>a.bao@wustl.edu</v>
      </c>
      <c r="Y88" s="1" t="str">
        <f ca="1">IFERROR(__xludf.DUMMYFUNCTION("""COMPUTED_VALUE"""),"Claudia Munoz Giraldo")</f>
        <v>Claudia Munoz Giraldo</v>
      </c>
      <c r="Z88" s="1" t="str">
        <f ca="1">IFERROR(__xludf.DUMMYFUNCTION("""COMPUTED_VALUE"""),"claudia.munozg11@gmail.com")</f>
        <v>claudia.munozg11@gmail.com</v>
      </c>
      <c r="AA88" s="1"/>
      <c r="AB88" s="1"/>
      <c r="AC88" s="1"/>
    </row>
    <row r="89" spans="1:29">
      <c r="A89" s="1" t="str">
        <f ca="1">IFERROR(__xludf.DUMMYFUNCTION("""COMPUTED_VALUE"""),"12 Verndale Street")</f>
        <v>12 Verndale Street</v>
      </c>
      <c r="B89" s="1">
        <f ca="1">IFERROR(__xludf.DUMMYFUNCTION("""COMPUTED_VALUE"""),12)</f>
        <v>12</v>
      </c>
      <c r="C89" s="1" t="str">
        <f ca="1">IFERROR(__xludf.DUMMYFUNCTION("""COMPUTED_VALUE"""),"#2")</f>
        <v>#2</v>
      </c>
      <c r="D89" s="1" t="str">
        <f ca="1">IFERROR(__xludf.DUMMYFUNCTION("""COMPUTED_VALUE"""),"12 Verndale Street Unit 2")</f>
        <v>12 Verndale Street Unit 2</v>
      </c>
      <c r="E89" s="1" t="str">
        <f ca="1">IFERROR(__xludf.DUMMYFUNCTION("""COMPUTED_VALUE"""),"Brookline")</f>
        <v>Brookline</v>
      </c>
      <c r="F89" s="1" t="str">
        <f ca="1">IFERROR(__xludf.DUMMYFUNCTION("""COMPUTED_VALUE"""),"Brookline - Packards Corner")</f>
        <v>Brookline - Packards Corner</v>
      </c>
      <c r="G89" s="1">
        <f ca="1">IFERROR(__xludf.DUMMYFUNCTION("""COMPUTED_VALUE"""),3)</f>
        <v>3</v>
      </c>
      <c r="H89" s="1" t="str">
        <f ca="1">IFERROR(__xludf.DUMMYFUNCTION("""COMPUTED_VALUE"""),"C")</f>
        <v>C</v>
      </c>
      <c r="I89" s="4" t="str">
        <f ca="1">IFERROR(__xludf.DUMMYFUNCTION("""COMPUTED_VALUE"""),"12 Verndale Street#2C")</f>
        <v>12 Verndale Street#2C</v>
      </c>
      <c r="J89" s="4" t="str">
        <f ca="1">IFERROR(__xludf.DUMMYFUNCTION("""COMPUTED_VALUE"""),"362e6408-3c07-4271-a5d1-522869672e12")</f>
        <v>362e6408-3c07-4271-a5d1-522869672e12</v>
      </c>
      <c r="K89" s="4">
        <f ca="1">IFERROR(__xludf.DUMMYFUNCTION("""COMPUTED_VALUE"""),1295)</f>
        <v>1295</v>
      </c>
      <c r="L89" s="1" t="str">
        <f ca="1">IFERROR(__xludf.DUMMYFUNCTION("""COMPUTED_VALUE"""),"Peter")</f>
        <v>Peter</v>
      </c>
      <c r="M89" s="1" t="str">
        <f ca="1">IFERROR(__xludf.DUMMYFUNCTION("""COMPUTED_VALUE"""),"")</f>
        <v/>
      </c>
      <c r="N89" s="1" t="str">
        <f ca="1">IFERROR(__xludf.DUMMYFUNCTION("""COMPUTED_VALUE"""),"Furnished")</f>
        <v>Furnished</v>
      </c>
      <c r="O89" s="1" t="str">
        <f ca="1">IFERROR(__xludf.DUMMYFUNCTION("""COMPUTED_VALUE"""),"Lease Signed")</f>
        <v>Lease Signed</v>
      </c>
      <c r="P89" s="1" t="str">
        <f ca="1">IFERROR(__xludf.DUMMYFUNCTION("""COMPUTED_VALUE"""),"February")</f>
        <v>February</v>
      </c>
      <c r="Q89" s="1"/>
      <c r="R89" s="5">
        <f ca="1">IFERROR(__xludf.DUMMYFUNCTION("""COMPUTED_VALUE"""),43862)</f>
        <v>43862</v>
      </c>
      <c r="S89" s="1" t="str">
        <f ca="1">IFERROR(__xludf.DUMMYFUNCTION("""COMPUTED_VALUE"""),"NO CATS OR DOGS")</f>
        <v>NO CATS OR DOGS</v>
      </c>
      <c r="T89" s="1"/>
      <c r="U89" s="1" t="str">
        <f ca="1">IFERROR(__xludf.DUMMYFUNCTION("""COMPUTED_VALUE"""),"Y")</f>
        <v>Y</v>
      </c>
      <c r="V89" s="1" t="str">
        <f ca="1">IFERROR(__xludf.DUMMYFUNCTION("""COMPUTED_VALUE"""),"N")</f>
        <v>N</v>
      </c>
      <c r="W89" s="1" t="str">
        <f ca="1">IFERROR(__xludf.DUMMYFUNCTION("""COMPUTED_VALUE"""),"Stijn Robben")</f>
        <v>Stijn Robben</v>
      </c>
      <c r="X89" s="1" t="str">
        <f ca="1">IFERROR(__xludf.DUMMYFUNCTION("""COMPUTED_VALUE"""),"robbenstijn@gmail.com")</f>
        <v>robbenstijn@gmail.com</v>
      </c>
      <c r="Y89" s="1"/>
      <c r="Z89" s="1"/>
      <c r="AA89" s="1"/>
      <c r="AB89" s="1"/>
      <c r="AC89" s="1"/>
    </row>
    <row r="90" spans="1:29">
      <c r="A90" s="1" t="str">
        <f ca="1">IFERROR(__xludf.DUMMYFUNCTION("""COMPUTED_VALUE"""),"12 Verndale Street")</f>
        <v>12 Verndale Street</v>
      </c>
      <c r="B90" s="1">
        <f ca="1">IFERROR(__xludf.DUMMYFUNCTION("""COMPUTED_VALUE"""),12)</f>
        <v>12</v>
      </c>
      <c r="C90" s="1" t="str">
        <f ca="1">IFERROR(__xludf.DUMMYFUNCTION("""COMPUTED_VALUE"""),"#2")</f>
        <v>#2</v>
      </c>
      <c r="D90" s="1" t="str">
        <f ca="1">IFERROR(__xludf.DUMMYFUNCTION("""COMPUTED_VALUE"""),"12 Verndale Street Unit 2")</f>
        <v>12 Verndale Street Unit 2</v>
      </c>
      <c r="E90" s="1" t="str">
        <f ca="1">IFERROR(__xludf.DUMMYFUNCTION("""COMPUTED_VALUE"""),"Brookline")</f>
        <v>Brookline</v>
      </c>
      <c r="F90" s="1" t="str">
        <f ca="1">IFERROR(__xludf.DUMMYFUNCTION("""COMPUTED_VALUE"""),"Brookline - Packards Corner")</f>
        <v>Brookline - Packards Corner</v>
      </c>
      <c r="G90" s="1">
        <f ca="1">IFERROR(__xludf.DUMMYFUNCTION("""COMPUTED_VALUE"""),4)</f>
        <v>4</v>
      </c>
      <c r="H90" s="1" t="str">
        <f ca="1">IFERROR(__xludf.DUMMYFUNCTION("""COMPUTED_VALUE"""),"D")</f>
        <v>D</v>
      </c>
      <c r="I90" s="4" t="str">
        <f ca="1">IFERROR(__xludf.DUMMYFUNCTION("""COMPUTED_VALUE"""),"12 Verndale Street#2D")</f>
        <v>12 Verndale Street#2D</v>
      </c>
      <c r="J90" s="4" t="str">
        <f ca="1">IFERROR(__xludf.DUMMYFUNCTION("""COMPUTED_VALUE"""),"362e6408-3c07-4271-a5d1-522869672e12")</f>
        <v>362e6408-3c07-4271-a5d1-522869672e12</v>
      </c>
      <c r="K90" s="4">
        <f ca="1">IFERROR(__xludf.DUMMYFUNCTION("""COMPUTED_VALUE"""),1295)</f>
        <v>1295</v>
      </c>
      <c r="L90" s="1" t="str">
        <f ca="1">IFERROR(__xludf.DUMMYFUNCTION("""COMPUTED_VALUE"""),"Peter")</f>
        <v>Peter</v>
      </c>
      <c r="M90" s="1" t="str">
        <f ca="1">IFERROR(__xludf.DUMMYFUNCTION("""COMPUTED_VALUE"""),"Peter (NOW)")</f>
        <v>Peter (NOW)</v>
      </c>
      <c r="N90" s="1" t="str">
        <f ca="1">IFERROR(__xludf.DUMMYFUNCTION("""COMPUTED_VALUE"""),"Furnished")</f>
        <v>Furnished</v>
      </c>
      <c r="O90" s="1" t="str">
        <f ca="1">IFERROR(__xludf.DUMMYFUNCTION("""COMPUTED_VALUE"""),"Vacant")</f>
        <v>Vacant</v>
      </c>
      <c r="P90" s="1"/>
      <c r="Q90" s="1"/>
      <c r="R90" s="1"/>
      <c r="S90" s="1" t="str">
        <f ca="1">IFERROR(__xludf.DUMMYFUNCTION("""COMPUTED_VALUE"""),"NO CATS OR DOGS")</f>
        <v>NO CATS OR DOGS</v>
      </c>
      <c r="T90" s="1"/>
      <c r="U90" s="1" t="str">
        <f ca="1">IFERROR(__xludf.DUMMYFUNCTION("""COMPUTED_VALUE"""),"Y")</f>
        <v>Y</v>
      </c>
      <c r="V90" s="1" t="str">
        <f ca="1">IFERROR(__xludf.DUMMYFUNCTION("""COMPUTED_VALUE"""),"N")</f>
        <v>N</v>
      </c>
      <c r="W90" s="1"/>
      <c r="X90" s="1"/>
      <c r="Y90" s="1" t="str">
        <f ca="1">IFERROR(__xludf.DUMMYFUNCTION("""COMPUTED_VALUE"""),"David Barner")</f>
        <v>David Barner</v>
      </c>
      <c r="Z90" s="1" t="str">
        <f ca="1">IFERROR(__xludf.DUMMYFUNCTION("""COMPUTED_VALUE"""),"dbarner@gmail.com")</f>
        <v>dbarner@gmail.com</v>
      </c>
      <c r="AA90" s="1"/>
      <c r="AB90" s="1"/>
      <c r="AC90" s="1"/>
    </row>
    <row r="91" spans="1:29">
      <c r="A91" s="1" t="str">
        <f ca="1">IFERROR(__xludf.DUMMYFUNCTION("""COMPUTED_VALUE"""),"12 Verndale Street")</f>
        <v>12 Verndale Street</v>
      </c>
      <c r="B91" s="1">
        <f ca="1">IFERROR(__xludf.DUMMYFUNCTION("""COMPUTED_VALUE"""),12)</f>
        <v>12</v>
      </c>
      <c r="C91" s="1" t="str">
        <f ca="1">IFERROR(__xludf.DUMMYFUNCTION("""COMPUTED_VALUE"""),"#2")</f>
        <v>#2</v>
      </c>
      <c r="D91" s="1" t="str">
        <f ca="1">IFERROR(__xludf.DUMMYFUNCTION("""COMPUTED_VALUE"""),"12 Verndale Street Unit 2")</f>
        <v>12 Verndale Street Unit 2</v>
      </c>
      <c r="E91" s="1" t="str">
        <f ca="1">IFERROR(__xludf.DUMMYFUNCTION("""COMPUTED_VALUE"""),"Brookline")</f>
        <v>Brookline</v>
      </c>
      <c r="F91" s="1" t="str">
        <f ca="1">IFERROR(__xludf.DUMMYFUNCTION("""COMPUTED_VALUE"""),"Brookline - Packards Corner")</f>
        <v>Brookline - Packards Corner</v>
      </c>
      <c r="G91" s="1">
        <f ca="1">IFERROR(__xludf.DUMMYFUNCTION("""COMPUTED_VALUE"""),5)</f>
        <v>5</v>
      </c>
      <c r="H91" s="1" t="str">
        <f ca="1">IFERROR(__xludf.DUMMYFUNCTION("""COMPUTED_VALUE"""),"E")</f>
        <v>E</v>
      </c>
      <c r="I91" s="4" t="str">
        <f ca="1">IFERROR(__xludf.DUMMYFUNCTION("""COMPUTED_VALUE"""),"12 Verndale Street#2E")</f>
        <v>12 Verndale Street#2E</v>
      </c>
      <c r="J91" s="4" t="str">
        <f ca="1">IFERROR(__xludf.DUMMYFUNCTION("""COMPUTED_VALUE"""),"362e6408-3c07-4271-a5d1-522869672e12")</f>
        <v>362e6408-3c07-4271-a5d1-522869672e12</v>
      </c>
      <c r="K91" s="4">
        <f ca="1">IFERROR(__xludf.DUMMYFUNCTION("""COMPUTED_VALUE"""),1195)</f>
        <v>1195</v>
      </c>
      <c r="L91" s="1" t="str">
        <f ca="1">IFERROR(__xludf.DUMMYFUNCTION("""COMPUTED_VALUE"""),"Peter")</f>
        <v>Peter</v>
      </c>
      <c r="M91" s="1" t="str">
        <f ca="1">IFERROR(__xludf.DUMMYFUNCTION("""COMPUTED_VALUE"""),"Peter (NOW)")</f>
        <v>Peter (NOW)</v>
      </c>
      <c r="N91" s="1" t="str">
        <f ca="1">IFERROR(__xludf.DUMMYFUNCTION("""COMPUTED_VALUE"""),"Furnished")</f>
        <v>Furnished</v>
      </c>
      <c r="O91" s="1" t="str">
        <f ca="1">IFERROR(__xludf.DUMMYFUNCTION("""COMPUTED_VALUE"""),"Vacant")</f>
        <v>Vacant</v>
      </c>
      <c r="P91" s="1"/>
      <c r="Q91" s="1"/>
      <c r="R91" s="1"/>
      <c r="S91" s="1" t="str">
        <f ca="1">IFERROR(__xludf.DUMMYFUNCTION("""COMPUTED_VALUE"""),"NO CATS OR DOGS")</f>
        <v>NO CATS OR DOGS</v>
      </c>
      <c r="T91" s="1"/>
      <c r="U91" s="1" t="str">
        <f ca="1">IFERROR(__xludf.DUMMYFUNCTION("""COMPUTED_VALUE"""),"Y")</f>
        <v>Y</v>
      </c>
      <c r="V91" s="1" t="str">
        <f ca="1">IFERROR(__xludf.DUMMYFUNCTION("""COMPUTED_VALUE"""),"N")</f>
        <v>N</v>
      </c>
      <c r="W91" s="1"/>
      <c r="X91" s="1"/>
      <c r="Y91" s="1"/>
      <c r="Z91" s="1"/>
      <c r="AA91" s="1"/>
      <c r="AB91" s="1"/>
      <c r="AC91" s="1"/>
    </row>
    <row r="92" spans="1:29">
      <c r="A92" s="1" t="str">
        <f ca="1">IFERROR(__xludf.DUMMYFUNCTION("""COMPUTED_VALUE"""),"12 Verndale Street")</f>
        <v>12 Verndale Street</v>
      </c>
      <c r="B92" s="1">
        <f ca="1">IFERROR(__xludf.DUMMYFUNCTION("""COMPUTED_VALUE"""),12)</f>
        <v>12</v>
      </c>
      <c r="C92" s="1" t="str">
        <f ca="1">IFERROR(__xludf.DUMMYFUNCTION("""COMPUTED_VALUE"""),"#2")</f>
        <v>#2</v>
      </c>
      <c r="D92" s="1" t="str">
        <f ca="1">IFERROR(__xludf.DUMMYFUNCTION("""COMPUTED_VALUE"""),"12 Verndale Street Unit 2")</f>
        <v>12 Verndale Street Unit 2</v>
      </c>
      <c r="E92" s="1" t="str">
        <f ca="1">IFERROR(__xludf.DUMMYFUNCTION("""COMPUTED_VALUE"""),"Brookline")</f>
        <v>Brookline</v>
      </c>
      <c r="F92" s="1" t="str">
        <f ca="1">IFERROR(__xludf.DUMMYFUNCTION("""COMPUTED_VALUE"""),"Brookline - Packards Corner")</f>
        <v>Brookline - Packards Corner</v>
      </c>
      <c r="G92" s="1">
        <f ca="1">IFERROR(__xludf.DUMMYFUNCTION("""COMPUTED_VALUE"""),6)</f>
        <v>6</v>
      </c>
      <c r="H92" s="1" t="str">
        <f ca="1">IFERROR(__xludf.DUMMYFUNCTION("""COMPUTED_VALUE"""),"F")</f>
        <v>F</v>
      </c>
      <c r="I92" s="4" t="str">
        <f ca="1">IFERROR(__xludf.DUMMYFUNCTION("""COMPUTED_VALUE"""),"12 Verndale Street#2F")</f>
        <v>12 Verndale Street#2F</v>
      </c>
      <c r="J92" s="4" t="str">
        <f ca="1">IFERROR(__xludf.DUMMYFUNCTION("""COMPUTED_VALUE"""),"362e6408-3c07-4271-a5d1-522869672e12")</f>
        <v>362e6408-3c07-4271-a5d1-522869672e12</v>
      </c>
      <c r="K92" s="4">
        <f ca="1">IFERROR(__xludf.DUMMYFUNCTION("""COMPUTED_VALUE"""),1295)</f>
        <v>1295</v>
      </c>
      <c r="L92" s="1" t="str">
        <f ca="1">IFERROR(__xludf.DUMMYFUNCTION("""COMPUTED_VALUE"""),"Peter")</f>
        <v>Peter</v>
      </c>
      <c r="M92" s="1" t="str">
        <f ca="1">IFERROR(__xludf.DUMMYFUNCTION("""COMPUTED_VALUE"""),"Peter (later)")</f>
        <v>Peter (later)</v>
      </c>
      <c r="N92" s="1" t="str">
        <f ca="1">IFERROR(__xludf.DUMMYFUNCTION("""COMPUTED_VALUE"""),"Furnished")</f>
        <v>Furnished</v>
      </c>
      <c r="O92" s="1" t="str">
        <f ca="1">IFERROR(__xludf.DUMMYFUNCTION("""COMPUTED_VALUE"""),"Upcoming Vacancy")</f>
        <v>Upcoming Vacancy</v>
      </c>
      <c r="P92" s="1" t="str">
        <f ca="1">IFERROR(__xludf.DUMMYFUNCTION("""COMPUTED_VALUE"""),"April")</f>
        <v>April</v>
      </c>
      <c r="Q92" s="1"/>
      <c r="R92" s="1"/>
      <c r="S92" s="1" t="str">
        <f ca="1">IFERROR(__xludf.DUMMYFUNCTION("""COMPUTED_VALUE"""),"NO CATS OR DOGS")</f>
        <v>NO CATS OR DOGS</v>
      </c>
      <c r="T92" s="1"/>
      <c r="U92" s="1" t="str">
        <f ca="1">IFERROR(__xludf.DUMMYFUNCTION("""COMPUTED_VALUE"""),"Y")</f>
        <v>Y</v>
      </c>
      <c r="V92" s="1" t="str">
        <f ca="1">IFERROR(__xludf.DUMMYFUNCTION("""COMPUTED_VALUE"""),"N")</f>
        <v>N</v>
      </c>
      <c r="W92" s="1"/>
      <c r="X92" s="1"/>
      <c r="Y92" s="1" t="str">
        <f ca="1">IFERROR(__xludf.DUMMYFUNCTION("""COMPUTED_VALUE"""),"Patricia Lizola Cortez")</f>
        <v>Patricia Lizola Cortez</v>
      </c>
      <c r="Z92" s="1" t="str">
        <f ca="1">IFERROR(__xludf.DUMMYFUNCTION("""COMPUTED_VALUE"""),"paty.lizola@hotmail.com")</f>
        <v>paty.lizola@hotmail.com</v>
      </c>
      <c r="AA92" s="1"/>
      <c r="AB92" s="1"/>
      <c r="AC92" s="1"/>
    </row>
    <row r="93" spans="1:29">
      <c r="A93" s="1" t="str">
        <f ca="1">IFERROR(__xludf.DUMMYFUNCTION("""COMPUTED_VALUE"""),"14 Murdock Street")</f>
        <v>14 Murdock Street</v>
      </c>
      <c r="B93" s="1">
        <f ca="1">IFERROR(__xludf.DUMMYFUNCTION("""COMPUTED_VALUE"""),14)</f>
        <v>14</v>
      </c>
      <c r="C93" s="1" t="str">
        <f ca="1">IFERROR(__xludf.DUMMYFUNCTION("""COMPUTED_VALUE"""),"#3-7")</f>
        <v>#3-7</v>
      </c>
      <c r="D93" s="1" t="str">
        <f ca="1">IFERROR(__xludf.DUMMYFUNCTION("""COMPUTED_VALUE"""),"14 Murdock Street Unit 3-7")</f>
        <v>14 Murdock Street Unit 3-7</v>
      </c>
      <c r="E93" s="1" t="str">
        <f ca="1">IFERROR(__xludf.DUMMYFUNCTION("""COMPUTED_VALUE"""),"Somerville")</f>
        <v>Somerville</v>
      </c>
      <c r="F93" s="1" t="str">
        <f ca="1">IFERROR(__xludf.DUMMYFUNCTION("""COMPUTED_VALUE"""),"Somerville - Powder House Square")</f>
        <v>Somerville - Powder House Square</v>
      </c>
      <c r="G93" s="1">
        <f ca="1">IFERROR(__xludf.DUMMYFUNCTION("""COMPUTED_VALUE"""),1)</f>
        <v>1</v>
      </c>
      <c r="H93" s="1" t="str">
        <f ca="1">IFERROR(__xludf.DUMMYFUNCTION("""COMPUTED_VALUE"""),"A")</f>
        <v>A</v>
      </c>
      <c r="I93" s="4" t="str">
        <f ca="1">IFERROR(__xludf.DUMMYFUNCTION("""COMPUTED_VALUE"""),"14 Murdock Street#3-7A")</f>
        <v>14 Murdock Street#3-7A</v>
      </c>
      <c r="J93" s="4" t="str">
        <f ca="1">IFERROR(__xludf.DUMMYFUNCTION("""COMPUTED_VALUE"""),"06589329-a9da-4b1e-93bd-ac24f45ff52c")</f>
        <v>06589329-a9da-4b1e-93bd-ac24f45ff52c</v>
      </c>
      <c r="K93" s="4">
        <f ca="1">IFERROR(__xludf.DUMMYFUNCTION("""COMPUTED_VALUE"""),1095)</f>
        <v>1095</v>
      </c>
      <c r="L93" s="1" t="str">
        <f ca="1">IFERROR(__xludf.DUMMYFUNCTION("""COMPUTED_VALUE"""),"Lizzie")</f>
        <v>Lizzie</v>
      </c>
      <c r="M93" s="1" t="str">
        <f ca="1">IFERROR(__xludf.DUMMYFUNCTION("""COMPUTED_VALUE"""),"")</f>
        <v/>
      </c>
      <c r="N93" s="1" t="str">
        <f ca="1">IFERROR(__xludf.DUMMYFUNCTION("""COMPUTED_VALUE"""),"")</f>
        <v/>
      </c>
      <c r="O93" s="1" t="str">
        <f ca="1">IFERROR(__xludf.DUMMYFUNCTION("""COMPUTED_VALUE"""),"Lease Signed")</f>
        <v>Lease Signed</v>
      </c>
      <c r="P93" s="1" t="str">
        <f ca="1">IFERROR(__xludf.DUMMYFUNCTION("""COMPUTED_VALUE"""),"February")</f>
        <v>February</v>
      </c>
      <c r="Q93" s="1"/>
      <c r="R93" s="5">
        <f ca="1">IFERROR(__xludf.DUMMYFUNCTION("""COMPUTED_VALUE"""),44239)</f>
        <v>44239</v>
      </c>
      <c r="S93" s="1"/>
      <c r="T93" s="1"/>
      <c r="U93" s="1" t="str">
        <f ca="1">IFERROR(__xludf.DUMMYFUNCTION("""COMPUTED_VALUE"""),"Y")</f>
        <v>Y</v>
      </c>
      <c r="V93" s="1" t="str">
        <f ca="1">IFERROR(__xludf.DUMMYFUNCTION("""COMPUTED_VALUE"""),"Y")</f>
        <v>Y</v>
      </c>
      <c r="W93" s="1" t="str">
        <f ca="1">IFERROR(__xludf.DUMMYFUNCTION("""COMPUTED_VALUE"""),"Guadalupe Ramirez")</f>
        <v>Guadalupe Ramirez</v>
      </c>
      <c r="X93" s="1" t="str">
        <f ca="1">IFERROR(__xludf.DUMMYFUNCTION("""COMPUTED_VALUE"""),"garamirezvargas@hotmail.com")</f>
        <v>garamirezvargas@hotmail.com</v>
      </c>
      <c r="Y93" s="1"/>
      <c r="Z93" s="1"/>
      <c r="AA93" s="1"/>
      <c r="AB93" s="1"/>
      <c r="AC93" s="1"/>
    </row>
    <row r="94" spans="1:29">
      <c r="A94" s="1" t="str">
        <f ca="1">IFERROR(__xludf.DUMMYFUNCTION("""COMPUTED_VALUE"""),"14 Murdock Street")</f>
        <v>14 Murdock Street</v>
      </c>
      <c r="B94" s="1">
        <f ca="1">IFERROR(__xludf.DUMMYFUNCTION("""COMPUTED_VALUE"""),14)</f>
        <v>14</v>
      </c>
      <c r="C94" s="1" t="str">
        <f ca="1">IFERROR(__xludf.DUMMYFUNCTION("""COMPUTED_VALUE"""),"#3-7")</f>
        <v>#3-7</v>
      </c>
      <c r="D94" s="1" t="str">
        <f ca="1">IFERROR(__xludf.DUMMYFUNCTION("""COMPUTED_VALUE"""),"14 Murdock Street Unit 3-7")</f>
        <v>14 Murdock Street Unit 3-7</v>
      </c>
      <c r="E94" s="1" t="str">
        <f ca="1">IFERROR(__xludf.DUMMYFUNCTION("""COMPUTED_VALUE"""),"Somerville")</f>
        <v>Somerville</v>
      </c>
      <c r="F94" s="1" t="str">
        <f ca="1">IFERROR(__xludf.DUMMYFUNCTION("""COMPUTED_VALUE"""),"Somerville - Powder House Square")</f>
        <v>Somerville - Powder House Square</v>
      </c>
      <c r="G94" s="1">
        <f ca="1">IFERROR(__xludf.DUMMYFUNCTION("""COMPUTED_VALUE"""),2)</f>
        <v>2</v>
      </c>
      <c r="H94" s="1" t="str">
        <f ca="1">IFERROR(__xludf.DUMMYFUNCTION("""COMPUTED_VALUE"""),"B")</f>
        <v>B</v>
      </c>
      <c r="I94" s="4" t="str">
        <f ca="1">IFERROR(__xludf.DUMMYFUNCTION("""COMPUTED_VALUE"""),"14 Murdock Street#3-7B")</f>
        <v>14 Murdock Street#3-7B</v>
      </c>
      <c r="J94" s="4" t="str">
        <f ca="1">IFERROR(__xludf.DUMMYFUNCTION("""COMPUTED_VALUE"""),"06589329-a9da-4b1e-93bd-ac24f45ff52c")</f>
        <v>06589329-a9da-4b1e-93bd-ac24f45ff52c</v>
      </c>
      <c r="K94" s="4">
        <f ca="1">IFERROR(__xludf.DUMMYFUNCTION("""COMPUTED_VALUE"""),1095)</f>
        <v>1095</v>
      </c>
      <c r="L94" s="1" t="str">
        <f ca="1">IFERROR(__xludf.DUMMYFUNCTION("""COMPUTED_VALUE"""),"Lizzie")</f>
        <v>Lizzie</v>
      </c>
      <c r="M94" s="1" t="str">
        <f ca="1">IFERROR(__xludf.DUMMYFUNCTION("""COMPUTED_VALUE"""),"Lizzie (NOW)")</f>
        <v>Lizzie (NOW)</v>
      </c>
      <c r="N94" s="1" t="str">
        <f ca="1">IFERROR(__xludf.DUMMYFUNCTION("""COMPUTED_VALUE"""),"")</f>
        <v/>
      </c>
      <c r="O94" s="1" t="str">
        <f ca="1">IFERROR(__xludf.DUMMYFUNCTION("""COMPUTED_VALUE"""),"Upcoming Vacancy")</f>
        <v>Upcoming Vacancy</v>
      </c>
      <c r="P94" s="1" t="str">
        <f ca="1">IFERROR(__xludf.DUMMYFUNCTION("""COMPUTED_VALUE"""),"February")</f>
        <v>February</v>
      </c>
      <c r="Q94" s="1"/>
      <c r="R94" s="1"/>
      <c r="S94" s="1"/>
      <c r="T94" s="1"/>
      <c r="U94" s="1" t="str">
        <f ca="1">IFERROR(__xludf.DUMMYFUNCTION("""COMPUTED_VALUE"""),"Y")</f>
        <v>Y</v>
      </c>
      <c r="V94" s="1" t="str">
        <f ca="1">IFERROR(__xludf.DUMMYFUNCTION("""COMPUTED_VALUE"""),"Y")</f>
        <v>Y</v>
      </c>
      <c r="W94" s="1"/>
      <c r="X94" s="1"/>
      <c r="Y94" s="1"/>
      <c r="Z94" s="1"/>
      <c r="AA94" s="1"/>
      <c r="AB94" s="1"/>
      <c r="AC94" s="1"/>
    </row>
    <row r="95" spans="1:29">
      <c r="A95" s="1" t="str">
        <f ca="1">IFERROR(__xludf.DUMMYFUNCTION("""COMPUTED_VALUE"""),"16A Forest Street")</f>
        <v>16A Forest Street</v>
      </c>
      <c r="B95" s="1">
        <f ca="1">IFERROR(__xludf.DUMMYFUNCTION("""COMPUTED_VALUE"""),16)</f>
        <v>16</v>
      </c>
      <c r="C95" s="1" t="str">
        <f ca="1">IFERROR(__xludf.DUMMYFUNCTION("""COMPUTED_VALUE"""),"#33")</f>
        <v>#33</v>
      </c>
      <c r="D95" s="1" t="str">
        <f ca="1">IFERROR(__xludf.DUMMYFUNCTION("""COMPUTED_VALUE"""),"16A Forest Street Unit 33")</f>
        <v>16A Forest Street Unit 33</v>
      </c>
      <c r="E95" s="1" t="str">
        <f ca="1">IFERROR(__xludf.DUMMYFUNCTION("""COMPUTED_VALUE"""),"Cambridge")</f>
        <v>Cambridge</v>
      </c>
      <c r="F95" s="1" t="str">
        <f ca="1">IFERROR(__xludf.DUMMYFUNCTION("""COMPUTED_VALUE"""),"Cambridge - Porter Square")</f>
        <v>Cambridge - Porter Square</v>
      </c>
      <c r="G95" s="1">
        <f ca="1">IFERROR(__xludf.DUMMYFUNCTION("""COMPUTED_VALUE"""),1)</f>
        <v>1</v>
      </c>
      <c r="H95" s="1" t="str">
        <f ca="1">IFERROR(__xludf.DUMMYFUNCTION("""COMPUTED_VALUE"""),"A")</f>
        <v>A</v>
      </c>
      <c r="I95" s="4" t="str">
        <f ca="1">IFERROR(__xludf.DUMMYFUNCTION("""COMPUTED_VALUE"""),"16A Forest Street#33A")</f>
        <v>16A Forest Street#33A</v>
      </c>
      <c r="J95" s="4" t="str">
        <f ca="1">IFERROR(__xludf.DUMMYFUNCTION("""COMPUTED_VALUE"""),"5468790c-473e-41f9-8515-f71d7c8ac0a9")</f>
        <v>5468790c-473e-41f9-8515-f71d7c8ac0a9</v>
      </c>
      <c r="K95" s="4">
        <f ca="1">IFERROR(__xludf.DUMMYFUNCTION("""COMPUTED_VALUE"""),1325)</f>
        <v>1325</v>
      </c>
      <c r="L95" s="1" t="str">
        <f ca="1">IFERROR(__xludf.DUMMYFUNCTION("""COMPUTED_VALUE"""),"Lizzie")</f>
        <v>Lizzie</v>
      </c>
      <c r="M95" s="1" t="str">
        <f ca="1">IFERROR(__xludf.DUMMYFUNCTION("""COMPUTED_VALUE"""),"")</f>
        <v/>
      </c>
      <c r="N95" s="1" t="str">
        <f ca="1">IFERROR(__xludf.DUMMYFUNCTION("""COMPUTED_VALUE"""),"")</f>
        <v/>
      </c>
      <c r="O95" s="1" t="str">
        <f ca="1">IFERROR(__xludf.DUMMYFUNCTION("""COMPUTED_VALUE"""),"Occupied")</f>
        <v>Occupied</v>
      </c>
      <c r="P95" s="1"/>
      <c r="Q95" s="1"/>
      <c r="R95" s="1"/>
      <c r="S95" s="1"/>
      <c r="T95" s="1"/>
      <c r="U95" s="1" t="str">
        <f ca="1">IFERROR(__xludf.DUMMYFUNCTION("""COMPUTED_VALUE"""),"Y")</f>
        <v>Y</v>
      </c>
      <c r="V95" s="1" t="str">
        <f ca="1">IFERROR(__xludf.DUMMYFUNCTION("""COMPUTED_VALUE"""),"Y")</f>
        <v>Y</v>
      </c>
      <c r="W95" s="1"/>
      <c r="X95" s="1"/>
      <c r="Y95" s="1" t="str">
        <f ca="1">IFERROR(__xludf.DUMMYFUNCTION("""COMPUTED_VALUE"""),"Adrian Chu")</f>
        <v>Adrian Chu</v>
      </c>
      <c r="Z95" s="1" t="str">
        <f ca="1">IFERROR(__xludf.DUMMYFUNCTION("""COMPUTED_VALUE"""),"aadchu@gmail.com")</f>
        <v>aadchu@gmail.com</v>
      </c>
      <c r="AA95" s="1"/>
      <c r="AB95" s="1"/>
      <c r="AC95" s="1"/>
    </row>
    <row r="96" spans="1:29">
      <c r="A96" s="1" t="str">
        <f ca="1">IFERROR(__xludf.DUMMYFUNCTION("""COMPUTED_VALUE"""),"16A Forest Street")</f>
        <v>16A Forest Street</v>
      </c>
      <c r="B96" s="1">
        <f ca="1">IFERROR(__xludf.DUMMYFUNCTION("""COMPUTED_VALUE"""),16)</f>
        <v>16</v>
      </c>
      <c r="C96" s="1" t="str">
        <f ca="1">IFERROR(__xludf.DUMMYFUNCTION("""COMPUTED_VALUE"""),"#33")</f>
        <v>#33</v>
      </c>
      <c r="D96" s="1" t="str">
        <f ca="1">IFERROR(__xludf.DUMMYFUNCTION("""COMPUTED_VALUE"""),"16A Forest Street Unit 33")</f>
        <v>16A Forest Street Unit 33</v>
      </c>
      <c r="E96" s="1" t="str">
        <f ca="1">IFERROR(__xludf.DUMMYFUNCTION("""COMPUTED_VALUE"""),"Cambridge")</f>
        <v>Cambridge</v>
      </c>
      <c r="F96" s="1" t="str">
        <f ca="1">IFERROR(__xludf.DUMMYFUNCTION("""COMPUTED_VALUE"""),"Cambridge - Porter Square")</f>
        <v>Cambridge - Porter Square</v>
      </c>
      <c r="G96" s="1">
        <f ca="1">IFERROR(__xludf.DUMMYFUNCTION("""COMPUTED_VALUE"""),2)</f>
        <v>2</v>
      </c>
      <c r="H96" s="1" t="str">
        <f ca="1">IFERROR(__xludf.DUMMYFUNCTION("""COMPUTED_VALUE"""),"B")</f>
        <v>B</v>
      </c>
      <c r="I96" s="4" t="str">
        <f ca="1">IFERROR(__xludf.DUMMYFUNCTION("""COMPUTED_VALUE"""),"16A Forest Street#33B")</f>
        <v>16A Forest Street#33B</v>
      </c>
      <c r="J96" s="4" t="str">
        <f ca="1">IFERROR(__xludf.DUMMYFUNCTION("""COMPUTED_VALUE"""),"5468790c-473e-41f9-8515-f71d7c8ac0a9")</f>
        <v>5468790c-473e-41f9-8515-f71d7c8ac0a9</v>
      </c>
      <c r="K96" s="4">
        <f ca="1">IFERROR(__xludf.DUMMYFUNCTION("""COMPUTED_VALUE"""),995)</f>
        <v>995</v>
      </c>
      <c r="L96" s="1" t="str">
        <f ca="1">IFERROR(__xludf.DUMMYFUNCTION("""COMPUTED_VALUE"""),"Lizzie")</f>
        <v>Lizzie</v>
      </c>
      <c r="M96" s="1" t="str">
        <f ca="1">IFERROR(__xludf.DUMMYFUNCTION("""COMPUTED_VALUE"""),"Lizzie (NOW)")</f>
        <v>Lizzie (NOW)</v>
      </c>
      <c r="N96" s="1" t="str">
        <f ca="1">IFERROR(__xludf.DUMMYFUNCTION("""COMPUTED_VALUE"""),"")</f>
        <v/>
      </c>
      <c r="O96" s="1" t="str">
        <f ca="1">IFERROR(__xludf.DUMMYFUNCTION("""COMPUTED_VALUE"""),"Vacant")</f>
        <v>Vacant</v>
      </c>
      <c r="P96" s="1"/>
      <c r="Q96" s="1"/>
      <c r="R96" s="1"/>
      <c r="S96" s="1"/>
      <c r="T96" s="1"/>
      <c r="U96" s="1" t="str">
        <f ca="1">IFERROR(__xludf.DUMMYFUNCTION("""COMPUTED_VALUE"""),"Y")</f>
        <v>Y</v>
      </c>
      <c r="V96" s="1" t="str">
        <f ca="1">IFERROR(__xludf.DUMMYFUNCTION("""COMPUTED_VALUE"""),"Y")</f>
        <v>Y</v>
      </c>
      <c r="W96" s="1"/>
      <c r="X96" s="1"/>
      <c r="Y96" s="1"/>
      <c r="Z96" s="1"/>
      <c r="AA96" s="1"/>
      <c r="AB96" s="1"/>
      <c r="AC96" s="1"/>
    </row>
    <row r="97" spans="1:29">
      <c r="A97" s="1" t="str">
        <f ca="1">IFERROR(__xludf.DUMMYFUNCTION("""COMPUTED_VALUE"""),"16A Forest Street")</f>
        <v>16A Forest Street</v>
      </c>
      <c r="B97" s="1">
        <f ca="1">IFERROR(__xludf.DUMMYFUNCTION("""COMPUTED_VALUE"""),16)</f>
        <v>16</v>
      </c>
      <c r="C97" s="1" t="str">
        <f ca="1">IFERROR(__xludf.DUMMYFUNCTION("""COMPUTED_VALUE"""),"#33")</f>
        <v>#33</v>
      </c>
      <c r="D97" s="1" t="str">
        <f ca="1">IFERROR(__xludf.DUMMYFUNCTION("""COMPUTED_VALUE"""),"16A Forest Street Unit 33")</f>
        <v>16A Forest Street Unit 33</v>
      </c>
      <c r="E97" s="1" t="str">
        <f ca="1">IFERROR(__xludf.DUMMYFUNCTION("""COMPUTED_VALUE"""),"Cambridge")</f>
        <v>Cambridge</v>
      </c>
      <c r="F97" s="1" t="str">
        <f ca="1">IFERROR(__xludf.DUMMYFUNCTION("""COMPUTED_VALUE"""),"Cambridge - Porter Square")</f>
        <v>Cambridge - Porter Square</v>
      </c>
      <c r="G97" s="1">
        <f ca="1">IFERROR(__xludf.DUMMYFUNCTION("""COMPUTED_VALUE"""),3)</f>
        <v>3</v>
      </c>
      <c r="H97" s="1" t="str">
        <f ca="1">IFERROR(__xludf.DUMMYFUNCTION("""COMPUTED_VALUE"""),"C")</f>
        <v>C</v>
      </c>
      <c r="I97" s="4" t="str">
        <f ca="1">IFERROR(__xludf.DUMMYFUNCTION("""COMPUTED_VALUE"""),"16A Forest Street#33C")</f>
        <v>16A Forest Street#33C</v>
      </c>
      <c r="J97" s="4" t="str">
        <f ca="1">IFERROR(__xludf.DUMMYFUNCTION("""COMPUTED_VALUE"""),"5468790c-473e-41f9-8515-f71d7c8ac0a9")</f>
        <v>5468790c-473e-41f9-8515-f71d7c8ac0a9</v>
      </c>
      <c r="K97" s="4">
        <f ca="1">IFERROR(__xludf.DUMMYFUNCTION("""COMPUTED_VALUE"""),1095)</f>
        <v>1095</v>
      </c>
      <c r="L97" s="1" t="str">
        <f ca="1">IFERROR(__xludf.DUMMYFUNCTION("""COMPUTED_VALUE"""),"Lizzie")</f>
        <v>Lizzie</v>
      </c>
      <c r="M97" s="1" t="str">
        <f ca="1">IFERROR(__xludf.DUMMYFUNCTION("""COMPUTED_VALUE"""),"")</f>
        <v/>
      </c>
      <c r="N97" s="1" t="str">
        <f ca="1">IFERROR(__xludf.DUMMYFUNCTION("""COMPUTED_VALUE"""),"")</f>
        <v/>
      </c>
      <c r="O97" s="1" t="str">
        <f ca="1">IFERROR(__xludf.DUMMYFUNCTION("""COMPUTED_VALUE"""),"Lease Signed")</f>
        <v>Lease Signed</v>
      </c>
      <c r="P97" s="1" t="str">
        <f ca="1">IFERROR(__xludf.DUMMYFUNCTION("""COMPUTED_VALUE"""),"January")</f>
        <v>January</v>
      </c>
      <c r="Q97" s="1"/>
      <c r="R97" s="5">
        <f ca="1">IFERROR(__xludf.DUMMYFUNCTION("""COMPUTED_VALUE"""),44211)</f>
        <v>44211</v>
      </c>
      <c r="S97" s="1"/>
      <c r="T97" s="1"/>
      <c r="U97" s="1" t="str">
        <f ca="1">IFERROR(__xludf.DUMMYFUNCTION("""COMPUTED_VALUE"""),"Y")</f>
        <v>Y</v>
      </c>
      <c r="V97" s="1" t="str">
        <f ca="1">IFERROR(__xludf.DUMMYFUNCTION("""COMPUTED_VALUE"""),"Y")</f>
        <v>Y</v>
      </c>
      <c r="W97" s="1" t="str">
        <f ca="1">IFERROR(__xludf.DUMMYFUNCTION("""COMPUTED_VALUE"""),"Brendan Burney")</f>
        <v>Brendan Burney</v>
      </c>
      <c r="X97" s="1" t="str">
        <f ca="1">IFERROR(__xludf.DUMMYFUNCTION("""COMPUTED_VALUE"""),"brendanburney1@gmail.com")</f>
        <v>brendanburney1@gmail.com</v>
      </c>
      <c r="Y97" s="1"/>
      <c r="Z97" s="1"/>
      <c r="AA97" s="1"/>
      <c r="AB97" s="1"/>
      <c r="AC97" s="1"/>
    </row>
    <row r="98" spans="1:29">
      <c r="A98" s="1" t="str">
        <f ca="1">IFERROR(__xludf.DUMMYFUNCTION("""COMPUTED_VALUE"""),"17 Kenneson Road")</f>
        <v>17 Kenneson Road</v>
      </c>
      <c r="B98" s="1">
        <f ca="1">IFERROR(__xludf.DUMMYFUNCTION("""COMPUTED_VALUE"""),17)</f>
        <v>17</v>
      </c>
      <c r="C98" s="1" t="str">
        <f ca="1">IFERROR(__xludf.DUMMYFUNCTION("""COMPUTED_VALUE"""),"#1")</f>
        <v>#1</v>
      </c>
      <c r="D98" s="1" t="str">
        <f ca="1">IFERROR(__xludf.DUMMYFUNCTION("""COMPUTED_VALUE"""),"17 Kenneson Road Unit 1")</f>
        <v>17 Kenneson Road Unit 1</v>
      </c>
      <c r="E98" s="1" t="str">
        <f ca="1">IFERROR(__xludf.DUMMYFUNCTION("""COMPUTED_VALUE"""),"Somerville")</f>
        <v>Somerville</v>
      </c>
      <c r="F98" s="1" t="str">
        <f ca="1">IFERROR(__xludf.DUMMYFUNCTION("""COMPUTED_VALUE"""),"Somerville - Winter Hill")</f>
        <v>Somerville - Winter Hill</v>
      </c>
      <c r="G98" s="1">
        <f ca="1">IFERROR(__xludf.DUMMYFUNCTION("""COMPUTED_VALUE"""),1)</f>
        <v>1</v>
      </c>
      <c r="H98" s="1" t="str">
        <f ca="1">IFERROR(__xludf.DUMMYFUNCTION("""COMPUTED_VALUE"""),"A")</f>
        <v>A</v>
      </c>
      <c r="I98" s="4" t="str">
        <f ca="1">IFERROR(__xludf.DUMMYFUNCTION("""COMPUTED_VALUE"""),"17 Kenneson Road#1A")</f>
        <v>17 Kenneson Road#1A</v>
      </c>
      <c r="J98" s="4" t="str">
        <f ca="1">IFERROR(__xludf.DUMMYFUNCTION("""COMPUTED_VALUE"""),"480b401e-1c5c-4590-b4ae-ac3468b26b97")</f>
        <v>480b401e-1c5c-4590-b4ae-ac3468b26b97</v>
      </c>
      <c r="K98" s="4">
        <f ca="1">IFERROR(__xludf.DUMMYFUNCTION("""COMPUTED_VALUE"""),960)</f>
        <v>960</v>
      </c>
      <c r="L98" s="1" t="str">
        <f ca="1">IFERROR(__xludf.DUMMYFUNCTION("""COMPUTED_VALUE"""),"Lizzie")</f>
        <v>Lizzie</v>
      </c>
      <c r="M98" s="1" t="str">
        <f ca="1">IFERROR(__xludf.DUMMYFUNCTION("""COMPUTED_VALUE"""),"")</f>
        <v/>
      </c>
      <c r="N98" s="1" t="str">
        <f ca="1">IFERROR(__xludf.DUMMYFUNCTION("""COMPUTED_VALUE"""),"")</f>
        <v/>
      </c>
      <c r="O98" s="1" t="str">
        <f ca="1">IFERROR(__xludf.DUMMYFUNCTION("""COMPUTED_VALUE"""),"Occupied")</f>
        <v>Occupied</v>
      </c>
      <c r="P98" s="1"/>
      <c r="Q98" s="1"/>
      <c r="R98" s="1"/>
      <c r="S98" s="1"/>
      <c r="T98" s="1"/>
      <c r="U98" s="1" t="str">
        <f ca="1">IFERROR(__xludf.DUMMYFUNCTION("""COMPUTED_VALUE"""),"N")</f>
        <v>N</v>
      </c>
      <c r="V98" s="1" t="str">
        <f ca="1">IFERROR(__xludf.DUMMYFUNCTION("""COMPUTED_VALUE"""),"N")</f>
        <v>N</v>
      </c>
      <c r="W98" s="1"/>
      <c r="X98" s="1"/>
      <c r="Y98" s="1" t="str">
        <f ca="1">IFERROR(__xludf.DUMMYFUNCTION("""COMPUTED_VALUE"""),"Bryan Burgess")</f>
        <v>Bryan Burgess</v>
      </c>
      <c r="Z98" s="1" t="str">
        <f ca="1">IFERROR(__xludf.DUMMYFUNCTION("""COMPUTED_VALUE"""),"bryanj1701@icloud.com")</f>
        <v>bryanj1701@icloud.com</v>
      </c>
      <c r="AA98" s="1"/>
      <c r="AB98" s="1"/>
      <c r="AC98" s="1"/>
    </row>
    <row r="99" spans="1:29">
      <c r="A99" s="1" t="str">
        <f ca="1">IFERROR(__xludf.DUMMYFUNCTION("""COMPUTED_VALUE"""),"17 Kenneson Road")</f>
        <v>17 Kenneson Road</v>
      </c>
      <c r="B99" s="1">
        <f ca="1">IFERROR(__xludf.DUMMYFUNCTION("""COMPUTED_VALUE"""),17)</f>
        <v>17</v>
      </c>
      <c r="C99" s="1" t="str">
        <f ca="1">IFERROR(__xludf.DUMMYFUNCTION("""COMPUTED_VALUE"""),"#1")</f>
        <v>#1</v>
      </c>
      <c r="D99" s="1" t="str">
        <f ca="1">IFERROR(__xludf.DUMMYFUNCTION("""COMPUTED_VALUE"""),"17 Kenneson Road Unit 1")</f>
        <v>17 Kenneson Road Unit 1</v>
      </c>
      <c r="E99" s="1" t="str">
        <f ca="1">IFERROR(__xludf.DUMMYFUNCTION("""COMPUTED_VALUE"""),"Somerville")</f>
        <v>Somerville</v>
      </c>
      <c r="F99" s="1" t="str">
        <f ca="1">IFERROR(__xludf.DUMMYFUNCTION("""COMPUTED_VALUE"""),"Somerville - Winter Hill")</f>
        <v>Somerville - Winter Hill</v>
      </c>
      <c r="G99" s="1">
        <f ca="1">IFERROR(__xludf.DUMMYFUNCTION("""COMPUTED_VALUE"""),2)</f>
        <v>2</v>
      </c>
      <c r="H99" s="1" t="str">
        <f ca="1">IFERROR(__xludf.DUMMYFUNCTION("""COMPUTED_VALUE"""),"B")</f>
        <v>B</v>
      </c>
      <c r="I99" s="4" t="str">
        <f ca="1">IFERROR(__xludf.DUMMYFUNCTION("""COMPUTED_VALUE"""),"17 Kenneson Road#1B")</f>
        <v>17 Kenneson Road#1B</v>
      </c>
      <c r="J99" s="4" t="str">
        <f ca="1">IFERROR(__xludf.DUMMYFUNCTION("""COMPUTED_VALUE"""),"480b401e-1c5c-4590-b4ae-ac3468b26b97")</f>
        <v>480b401e-1c5c-4590-b4ae-ac3468b26b97</v>
      </c>
      <c r="K99" s="4">
        <f ca="1">IFERROR(__xludf.DUMMYFUNCTION("""COMPUTED_VALUE"""),850)</f>
        <v>850</v>
      </c>
      <c r="L99" s="1" t="str">
        <f ca="1">IFERROR(__xludf.DUMMYFUNCTION("""COMPUTED_VALUE"""),"Lizzie")</f>
        <v>Lizzie</v>
      </c>
      <c r="M99" s="1" t="str">
        <f ca="1">IFERROR(__xludf.DUMMYFUNCTION("""COMPUTED_VALUE"""),"")</f>
        <v/>
      </c>
      <c r="N99" s="1" t="str">
        <f ca="1">IFERROR(__xludf.DUMMYFUNCTION("""COMPUTED_VALUE"""),"")</f>
        <v/>
      </c>
      <c r="O99" s="1" t="str">
        <f ca="1">IFERROR(__xludf.DUMMYFUNCTION("""COMPUTED_VALUE"""),"Occupied")</f>
        <v>Occupied</v>
      </c>
      <c r="P99" s="1"/>
      <c r="Q99" s="1"/>
      <c r="R99" s="1"/>
      <c r="S99" s="1"/>
      <c r="T99" s="1"/>
      <c r="U99" s="1" t="str">
        <f ca="1">IFERROR(__xludf.DUMMYFUNCTION("""COMPUTED_VALUE"""),"N")</f>
        <v>N</v>
      </c>
      <c r="V99" s="1" t="str">
        <f ca="1">IFERROR(__xludf.DUMMYFUNCTION("""COMPUTED_VALUE"""),"N")</f>
        <v>N</v>
      </c>
      <c r="W99" s="1"/>
      <c r="X99" s="1"/>
      <c r="Y99" s="1" t="str">
        <f ca="1">IFERROR(__xludf.DUMMYFUNCTION("""COMPUTED_VALUE"""),"Julia Ennis")</f>
        <v>Julia Ennis</v>
      </c>
      <c r="Z99" s="1" t="str">
        <f ca="1">IFERROR(__xludf.DUMMYFUNCTION("""COMPUTED_VALUE"""),"juliarennis@gmail.com")</f>
        <v>juliarennis@gmail.com</v>
      </c>
      <c r="AA99" s="1"/>
      <c r="AB99" s="1"/>
      <c r="AC99" s="1"/>
    </row>
    <row r="100" spans="1:29">
      <c r="A100" s="1" t="str">
        <f ca="1">IFERROR(__xludf.DUMMYFUNCTION("""COMPUTED_VALUE"""),"17 Kenneson Road")</f>
        <v>17 Kenneson Road</v>
      </c>
      <c r="B100" s="1">
        <f ca="1">IFERROR(__xludf.DUMMYFUNCTION("""COMPUTED_VALUE"""),17)</f>
        <v>17</v>
      </c>
      <c r="C100" s="1" t="str">
        <f ca="1">IFERROR(__xludf.DUMMYFUNCTION("""COMPUTED_VALUE"""),"#1")</f>
        <v>#1</v>
      </c>
      <c r="D100" s="1" t="str">
        <f ca="1">IFERROR(__xludf.DUMMYFUNCTION("""COMPUTED_VALUE"""),"17 Kenneson Road Unit 1")</f>
        <v>17 Kenneson Road Unit 1</v>
      </c>
      <c r="E100" s="1" t="str">
        <f ca="1">IFERROR(__xludf.DUMMYFUNCTION("""COMPUTED_VALUE"""),"Somerville")</f>
        <v>Somerville</v>
      </c>
      <c r="F100" s="1" t="str">
        <f ca="1">IFERROR(__xludf.DUMMYFUNCTION("""COMPUTED_VALUE"""),"Somerville - Winter Hill")</f>
        <v>Somerville - Winter Hill</v>
      </c>
      <c r="G100" s="1">
        <f ca="1">IFERROR(__xludf.DUMMYFUNCTION("""COMPUTED_VALUE"""),3)</f>
        <v>3</v>
      </c>
      <c r="H100" s="1" t="str">
        <f ca="1">IFERROR(__xludf.DUMMYFUNCTION("""COMPUTED_VALUE"""),"C")</f>
        <v>C</v>
      </c>
      <c r="I100" s="4" t="str">
        <f ca="1">IFERROR(__xludf.DUMMYFUNCTION("""COMPUTED_VALUE"""),"17 Kenneson Road#1C")</f>
        <v>17 Kenneson Road#1C</v>
      </c>
      <c r="J100" s="4" t="str">
        <f ca="1">IFERROR(__xludf.DUMMYFUNCTION("""COMPUTED_VALUE"""),"480b401e-1c5c-4590-b4ae-ac3468b26b97")</f>
        <v>480b401e-1c5c-4590-b4ae-ac3468b26b97</v>
      </c>
      <c r="K100" s="4">
        <f ca="1">IFERROR(__xludf.DUMMYFUNCTION("""COMPUTED_VALUE"""),990)</f>
        <v>990</v>
      </c>
      <c r="L100" s="1" t="str">
        <f ca="1">IFERROR(__xludf.DUMMYFUNCTION("""COMPUTED_VALUE"""),"Lizzie")</f>
        <v>Lizzie</v>
      </c>
      <c r="M100" s="1" t="str">
        <f ca="1">IFERROR(__xludf.DUMMYFUNCTION("""COMPUTED_VALUE"""),"")</f>
        <v/>
      </c>
      <c r="N100" s="1" t="str">
        <f ca="1">IFERROR(__xludf.DUMMYFUNCTION("""COMPUTED_VALUE"""),"")</f>
        <v/>
      </c>
      <c r="O100" s="1" t="str">
        <f ca="1">IFERROR(__xludf.DUMMYFUNCTION("""COMPUTED_VALUE"""),"Occupied")</f>
        <v>Occupied</v>
      </c>
      <c r="P100" s="1"/>
      <c r="Q100" s="1"/>
      <c r="R100" s="1"/>
      <c r="S100" s="1"/>
      <c r="T100" s="1"/>
      <c r="U100" s="1" t="str">
        <f ca="1">IFERROR(__xludf.DUMMYFUNCTION("""COMPUTED_VALUE"""),"N")</f>
        <v>N</v>
      </c>
      <c r="V100" s="1" t="str">
        <f ca="1">IFERROR(__xludf.DUMMYFUNCTION("""COMPUTED_VALUE"""),"N")</f>
        <v>N</v>
      </c>
      <c r="W100" s="1"/>
      <c r="X100" s="1"/>
      <c r="Y100" s="1" t="str">
        <f ca="1">IFERROR(__xludf.DUMMYFUNCTION("""COMPUTED_VALUE"""),"Noa Grooms")</f>
        <v>Noa Grooms</v>
      </c>
      <c r="Z100" s="1" t="str">
        <f ca="1">IFERROR(__xludf.DUMMYFUNCTION("""COMPUTED_VALUE"""),"grooms.n@northeastern.edu")</f>
        <v>grooms.n@northeastern.edu</v>
      </c>
      <c r="AA100" s="1"/>
      <c r="AB100" s="1"/>
      <c r="AC100" s="1"/>
    </row>
    <row r="101" spans="1:29">
      <c r="A101" s="1" t="str">
        <f ca="1">IFERROR(__xludf.DUMMYFUNCTION("""COMPUTED_VALUE"""),"17 Kenneson Road")</f>
        <v>17 Kenneson Road</v>
      </c>
      <c r="B101" s="1">
        <f ca="1">IFERROR(__xludf.DUMMYFUNCTION("""COMPUTED_VALUE"""),17)</f>
        <v>17</v>
      </c>
      <c r="C101" s="1" t="str">
        <f ca="1">IFERROR(__xludf.DUMMYFUNCTION("""COMPUTED_VALUE"""),"#1")</f>
        <v>#1</v>
      </c>
      <c r="D101" s="1" t="str">
        <f ca="1">IFERROR(__xludf.DUMMYFUNCTION("""COMPUTED_VALUE"""),"17 Kenneson Road Unit 1")</f>
        <v>17 Kenneson Road Unit 1</v>
      </c>
      <c r="E101" s="1" t="str">
        <f ca="1">IFERROR(__xludf.DUMMYFUNCTION("""COMPUTED_VALUE"""),"Somerville")</f>
        <v>Somerville</v>
      </c>
      <c r="F101" s="1" t="str">
        <f ca="1">IFERROR(__xludf.DUMMYFUNCTION("""COMPUTED_VALUE"""),"Somerville - Winter Hill")</f>
        <v>Somerville - Winter Hill</v>
      </c>
      <c r="G101" s="1">
        <f ca="1">IFERROR(__xludf.DUMMYFUNCTION("""COMPUTED_VALUE"""),4)</f>
        <v>4</v>
      </c>
      <c r="H101" s="1" t="str">
        <f ca="1">IFERROR(__xludf.DUMMYFUNCTION("""COMPUTED_VALUE"""),"D")</f>
        <v>D</v>
      </c>
      <c r="I101" s="4" t="str">
        <f ca="1">IFERROR(__xludf.DUMMYFUNCTION("""COMPUTED_VALUE"""),"17 Kenneson Road#1D")</f>
        <v>17 Kenneson Road#1D</v>
      </c>
      <c r="J101" s="4" t="str">
        <f ca="1">IFERROR(__xludf.DUMMYFUNCTION("""COMPUTED_VALUE"""),"480b401e-1c5c-4590-b4ae-ac3468b26b97")</f>
        <v>480b401e-1c5c-4590-b4ae-ac3468b26b97</v>
      </c>
      <c r="K101" s="4">
        <f ca="1">IFERROR(__xludf.DUMMYFUNCTION("""COMPUTED_VALUE"""),900)</f>
        <v>900</v>
      </c>
      <c r="L101" s="1" t="str">
        <f ca="1">IFERROR(__xludf.DUMMYFUNCTION("""COMPUTED_VALUE"""),"Lizzie")</f>
        <v>Lizzie</v>
      </c>
      <c r="M101" s="1" t="str">
        <f ca="1">IFERROR(__xludf.DUMMYFUNCTION("""COMPUTED_VALUE"""),"")</f>
        <v/>
      </c>
      <c r="N101" s="1" t="str">
        <f ca="1">IFERROR(__xludf.DUMMYFUNCTION("""COMPUTED_VALUE"""),"")</f>
        <v/>
      </c>
      <c r="O101" s="1" t="str">
        <f ca="1">IFERROR(__xludf.DUMMYFUNCTION("""COMPUTED_VALUE"""),"Occupied")</f>
        <v>Occupied</v>
      </c>
      <c r="P101" s="1"/>
      <c r="Q101" s="1"/>
      <c r="R101" s="1"/>
      <c r="S101" s="1"/>
      <c r="T101" s="1"/>
      <c r="U101" s="1" t="str">
        <f ca="1">IFERROR(__xludf.DUMMYFUNCTION("""COMPUTED_VALUE"""),"N")</f>
        <v>N</v>
      </c>
      <c r="V101" s="1" t="str">
        <f ca="1">IFERROR(__xludf.DUMMYFUNCTION("""COMPUTED_VALUE"""),"N")</f>
        <v>N</v>
      </c>
      <c r="W101" s="1"/>
      <c r="X101" s="1"/>
      <c r="Y101" s="1" t="str">
        <f ca="1">IFERROR(__xludf.DUMMYFUNCTION("""COMPUTED_VALUE"""),"Kyle Caster")</f>
        <v>Kyle Caster</v>
      </c>
      <c r="Z101" s="1" t="str">
        <f ca="1">IFERROR(__xludf.DUMMYFUNCTION("""COMPUTED_VALUE"""),"kcaster93@yahoo.com")</f>
        <v>kcaster93@yahoo.com</v>
      </c>
      <c r="AA101" s="1"/>
      <c r="AB101" s="1" t="str">
        <f ca="1">IFERROR(__xludf.DUMMYFUNCTION("""COMPUTED_VALUE"""),"Julia Ennis")</f>
        <v>Julia Ennis</v>
      </c>
      <c r="AC101" s="1"/>
    </row>
    <row r="102" spans="1:29">
      <c r="A102" s="1" t="str">
        <f ca="1">IFERROR(__xludf.DUMMYFUNCTION("""COMPUTED_VALUE"""),"18 Mount Hood Road")</f>
        <v>18 Mount Hood Road</v>
      </c>
      <c r="B102" s="1">
        <f ca="1">IFERROR(__xludf.DUMMYFUNCTION("""COMPUTED_VALUE"""),18)</f>
        <v>18</v>
      </c>
      <c r="C102" s="1" t="str">
        <f ca="1">IFERROR(__xludf.DUMMYFUNCTION("""COMPUTED_VALUE"""),"#1")</f>
        <v>#1</v>
      </c>
      <c r="D102" s="1" t="str">
        <f ca="1">IFERROR(__xludf.DUMMYFUNCTION("""COMPUTED_VALUE"""),"18 Mount Hood Road Unit 1")</f>
        <v>18 Mount Hood Road Unit 1</v>
      </c>
      <c r="E102" s="1" t="str">
        <f ca="1">IFERROR(__xludf.DUMMYFUNCTION("""COMPUTED_VALUE"""),"Boston")</f>
        <v>Boston</v>
      </c>
      <c r="F102" s="1" t="str">
        <f ca="1">IFERROR(__xludf.DUMMYFUNCTION("""COMPUTED_VALUE"""),"Boston - Brighton")</f>
        <v>Boston - Brighton</v>
      </c>
      <c r="G102" s="1">
        <f ca="1">IFERROR(__xludf.DUMMYFUNCTION("""COMPUTED_VALUE"""),1)</f>
        <v>1</v>
      </c>
      <c r="H102" s="1" t="str">
        <f ca="1">IFERROR(__xludf.DUMMYFUNCTION("""COMPUTED_VALUE"""),"A")</f>
        <v>A</v>
      </c>
      <c r="I102" s="4" t="str">
        <f ca="1">IFERROR(__xludf.DUMMYFUNCTION("""COMPUTED_VALUE"""),"18 Mount Hood Road#1A")</f>
        <v>18 Mount Hood Road#1A</v>
      </c>
      <c r="J102" s="4" t="str">
        <f ca="1">IFERROR(__xludf.DUMMYFUNCTION("""COMPUTED_VALUE"""),"37a7e73b-0593-45d9-8544-c5a5c17db82e")</f>
        <v>37a7e73b-0593-45d9-8544-c5a5c17db82e</v>
      </c>
      <c r="K102" s="4">
        <f ca="1">IFERROR(__xludf.DUMMYFUNCTION("""COMPUTED_VALUE"""),780)</f>
        <v>780</v>
      </c>
      <c r="L102" s="1" t="str">
        <f ca="1">IFERROR(__xludf.DUMMYFUNCTION("""COMPUTED_VALUE"""),"Peter")</f>
        <v>Peter</v>
      </c>
      <c r="M102" s="1" t="str">
        <f ca="1">IFERROR(__xludf.DUMMYFUNCTION("""COMPUTED_VALUE"""),"")</f>
        <v/>
      </c>
      <c r="N102" s="1" t="str">
        <f ca="1">IFERROR(__xludf.DUMMYFUNCTION("""COMPUTED_VALUE"""),"")</f>
        <v/>
      </c>
      <c r="O102" s="1" t="str">
        <f ca="1">IFERROR(__xludf.DUMMYFUNCTION("""COMPUTED_VALUE"""),"Occupied")</f>
        <v>Occupied</v>
      </c>
      <c r="P102" s="1"/>
      <c r="Q102" s="1"/>
      <c r="R102" s="1"/>
      <c r="S102" s="1" t="str">
        <f ca="1">IFERROR(__xludf.DUMMYFUNCTION("""COMPUTED_VALUE"""),"NO CATS OR DOGS")</f>
        <v>NO CATS OR DOGS</v>
      </c>
      <c r="T102" s="1"/>
      <c r="U102" s="1" t="str">
        <f ca="1">IFERROR(__xludf.DUMMYFUNCTION("""COMPUTED_VALUE"""),"N")</f>
        <v>N</v>
      </c>
      <c r="V102" s="1" t="str">
        <f ca="1">IFERROR(__xludf.DUMMYFUNCTION("""COMPUTED_VALUE"""),"N")</f>
        <v>N</v>
      </c>
      <c r="W102" s="1"/>
      <c r="X102" s="1"/>
      <c r="Y102" s="1" t="str">
        <f ca="1">IFERROR(__xludf.DUMMYFUNCTION("""COMPUTED_VALUE"""),"Dana Beeman")</f>
        <v>Dana Beeman</v>
      </c>
      <c r="Z102" s="1" t="str">
        <f ca="1">IFERROR(__xludf.DUMMYFUNCTION("""COMPUTED_VALUE"""),"danabeeman@gmail.com")</f>
        <v>danabeeman@gmail.com</v>
      </c>
      <c r="AA102" s="1"/>
      <c r="AB102" s="1"/>
      <c r="AC102" s="1" t="str">
        <f ca="1">IFERROR(__xludf.DUMMYFUNCTION("""COMPUTED_VALUE"""),"waiting for both")</f>
        <v>waiting for both</v>
      </c>
    </row>
    <row r="103" spans="1:29">
      <c r="A103" s="1" t="str">
        <f ca="1">IFERROR(__xludf.DUMMYFUNCTION("""COMPUTED_VALUE"""),"18 Mount Hood Road")</f>
        <v>18 Mount Hood Road</v>
      </c>
      <c r="B103" s="1">
        <f ca="1">IFERROR(__xludf.DUMMYFUNCTION("""COMPUTED_VALUE"""),18)</f>
        <v>18</v>
      </c>
      <c r="C103" s="1" t="str">
        <f ca="1">IFERROR(__xludf.DUMMYFUNCTION("""COMPUTED_VALUE"""),"#1")</f>
        <v>#1</v>
      </c>
      <c r="D103" s="1" t="str">
        <f ca="1">IFERROR(__xludf.DUMMYFUNCTION("""COMPUTED_VALUE"""),"18 Mount Hood Road Unit 1")</f>
        <v>18 Mount Hood Road Unit 1</v>
      </c>
      <c r="E103" s="1" t="str">
        <f ca="1">IFERROR(__xludf.DUMMYFUNCTION("""COMPUTED_VALUE"""),"Boston")</f>
        <v>Boston</v>
      </c>
      <c r="F103" s="1" t="str">
        <f ca="1">IFERROR(__xludf.DUMMYFUNCTION("""COMPUTED_VALUE"""),"Boston - Brighton")</f>
        <v>Boston - Brighton</v>
      </c>
      <c r="G103" s="1">
        <f ca="1">IFERROR(__xludf.DUMMYFUNCTION("""COMPUTED_VALUE"""),2)</f>
        <v>2</v>
      </c>
      <c r="H103" s="1" t="str">
        <f ca="1">IFERROR(__xludf.DUMMYFUNCTION("""COMPUTED_VALUE"""),"B")</f>
        <v>B</v>
      </c>
      <c r="I103" s="4" t="str">
        <f ca="1">IFERROR(__xludf.DUMMYFUNCTION("""COMPUTED_VALUE"""),"18 Mount Hood Road#1B")</f>
        <v>18 Mount Hood Road#1B</v>
      </c>
      <c r="J103" s="4" t="str">
        <f ca="1">IFERROR(__xludf.DUMMYFUNCTION("""COMPUTED_VALUE"""),"37a7e73b-0593-45d9-8544-c5a5c17db82e")</f>
        <v>37a7e73b-0593-45d9-8544-c5a5c17db82e</v>
      </c>
      <c r="K103" s="4">
        <f ca="1">IFERROR(__xludf.DUMMYFUNCTION("""COMPUTED_VALUE"""),875)</f>
        <v>875</v>
      </c>
      <c r="L103" s="1" t="str">
        <f ca="1">IFERROR(__xludf.DUMMYFUNCTION("""COMPUTED_VALUE"""),"Peter")</f>
        <v>Peter</v>
      </c>
      <c r="M103" s="1" t="str">
        <f ca="1">IFERROR(__xludf.DUMMYFUNCTION("""COMPUTED_VALUE"""),"")</f>
        <v/>
      </c>
      <c r="N103" s="1" t="str">
        <f ca="1">IFERROR(__xludf.DUMMYFUNCTION("""COMPUTED_VALUE"""),"")</f>
        <v/>
      </c>
      <c r="O103" s="1" t="str">
        <f ca="1">IFERROR(__xludf.DUMMYFUNCTION("""COMPUTED_VALUE"""),"Occupied")</f>
        <v>Occupied</v>
      </c>
      <c r="P103" s="1"/>
      <c r="Q103" s="1"/>
      <c r="R103" s="1"/>
      <c r="S103" s="1" t="str">
        <f ca="1">IFERROR(__xludf.DUMMYFUNCTION("""COMPUTED_VALUE"""),"NO CATS OR DOGS")</f>
        <v>NO CATS OR DOGS</v>
      </c>
      <c r="T103" s="1"/>
      <c r="U103" s="1" t="str">
        <f ca="1">IFERROR(__xludf.DUMMYFUNCTION("""COMPUTED_VALUE"""),"N")</f>
        <v>N</v>
      </c>
      <c r="V103" s="1" t="str">
        <f ca="1">IFERROR(__xludf.DUMMYFUNCTION("""COMPUTED_VALUE"""),"N")</f>
        <v>N</v>
      </c>
      <c r="W103" s="1"/>
      <c r="X103" s="1"/>
      <c r="Y103" s="1" t="str">
        <f ca="1">IFERROR(__xludf.DUMMYFUNCTION("""COMPUTED_VALUE"""),"Olivia Wright")</f>
        <v>Olivia Wright</v>
      </c>
      <c r="Z103" s="1" t="str">
        <f ca="1">IFERROR(__xludf.DUMMYFUNCTION("""COMPUTED_VALUE"""),"oliviawright14@gmail.com")</f>
        <v>oliviawright14@gmail.com</v>
      </c>
      <c r="AA103" s="1"/>
      <c r="AB103" s="1"/>
      <c r="AC103" s="1"/>
    </row>
    <row r="104" spans="1:29">
      <c r="A104" s="1" t="str">
        <f ca="1">IFERROR(__xludf.DUMMYFUNCTION("""COMPUTED_VALUE"""),"18 Mount Hood Road")</f>
        <v>18 Mount Hood Road</v>
      </c>
      <c r="B104" s="1">
        <f ca="1">IFERROR(__xludf.DUMMYFUNCTION("""COMPUTED_VALUE"""),18)</f>
        <v>18</v>
      </c>
      <c r="C104" s="1" t="str">
        <f ca="1">IFERROR(__xludf.DUMMYFUNCTION("""COMPUTED_VALUE"""),"#1")</f>
        <v>#1</v>
      </c>
      <c r="D104" s="1" t="str">
        <f ca="1">IFERROR(__xludf.DUMMYFUNCTION("""COMPUTED_VALUE"""),"18 Mount Hood Road Unit 1")</f>
        <v>18 Mount Hood Road Unit 1</v>
      </c>
      <c r="E104" s="1" t="str">
        <f ca="1">IFERROR(__xludf.DUMMYFUNCTION("""COMPUTED_VALUE"""),"Boston")</f>
        <v>Boston</v>
      </c>
      <c r="F104" s="1" t="str">
        <f ca="1">IFERROR(__xludf.DUMMYFUNCTION("""COMPUTED_VALUE"""),"Boston - Brighton")</f>
        <v>Boston - Brighton</v>
      </c>
      <c r="G104" s="1">
        <f ca="1">IFERROR(__xludf.DUMMYFUNCTION("""COMPUTED_VALUE"""),3)</f>
        <v>3</v>
      </c>
      <c r="H104" s="1" t="str">
        <f ca="1">IFERROR(__xludf.DUMMYFUNCTION("""COMPUTED_VALUE"""),"C")</f>
        <v>C</v>
      </c>
      <c r="I104" s="4" t="str">
        <f ca="1">IFERROR(__xludf.DUMMYFUNCTION("""COMPUTED_VALUE"""),"18 Mount Hood Road#1C")</f>
        <v>18 Mount Hood Road#1C</v>
      </c>
      <c r="J104" s="4" t="str">
        <f ca="1">IFERROR(__xludf.DUMMYFUNCTION("""COMPUTED_VALUE"""),"37a7e73b-0593-45d9-8544-c5a5c17db82e")</f>
        <v>37a7e73b-0593-45d9-8544-c5a5c17db82e</v>
      </c>
      <c r="K104" s="4">
        <f ca="1">IFERROR(__xludf.DUMMYFUNCTION("""COMPUTED_VALUE"""),840)</f>
        <v>840</v>
      </c>
      <c r="L104" s="1" t="str">
        <f ca="1">IFERROR(__xludf.DUMMYFUNCTION("""COMPUTED_VALUE"""),"Peter")</f>
        <v>Peter</v>
      </c>
      <c r="M104" s="1" t="str">
        <f ca="1">IFERROR(__xludf.DUMMYFUNCTION("""COMPUTED_VALUE"""),"")</f>
        <v/>
      </c>
      <c r="N104" s="1" t="str">
        <f ca="1">IFERROR(__xludf.DUMMYFUNCTION("""COMPUTED_VALUE"""),"")</f>
        <v/>
      </c>
      <c r="O104" s="1" t="str">
        <f ca="1">IFERROR(__xludf.DUMMYFUNCTION("""COMPUTED_VALUE"""),"Occupied")</f>
        <v>Occupied</v>
      </c>
      <c r="P104" s="1"/>
      <c r="Q104" s="1"/>
      <c r="R104" s="1"/>
      <c r="S104" s="1" t="str">
        <f ca="1">IFERROR(__xludf.DUMMYFUNCTION("""COMPUTED_VALUE"""),"NO CATS OR DOGS")</f>
        <v>NO CATS OR DOGS</v>
      </c>
      <c r="T104" s="1"/>
      <c r="U104" s="1" t="str">
        <f ca="1">IFERROR(__xludf.DUMMYFUNCTION("""COMPUTED_VALUE"""),"N")</f>
        <v>N</v>
      </c>
      <c r="V104" s="1" t="str">
        <f ca="1">IFERROR(__xludf.DUMMYFUNCTION("""COMPUTED_VALUE"""),"N")</f>
        <v>N</v>
      </c>
      <c r="W104" s="1"/>
      <c r="X104" s="1"/>
      <c r="Y104" s="1" t="str">
        <f ca="1">IFERROR(__xludf.DUMMYFUNCTION("""COMPUTED_VALUE"""),"Abigail Palmer")</f>
        <v>Abigail Palmer</v>
      </c>
      <c r="Z104" s="1" t="str">
        <f ca="1">IFERROR(__xludf.DUMMYFUNCTION("""COMPUTED_VALUE"""),"abigail.r.palmer@gmail.com")</f>
        <v>abigail.r.palmer@gmail.com</v>
      </c>
      <c r="AA104" s="1"/>
      <c r="AB104" s="1"/>
      <c r="AC104" s="1"/>
    </row>
    <row r="105" spans="1:29">
      <c r="A105" s="1" t="str">
        <f ca="1">IFERROR(__xludf.DUMMYFUNCTION("""COMPUTED_VALUE"""),"18 Mount Hood Road")</f>
        <v>18 Mount Hood Road</v>
      </c>
      <c r="B105" s="1">
        <f ca="1">IFERROR(__xludf.DUMMYFUNCTION("""COMPUTED_VALUE"""),18)</f>
        <v>18</v>
      </c>
      <c r="C105" s="1" t="str">
        <f ca="1">IFERROR(__xludf.DUMMYFUNCTION("""COMPUTED_VALUE"""),"#1")</f>
        <v>#1</v>
      </c>
      <c r="D105" s="1" t="str">
        <f ca="1">IFERROR(__xludf.DUMMYFUNCTION("""COMPUTED_VALUE"""),"18 Mount Hood Road Unit 1")</f>
        <v>18 Mount Hood Road Unit 1</v>
      </c>
      <c r="E105" s="1" t="str">
        <f ca="1">IFERROR(__xludf.DUMMYFUNCTION("""COMPUTED_VALUE"""),"Boston")</f>
        <v>Boston</v>
      </c>
      <c r="F105" s="1" t="str">
        <f ca="1">IFERROR(__xludf.DUMMYFUNCTION("""COMPUTED_VALUE"""),"Boston - Brighton")</f>
        <v>Boston - Brighton</v>
      </c>
      <c r="G105" s="1">
        <f ca="1">IFERROR(__xludf.DUMMYFUNCTION("""COMPUTED_VALUE"""),4)</f>
        <v>4</v>
      </c>
      <c r="H105" s="1" t="str">
        <f ca="1">IFERROR(__xludf.DUMMYFUNCTION("""COMPUTED_VALUE"""),"D")</f>
        <v>D</v>
      </c>
      <c r="I105" s="4" t="str">
        <f ca="1">IFERROR(__xludf.DUMMYFUNCTION("""COMPUTED_VALUE"""),"18 Mount Hood Road#1D")</f>
        <v>18 Mount Hood Road#1D</v>
      </c>
      <c r="J105" s="4" t="str">
        <f ca="1">IFERROR(__xludf.DUMMYFUNCTION("""COMPUTED_VALUE"""),"37a7e73b-0593-45d9-8544-c5a5c17db82e")</f>
        <v>37a7e73b-0593-45d9-8544-c5a5c17db82e</v>
      </c>
      <c r="K105" s="4">
        <f ca="1">IFERROR(__xludf.DUMMYFUNCTION("""COMPUTED_VALUE"""),830)</f>
        <v>830</v>
      </c>
      <c r="L105" s="1" t="str">
        <f ca="1">IFERROR(__xludf.DUMMYFUNCTION("""COMPUTED_VALUE"""),"Peter")</f>
        <v>Peter</v>
      </c>
      <c r="M105" s="1" t="str">
        <f ca="1">IFERROR(__xludf.DUMMYFUNCTION("""COMPUTED_VALUE"""),"")</f>
        <v/>
      </c>
      <c r="N105" s="1" t="str">
        <f ca="1">IFERROR(__xludf.DUMMYFUNCTION("""COMPUTED_VALUE"""),"")</f>
        <v/>
      </c>
      <c r="O105" s="1" t="str">
        <f ca="1">IFERROR(__xludf.DUMMYFUNCTION("""COMPUTED_VALUE"""),"Occupied")</f>
        <v>Occupied</v>
      </c>
      <c r="P105" s="1"/>
      <c r="Q105" s="1"/>
      <c r="R105" s="1"/>
      <c r="S105" s="1" t="str">
        <f ca="1">IFERROR(__xludf.DUMMYFUNCTION("""COMPUTED_VALUE"""),"NO CATS OR DOGS")</f>
        <v>NO CATS OR DOGS</v>
      </c>
      <c r="T105" s="1"/>
      <c r="U105" s="1" t="str">
        <f ca="1">IFERROR(__xludf.DUMMYFUNCTION("""COMPUTED_VALUE"""),"N")</f>
        <v>N</v>
      </c>
      <c r="V105" s="1" t="str">
        <f ca="1">IFERROR(__xludf.DUMMYFUNCTION("""COMPUTED_VALUE"""),"N")</f>
        <v>N</v>
      </c>
      <c r="W105" s="1"/>
      <c r="X105" s="1"/>
      <c r="Y105" s="1" t="str">
        <f ca="1">IFERROR(__xludf.DUMMYFUNCTION("""COMPUTED_VALUE"""),"Nina Maitland")</f>
        <v>Nina Maitland</v>
      </c>
      <c r="Z105" s="1" t="str">
        <f ca="1">IFERROR(__xludf.DUMMYFUNCTION("""COMPUTED_VALUE"""),"ninam@bu.edu")</f>
        <v>ninam@bu.edu</v>
      </c>
      <c r="AA105" s="1"/>
      <c r="AB105" s="1"/>
      <c r="AC105" s="1"/>
    </row>
    <row r="106" spans="1:29">
      <c r="A106" s="1" t="str">
        <f ca="1">IFERROR(__xludf.DUMMYFUNCTION("""COMPUTED_VALUE"""),"18 Mount Hood Road")</f>
        <v>18 Mount Hood Road</v>
      </c>
      <c r="B106" s="1">
        <f ca="1">IFERROR(__xludf.DUMMYFUNCTION("""COMPUTED_VALUE"""),18)</f>
        <v>18</v>
      </c>
      <c r="C106" s="1" t="str">
        <f ca="1">IFERROR(__xludf.DUMMYFUNCTION("""COMPUTED_VALUE"""),"#1")</f>
        <v>#1</v>
      </c>
      <c r="D106" s="1" t="str">
        <f ca="1">IFERROR(__xludf.DUMMYFUNCTION("""COMPUTED_VALUE"""),"18 Mount Hood Road Unit 1")</f>
        <v>18 Mount Hood Road Unit 1</v>
      </c>
      <c r="E106" s="1" t="str">
        <f ca="1">IFERROR(__xludf.DUMMYFUNCTION("""COMPUTED_VALUE"""),"Boston")</f>
        <v>Boston</v>
      </c>
      <c r="F106" s="1" t="str">
        <f ca="1">IFERROR(__xludf.DUMMYFUNCTION("""COMPUTED_VALUE"""),"Boston - Brighton")</f>
        <v>Boston - Brighton</v>
      </c>
      <c r="G106" s="1">
        <f ca="1">IFERROR(__xludf.DUMMYFUNCTION("""COMPUTED_VALUE"""),5)</f>
        <v>5</v>
      </c>
      <c r="H106" s="1" t="str">
        <f ca="1">IFERROR(__xludf.DUMMYFUNCTION("""COMPUTED_VALUE"""),"E")</f>
        <v>E</v>
      </c>
      <c r="I106" s="4" t="str">
        <f ca="1">IFERROR(__xludf.DUMMYFUNCTION("""COMPUTED_VALUE"""),"18 Mount Hood Road#1E")</f>
        <v>18 Mount Hood Road#1E</v>
      </c>
      <c r="J106" s="4" t="str">
        <f ca="1">IFERROR(__xludf.DUMMYFUNCTION("""COMPUTED_VALUE"""),"37a7e73b-0593-45d9-8544-c5a5c17db82e")</f>
        <v>37a7e73b-0593-45d9-8544-c5a5c17db82e</v>
      </c>
      <c r="K106" s="4">
        <f ca="1">IFERROR(__xludf.DUMMYFUNCTION("""COMPUTED_VALUE"""),650)</f>
        <v>650</v>
      </c>
      <c r="L106" s="1" t="str">
        <f ca="1">IFERROR(__xludf.DUMMYFUNCTION("""COMPUTED_VALUE"""),"Peter")</f>
        <v>Peter</v>
      </c>
      <c r="M106" s="1" t="str">
        <f ca="1">IFERROR(__xludf.DUMMYFUNCTION("""COMPUTED_VALUE"""),"")</f>
        <v/>
      </c>
      <c r="N106" s="1" t="str">
        <f ca="1">IFERROR(__xludf.DUMMYFUNCTION("""COMPUTED_VALUE"""),"")</f>
        <v/>
      </c>
      <c r="O106" s="1" t="str">
        <f ca="1">IFERROR(__xludf.DUMMYFUNCTION("""COMPUTED_VALUE"""),"Occupied")</f>
        <v>Occupied</v>
      </c>
      <c r="P106" s="1"/>
      <c r="Q106" s="1"/>
      <c r="R106" s="1"/>
      <c r="S106" s="1" t="str">
        <f ca="1">IFERROR(__xludf.DUMMYFUNCTION("""COMPUTED_VALUE"""),"NO CATS OR DOGS")</f>
        <v>NO CATS OR DOGS</v>
      </c>
      <c r="T106" s="1"/>
      <c r="U106" s="1" t="str">
        <f ca="1">IFERROR(__xludf.DUMMYFUNCTION("""COMPUTED_VALUE"""),"N")</f>
        <v>N</v>
      </c>
      <c r="V106" s="1" t="str">
        <f ca="1">IFERROR(__xludf.DUMMYFUNCTION("""COMPUTED_VALUE"""),"N")</f>
        <v>N</v>
      </c>
      <c r="W106" s="1"/>
      <c r="X106" s="1"/>
      <c r="Y106" s="1" t="str">
        <f ca="1">IFERROR(__xludf.DUMMYFUNCTION("""COMPUTED_VALUE"""),"Tyler Armstrong")</f>
        <v>Tyler Armstrong</v>
      </c>
      <c r="Z106" s="1" t="str">
        <f ca="1">IFERROR(__xludf.DUMMYFUNCTION("""COMPUTED_VALUE"""),"callme917@icloud.com")</f>
        <v>callme917@icloud.com</v>
      </c>
      <c r="AA106" s="1"/>
      <c r="AB106" s="1"/>
      <c r="AC106" s="1"/>
    </row>
    <row r="107" spans="1:29">
      <c r="A107" s="1" t="str">
        <f ca="1">IFERROR(__xludf.DUMMYFUNCTION("""COMPUTED_VALUE"""),"18 Mount Hood Road")</f>
        <v>18 Mount Hood Road</v>
      </c>
      <c r="B107" s="1">
        <f ca="1">IFERROR(__xludf.DUMMYFUNCTION("""COMPUTED_VALUE"""),18)</f>
        <v>18</v>
      </c>
      <c r="C107" s="1" t="str">
        <f ca="1">IFERROR(__xludf.DUMMYFUNCTION("""COMPUTED_VALUE"""),"#2")</f>
        <v>#2</v>
      </c>
      <c r="D107" s="1" t="str">
        <f ca="1">IFERROR(__xludf.DUMMYFUNCTION("""COMPUTED_VALUE"""),"18 Mount Hood Road Unit 2")</f>
        <v>18 Mount Hood Road Unit 2</v>
      </c>
      <c r="E107" s="1" t="str">
        <f ca="1">IFERROR(__xludf.DUMMYFUNCTION("""COMPUTED_VALUE"""),"Boston")</f>
        <v>Boston</v>
      </c>
      <c r="F107" s="1" t="str">
        <f ca="1">IFERROR(__xludf.DUMMYFUNCTION("""COMPUTED_VALUE"""),"Boston - Brighton")</f>
        <v>Boston - Brighton</v>
      </c>
      <c r="G107" s="1">
        <f ca="1">IFERROR(__xludf.DUMMYFUNCTION("""COMPUTED_VALUE"""),1)</f>
        <v>1</v>
      </c>
      <c r="H107" s="1" t="str">
        <f ca="1">IFERROR(__xludf.DUMMYFUNCTION("""COMPUTED_VALUE"""),"A")</f>
        <v>A</v>
      </c>
      <c r="I107" s="4" t="str">
        <f ca="1">IFERROR(__xludf.DUMMYFUNCTION("""COMPUTED_VALUE"""),"18 Mount Hood Road#2A")</f>
        <v>18 Mount Hood Road#2A</v>
      </c>
      <c r="J107" s="4" t="str">
        <f ca="1">IFERROR(__xludf.DUMMYFUNCTION("""COMPUTED_VALUE"""),"a1c5e7cf-d2ae-4832-adde-6e7119ce7952")</f>
        <v>a1c5e7cf-d2ae-4832-adde-6e7119ce7952</v>
      </c>
      <c r="K107" s="4">
        <f ca="1">IFERROR(__xludf.DUMMYFUNCTION("""COMPUTED_VALUE"""),650)</f>
        <v>650</v>
      </c>
      <c r="L107" s="1" t="str">
        <f ca="1">IFERROR(__xludf.DUMMYFUNCTION("""COMPUTED_VALUE"""),"Peter")</f>
        <v>Peter</v>
      </c>
      <c r="M107" s="1" t="str">
        <f ca="1">IFERROR(__xludf.DUMMYFUNCTION("""COMPUTED_VALUE"""),"")</f>
        <v/>
      </c>
      <c r="N107" s="1" t="str">
        <f ca="1">IFERROR(__xludf.DUMMYFUNCTION("""COMPUTED_VALUE"""),"")</f>
        <v/>
      </c>
      <c r="O107" s="1" t="str">
        <f ca="1">IFERROR(__xludf.DUMMYFUNCTION("""COMPUTED_VALUE"""),"Occupied")</f>
        <v>Occupied</v>
      </c>
      <c r="P107" s="1"/>
      <c r="Q107" s="1"/>
      <c r="R107" s="1"/>
      <c r="S107" s="1" t="str">
        <f ca="1">IFERROR(__xludf.DUMMYFUNCTION("""COMPUTED_VALUE"""),"NO CATS OR DOGS")</f>
        <v>NO CATS OR DOGS</v>
      </c>
      <c r="T107" s="1"/>
      <c r="U107" s="1" t="str">
        <f ca="1">IFERROR(__xludf.DUMMYFUNCTION("""COMPUTED_VALUE"""),"N")</f>
        <v>N</v>
      </c>
      <c r="V107" s="1" t="str">
        <f ca="1">IFERROR(__xludf.DUMMYFUNCTION("""COMPUTED_VALUE"""),"N")</f>
        <v>N</v>
      </c>
      <c r="W107" s="1"/>
      <c r="X107" s="1"/>
      <c r="Y107" s="1" t="str">
        <f ca="1">IFERROR(__xludf.DUMMYFUNCTION("""COMPUTED_VALUE"""),"Romana Murad")</f>
        <v>Romana Murad</v>
      </c>
      <c r="Z107" s="1" t="str">
        <f ca="1">IFERROR(__xludf.DUMMYFUNCTION("""COMPUTED_VALUE"""),"Rmurad@clarku.edu")</f>
        <v>Rmurad@clarku.edu</v>
      </c>
      <c r="AA107" s="1"/>
      <c r="AB107" s="1"/>
      <c r="AC107" s="1"/>
    </row>
    <row r="108" spans="1:29">
      <c r="A108" s="1" t="str">
        <f ca="1">IFERROR(__xludf.DUMMYFUNCTION("""COMPUTED_VALUE"""),"18 Mount Hood Road")</f>
        <v>18 Mount Hood Road</v>
      </c>
      <c r="B108" s="1">
        <f ca="1">IFERROR(__xludf.DUMMYFUNCTION("""COMPUTED_VALUE"""),18)</f>
        <v>18</v>
      </c>
      <c r="C108" s="1" t="str">
        <f ca="1">IFERROR(__xludf.DUMMYFUNCTION("""COMPUTED_VALUE"""),"#2")</f>
        <v>#2</v>
      </c>
      <c r="D108" s="1" t="str">
        <f ca="1">IFERROR(__xludf.DUMMYFUNCTION("""COMPUTED_VALUE"""),"18 Mount Hood Road Unit 2")</f>
        <v>18 Mount Hood Road Unit 2</v>
      </c>
      <c r="E108" s="1" t="str">
        <f ca="1">IFERROR(__xludf.DUMMYFUNCTION("""COMPUTED_VALUE"""),"Boston")</f>
        <v>Boston</v>
      </c>
      <c r="F108" s="1" t="str">
        <f ca="1">IFERROR(__xludf.DUMMYFUNCTION("""COMPUTED_VALUE"""),"Boston - Brighton")</f>
        <v>Boston - Brighton</v>
      </c>
      <c r="G108" s="1">
        <f ca="1">IFERROR(__xludf.DUMMYFUNCTION("""COMPUTED_VALUE"""),2)</f>
        <v>2</v>
      </c>
      <c r="H108" s="1" t="str">
        <f ca="1">IFERROR(__xludf.DUMMYFUNCTION("""COMPUTED_VALUE"""),"B")</f>
        <v>B</v>
      </c>
      <c r="I108" s="4" t="str">
        <f ca="1">IFERROR(__xludf.DUMMYFUNCTION("""COMPUTED_VALUE"""),"18 Mount Hood Road#2B")</f>
        <v>18 Mount Hood Road#2B</v>
      </c>
      <c r="J108" s="4" t="str">
        <f ca="1">IFERROR(__xludf.DUMMYFUNCTION("""COMPUTED_VALUE"""),"a1c5e7cf-d2ae-4832-adde-6e7119ce7952")</f>
        <v>a1c5e7cf-d2ae-4832-adde-6e7119ce7952</v>
      </c>
      <c r="K108" s="4">
        <f ca="1">IFERROR(__xludf.DUMMYFUNCTION("""COMPUTED_VALUE"""),780)</f>
        <v>780</v>
      </c>
      <c r="L108" s="1" t="str">
        <f ca="1">IFERROR(__xludf.DUMMYFUNCTION("""COMPUTED_VALUE"""),"Peter")</f>
        <v>Peter</v>
      </c>
      <c r="M108" s="1" t="str">
        <f ca="1">IFERROR(__xludf.DUMMYFUNCTION("""COMPUTED_VALUE"""),"")</f>
        <v/>
      </c>
      <c r="N108" s="1" t="str">
        <f ca="1">IFERROR(__xludf.DUMMYFUNCTION("""COMPUTED_VALUE"""),"")</f>
        <v/>
      </c>
      <c r="O108" s="1" t="str">
        <f ca="1">IFERROR(__xludf.DUMMYFUNCTION("""COMPUTED_VALUE"""),"Occupied")</f>
        <v>Occupied</v>
      </c>
      <c r="P108" s="1"/>
      <c r="Q108" s="1"/>
      <c r="R108" s="1"/>
      <c r="S108" s="1" t="str">
        <f ca="1">IFERROR(__xludf.DUMMYFUNCTION("""COMPUTED_VALUE"""),"NO CATS OR DOGS")</f>
        <v>NO CATS OR DOGS</v>
      </c>
      <c r="T108" s="1"/>
      <c r="U108" s="1" t="str">
        <f ca="1">IFERROR(__xludf.DUMMYFUNCTION("""COMPUTED_VALUE"""),"N")</f>
        <v>N</v>
      </c>
      <c r="V108" s="1" t="str">
        <f ca="1">IFERROR(__xludf.DUMMYFUNCTION("""COMPUTED_VALUE"""),"N")</f>
        <v>N</v>
      </c>
      <c r="W108" s="1"/>
      <c r="X108" s="1"/>
      <c r="Y108" s="1" t="str">
        <f ca="1">IFERROR(__xludf.DUMMYFUNCTION("""COMPUTED_VALUE"""),"Sara Fagin")</f>
        <v>Sara Fagin</v>
      </c>
      <c r="Z108" s="1" t="str">
        <f ca="1">IFERROR(__xludf.DUMMYFUNCTION("""COMPUTED_VALUE"""),"Sfagin@bu.edu")</f>
        <v>Sfagin@bu.edu</v>
      </c>
      <c r="AA108" s="1"/>
      <c r="AB108" s="1"/>
      <c r="AC108" s="1"/>
    </row>
    <row r="109" spans="1:29">
      <c r="A109" s="1" t="str">
        <f ca="1">IFERROR(__xludf.DUMMYFUNCTION("""COMPUTED_VALUE"""),"18 Mount Hood Road")</f>
        <v>18 Mount Hood Road</v>
      </c>
      <c r="B109" s="1">
        <f ca="1">IFERROR(__xludf.DUMMYFUNCTION("""COMPUTED_VALUE"""),18)</f>
        <v>18</v>
      </c>
      <c r="C109" s="1" t="str">
        <f ca="1">IFERROR(__xludf.DUMMYFUNCTION("""COMPUTED_VALUE"""),"#2")</f>
        <v>#2</v>
      </c>
      <c r="D109" s="1" t="str">
        <f ca="1">IFERROR(__xludf.DUMMYFUNCTION("""COMPUTED_VALUE"""),"18 Mount Hood Road Unit 2")</f>
        <v>18 Mount Hood Road Unit 2</v>
      </c>
      <c r="E109" s="1" t="str">
        <f ca="1">IFERROR(__xludf.DUMMYFUNCTION("""COMPUTED_VALUE"""),"Boston")</f>
        <v>Boston</v>
      </c>
      <c r="F109" s="1" t="str">
        <f ca="1">IFERROR(__xludf.DUMMYFUNCTION("""COMPUTED_VALUE"""),"Boston - Brighton")</f>
        <v>Boston - Brighton</v>
      </c>
      <c r="G109" s="1">
        <f ca="1">IFERROR(__xludf.DUMMYFUNCTION("""COMPUTED_VALUE"""),3)</f>
        <v>3</v>
      </c>
      <c r="H109" s="1" t="str">
        <f ca="1">IFERROR(__xludf.DUMMYFUNCTION("""COMPUTED_VALUE"""),"C")</f>
        <v>C</v>
      </c>
      <c r="I109" s="4" t="str">
        <f ca="1">IFERROR(__xludf.DUMMYFUNCTION("""COMPUTED_VALUE"""),"18 Mount Hood Road#2C")</f>
        <v>18 Mount Hood Road#2C</v>
      </c>
      <c r="J109" s="4" t="str">
        <f ca="1">IFERROR(__xludf.DUMMYFUNCTION("""COMPUTED_VALUE"""),"a1c5e7cf-d2ae-4832-adde-6e7119ce7952")</f>
        <v>a1c5e7cf-d2ae-4832-adde-6e7119ce7952</v>
      </c>
      <c r="K109" s="4">
        <f ca="1">IFERROR(__xludf.DUMMYFUNCTION("""COMPUTED_VALUE"""),880)</f>
        <v>880</v>
      </c>
      <c r="L109" s="1" t="str">
        <f ca="1">IFERROR(__xludf.DUMMYFUNCTION("""COMPUTED_VALUE"""),"Peter")</f>
        <v>Peter</v>
      </c>
      <c r="M109" s="1" t="str">
        <f ca="1">IFERROR(__xludf.DUMMYFUNCTION("""COMPUTED_VALUE"""),"")</f>
        <v/>
      </c>
      <c r="N109" s="1" t="str">
        <f ca="1">IFERROR(__xludf.DUMMYFUNCTION("""COMPUTED_VALUE"""),"")</f>
        <v/>
      </c>
      <c r="O109" s="1" t="str">
        <f ca="1">IFERROR(__xludf.DUMMYFUNCTION("""COMPUTED_VALUE"""),"Occupied")</f>
        <v>Occupied</v>
      </c>
      <c r="P109" s="1"/>
      <c r="Q109" s="1"/>
      <c r="R109" s="1"/>
      <c r="S109" s="1" t="str">
        <f ca="1">IFERROR(__xludf.DUMMYFUNCTION("""COMPUTED_VALUE"""),"NO CATS OR DOGS")</f>
        <v>NO CATS OR DOGS</v>
      </c>
      <c r="T109" s="1"/>
      <c r="U109" s="1" t="str">
        <f ca="1">IFERROR(__xludf.DUMMYFUNCTION("""COMPUTED_VALUE"""),"N")</f>
        <v>N</v>
      </c>
      <c r="V109" s="1" t="str">
        <f ca="1">IFERROR(__xludf.DUMMYFUNCTION("""COMPUTED_VALUE"""),"N")</f>
        <v>N</v>
      </c>
      <c r="W109" s="1"/>
      <c r="X109" s="1"/>
      <c r="Y109" s="1" t="str">
        <f ca="1">IFERROR(__xludf.DUMMYFUNCTION("""COMPUTED_VALUE"""),"Anna Sedova")</f>
        <v>Anna Sedova</v>
      </c>
      <c r="Z109" s="1" t="str">
        <f ca="1">IFERROR(__xludf.DUMMYFUNCTION("""COMPUTED_VALUE"""),"annasedova75@gmail.com")</f>
        <v>annasedova75@gmail.com</v>
      </c>
      <c r="AA109" s="1"/>
      <c r="AB109" s="1"/>
      <c r="AC109" s="1"/>
    </row>
    <row r="110" spans="1:29">
      <c r="A110" s="1" t="str">
        <f ca="1">IFERROR(__xludf.DUMMYFUNCTION("""COMPUTED_VALUE"""),"18 Mount Hood Road")</f>
        <v>18 Mount Hood Road</v>
      </c>
      <c r="B110" s="1">
        <f ca="1">IFERROR(__xludf.DUMMYFUNCTION("""COMPUTED_VALUE"""),18)</f>
        <v>18</v>
      </c>
      <c r="C110" s="1" t="str">
        <f ca="1">IFERROR(__xludf.DUMMYFUNCTION("""COMPUTED_VALUE"""),"#2")</f>
        <v>#2</v>
      </c>
      <c r="D110" s="1" t="str">
        <f ca="1">IFERROR(__xludf.DUMMYFUNCTION("""COMPUTED_VALUE"""),"18 Mount Hood Road Unit 2")</f>
        <v>18 Mount Hood Road Unit 2</v>
      </c>
      <c r="E110" s="1" t="str">
        <f ca="1">IFERROR(__xludf.DUMMYFUNCTION("""COMPUTED_VALUE"""),"Boston")</f>
        <v>Boston</v>
      </c>
      <c r="F110" s="1" t="str">
        <f ca="1">IFERROR(__xludf.DUMMYFUNCTION("""COMPUTED_VALUE"""),"Boston - Brighton")</f>
        <v>Boston - Brighton</v>
      </c>
      <c r="G110" s="1">
        <f ca="1">IFERROR(__xludf.DUMMYFUNCTION("""COMPUTED_VALUE"""),4)</f>
        <v>4</v>
      </c>
      <c r="H110" s="1" t="str">
        <f ca="1">IFERROR(__xludf.DUMMYFUNCTION("""COMPUTED_VALUE"""),"D")</f>
        <v>D</v>
      </c>
      <c r="I110" s="4" t="str">
        <f ca="1">IFERROR(__xludf.DUMMYFUNCTION("""COMPUTED_VALUE"""),"18 Mount Hood Road#2D")</f>
        <v>18 Mount Hood Road#2D</v>
      </c>
      <c r="J110" s="4" t="str">
        <f ca="1">IFERROR(__xludf.DUMMYFUNCTION("""COMPUTED_VALUE"""),"a1c5e7cf-d2ae-4832-adde-6e7119ce7952")</f>
        <v>a1c5e7cf-d2ae-4832-adde-6e7119ce7952</v>
      </c>
      <c r="K110" s="4">
        <f ca="1">IFERROR(__xludf.DUMMYFUNCTION("""COMPUTED_VALUE"""),890)</f>
        <v>890</v>
      </c>
      <c r="L110" s="1" t="str">
        <f ca="1">IFERROR(__xludf.DUMMYFUNCTION("""COMPUTED_VALUE"""),"Peter")</f>
        <v>Peter</v>
      </c>
      <c r="M110" s="1" t="str">
        <f ca="1">IFERROR(__xludf.DUMMYFUNCTION("""COMPUTED_VALUE"""),"")</f>
        <v/>
      </c>
      <c r="N110" s="1" t="str">
        <f ca="1">IFERROR(__xludf.DUMMYFUNCTION("""COMPUTED_VALUE"""),"")</f>
        <v/>
      </c>
      <c r="O110" s="1" t="str">
        <f ca="1">IFERROR(__xludf.DUMMYFUNCTION("""COMPUTED_VALUE"""),"Occupied")</f>
        <v>Occupied</v>
      </c>
      <c r="P110" s="1"/>
      <c r="Q110" s="1"/>
      <c r="R110" s="1"/>
      <c r="S110" s="1" t="str">
        <f ca="1">IFERROR(__xludf.DUMMYFUNCTION("""COMPUTED_VALUE"""),"NO CATS OR DOGS")</f>
        <v>NO CATS OR DOGS</v>
      </c>
      <c r="T110" s="1"/>
      <c r="U110" s="1" t="str">
        <f ca="1">IFERROR(__xludf.DUMMYFUNCTION("""COMPUTED_VALUE"""),"N")</f>
        <v>N</v>
      </c>
      <c r="V110" s="1" t="str">
        <f ca="1">IFERROR(__xludf.DUMMYFUNCTION("""COMPUTED_VALUE"""),"N")</f>
        <v>N</v>
      </c>
      <c r="W110" s="1"/>
      <c r="X110" s="1"/>
      <c r="Y110" s="1" t="str">
        <f ca="1">IFERROR(__xludf.DUMMYFUNCTION("""COMPUTED_VALUE"""),"Ery Zhu")</f>
        <v>Ery Zhu</v>
      </c>
      <c r="Z110" s="1" t="str">
        <f ca="1">IFERROR(__xludf.DUMMYFUNCTION("""COMPUTED_VALUE"""),"eryrzhu@gmail.com")</f>
        <v>eryrzhu@gmail.com</v>
      </c>
      <c r="AA110" s="1"/>
      <c r="AB110" s="1"/>
      <c r="AC110" s="1"/>
    </row>
    <row r="111" spans="1:29">
      <c r="A111" s="1" t="str">
        <f ca="1">IFERROR(__xludf.DUMMYFUNCTION("""COMPUTED_VALUE"""),"18 Mount Hood Road")</f>
        <v>18 Mount Hood Road</v>
      </c>
      <c r="B111" s="1">
        <f ca="1">IFERROR(__xludf.DUMMYFUNCTION("""COMPUTED_VALUE"""),18)</f>
        <v>18</v>
      </c>
      <c r="C111" s="1" t="str">
        <f ca="1">IFERROR(__xludf.DUMMYFUNCTION("""COMPUTED_VALUE"""),"#2")</f>
        <v>#2</v>
      </c>
      <c r="D111" s="1" t="str">
        <f ca="1">IFERROR(__xludf.DUMMYFUNCTION("""COMPUTED_VALUE"""),"18 Mount Hood Road Unit 2")</f>
        <v>18 Mount Hood Road Unit 2</v>
      </c>
      <c r="E111" s="1" t="str">
        <f ca="1">IFERROR(__xludf.DUMMYFUNCTION("""COMPUTED_VALUE"""),"Boston")</f>
        <v>Boston</v>
      </c>
      <c r="F111" s="1" t="str">
        <f ca="1">IFERROR(__xludf.DUMMYFUNCTION("""COMPUTED_VALUE"""),"Boston - Brighton")</f>
        <v>Boston - Brighton</v>
      </c>
      <c r="G111" s="1">
        <f ca="1">IFERROR(__xludf.DUMMYFUNCTION("""COMPUTED_VALUE"""),5)</f>
        <v>5</v>
      </c>
      <c r="H111" s="1" t="str">
        <f ca="1">IFERROR(__xludf.DUMMYFUNCTION("""COMPUTED_VALUE"""),"E")</f>
        <v>E</v>
      </c>
      <c r="I111" s="4" t="str">
        <f ca="1">IFERROR(__xludf.DUMMYFUNCTION("""COMPUTED_VALUE"""),"18 Mount Hood Road#2E")</f>
        <v>18 Mount Hood Road#2E</v>
      </c>
      <c r="J111" s="4" t="str">
        <f ca="1">IFERROR(__xludf.DUMMYFUNCTION("""COMPUTED_VALUE"""),"a1c5e7cf-d2ae-4832-adde-6e7119ce7952")</f>
        <v>a1c5e7cf-d2ae-4832-adde-6e7119ce7952</v>
      </c>
      <c r="K111" s="4">
        <f ca="1">IFERROR(__xludf.DUMMYFUNCTION("""COMPUTED_VALUE"""),960)</f>
        <v>960</v>
      </c>
      <c r="L111" s="1" t="str">
        <f ca="1">IFERROR(__xludf.DUMMYFUNCTION("""COMPUTED_VALUE"""),"Peter")</f>
        <v>Peter</v>
      </c>
      <c r="M111" s="1" t="str">
        <f ca="1">IFERROR(__xludf.DUMMYFUNCTION("""COMPUTED_VALUE"""),"")</f>
        <v/>
      </c>
      <c r="N111" s="1" t="str">
        <f ca="1">IFERROR(__xludf.DUMMYFUNCTION("""COMPUTED_VALUE"""),"")</f>
        <v/>
      </c>
      <c r="O111" s="1" t="str">
        <f ca="1">IFERROR(__xludf.DUMMYFUNCTION("""COMPUTED_VALUE"""),"Occupied")</f>
        <v>Occupied</v>
      </c>
      <c r="P111" s="1"/>
      <c r="Q111" s="1"/>
      <c r="R111" s="1"/>
      <c r="S111" s="1" t="str">
        <f ca="1">IFERROR(__xludf.DUMMYFUNCTION("""COMPUTED_VALUE"""),"NO CATS OR DOGS")</f>
        <v>NO CATS OR DOGS</v>
      </c>
      <c r="T111" s="1"/>
      <c r="U111" s="1" t="str">
        <f ca="1">IFERROR(__xludf.DUMMYFUNCTION("""COMPUTED_VALUE"""),"N")</f>
        <v>N</v>
      </c>
      <c r="V111" s="1" t="str">
        <f ca="1">IFERROR(__xludf.DUMMYFUNCTION("""COMPUTED_VALUE"""),"N")</f>
        <v>N</v>
      </c>
      <c r="W111" s="1"/>
      <c r="X111" s="1"/>
      <c r="Y111" s="1" t="str">
        <f ca="1">IFERROR(__xludf.DUMMYFUNCTION("""COMPUTED_VALUE"""),"Lydia Renold")</f>
        <v>Lydia Renold</v>
      </c>
      <c r="Z111" s="1" t="str">
        <f ca="1">IFERROR(__xludf.DUMMYFUNCTION("""COMPUTED_VALUE"""),"lydia.renold@gmail.com")</f>
        <v>lydia.renold@gmail.com</v>
      </c>
      <c r="AA111" s="1"/>
      <c r="AB111" s="1"/>
      <c r="AC111" s="1"/>
    </row>
    <row r="112" spans="1:29">
      <c r="A112" s="1" t="str">
        <f ca="1">IFERROR(__xludf.DUMMYFUNCTION("""COMPUTED_VALUE"""),"19 Mercer Street")</f>
        <v>19 Mercer Street</v>
      </c>
      <c r="B112" s="1">
        <f ca="1">IFERROR(__xludf.DUMMYFUNCTION("""COMPUTED_VALUE"""),19)</f>
        <v>19</v>
      </c>
      <c r="C112" s="1" t="str">
        <f ca="1">IFERROR(__xludf.DUMMYFUNCTION("""COMPUTED_VALUE"""),"#1")</f>
        <v>#1</v>
      </c>
      <c r="D112" s="1" t="str">
        <f ca="1">IFERROR(__xludf.DUMMYFUNCTION("""COMPUTED_VALUE"""),"19 Mercer Street Unit 1")</f>
        <v>19 Mercer Street Unit 1</v>
      </c>
      <c r="E112" s="1" t="str">
        <f ca="1">IFERROR(__xludf.DUMMYFUNCTION("""COMPUTED_VALUE"""),"Boston")</f>
        <v>Boston</v>
      </c>
      <c r="F112" s="1" t="str">
        <f ca="1">IFERROR(__xludf.DUMMYFUNCTION("""COMPUTED_VALUE"""),"Boston - South Boston")</f>
        <v>Boston - South Boston</v>
      </c>
      <c r="G112" s="1">
        <f ca="1">IFERROR(__xludf.DUMMYFUNCTION("""COMPUTED_VALUE"""),1)</f>
        <v>1</v>
      </c>
      <c r="H112" s="1" t="str">
        <f ca="1">IFERROR(__xludf.DUMMYFUNCTION("""COMPUTED_VALUE"""),"A")</f>
        <v>A</v>
      </c>
      <c r="I112" s="4" t="str">
        <f ca="1">IFERROR(__xludf.DUMMYFUNCTION("""COMPUTED_VALUE"""),"19 Mercer Street#1A")</f>
        <v>19 Mercer Street#1A</v>
      </c>
      <c r="J112" s="4" t="str">
        <f ca="1">IFERROR(__xludf.DUMMYFUNCTION("""COMPUTED_VALUE"""),"3592cf3d-b589-4f5a-8161-9a30ecc7639a")</f>
        <v>3592cf3d-b589-4f5a-8161-9a30ecc7639a</v>
      </c>
      <c r="K112" s="4">
        <f ca="1">IFERROR(__xludf.DUMMYFUNCTION("""COMPUTED_VALUE"""),1095)</f>
        <v>1095</v>
      </c>
      <c r="L112" s="1" t="str">
        <f ca="1">IFERROR(__xludf.DUMMYFUNCTION("""COMPUTED_VALUE"""),"Cam")</f>
        <v>Cam</v>
      </c>
      <c r="M112" s="1" t="str">
        <f ca="1">IFERROR(__xludf.DUMMYFUNCTION("""COMPUTED_VALUE"""),"")</f>
        <v/>
      </c>
      <c r="N112" s="1" t="str">
        <f ca="1">IFERROR(__xludf.DUMMYFUNCTION("""COMPUTED_VALUE"""),"")</f>
        <v/>
      </c>
      <c r="O112" s="1" t="str">
        <f ca="1">IFERROR(__xludf.DUMMYFUNCTION("""COMPUTED_VALUE"""),"Occupied")</f>
        <v>Occupied</v>
      </c>
      <c r="P112" s="1"/>
      <c r="Q112" s="1"/>
      <c r="R112" s="1"/>
      <c r="S112" s="1"/>
      <c r="T112" s="1"/>
      <c r="U112" s="1" t="str">
        <f ca="1">IFERROR(__xludf.DUMMYFUNCTION("""COMPUTED_VALUE"""),"Y")</f>
        <v>Y</v>
      </c>
      <c r="V112" s="1" t="str">
        <f ca="1">IFERROR(__xludf.DUMMYFUNCTION("""COMPUTED_VALUE"""),"Y")</f>
        <v>Y</v>
      </c>
      <c r="W112" s="1"/>
      <c r="X112" s="1"/>
      <c r="Y112" s="1" t="str">
        <f ca="1">IFERROR(__xludf.DUMMYFUNCTION("""COMPUTED_VALUE"""),"David Barclay")</f>
        <v>David Barclay</v>
      </c>
      <c r="Z112" s="1" t="str">
        <f ca="1">IFERROR(__xludf.DUMMYFUNCTION("""COMPUTED_VALUE"""),"dkbarcla@gmail.com")</f>
        <v>dkbarcla@gmail.com</v>
      </c>
      <c r="AA112" s="1"/>
      <c r="AB112" s="1"/>
      <c r="AC112" s="1"/>
    </row>
    <row r="113" spans="1:29">
      <c r="A113" s="1" t="str">
        <f ca="1">IFERROR(__xludf.DUMMYFUNCTION("""COMPUTED_VALUE"""),"19 Mercer Street")</f>
        <v>19 Mercer Street</v>
      </c>
      <c r="B113" s="1">
        <f ca="1">IFERROR(__xludf.DUMMYFUNCTION("""COMPUTED_VALUE"""),19)</f>
        <v>19</v>
      </c>
      <c r="C113" s="1" t="str">
        <f ca="1">IFERROR(__xludf.DUMMYFUNCTION("""COMPUTED_VALUE"""),"#1")</f>
        <v>#1</v>
      </c>
      <c r="D113" s="1" t="str">
        <f ca="1">IFERROR(__xludf.DUMMYFUNCTION("""COMPUTED_VALUE"""),"19 Mercer Street Unit 1")</f>
        <v>19 Mercer Street Unit 1</v>
      </c>
      <c r="E113" s="1" t="str">
        <f ca="1">IFERROR(__xludf.DUMMYFUNCTION("""COMPUTED_VALUE"""),"Boston")</f>
        <v>Boston</v>
      </c>
      <c r="F113" s="1" t="str">
        <f ca="1">IFERROR(__xludf.DUMMYFUNCTION("""COMPUTED_VALUE"""),"Boston - South Boston")</f>
        <v>Boston - South Boston</v>
      </c>
      <c r="G113" s="1">
        <f ca="1">IFERROR(__xludf.DUMMYFUNCTION("""COMPUTED_VALUE"""),2)</f>
        <v>2</v>
      </c>
      <c r="H113" s="1" t="str">
        <f ca="1">IFERROR(__xludf.DUMMYFUNCTION("""COMPUTED_VALUE"""),"B")</f>
        <v>B</v>
      </c>
      <c r="I113" s="4" t="str">
        <f ca="1">IFERROR(__xludf.DUMMYFUNCTION("""COMPUTED_VALUE"""),"19 Mercer Street#1B")</f>
        <v>19 Mercer Street#1B</v>
      </c>
      <c r="J113" s="4" t="str">
        <f ca="1">IFERROR(__xludf.DUMMYFUNCTION("""COMPUTED_VALUE"""),"3592cf3d-b589-4f5a-8161-9a30ecc7639a")</f>
        <v>3592cf3d-b589-4f5a-8161-9a30ecc7639a</v>
      </c>
      <c r="K113" s="4">
        <f ca="1">IFERROR(__xludf.DUMMYFUNCTION("""COMPUTED_VALUE"""),1000)</f>
        <v>1000</v>
      </c>
      <c r="L113" s="1" t="str">
        <f ca="1">IFERROR(__xludf.DUMMYFUNCTION("""COMPUTED_VALUE"""),"Cam")</f>
        <v>Cam</v>
      </c>
      <c r="M113" s="1" t="str">
        <f ca="1">IFERROR(__xludf.DUMMYFUNCTION("""COMPUTED_VALUE"""),"")</f>
        <v/>
      </c>
      <c r="N113" s="1" t="str">
        <f ca="1">IFERROR(__xludf.DUMMYFUNCTION("""COMPUTED_VALUE"""),"")</f>
        <v/>
      </c>
      <c r="O113" s="1" t="str">
        <f ca="1">IFERROR(__xludf.DUMMYFUNCTION("""COMPUTED_VALUE"""),"Occupied")</f>
        <v>Occupied</v>
      </c>
      <c r="P113" s="1"/>
      <c r="Q113" s="1"/>
      <c r="R113" s="1"/>
      <c r="S113" s="1"/>
      <c r="T113" s="1"/>
      <c r="U113" s="1" t="str">
        <f ca="1">IFERROR(__xludf.DUMMYFUNCTION("""COMPUTED_VALUE"""),"Y")</f>
        <v>Y</v>
      </c>
      <c r="V113" s="1" t="str">
        <f ca="1">IFERROR(__xludf.DUMMYFUNCTION("""COMPUTED_VALUE"""),"Y")</f>
        <v>Y</v>
      </c>
      <c r="W113" s="1"/>
      <c r="X113" s="1"/>
      <c r="Y113" s="1" t="str">
        <f ca="1">IFERROR(__xludf.DUMMYFUNCTION("""COMPUTED_VALUE"""),"Marquis Little")</f>
        <v>Marquis Little</v>
      </c>
      <c r="Z113" s="1" t="str">
        <f ca="1">IFERROR(__xludf.DUMMYFUNCTION("""COMPUTED_VALUE"""),"mlittle1515@gmail.com")</f>
        <v>mlittle1515@gmail.com</v>
      </c>
      <c r="AA113" s="1"/>
      <c r="AB113" s="1"/>
      <c r="AC113" s="1"/>
    </row>
    <row r="114" spans="1:29">
      <c r="A114" s="1" t="str">
        <f ca="1">IFERROR(__xludf.DUMMYFUNCTION("""COMPUTED_VALUE"""),"19 Mercer Street")</f>
        <v>19 Mercer Street</v>
      </c>
      <c r="B114" s="1">
        <f ca="1">IFERROR(__xludf.DUMMYFUNCTION("""COMPUTED_VALUE"""),19)</f>
        <v>19</v>
      </c>
      <c r="C114" s="1" t="str">
        <f ca="1">IFERROR(__xludf.DUMMYFUNCTION("""COMPUTED_VALUE"""),"#1")</f>
        <v>#1</v>
      </c>
      <c r="D114" s="1" t="str">
        <f ca="1">IFERROR(__xludf.DUMMYFUNCTION("""COMPUTED_VALUE"""),"19 Mercer Street Unit 1")</f>
        <v>19 Mercer Street Unit 1</v>
      </c>
      <c r="E114" s="1" t="str">
        <f ca="1">IFERROR(__xludf.DUMMYFUNCTION("""COMPUTED_VALUE"""),"Boston")</f>
        <v>Boston</v>
      </c>
      <c r="F114" s="1" t="str">
        <f ca="1">IFERROR(__xludf.DUMMYFUNCTION("""COMPUTED_VALUE"""),"Boston - South Boston")</f>
        <v>Boston - South Boston</v>
      </c>
      <c r="G114" s="1">
        <f ca="1">IFERROR(__xludf.DUMMYFUNCTION("""COMPUTED_VALUE"""),3)</f>
        <v>3</v>
      </c>
      <c r="H114" s="1" t="str">
        <f ca="1">IFERROR(__xludf.DUMMYFUNCTION("""COMPUTED_VALUE"""),"C")</f>
        <v>C</v>
      </c>
      <c r="I114" s="4" t="str">
        <f ca="1">IFERROR(__xludf.DUMMYFUNCTION("""COMPUTED_VALUE"""),"19 Mercer Street#1C")</f>
        <v>19 Mercer Street#1C</v>
      </c>
      <c r="J114" s="4" t="str">
        <f ca="1">IFERROR(__xludf.DUMMYFUNCTION("""COMPUTED_VALUE"""),"3592cf3d-b589-4f5a-8161-9a30ecc7639a")</f>
        <v>3592cf3d-b589-4f5a-8161-9a30ecc7639a</v>
      </c>
      <c r="K114" s="4">
        <f ca="1">IFERROR(__xludf.DUMMYFUNCTION("""COMPUTED_VALUE"""),995)</f>
        <v>995</v>
      </c>
      <c r="L114" s="1" t="str">
        <f ca="1">IFERROR(__xludf.DUMMYFUNCTION("""COMPUTED_VALUE"""),"Cam")</f>
        <v>Cam</v>
      </c>
      <c r="M114" s="1" t="str">
        <f ca="1">IFERROR(__xludf.DUMMYFUNCTION("""COMPUTED_VALUE"""),"Cam (NOW)")</f>
        <v>Cam (NOW)</v>
      </c>
      <c r="N114" s="1" t="str">
        <f ca="1">IFERROR(__xludf.DUMMYFUNCTION("""COMPUTED_VALUE"""),"")</f>
        <v/>
      </c>
      <c r="O114" s="1" t="str">
        <f ca="1">IFERROR(__xludf.DUMMYFUNCTION("""COMPUTED_VALUE"""),"Upcoming Vacancy")</f>
        <v>Upcoming Vacancy</v>
      </c>
      <c r="P114" s="1" t="str">
        <f ca="1">IFERROR(__xludf.DUMMYFUNCTION("""COMPUTED_VALUE"""),"March")</f>
        <v>March</v>
      </c>
      <c r="Q114" s="3">
        <f ca="1">IFERROR(__xludf.DUMMYFUNCTION("""COMPUTED_VALUE"""),43889)</f>
        <v>43889</v>
      </c>
      <c r="R114" s="1"/>
      <c r="S114" s="1"/>
      <c r="T114" s="1"/>
      <c r="U114" s="1" t="str">
        <f ca="1">IFERROR(__xludf.DUMMYFUNCTION("""COMPUTED_VALUE"""),"Y")</f>
        <v>Y</v>
      </c>
      <c r="V114" s="1" t="str">
        <f ca="1">IFERROR(__xludf.DUMMYFUNCTION("""COMPUTED_VALUE"""),"Y")</f>
        <v>Y</v>
      </c>
      <c r="W114" s="1"/>
      <c r="X114" s="1"/>
      <c r="Y114" s="1" t="str">
        <f ca="1">IFERROR(__xludf.DUMMYFUNCTION("""COMPUTED_VALUE"""),"Jameer Green")</f>
        <v>Jameer Green</v>
      </c>
      <c r="Z114" s="1" t="str">
        <f ca="1">IFERROR(__xludf.DUMMYFUNCTION("""COMPUTED_VALUE"""),"jjgreen@mail.roanoke.edu")</f>
        <v>jjgreen@mail.roanoke.edu</v>
      </c>
      <c r="AA114" s="1"/>
      <c r="AB114" s="1"/>
      <c r="AC114" s="1"/>
    </row>
    <row r="115" spans="1:29">
      <c r="A115" s="1" t="str">
        <f ca="1">IFERROR(__xludf.DUMMYFUNCTION("""COMPUTED_VALUE"""),"19 Wallingford Road")</f>
        <v>19 Wallingford Road</v>
      </c>
      <c r="B115" s="1">
        <f ca="1">IFERROR(__xludf.DUMMYFUNCTION("""COMPUTED_VALUE"""),19)</f>
        <v>19</v>
      </c>
      <c r="C115" s="1" t="str">
        <f ca="1">IFERROR(__xludf.DUMMYFUNCTION("""COMPUTED_VALUE"""),"#1")</f>
        <v>#1</v>
      </c>
      <c r="D115" s="1" t="str">
        <f ca="1">IFERROR(__xludf.DUMMYFUNCTION("""COMPUTED_VALUE"""),"19 Wallingford Road Unit 1")</f>
        <v>19 Wallingford Road Unit 1</v>
      </c>
      <c r="E115" s="1" t="str">
        <f ca="1">IFERROR(__xludf.DUMMYFUNCTION("""COMPUTED_VALUE"""),"Boston")</f>
        <v>Boston</v>
      </c>
      <c r="F115" s="1" t="str">
        <f ca="1">IFERROR(__xludf.DUMMYFUNCTION("""COMPUTED_VALUE"""),"Boston - Brighton")</f>
        <v>Boston - Brighton</v>
      </c>
      <c r="G115" s="1">
        <f ca="1">IFERROR(__xludf.DUMMYFUNCTION("""COMPUTED_VALUE"""),1)</f>
        <v>1</v>
      </c>
      <c r="H115" s="1" t="str">
        <f ca="1">IFERROR(__xludf.DUMMYFUNCTION("""COMPUTED_VALUE"""),"A")</f>
        <v>A</v>
      </c>
      <c r="I115" s="4" t="str">
        <f ca="1">IFERROR(__xludf.DUMMYFUNCTION("""COMPUTED_VALUE"""),"19 Wallingford Road#1A")</f>
        <v>19 Wallingford Road#1A</v>
      </c>
      <c r="J115" s="4" t="str">
        <f ca="1">IFERROR(__xludf.DUMMYFUNCTION("""COMPUTED_VALUE"""),"00000000-0000-0000-0000-000000000004")</f>
        <v>00000000-0000-0000-0000-000000000004</v>
      </c>
      <c r="K115" s="4">
        <f ca="1">IFERROR(__xludf.DUMMYFUNCTION("""COMPUTED_VALUE"""),1050)</f>
        <v>1050</v>
      </c>
      <c r="L115" s="1" t="str">
        <f ca="1">IFERROR(__xludf.DUMMYFUNCTION("""COMPUTED_VALUE"""),"Peter")</f>
        <v>Peter</v>
      </c>
      <c r="M115" s="1" t="str">
        <f ca="1">IFERROR(__xludf.DUMMYFUNCTION("""COMPUTED_VALUE"""),"Peter (NOW)")</f>
        <v>Peter (NOW)</v>
      </c>
      <c r="N115" s="1" t="str">
        <f ca="1">IFERROR(__xludf.DUMMYFUNCTION("""COMPUTED_VALUE"""),"")</f>
        <v/>
      </c>
      <c r="O115" s="1" t="str">
        <f ca="1">IFERROR(__xludf.DUMMYFUNCTION("""COMPUTED_VALUE"""),"Upcoming Vacancy")</f>
        <v>Upcoming Vacancy</v>
      </c>
      <c r="P115" s="1" t="str">
        <f ca="1">IFERROR(__xludf.DUMMYFUNCTION("""COMPUTED_VALUE"""),"March")</f>
        <v>March</v>
      </c>
      <c r="Q115" s="3">
        <f ca="1">IFERROR(__xludf.DUMMYFUNCTION("""COMPUTED_VALUE"""),44255)</f>
        <v>44255</v>
      </c>
      <c r="R115" s="1"/>
      <c r="S115" s="1"/>
      <c r="T115" s="1"/>
      <c r="U115" s="1" t="str">
        <f ca="1">IFERROR(__xludf.DUMMYFUNCTION("""COMPUTED_VALUE"""),"Y")</f>
        <v>Y</v>
      </c>
      <c r="V115" s="1" t="str">
        <f ca="1">IFERROR(__xludf.DUMMYFUNCTION("""COMPUTED_VALUE"""),"N")</f>
        <v>N</v>
      </c>
      <c r="W115" s="1"/>
      <c r="X115" s="1"/>
      <c r="Y115" s="1" t="str">
        <f ca="1">IFERROR(__xludf.DUMMYFUNCTION("""COMPUTED_VALUE"""),"Jessica Rush")</f>
        <v>Jessica Rush</v>
      </c>
      <c r="Z115" s="1" t="str">
        <f ca="1">IFERROR(__xludf.DUMMYFUNCTION("""COMPUTED_VALUE"""),"rushjessica16@gmail.com")</f>
        <v>rushjessica16@gmail.com</v>
      </c>
      <c r="AA115" s="1"/>
      <c r="AB115" s="1"/>
      <c r="AC115" s="1"/>
    </row>
    <row r="116" spans="1:29">
      <c r="A116" s="1" t="str">
        <f ca="1">IFERROR(__xludf.DUMMYFUNCTION("""COMPUTED_VALUE"""),"19 Wallingford Road")</f>
        <v>19 Wallingford Road</v>
      </c>
      <c r="B116" s="1">
        <f ca="1">IFERROR(__xludf.DUMMYFUNCTION("""COMPUTED_VALUE"""),19)</f>
        <v>19</v>
      </c>
      <c r="C116" s="1" t="str">
        <f ca="1">IFERROR(__xludf.DUMMYFUNCTION("""COMPUTED_VALUE"""),"#1")</f>
        <v>#1</v>
      </c>
      <c r="D116" s="1" t="str">
        <f ca="1">IFERROR(__xludf.DUMMYFUNCTION("""COMPUTED_VALUE"""),"19 Wallingford Road Unit 1")</f>
        <v>19 Wallingford Road Unit 1</v>
      </c>
      <c r="E116" s="1" t="str">
        <f ca="1">IFERROR(__xludf.DUMMYFUNCTION("""COMPUTED_VALUE"""),"Boston")</f>
        <v>Boston</v>
      </c>
      <c r="F116" s="1" t="str">
        <f ca="1">IFERROR(__xludf.DUMMYFUNCTION("""COMPUTED_VALUE"""),"Boston - Brighton")</f>
        <v>Boston - Brighton</v>
      </c>
      <c r="G116" s="1">
        <f ca="1">IFERROR(__xludf.DUMMYFUNCTION("""COMPUTED_VALUE"""),2)</f>
        <v>2</v>
      </c>
      <c r="H116" s="1" t="str">
        <f ca="1">IFERROR(__xludf.DUMMYFUNCTION("""COMPUTED_VALUE"""),"B")</f>
        <v>B</v>
      </c>
      <c r="I116" s="4" t="str">
        <f ca="1">IFERROR(__xludf.DUMMYFUNCTION("""COMPUTED_VALUE"""),"19 Wallingford Road#1B")</f>
        <v>19 Wallingford Road#1B</v>
      </c>
      <c r="J116" s="4" t="str">
        <f ca="1">IFERROR(__xludf.DUMMYFUNCTION("""COMPUTED_VALUE"""),"00000000-0000-0000-0000-000000000004")</f>
        <v>00000000-0000-0000-0000-000000000004</v>
      </c>
      <c r="K116" s="4">
        <f ca="1">IFERROR(__xludf.DUMMYFUNCTION("""COMPUTED_VALUE"""),1250)</f>
        <v>1250</v>
      </c>
      <c r="L116" s="1" t="str">
        <f ca="1">IFERROR(__xludf.DUMMYFUNCTION("""COMPUTED_VALUE"""),"Peter")</f>
        <v>Peter</v>
      </c>
      <c r="M116" s="1" t="str">
        <f ca="1">IFERROR(__xludf.DUMMYFUNCTION("""COMPUTED_VALUE"""),"Peter (NOW)")</f>
        <v>Peter (NOW)</v>
      </c>
      <c r="N116" s="1" t="str">
        <f ca="1">IFERROR(__xludf.DUMMYFUNCTION("""COMPUTED_VALUE"""),"")</f>
        <v/>
      </c>
      <c r="O116" s="1" t="str">
        <f ca="1">IFERROR(__xludf.DUMMYFUNCTION("""COMPUTED_VALUE"""),"Upcoming Vacancy")</f>
        <v>Upcoming Vacancy</v>
      </c>
      <c r="P116" s="1" t="str">
        <f ca="1">IFERROR(__xludf.DUMMYFUNCTION("""COMPUTED_VALUE"""),"March")</f>
        <v>March</v>
      </c>
      <c r="Q116" s="3">
        <f ca="1">IFERROR(__xludf.DUMMYFUNCTION("""COMPUTED_VALUE"""),43889)</f>
        <v>43889</v>
      </c>
      <c r="R116" s="1"/>
      <c r="S116" s="1"/>
      <c r="T116" s="1"/>
      <c r="U116" s="1" t="str">
        <f ca="1">IFERROR(__xludf.DUMMYFUNCTION("""COMPUTED_VALUE"""),"Y")</f>
        <v>Y</v>
      </c>
      <c r="V116" s="1" t="str">
        <f ca="1">IFERROR(__xludf.DUMMYFUNCTION("""COMPUTED_VALUE"""),"N")</f>
        <v>N</v>
      </c>
      <c r="W116" s="1"/>
      <c r="X116" s="1"/>
      <c r="Y116" s="1" t="str">
        <f ca="1">IFERROR(__xludf.DUMMYFUNCTION("""COMPUTED_VALUE"""),"Honour Adewumi")</f>
        <v>Honour Adewumi</v>
      </c>
      <c r="Z116" s="1" t="str">
        <f ca="1">IFERROR(__xludf.DUMMYFUNCTION("""COMPUTED_VALUE"""),"honourade11@gmail.com")</f>
        <v>honourade11@gmail.com</v>
      </c>
      <c r="AA116" s="1"/>
      <c r="AB116" s="1"/>
      <c r="AC116" s="1"/>
    </row>
    <row r="117" spans="1:29">
      <c r="A117" s="1" t="str">
        <f ca="1">IFERROR(__xludf.DUMMYFUNCTION("""COMPUTED_VALUE"""),"19 Wallingford Road")</f>
        <v>19 Wallingford Road</v>
      </c>
      <c r="B117" s="1">
        <f ca="1">IFERROR(__xludf.DUMMYFUNCTION("""COMPUTED_VALUE"""),19)</f>
        <v>19</v>
      </c>
      <c r="C117" s="1" t="str">
        <f ca="1">IFERROR(__xludf.DUMMYFUNCTION("""COMPUTED_VALUE"""),"#1")</f>
        <v>#1</v>
      </c>
      <c r="D117" s="1" t="str">
        <f ca="1">IFERROR(__xludf.DUMMYFUNCTION("""COMPUTED_VALUE"""),"19 Wallingford Road Unit 1")</f>
        <v>19 Wallingford Road Unit 1</v>
      </c>
      <c r="E117" s="1" t="str">
        <f ca="1">IFERROR(__xludf.DUMMYFUNCTION("""COMPUTED_VALUE"""),"Boston")</f>
        <v>Boston</v>
      </c>
      <c r="F117" s="1" t="str">
        <f ca="1">IFERROR(__xludf.DUMMYFUNCTION("""COMPUTED_VALUE"""),"Boston - Brighton")</f>
        <v>Boston - Brighton</v>
      </c>
      <c r="G117" s="1">
        <f ca="1">IFERROR(__xludf.DUMMYFUNCTION("""COMPUTED_VALUE"""),3)</f>
        <v>3</v>
      </c>
      <c r="H117" s="1" t="str">
        <f ca="1">IFERROR(__xludf.DUMMYFUNCTION("""COMPUTED_VALUE"""),"C")</f>
        <v>C</v>
      </c>
      <c r="I117" s="4" t="str">
        <f ca="1">IFERROR(__xludf.DUMMYFUNCTION("""COMPUTED_VALUE"""),"19 Wallingford Road#1C")</f>
        <v>19 Wallingford Road#1C</v>
      </c>
      <c r="J117" s="4" t="str">
        <f ca="1">IFERROR(__xludf.DUMMYFUNCTION("""COMPUTED_VALUE"""),"00000000-0000-0000-0000-000000000004")</f>
        <v>00000000-0000-0000-0000-000000000004</v>
      </c>
      <c r="K117" s="4">
        <f ca="1">IFERROR(__xludf.DUMMYFUNCTION("""COMPUTED_VALUE"""),1250)</f>
        <v>1250</v>
      </c>
      <c r="L117" s="1" t="str">
        <f ca="1">IFERROR(__xludf.DUMMYFUNCTION("""COMPUTED_VALUE"""),"Peter")</f>
        <v>Peter</v>
      </c>
      <c r="M117" s="1" t="str">
        <f ca="1">IFERROR(__xludf.DUMMYFUNCTION("""COMPUTED_VALUE"""),"")</f>
        <v/>
      </c>
      <c r="N117" s="1" t="str">
        <f ca="1">IFERROR(__xludf.DUMMYFUNCTION("""COMPUTED_VALUE"""),"")</f>
        <v/>
      </c>
      <c r="O117" s="1" t="str">
        <f ca="1">IFERROR(__xludf.DUMMYFUNCTION("""COMPUTED_VALUE"""),"Occupied")</f>
        <v>Occupied</v>
      </c>
      <c r="P117" s="1"/>
      <c r="Q117" s="1"/>
      <c r="R117" s="1"/>
      <c r="S117" s="1"/>
      <c r="T117" s="1"/>
      <c r="U117" s="1" t="str">
        <f ca="1">IFERROR(__xludf.DUMMYFUNCTION("""COMPUTED_VALUE"""),"Y")</f>
        <v>Y</v>
      </c>
      <c r="V117" s="1" t="str">
        <f ca="1">IFERROR(__xludf.DUMMYFUNCTION("""COMPUTED_VALUE"""),"N")</f>
        <v>N</v>
      </c>
      <c r="W117" s="1"/>
      <c r="X117" s="1"/>
      <c r="Y117" s="1" t="str">
        <f ca="1">IFERROR(__xludf.DUMMYFUNCTION("""COMPUTED_VALUE"""),"Austin Ablicki")</f>
        <v>Austin Ablicki</v>
      </c>
      <c r="Z117" s="1" t="str">
        <f ca="1">IFERROR(__xludf.DUMMYFUNCTION("""COMPUTED_VALUE"""),"aablicki@gmail.com")</f>
        <v>aablicki@gmail.com</v>
      </c>
      <c r="AA117" s="1"/>
      <c r="AB117" s="1"/>
      <c r="AC117" s="1"/>
    </row>
    <row r="118" spans="1:29">
      <c r="A118" s="1" t="str">
        <f ca="1">IFERROR(__xludf.DUMMYFUNCTION("""COMPUTED_VALUE"""),"19 Wallingford Road")</f>
        <v>19 Wallingford Road</v>
      </c>
      <c r="B118" s="1">
        <f ca="1">IFERROR(__xludf.DUMMYFUNCTION("""COMPUTED_VALUE"""),19)</f>
        <v>19</v>
      </c>
      <c r="C118" s="1" t="str">
        <f ca="1">IFERROR(__xludf.DUMMYFUNCTION("""COMPUTED_VALUE"""),"#1")</f>
        <v>#1</v>
      </c>
      <c r="D118" s="1" t="str">
        <f ca="1">IFERROR(__xludf.DUMMYFUNCTION("""COMPUTED_VALUE"""),"19 Wallingford Road Unit 1")</f>
        <v>19 Wallingford Road Unit 1</v>
      </c>
      <c r="E118" s="1" t="str">
        <f ca="1">IFERROR(__xludf.DUMMYFUNCTION("""COMPUTED_VALUE"""),"Boston")</f>
        <v>Boston</v>
      </c>
      <c r="F118" s="1" t="str">
        <f ca="1">IFERROR(__xludf.DUMMYFUNCTION("""COMPUTED_VALUE"""),"Boston - Brighton")</f>
        <v>Boston - Brighton</v>
      </c>
      <c r="G118" s="1">
        <f ca="1">IFERROR(__xludf.DUMMYFUNCTION("""COMPUTED_VALUE"""),4)</f>
        <v>4</v>
      </c>
      <c r="H118" s="1" t="str">
        <f ca="1">IFERROR(__xludf.DUMMYFUNCTION("""COMPUTED_VALUE"""),"D")</f>
        <v>D</v>
      </c>
      <c r="I118" s="4" t="str">
        <f ca="1">IFERROR(__xludf.DUMMYFUNCTION("""COMPUTED_VALUE"""),"19 Wallingford Road#1D")</f>
        <v>19 Wallingford Road#1D</v>
      </c>
      <c r="J118" s="4" t="str">
        <f ca="1">IFERROR(__xludf.DUMMYFUNCTION("""COMPUTED_VALUE"""),"00000000-0000-0000-0000-000000000004")</f>
        <v>00000000-0000-0000-0000-000000000004</v>
      </c>
      <c r="K118" s="4">
        <f ca="1">IFERROR(__xludf.DUMMYFUNCTION("""COMPUTED_VALUE"""),1200)</f>
        <v>1200</v>
      </c>
      <c r="L118" s="1" t="str">
        <f ca="1">IFERROR(__xludf.DUMMYFUNCTION("""COMPUTED_VALUE"""),"Peter")</f>
        <v>Peter</v>
      </c>
      <c r="M118" s="1" t="str">
        <f ca="1">IFERROR(__xludf.DUMMYFUNCTION("""COMPUTED_VALUE"""),"")</f>
        <v/>
      </c>
      <c r="N118" s="1" t="str">
        <f ca="1">IFERROR(__xludf.DUMMYFUNCTION("""COMPUTED_VALUE"""),"")</f>
        <v/>
      </c>
      <c r="O118" s="1" t="str">
        <f ca="1">IFERROR(__xludf.DUMMYFUNCTION("""COMPUTED_VALUE"""),"Occupied")</f>
        <v>Occupied</v>
      </c>
      <c r="P118" s="1"/>
      <c r="Q118" s="1"/>
      <c r="R118" s="1"/>
      <c r="S118" s="1"/>
      <c r="T118" s="1"/>
      <c r="U118" s="1" t="str">
        <f ca="1">IFERROR(__xludf.DUMMYFUNCTION("""COMPUTED_VALUE"""),"Y")</f>
        <v>Y</v>
      </c>
      <c r="V118" s="1" t="str">
        <f ca="1">IFERROR(__xludf.DUMMYFUNCTION("""COMPUTED_VALUE"""),"N")</f>
        <v>N</v>
      </c>
      <c r="W118" s="1"/>
      <c r="X118" s="1"/>
      <c r="Y118" s="1" t="str">
        <f ca="1">IFERROR(__xludf.DUMMYFUNCTION("""COMPUTED_VALUE"""),"William Burke")</f>
        <v>William Burke</v>
      </c>
      <c r="Z118" s="1" t="str">
        <f ca="1">IFERROR(__xludf.DUMMYFUNCTION("""COMPUTED_VALUE"""),"williamburke302@gmail.com")</f>
        <v>williamburke302@gmail.com</v>
      </c>
      <c r="AA118" s="1"/>
      <c r="AB118" s="1"/>
      <c r="AC118" s="1"/>
    </row>
    <row r="119" spans="1:29">
      <c r="A119" s="1" t="str">
        <f ca="1">IFERROR(__xludf.DUMMYFUNCTION("""COMPUTED_VALUE"""),"19 Wallingford Road")</f>
        <v>19 Wallingford Road</v>
      </c>
      <c r="B119" s="1">
        <f ca="1">IFERROR(__xludf.DUMMYFUNCTION("""COMPUTED_VALUE"""),19)</f>
        <v>19</v>
      </c>
      <c r="C119" s="1" t="str">
        <f ca="1">IFERROR(__xludf.DUMMYFUNCTION("""COMPUTED_VALUE"""),"#1")</f>
        <v>#1</v>
      </c>
      <c r="D119" s="1" t="str">
        <f ca="1">IFERROR(__xludf.DUMMYFUNCTION("""COMPUTED_VALUE"""),"19 Wallingford Road Unit 1")</f>
        <v>19 Wallingford Road Unit 1</v>
      </c>
      <c r="E119" s="1" t="str">
        <f ca="1">IFERROR(__xludf.DUMMYFUNCTION("""COMPUTED_VALUE"""),"Boston")</f>
        <v>Boston</v>
      </c>
      <c r="F119" s="1" t="str">
        <f ca="1">IFERROR(__xludf.DUMMYFUNCTION("""COMPUTED_VALUE"""),"Boston - Brighton")</f>
        <v>Boston - Brighton</v>
      </c>
      <c r="G119" s="1">
        <f ca="1">IFERROR(__xludf.DUMMYFUNCTION("""COMPUTED_VALUE"""),5)</f>
        <v>5</v>
      </c>
      <c r="H119" s="1" t="str">
        <f ca="1">IFERROR(__xludf.DUMMYFUNCTION("""COMPUTED_VALUE"""),"E")</f>
        <v>E</v>
      </c>
      <c r="I119" s="4" t="str">
        <f ca="1">IFERROR(__xludf.DUMMYFUNCTION("""COMPUTED_VALUE"""),"19 Wallingford Road#1E")</f>
        <v>19 Wallingford Road#1E</v>
      </c>
      <c r="J119" s="4" t="str">
        <f ca="1">IFERROR(__xludf.DUMMYFUNCTION("""COMPUTED_VALUE"""),"00000000-0000-0000-0000-000000000004")</f>
        <v>00000000-0000-0000-0000-000000000004</v>
      </c>
      <c r="K119" s="4">
        <f ca="1">IFERROR(__xludf.DUMMYFUNCTION("""COMPUTED_VALUE"""),1200)</f>
        <v>1200</v>
      </c>
      <c r="L119" s="1" t="str">
        <f ca="1">IFERROR(__xludf.DUMMYFUNCTION("""COMPUTED_VALUE"""),"Peter")</f>
        <v>Peter</v>
      </c>
      <c r="M119" s="1" t="str">
        <f ca="1">IFERROR(__xludf.DUMMYFUNCTION("""COMPUTED_VALUE"""),"")</f>
        <v/>
      </c>
      <c r="N119" s="1" t="str">
        <f ca="1">IFERROR(__xludf.DUMMYFUNCTION("""COMPUTED_VALUE"""),"")</f>
        <v/>
      </c>
      <c r="O119" s="1" t="str">
        <f ca="1">IFERROR(__xludf.DUMMYFUNCTION("""COMPUTED_VALUE"""),"Occupied")</f>
        <v>Occupied</v>
      </c>
      <c r="P119" s="1"/>
      <c r="Q119" s="1"/>
      <c r="R119" s="1"/>
      <c r="S119" s="1"/>
      <c r="T119" s="1"/>
      <c r="U119" s="1" t="str">
        <f ca="1">IFERROR(__xludf.DUMMYFUNCTION("""COMPUTED_VALUE"""),"Y")</f>
        <v>Y</v>
      </c>
      <c r="V119" s="1" t="str">
        <f ca="1">IFERROR(__xludf.DUMMYFUNCTION("""COMPUTED_VALUE"""),"N")</f>
        <v>N</v>
      </c>
      <c r="W119" s="1"/>
      <c r="X119" s="1"/>
      <c r="Y119" s="1" t="str">
        <f ca="1">IFERROR(__xludf.DUMMYFUNCTION("""COMPUTED_VALUE"""),"Kailee David")</f>
        <v>Kailee David</v>
      </c>
      <c r="Z119" s="1" t="str">
        <f ca="1">IFERROR(__xludf.DUMMYFUNCTION("""COMPUTED_VALUE"""),"Kaileedavid@gmail.com")</f>
        <v>Kaileedavid@gmail.com</v>
      </c>
      <c r="AA119" s="1"/>
      <c r="AB119" s="1"/>
      <c r="AC119" s="1"/>
    </row>
    <row r="120" spans="1:29">
      <c r="A120" s="1" t="str">
        <f ca="1">IFERROR(__xludf.DUMMYFUNCTION("""COMPUTED_VALUE"""),"20 Reedsdale Street")</f>
        <v>20 Reedsdale Street</v>
      </c>
      <c r="B120" s="1">
        <f ca="1">IFERROR(__xludf.DUMMYFUNCTION("""COMPUTED_VALUE"""),20)</f>
        <v>20</v>
      </c>
      <c r="C120" s="1" t="str">
        <f ca="1">IFERROR(__xludf.DUMMYFUNCTION("""COMPUTED_VALUE"""),"N/A")</f>
        <v>N/A</v>
      </c>
      <c r="D120" s="1" t="str">
        <f ca="1">IFERROR(__xludf.DUMMYFUNCTION("""COMPUTED_VALUE"""),"20 Reedsdale Street")</f>
        <v>20 Reedsdale Street</v>
      </c>
      <c r="E120" s="1" t="str">
        <f ca="1">IFERROR(__xludf.DUMMYFUNCTION("""COMPUTED_VALUE"""),"Boston")</f>
        <v>Boston</v>
      </c>
      <c r="F120" s="1" t="str">
        <f ca="1">IFERROR(__xludf.DUMMYFUNCTION("""COMPUTED_VALUE"""),"Boston - Allston")</f>
        <v>Boston - Allston</v>
      </c>
      <c r="G120" s="1">
        <f ca="1">IFERROR(__xludf.DUMMYFUNCTION("""COMPUTED_VALUE"""),1)</f>
        <v>1</v>
      </c>
      <c r="H120" s="1" t="str">
        <f ca="1">IFERROR(__xludf.DUMMYFUNCTION("""COMPUTED_VALUE"""),"A")</f>
        <v>A</v>
      </c>
      <c r="I120" s="4" t="str">
        <f ca="1">IFERROR(__xludf.DUMMYFUNCTION("""COMPUTED_VALUE"""),"20 Reedsdale StreetN/AA")</f>
        <v>20 Reedsdale StreetN/AA</v>
      </c>
      <c r="J120" s="4" t="str">
        <f ca="1">IFERROR(__xludf.DUMMYFUNCTION("""COMPUTED_VALUE"""),"c4c10791-dcd5-4fbd-a231-cc76a106644e")</f>
        <v>c4c10791-dcd5-4fbd-a231-cc76a106644e</v>
      </c>
      <c r="K120" s="4">
        <f ca="1">IFERROR(__xludf.DUMMYFUNCTION("""COMPUTED_VALUE"""),875)</f>
        <v>875</v>
      </c>
      <c r="L120" s="1" t="str">
        <f ca="1">IFERROR(__xludf.DUMMYFUNCTION("""COMPUTED_VALUE"""),"Peter")</f>
        <v>Peter</v>
      </c>
      <c r="M120" s="1" t="str">
        <f ca="1">IFERROR(__xludf.DUMMYFUNCTION("""COMPUTED_VALUE"""),"")</f>
        <v/>
      </c>
      <c r="N120" s="1" t="str">
        <f ca="1">IFERROR(__xludf.DUMMYFUNCTION("""COMPUTED_VALUE"""),"")</f>
        <v/>
      </c>
      <c r="O120" s="1" t="str">
        <f ca="1">IFERROR(__xludf.DUMMYFUNCTION("""COMPUTED_VALUE"""),"Occupied")</f>
        <v>Occupied</v>
      </c>
      <c r="P120" s="1"/>
      <c r="Q120" s="1"/>
      <c r="R120" s="1"/>
      <c r="S120" s="1"/>
      <c r="T120" s="1" t="str">
        <f ca="1">IFERROR(__xludf.DUMMYFUNCTION("""COMPUTED_VALUE"""),"Cat")</f>
        <v>Cat</v>
      </c>
      <c r="U120" s="1" t="str">
        <f ca="1">IFERROR(__xludf.DUMMYFUNCTION("""COMPUTED_VALUE"""),"N")</f>
        <v>N</v>
      </c>
      <c r="V120" s="1" t="str">
        <f ca="1">IFERROR(__xludf.DUMMYFUNCTION("""COMPUTED_VALUE"""),"N")</f>
        <v>N</v>
      </c>
      <c r="W120" s="1"/>
      <c r="X120" s="1"/>
      <c r="Y120" s="1" t="str">
        <f ca="1">IFERROR(__xludf.DUMMYFUNCTION("""COMPUTED_VALUE"""),"Liam Casey")</f>
        <v>Liam Casey</v>
      </c>
      <c r="Z120" s="1" t="str">
        <f ca="1">IFERROR(__xludf.DUMMYFUNCTION("""COMPUTED_VALUE"""),"liammaccarthycasey@gmail.com")</f>
        <v>liammaccarthycasey@gmail.com</v>
      </c>
      <c r="AA120" s="1"/>
      <c r="AB120" s="1"/>
      <c r="AC120" s="1"/>
    </row>
    <row r="121" spans="1:29">
      <c r="A121" s="1" t="str">
        <f ca="1">IFERROR(__xludf.DUMMYFUNCTION("""COMPUTED_VALUE"""),"20 Reedsdale Street")</f>
        <v>20 Reedsdale Street</v>
      </c>
      <c r="B121" s="1">
        <f ca="1">IFERROR(__xludf.DUMMYFUNCTION("""COMPUTED_VALUE"""),20)</f>
        <v>20</v>
      </c>
      <c r="C121" s="1" t="str">
        <f ca="1">IFERROR(__xludf.DUMMYFUNCTION("""COMPUTED_VALUE"""),"N/A")</f>
        <v>N/A</v>
      </c>
      <c r="D121" s="1" t="str">
        <f ca="1">IFERROR(__xludf.DUMMYFUNCTION("""COMPUTED_VALUE"""),"20 Reedsdale Street")</f>
        <v>20 Reedsdale Street</v>
      </c>
      <c r="E121" s="1" t="str">
        <f ca="1">IFERROR(__xludf.DUMMYFUNCTION("""COMPUTED_VALUE"""),"Boston")</f>
        <v>Boston</v>
      </c>
      <c r="F121" s="1" t="str">
        <f ca="1">IFERROR(__xludf.DUMMYFUNCTION("""COMPUTED_VALUE"""),"Boston - Allston")</f>
        <v>Boston - Allston</v>
      </c>
      <c r="G121" s="1">
        <f ca="1">IFERROR(__xludf.DUMMYFUNCTION("""COMPUTED_VALUE"""),2)</f>
        <v>2</v>
      </c>
      <c r="H121" s="1" t="str">
        <f ca="1">IFERROR(__xludf.DUMMYFUNCTION("""COMPUTED_VALUE"""),"B")</f>
        <v>B</v>
      </c>
      <c r="I121" s="4" t="str">
        <f ca="1">IFERROR(__xludf.DUMMYFUNCTION("""COMPUTED_VALUE"""),"20 Reedsdale StreetN/AB")</f>
        <v>20 Reedsdale StreetN/AB</v>
      </c>
      <c r="J121" s="4" t="str">
        <f ca="1">IFERROR(__xludf.DUMMYFUNCTION("""COMPUTED_VALUE"""),"c4c10791-dcd5-4fbd-a231-cc76a106644e")</f>
        <v>c4c10791-dcd5-4fbd-a231-cc76a106644e</v>
      </c>
      <c r="K121" s="4">
        <f ca="1">IFERROR(__xludf.DUMMYFUNCTION("""COMPUTED_VALUE"""),925)</f>
        <v>925</v>
      </c>
      <c r="L121" s="1" t="str">
        <f ca="1">IFERROR(__xludf.DUMMYFUNCTION("""COMPUTED_VALUE"""),"Peter")</f>
        <v>Peter</v>
      </c>
      <c r="M121" s="1" t="str">
        <f ca="1">IFERROR(__xludf.DUMMYFUNCTION("""COMPUTED_VALUE"""),"")</f>
        <v/>
      </c>
      <c r="N121" s="1" t="str">
        <f ca="1">IFERROR(__xludf.DUMMYFUNCTION("""COMPUTED_VALUE"""),"")</f>
        <v/>
      </c>
      <c r="O121" s="1" t="str">
        <f ca="1">IFERROR(__xludf.DUMMYFUNCTION("""COMPUTED_VALUE"""),"Occupied")</f>
        <v>Occupied</v>
      </c>
      <c r="P121" s="1"/>
      <c r="Q121" s="1"/>
      <c r="R121" s="1"/>
      <c r="S121" s="1"/>
      <c r="T121" s="1"/>
      <c r="U121" s="1" t="str">
        <f ca="1">IFERROR(__xludf.DUMMYFUNCTION("""COMPUTED_VALUE"""),"N")</f>
        <v>N</v>
      </c>
      <c r="V121" s="1" t="str">
        <f ca="1">IFERROR(__xludf.DUMMYFUNCTION("""COMPUTED_VALUE"""),"N")</f>
        <v>N</v>
      </c>
      <c r="W121" s="1"/>
      <c r="X121" s="1"/>
      <c r="Y121" s="1" t="str">
        <f ca="1">IFERROR(__xludf.DUMMYFUNCTION("""COMPUTED_VALUE"""),"Bradley Casalinuovo")</f>
        <v>Bradley Casalinuovo</v>
      </c>
      <c r="Z121" s="1" t="str">
        <f ca="1">IFERROR(__xludf.DUMMYFUNCTION("""COMPUTED_VALUE"""),"bcasalin1996@gmail.com")</f>
        <v>bcasalin1996@gmail.com</v>
      </c>
      <c r="AA121" s="1"/>
      <c r="AB121" s="1"/>
      <c r="AC121" s="1"/>
    </row>
    <row r="122" spans="1:29">
      <c r="A122" s="1" t="str">
        <f ca="1">IFERROR(__xludf.DUMMYFUNCTION("""COMPUTED_VALUE"""),"20 Reedsdale Street")</f>
        <v>20 Reedsdale Street</v>
      </c>
      <c r="B122" s="1">
        <f ca="1">IFERROR(__xludf.DUMMYFUNCTION("""COMPUTED_VALUE"""),20)</f>
        <v>20</v>
      </c>
      <c r="C122" s="1" t="str">
        <f ca="1">IFERROR(__xludf.DUMMYFUNCTION("""COMPUTED_VALUE"""),"N/A")</f>
        <v>N/A</v>
      </c>
      <c r="D122" s="1" t="str">
        <f ca="1">IFERROR(__xludf.DUMMYFUNCTION("""COMPUTED_VALUE"""),"20 Reedsdale Street")</f>
        <v>20 Reedsdale Street</v>
      </c>
      <c r="E122" s="1" t="str">
        <f ca="1">IFERROR(__xludf.DUMMYFUNCTION("""COMPUTED_VALUE"""),"Boston")</f>
        <v>Boston</v>
      </c>
      <c r="F122" s="1" t="str">
        <f ca="1">IFERROR(__xludf.DUMMYFUNCTION("""COMPUTED_VALUE"""),"Boston - Allston")</f>
        <v>Boston - Allston</v>
      </c>
      <c r="G122" s="1">
        <f ca="1">IFERROR(__xludf.DUMMYFUNCTION("""COMPUTED_VALUE"""),3)</f>
        <v>3</v>
      </c>
      <c r="H122" s="1" t="str">
        <f ca="1">IFERROR(__xludf.DUMMYFUNCTION("""COMPUTED_VALUE"""),"C")</f>
        <v>C</v>
      </c>
      <c r="I122" s="4" t="str">
        <f ca="1">IFERROR(__xludf.DUMMYFUNCTION("""COMPUTED_VALUE"""),"20 Reedsdale StreetN/AC")</f>
        <v>20 Reedsdale StreetN/AC</v>
      </c>
      <c r="J122" s="4" t="str">
        <f ca="1">IFERROR(__xludf.DUMMYFUNCTION("""COMPUTED_VALUE"""),"c4c10791-dcd5-4fbd-a231-cc76a106644e")</f>
        <v>c4c10791-dcd5-4fbd-a231-cc76a106644e</v>
      </c>
      <c r="K122" s="4">
        <f ca="1">IFERROR(__xludf.DUMMYFUNCTION("""COMPUTED_VALUE"""),975)</f>
        <v>975</v>
      </c>
      <c r="L122" s="1" t="str">
        <f ca="1">IFERROR(__xludf.DUMMYFUNCTION("""COMPUTED_VALUE"""),"Peter")</f>
        <v>Peter</v>
      </c>
      <c r="M122" s="1" t="str">
        <f ca="1">IFERROR(__xludf.DUMMYFUNCTION("""COMPUTED_VALUE"""),"")</f>
        <v/>
      </c>
      <c r="N122" s="1" t="str">
        <f ca="1">IFERROR(__xludf.DUMMYFUNCTION("""COMPUTED_VALUE"""),"")</f>
        <v/>
      </c>
      <c r="O122" s="1" t="str">
        <f ca="1">IFERROR(__xludf.DUMMYFUNCTION("""COMPUTED_VALUE"""),"Occupied")</f>
        <v>Occupied</v>
      </c>
      <c r="P122" s="1"/>
      <c r="Q122" s="1"/>
      <c r="R122" s="1"/>
      <c r="S122" s="1"/>
      <c r="T122" s="1"/>
      <c r="U122" s="1" t="str">
        <f ca="1">IFERROR(__xludf.DUMMYFUNCTION("""COMPUTED_VALUE"""),"N")</f>
        <v>N</v>
      </c>
      <c r="V122" s="1" t="str">
        <f ca="1">IFERROR(__xludf.DUMMYFUNCTION("""COMPUTED_VALUE"""),"N")</f>
        <v>N</v>
      </c>
      <c r="W122" s="1"/>
      <c r="X122" s="1"/>
      <c r="Y122" s="1" t="str">
        <f ca="1">IFERROR(__xludf.DUMMYFUNCTION("""COMPUTED_VALUE"""),"Zachary Houghton")</f>
        <v>Zachary Houghton</v>
      </c>
      <c r="Z122" s="1" t="str">
        <f ca="1">IFERROR(__xludf.DUMMYFUNCTION("""COMPUTED_VALUE"""),"zacharyh2001@gmail.com")</f>
        <v>zacharyh2001@gmail.com</v>
      </c>
      <c r="AA122" s="1"/>
      <c r="AB122" s="1"/>
      <c r="AC122" s="1"/>
    </row>
    <row r="123" spans="1:29">
      <c r="A123" s="1" t="str">
        <f ca="1">IFERROR(__xludf.DUMMYFUNCTION("""COMPUTED_VALUE"""),"20 Reedsdale Street")</f>
        <v>20 Reedsdale Street</v>
      </c>
      <c r="B123" s="1">
        <f ca="1">IFERROR(__xludf.DUMMYFUNCTION("""COMPUTED_VALUE"""),20)</f>
        <v>20</v>
      </c>
      <c r="C123" s="1" t="str">
        <f ca="1">IFERROR(__xludf.DUMMYFUNCTION("""COMPUTED_VALUE"""),"N/A")</f>
        <v>N/A</v>
      </c>
      <c r="D123" s="1" t="str">
        <f ca="1">IFERROR(__xludf.DUMMYFUNCTION("""COMPUTED_VALUE"""),"20 Reedsdale Street")</f>
        <v>20 Reedsdale Street</v>
      </c>
      <c r="E123" s="1" t="str">
        <f ca="1">IFERROR(__xludf.DUMMYFUNCTION("""COMPUTED_VALUE"""),"Boston")</f>
        <v>Boston</v>
      </c>
      <c r="F123" s="1" t="str">
        <f ca="1">IFERROR(__xludf.DUMMYFUNCTION("""COMPUTED_VALUE"""),"Boston - Allston")</f>
        <v>Boston - Allston</v>
      </c>
      <c r="G123" s="1">
        <f ca="1">IFERROR(__xludf.DUMMYFUNCTION("""COMPUTED_VALUE"""),4)</f>
        <v>4</v>
      </c>
      <c r="H123" s="1" t="str">
        <f ca="1">IFERROR(__xludf.DUMMYFUNCTION("""COMPUTED_VALUE"""),"D")</f>
        <v>D</v>
      </c>
      <c r="I123" s="4" t="str">
        <f ca="1">IFERROR(__xludf.DUMMYFUNCTION("""COMPUTED_VALUE"""),"20 Reedsdale StreetN/AD")</f>
        <v>20 Reedsdale StreetN/AD</v>
      </c>
      <c r="J123" s="4" t="str">
        <f ca="1">IFERROR(__xludf.DUMMYFUNCTION("""COMPUTED_VALUE"""),"c4c10791-dcd5-4fbd-a231-cc76a106644e")</f>
        <v>c4c10791-dcd5-4fbd-a231-cc76a106644e</v>
      </c>
      <c r="K123" s="4">
        <f ca="1">IFERROR(__xludf.DUMMYFUNCTION("""COMPUTED_VALUE"""),895)</f>
        <v>895</v>
      </c>
      <c r="L123" s="1" t="str">
        <f ca="1">IFERROR(__xludf.DUMMYFUNCTION("""COMPUTED_VALUE"""),"Peter")</f>
        <v>Peter</v>
      </c>
      <c r="M123" s="1" t="str">
        <f ca="1">IFERROR(__xludf.DUMMYFUNCTION("""COMPUTED_VALUE"""),"")</f>
        <v/>
      </c>
      <c r="N123" s="1" t="str">
        <f ca="1">IFERROR(__xludf.DUMMYFUNCTION("""COMPUTED_VALUE"""),"")</f>
        <v/>
      </c>
      <c r="O123" s="1" t="str">
        <f ca="1">IFERROR(__xludf.DUMMYFUNCTION("""COMPUTED_VALUE"""),"Lease Signed")</f>
        <v>Lease Signed</v>
      </c>
      <c r="P123" s="1" t="str">
        <f ca="1">IFERROR(__xludf.DUMMYFUNCTION("""COMPUTED_VALUE"""),"January")</f>
        <v>January</v>
      </c>
      <c r="Q123" s="1"/>
      <c r="R123" s="5">
        <f ca="1">IFERROR(__xludf.DUMMYFUNCTION("""COMPUTED_VALUE"""),44211)</f>
        <v>44211</v>
      </c>
      <c r="S123" s="1"/>
      <c r="T123" s="1"/>
      <c r="U123" s="1" t="str">
        <f ca="1">IFERROR(__xludf.DUMMYFUNCTION("""COMPUTED_VALUE"""),"N")</f>
        <v>N</v>
      </c>
      <c r="V123" s="1" t="str">
        <f ca="1">IFERROR(__xludf.DUMMYFUNCTION("""COMPUTED_VALUE"""),"N")</f>
        <v>N</v>
      </c>
      <c r="W123" s="1" t="str">
        <f ca="1">IFERROR(__xludf.DUMMYFUNCTION("""COMPUTED_VALUE"""),"Isabelle Baurer")</f>
        <v>Isabelle Baurer</v>
      </c>
      <c r="X123" s="1" t="str">
        <f ca="1">IFERROR(__xludf.DUMMYFUNCTION("""COMPUTED_VALUE"""),"Isabellebaurer@gmail.com")</f>
        <v>Isabellebaurer@gmail.com</v>
      </c>
      <c r="Y123" s="1"/>
      <c r="Z123" s="1"/>
      <c r="AA123" s="1"/>
      <c r="AB123" s="1"/>
      <c r="AC123" s="1"/>
    </row>
    <row r="124" spans="1:29">
      <c r="A124" s="1" t="str">
        <f ca="1">IFERROR(__xludf.DUMMYFUNCTION("""COMPUTED_VALUE"""),"20 Sudan Street")</f>
        <v>20 Sudan Street</v>
      </c>
      <c r="B124" s="1">
        <f ca="1">IFERROR(__xludf.DUMMYFUNCTION("""COMPUTED_VALUE"""),20)</f>
        <v>20</v>
      </c>
      <c r="C124" s="1" t="str">
        <f ca="1">IFERROR(__xludf.DUMMYFUNCTION("""COMPUTED_VALUE"""),"#1")</f>
        <v>#1</v>
      </c>
      <c r="D124" s="1" t="str">
        <f ca="1">IFERROR(__xludf.DUMMYFUNCTION("""COMPUTED_VALUE"""),"20 Sudan Street Unit 1")</f>
        <v>20 Sudan Street Unit 1</v>
      </c>
      <c r="E124" s="1" t="str">
        <f ca="1">IFERROR(__xludf.DUMMYFUNCTION("""COMPUTED_VALUE"""),"Boston")</f>
        <v>Boston</v>
      </c>
      <c r="F124" s="1" t="str">
        <f ca="1">IFERROR(__xludf.DUMMYFUNCTION("""COMPUTED_VALUE"""),"Boston - Dorchester")</f>
        <v>Boston - Dorchester</v>
      </c>
      <c r="G124" s="1">
        <f ca="1">IFERROR(__xludf.DUMMYFUNCTION("""COMPUTED_VALUE"""),1)</f>
        <v>1</v>
      </c>
      <c r="H124" s="1" t="str">
        <f ca="1">IFERROR(__xludf.DUMMYFUNCTION("""COMPUTED_VALUE"""),"A")</f>
        <v>A</v>
      </c>
      <c r="I124" s="4" t="str">
        <f ca="1">IFERROR(__xludf.DUMMYFUNCTION("""COMPUTED_VALUE"""),"20 Sudan Street#1A")</f>
        <v>20 Sudan Street#1A</v>
      </c>
      <c r="J124" s="4" t="str">
        <f ca="1">IFERROR(__xludf.DUMMYFUNCTION("""COMPUTED_VALUE"""),"2c81ede3-b793-4ebd-a6ed-f24d21dc86f8")</f>
        <v>2c81ede3-b793-4ebd-a6ed-f24d21dc86f8</v>
      </c>
      <c r="K124" s="4">
        <f ca="1">IFERROR(__xludf.DUMMYFUNCTION("""COMPUTED_VALUE"""),1125)</f>
        <v>1125</v>
      </c>
      <c r="L124" s="1" t="str">
        <f ca="1">IFERROR(__xludf.DUMMYFUNCTION("""COMPUTED_VALUE"""),"Cam")</f>
        <v>Cam</v>
      </c>
      <c r="M124" s="1" t="str">
        <f ca="1">IFERROR(__xludf.DUMMYFUNCTION("""COMPUTED_VALUE"""),"")</f>
        <v/>
      </c>
      <c r="N124" s="1" t="str">
        <f ca="1">IFERROR(__xludf.DUMMYFUNCTION("""COMPUTED_VALUE"""),"")</f>
        <v/>
      </c>
      <c r="O124" s="1" t="str">
        <f ca="1">IFERROR(__xludf.DUMMYFUNCTION("""COMPUTED_VALUE"""),"Occupied")</f>
        <v>Occupied</v>
      </c>
      <c r="P124" s="1"/>
      <c r="Q124" s="1"/>
      <c r="R124" s="1"/>
      <c r="S124" s="1"/>
      <c r="T124" s="1"/>
      <c r="U124" s="1" t="str">
        <f ca="1">IFERROR(__xludf.DUMMYFUNCTION("""COMPUTED_VALUE"""),"N")</f>
        <v>N</v>
      </c>
      <c r="V124" s="1" t="str">
        <f ca="1">IFERROR(__xludf.DUMMYFUNCTION("""COMPUTED_VALUE"""),"Y")</f>
        <v>Y</v>
      </c>
      <c r="W124" s="1"/>
      <c r="X124" s="1"/>
      <c r="Y124" s="1" t="str">
        <f ca="1">IFERROR(__xludf.DUMMYFUNCTION("""COMPUTED_VALUE"""),"Erica Vazquez")</f>
        <v>Erica Vazquez</v>
      </c>
      <c r="Z124" s="1" t="str">
        <f ca="1">IFERROR(__xludf.DUMMYFUNCTION("""COMPUTED_VALUE"""),"ericavaz21@gmail.com")</f>
        <v>ericavaz21@gmail.com</v>
      </c>
      <c r="AA124" s="1"/>
      <c r="AB124" s="1"/>
      <c r="AC124" s="1"/>
    </row>
    <row r="125" spans="1:29">
      <c r="A125" s="1" t="str">
        <f ca="1">IFERROR(__xludf.DUMMYFUNCTION("""COMPUTED_VALUE"""),"20 Sudan Street")</f>
        <v>20 Sudan Street</v>
      </c>
      <c r="B125" s="1">
        <f ca="1">IFERROR(__xludf.DUMMYFUNCTION("""COMPUTED_VALUE"""),20)</f>
        <v>20</v>
      </c>
      <c r="C125" s="1" t="str">
        <f ca="1">IFERROR(__xludf.DUMMYFUNCTION("""COMPUTED_VALUE"""),"#1")</f>
        <v>#1</v>
      </c>
      <c r="D125" s="1" t="str">
        <f ca="1">IFERROR(__xludf.DUMMYFUNCTION("""COMPUTED_VALUE"""),"20 Sudan Street Unit 1")</f>
        <v>20 Sudan Street Unit 1</v>
      </c>
      <c r="E125" s="1" t="str">
        <f ca="1">IFERROR(__xludf.DUMMYFUNCTION("""COMPUTED_VALUE"""),"Boston")</f>
        <v>Boston</v>
      </c>
      <c r="F125" s="1" t="str">
        <f ca="1">IFERROR(__xludf.DUMMYFUNCTION("""COMPUTED_VALUE"""),"Boston - Dorchester")</f>
        <v>Boston - Dorchester</v>
      </c>
      <c r="G125" s="1">
        <f ca="1">IFERROR(__xludf.DUMMYFUNCTION("""COMPUTED_VALUE"""),2)</f>
        <v>2</v>
      </c>
      <c r="H125" s="1" t="str">
        <f ca="1">IFERROR(__xludf.DUMMYFUNCTION("""COMPUTED_VALUE"""),"B")</f>
        <v>B</v>
      </c>
      <c r="I125" s="4" t="str">
        <f ca="1">IFERROR(__xludf.DUMMYFUNCTION("""COMPUTED_VALUE"""),"20 Sudan Street#1B")</f>
        <v>20 Sudan Street#1B</v>
      </c>
      <c r="J125" s="4" t="str">
        <f ca="1">IFERROR(__xludf.DUMMYFUNCTION("""COMPUTED_VALUE"""),"2c81ede3-b793-4ebd-a6ed-f24d21dc86f8")</f>
        <v>2c81ede3-b793-4ebd-a6ed-f24d21dc86f8</v>
      </c>
      <c r="K125" s="4">
        <f ca="1">IFERROR(__xludf.DUMMYFUNCTION("""COMPUTED_VALUE"""),1125)</f>
        <v>1125</v>
      </c>
      <c r="L125" s="1" t="str">
        <f ca="1">IFERROR(__xludf.DUMMYFUNCTION("""COMPUTED_VALUE"""),"Cam")</f>
        <v>Cam</v>
      </c>
      <c r="M125" s="1" t="str">
        <f ca="1">IFERROR(__xludf.DUMMYFUNCTION("""COMPUTED_VALUE"""),"")</f>
        <v/>
      </c>
      <c r="N125" s="1" t="str">
        <f ca="1">IFERROR(__xludf.DUMMYFUNCTION("""COMPUTED_VALUE"""),"")</f>
        <v/>
      </c>
      <c r="O125" s="1" t="str">
        <f ca="1">IFERROR(__xludf.DUMMYFUNCTION("""COMPUTED_VALUE"""),"Occupied")</f>
        <v>Occupied</v>
      </c>
      <c r="P125" s="1"/>
      <c r="Q125" s="1"/>
      <c r="R125" s="1"/>
      <c r="S125" s="1"/>
      <c r="T125" s="1"/>
      <c r="U125" s="1" t="str">
        <f ca="1">IFERROR(__xludf.DUMMYFUNCTION("""COMPUTED_VALUE"""),"N")</f>
        <v>N</v>
      </c>
      <c r="V125" s="1" t="str">
        <f ca="1">IFERROR(__xludf.DUMMYFUNCTION("""COMPUTED_VALUE"""),"Y")</f>
        <v>Y</v>
      </c>
      <c r="W125" s="1"/>
      <c r="X125" s="1"/>
      <c r="Y125" s="1" t="str">
        <f ca="1">IFERROR(__xludf.DUMMYFUNCTION("""COMPUTED_VALUE"""),"Rosalie Reyes")</f>
        <v>Rosalie Reyes</v>
      </c>
      <c r="Z125" s="1" t="str">
        <f ca="1">IFERROR(__xludf.DUMMYFUNCTION("""COMPUTED_VALUE"""),"rosalier@gse.upenn.edu")</f>
        <v>rosalier@gse.upenn.edu</v>
      </c>
      <c r="AA125" s="1"/>
      <c r="AB125" s="1"/>
      <c r="AC125" s="1"/>
    </row>
    <row r="126" spans="1:29">
      <c r="A126" s="1" t="str">
        <f ca="1">IFERROR(__xludf.DUMMYFUNCTION("""COMPUTED_VALUE"""),"20 Sudan Street")</f>
        <v>20 Sudan Street</v>
      </c>
      <c r="B126" s="1">
        <f ca="1">IFERROR(__xludf.DUMMYFUNCTION("""COMPUTED_VALUE"""),20)</f>
        <v>20</v>
      </c>
      <c r="C126" s="1" t="str">
        <f ca="1">IFERROR(__xludf.DUMMYFUNCTION("""COMPUTED_VALUE"""),"#1")</f>
        <v>#1</v>
      </c>
      <c r="D126" s="1" t="str">
        <f ca="1">IFERROR(__xludf.DUMMYFUNCTION("""COMPUTED_VALUE"""),"20 Sudan Street Unit 1")</f>
        <v>20 Sudan Street Unit 1</v>
      </c>
      <c r="E126" s="1" t="str">
        <f ca="1">IFERROR(__xludf.DUMMYFUNCTION("""COMPUTED_VALUE"""),"Boston")</f>
        <v>Boston</v>
      </c>
      <c r="F126" s="1" t="str">
        <f ca="1">IFERROR(__xludf.DUMMYFUNCTION("""COMPUTED_VALUE"""),"Boston - Dorchester")</f>
        <v>Boston - Dorchester</v>
      </c>
      <c r="G126" s="1">
        <f ca="1">IFERROR(__xludf.DUMMYFUNCTION("""COMPUTED_VALUE"""),3)</f>
        <v>3</v>
      </c>
      <c r="H126" s="1" t="str">
        <f ca="1">IFERROR(__xludf.DUMMYFUNCTION("""COMPUTED_VALUE"""),"C")</f>
        <v>C</v>
      </c>
      <c r="I126" s="4" t="str">
        <f ca="1">IFERROR(__xludf.DUMMYFUNCTION("""COMPUTED_VALUE"""),"20 Sudan Street#1C")</f>
        <v>20 Sudan Street#1C</v>
      </c>
      <c r="J126" s="4" t="str">
        <f ca="1">IFERROR(__xludf.DUMMYFUNCTION("""COMPUTED_VALUE"""),"2c81ede3-b793-4ebd-a6ed-f24d21dc86f8")</f>
        <v>2c81ede3-b793-4ebd-a6ed-f24d21dc86f8</v>
      </c>
      <c r="K126" s="4">
        <f ca="1">IFERROR(__xludf.DUMMYFUNCTION("""COMPUTED_VALUE"""),795)</f>
        <v>795</v>
      </c>
      <c r="L126" s="1" t="str">
        <f ca="1">IFERROR(__xludf.DUMMYFUNCTION("""COMPUTED_VALUE"""),"Cam")</f>
        <v>Cam</v>
      </c>
      <c r="M126" s="1" t="str">
        <f ca="1">IFERROR(__xludf.DUMMYFUNCTION("""COMPUTED_VALUE"""),"")</f>
        <v/>
      </c>
      <c r="N126" s="1" t="str">
        <f ca="1">IFERROR(__xludf.DUMMYFUNCTION("""COMPUTED_VALUE"""),"")</f>
        <v/>
      </c>
      <c r="O126" s="1" t="str">
        <f ca="1">IFERROR(__xludf.DUMMYFUNCTION("""COMPUTED_VALUE"""),"Occupied")</f>
        <v>Occupied</v>
      </c>
      <c r="P126" s="1"/>
      <c r="Q126" s="1"/>
      <c r="R126" s="1"/>
      <c r="S126" s="1"/>
      <c r="T126" s="1"/>
      <c r="U126" s="1" t="str">
        <f ca="1">IFERROR(__xludf.DUMMYFUNCTION("""COMPUTED_VALUE"""),"N")</f>
        <v>N</v>
      </c>
      <c r="V126" s="1" t="str">
        <f ca="1">IFERROR(__xludf.DUMMYFUNCTION("""COMPUTED_VALUE"""),"Y")</f>
        <v>Y</v>
      </c>
      <c r="W126" s="1"/>
      <c r="X126" s="1"/>
      <c r="Y126" s="1" t="str">
        <f ca="1">IFERROR(__xludf.DUMMYFUNCTION("""COMPUTED_VALUE"""),"Erica Vazquez")</f>
        <v>Erica Vazquez</v>
      </c>
      <c r="Z126" s="1" t="str">
        <f ca="1">IFERROR(__xludf.DUMMYFUNCTION("""COMPUTED_VALUE"""),"ericavaz21@gmail.com")</f>
        <v>ericavaz21@gmail.com</v>
      </c>
      <c r="AA126" s="1"/>
      <c r="AB126" s="1"/>
      <c r="AC126" s="1"/>
    </row>
    <row r="127" spans="1:29">
      <c r="A127" s="1" t="str">
        <f ca="1">IFERROR(__xludf.DUMMYFUNCTION("""COMPUTED_VALUE"""),"22 Austin Street")</f>
        <v>22 Austin Street</v>
      </c>
      <c r="B127" s="1">
        <f ca="1">IFERROR(__xludf.DUMMYFUNCTION("""COMPUTED_VALUE"""),22)</f>
        <v>22</v>
      </c>
      <c r="C127" s="1" t="str">
        <f ca="1">IFERROR(__xludf.DUMMYFUNCTION("""COMPUTED_VALUE"""),"#1")</f>
        <v>#1</v>
      </c>
      <c r="D127" s="1" t="str">
        <f ca="1">IFERROR(__xludf.DUMMYFUNCTION("""COMPUTED_VALUE"""),"22 Austin Street Unit 1")</f>
        <v>22 Austin Street Unit 1</v>
      </c>
      <c r="E127" s="1" t="str">
        <f ca="1">IFERROR(__xludf.DUMMYFUNCTION("""COMPUTED_VALUE"""),"Boston")</f>
        <v>Boston</v>
      </c>
      <c r="F127" s="1" t="str">
        <f ca="1">IFERROR(__xludf.DUMMYFUNCTION("""COMPUTED_VALUE"""),"Boston - Charlestown")</f>
        <v>Boston - Charlestown</v>
      </c>
      <c r="G127" s="1">
        <f ca="1">IFERROR(__xludf.DUMMYFUNCTION("""COMPUTED_VALUE"""),1)</f>
        <v>1</v>
      </c>
      <c r="H127" s="1" t="str">
        <f ca="1">IFERROR(__xludf.DUMMYFUNCTION("""COMPUTED_VALUE"""),"A")</f>
        <v>A</v>
      </c>
      <c r="I127" s="4" t="str">
        <f ca="1">IFERROR(__xludf.DUMMYFUNCTION("""COMPUTED_VALUE"""),"22 Austin Street#1A")</f>
        <v>22 Austin Street#1A</v>
      </c>
      <c r="J127" s="4" t="str">
        <f ca="1">IFERROR(__xludf.DUMMYFUNCTION("""COMPUTED_VALUE"""),"20227157-cbe9-48f1-9b3b-f4b5c3d31ecb")</f>
        <v>20227157-cbe9-48f1-9b3b-f4b5c3d31ecb</v>
      </c>
      <c r="K127" s="4">
        <f ca="1">IFERROR(__xludf.DUMMYFUNCTION("""COMPUTED_VALUE"""),1295)</f>
        <v>1295</v>
      </c>
      <c r="L127" s="1" t="str">
        <f ca="1">IFERROR(__xludf.DUMMYFUNCTION("""COMPUTED_VALUE"""),"Cam")</f>
        <v>Cam</v>
      </c>
      <c r="M127" s="1" t="str">
        <f ca="1">IFERROR(__xludf.DUMMYFUNCTION("""COMPUTED_VALUE"""),"")</f>
        <v/>
      </c>
      <c r="N127" s="1" t="str">
        <f ca="1">IFERROR(__xludf.DUMMYFUNCTION("""COMPUTED_VALUE"""),"Furnished")</f>
        <v>Furnished</v>
      </c>
      <c r="O127" s="1" t="str">
        <f ca="1">IFERROR(__xludf.DUMMYFUNCTION("""COMPUTED_VALUE"""),"Deposits Complete")</f>
        <v>Deposits Complete</v>
      </c>
      <c r="P127" s="1"/>
      <c r="Q127" s="1"/>
      <c r="R127" s="1"/>
      <c r="S127" s="1" t="str">
        <f ca="1">IFERROR(__xludf.DUMMYFUNCTION("""COMPUTED_VALUE"""),"NO CATS OR DOGS")</f>
        <v>NO CATS OR DOGS</v>
      </c>
      <c r="T127" s="1"/>
      <c r="U127" s="1" t="str">
        <f ca="1">IFERROR(__xludf.DUMMYFUNCTION("""COMPUTED_VALUE"""),"N")</f>
        <v>N</v>
      </c>
      <c r="V127" s="1" t="str">
        <f ca="1">IFERROR(__xludf.DUMMYFUNCTION("""COMPUTED_VALUE"""),"N")</f>
        <v>N</v>
      </c>
      <c r="W127" s="1"/>
      <c r="X127" s="1"/>
      <c r="Y127" s="1" t="str">
        <f ca="1">IFERROR(__xludf.DUMMYFUNCTION("""COMPUTED_VALUE"""),"Adriaan de Groot")</f>
        <v>Adriaan de Groot</v>
      </c>
      <c r="Z127" s="1" t="str">
        <f ca="1">IFERROR(__xludf.DUMMYFUNCTION("""COMPUTED_VALUE"""),"Adriaandegroot13@gmail.com")</f>
        <v>Adriaandegroot13@gmail.com</v>
      </c>
      <c r="AA127" s="1"/>
      <c r="AB127" s="1"/>
      <c r="AC127" s="1"/>
    </row>
    <row r="128" spans="1:29">
      <c r="A128" s="1" t="str">
        <f ca="1">IFERROR(__xludf.DUMMYFUNCTION("""COMPUTED_VALUE"""),"22 Austin Street")</f>
        <v>22 Austin Street</v>
      </c>
      <c r="B128" s="1">
        <f ca="1">IFERROR(__xludf.DUMMYFUNCTION("""COMPUTED_VALUE"""),22)</f>
        <v>22</v>
      </c>
      <c r="C128" s="1" t="str">
        <f ca="1">IFERROR(__xludf.DUMMYFUNCTION("""COMPUTED_VALUE"""),"#1")</f>
        <v>#1</v>
      </c>
      <c r="D128" s="1" t="str">
        <f ca="1">IFERROR(__xludf.DUMMYFUNCTION("""COMPUTED_VALUE"""),"22 Austin Street Unit 1")</f>
        <v>22 Austin Street Unit 1</v>
      </c>
      <c r="E128" s="1" t="str">
        <f ca="1">IFERROR(__xludf.DUMMYFUNCTION("""COMPUTED_VALUE"""),"Boston")</f>
        <v>Boston</v>
      </c>
      <c r="F128" s="1" t="str">
        <f ca="1">IFERROR(__xludf.DUMMYFUNCTION("""COMPUTED_VALUE"""),"Boston - Charlestown")</f>
        <v>Boston - Charlestown</v>
      </c>
      <c r="G128" s="1">
        <f ca="1">IFERROR(__xludf.DUMMYFUNCTION("""COMPUTED_VALUE"""),2)</f>
        <v>2</v>
      </c>
      <c r="H128" s="1" t="str">
        <f ca="1">IFERROR(__xludf.DUMMYFUNCTION("""COMPUTED_VALUE"""),"B")</f>
        <v>B</v>
      </c>
      <c r="I128" s="4" t="str">
        <f ca="1">IFERROR(__xludf.DUMMYFUNCTION("""COMPUTED_VALUE"""),"22 Austin Street#1B")</f>
        <v>22 Austin Street#1B</v>
      </c>
      <c r="J128" s="4" t="str">
        <f ca="1">IFERROR(__xludf.DUMMYFUNCTION("""COMPUTED_VALUE"""),"20227157-cbe9-48f1-9b3b-f4b5c3d31ecb")</f>
        <v>20227157-cbe9-48f1-9b3b-f4b5c3d31ecb</v>
      </c>
      <c r="K128" s="4">
        <f ca="1">IFERROR(__xludf.DUMMYFUNCTION("""COMPUTED_VALUE"""),1095)</f>
        <v>1095</v>
      </c>
      <c r="L128" s="1" t="str">
        <f ca="1">IFERROR(__xludf.DUMMYFUNCTION("""COMPUTED_VALUE"""),"Cam")</f>
        <v>Cam</v>
      </c>
      <c r="M128" s="1" t="str">
        <f ca="1">IFERROR(__xludf.DUMMYFUNCTION("""COMPUTED_VALUE"""),"")</f>
        <v/>
      </c>
      <c r="N128" s="1" t="str">
        <f ca="1">IFERROR(__xludf.DUMMYFUNCTION("""COMPUTED_VALUE"""),"Furnished")</f>
        <v>Furnished</v>
      </c>
      <c r="O128" s="1" t="str">
        <f ca="1">IFERROR(__xludf.DUMMYFUNCTION("""COMPUTED_VALUE"""),"Occupied")</f>
        <v>Occupied</v>
      </c>
      <c r="P128" s="1"/>
      <c r="Q128" s="1"/>
      <c r="R128" s="1"/>
      <c r="S128" s="1" t="str">
        <f ca="1">IFERROR(__xludf.DUMMYFUNCTION("""COMPUTED_VALUE"""),"NO CATS OR DOGS")</f>
        <v>NO CATS OR DOGS</v>
      </c>
      <c r="T128" s="1"/>
      <c r="U128" s="1" t="str">
        <f ca="1">IFERROR(__xludf.DUMMYFUNCTION("""COMPUTED_VALUE"""),"N")</f>
        <v>N</v>
      </c>
      <c r="V128" s="1" t="str">
        <f ca="1">IFERROR(__xludf.DUMMYFUNCTION("""COMPUTED_VALUE"""),"N")</f>
        <v>N</v>
      </c>
      <c r="W128" s="1"/>
      <c r="X128" s="1"/>
      <c r="Y128" s="1" t="str">
        <f ca="1">IFERROR(__xludf.DUMMYFUNCTION("""COMPUTED_VALUE"""),"Octavia M Pinckney")</f>
        <v>Octavia M Pinckney</v>
      </c>
      <c r="Z128" s="1" t="str">
        <f ca="1">IFERROR(__xludf.DUMMYFUNCTION("""COMPUTED_VALUE"""),"ompinck@gmail.com")</f>
        <v>ompinck@gmail.com</v>
      </c>
      <c r="AA128" s="1"/>
      <c r="AB128" s="1"/>
      <c r="AC128" s="1"/>
    </row>
    <row r="129" spans="1:29">
      <c r="A129" s="1" t="str">
        <f ca="1">IFERROR(__xludf.DUMMYFUNCTION("""COMPUTED_VALUE"""),"22 Austin Street")</f>
        <v>22 Austin Street</v>
      </c>
      <c r="B129" s="1">
        <f ca="1">IFERROR(__xludf.DUMMYFUNCTION("""COMPUTED_VALUE"""),22)</f>
        <v>22</v>
      </c>
      <c r="C129" s="1" t="str">
        <f ca="1">IFERROR(__xludf.DUMMYFUNCTION("""COMPUTED_VALUE"""),"#1")</f>
        <v>#1</v>
      </c>
      <c r="D129" s="1" t="str">
        <f ca="1">IFERROR(__xludf.DUMMYFUNCTION("""COMPUTED_VALUE"""),"22 Austin Street Unit 1")</f>
        <v>22 Austin Street Unit 1</v>
      </c>
      <c r="E129" s="1" t="str">
        <f ca="1">IFERROR(__xludf.DUMMYFUNCTION("""COMPUTED_VALUE"""),"Boston")</f>
        <v>Boston</v>
      </c>
      <c r="F129" s="1" t="str">
        <f ca="1">IFERROR(__xludf.DUMMYFUNCTION("""COMPUTED_VALUE"""),"Boston - Charlestown")</f>
        <v>Boston - Charlestown</v>
      </c>
      <c r="G129" s="1">
        <f ca="1">IFERROR(__xludf.DUMMYFUNCTION("""COMPUTED_VALUE"""),3)</f>
        <v>3</v>
      </c>
      <c r="H129" s="1" t="str">
        <f ca="1">IFERROR(__xludf.DUMMYFUNCTION("""COMPUTED_VALUE"""),"C")</f>
        <v>C</v>
      </c>
      <c r="I129" s="4" t="str">
        <f ca="1">IFERROR(__xludf.DUMMYFUNCTION("""COMPUTED_VALUE"""),"22 Austin Street#1C")</f>
        <v>22 Austin Street#1C</v>
      </c>
      <c r="J129" s="4" t="str">
        <f ca="1">IFERROR(__xludf.DUMMYFUNCTION("""COMPUTED_VALUE"""),"20227157-cbe9-48f1-9b3b-f4b5c3d31ecb")</f>
        <v>20227157-cbe9-48f1-9b3b-f4b5c3d31ecb</v>
      </c>
      <c r="K129" s="4">
        <f ca="1">IFERROR(__xludf.DUMMYFUNCTION("""COMPUTED_VALUE"""),1395)</f>
        <v>1395</v>
      </c>
      <c r="L129" s="1" t="str">
        <f ca="1">IFERROR(__xludf.DUMMYFUNCTION("""COMPUTED_VALUE"""),"Cam")</f>
        <v>Cam</v>
      </c>
      <c r="M129" s="1" t="str">
        <f ca="1">IFERROR(__xludf.DUMMYFUNCTION("""COMPUTED_VALUE"""),"")</f>
        <v/>
      </c>
      <c r="N129" s="1" t="str">
        <f ca="1">IFERROR(__xludf.DUMMYFUNCTION("""COMPUTED_VALUE"""),"Furnished")</f>
        <v>Furnished</v>
      </c>
      <c r="O129" s="1" t="str">
        <f ca="1">IFERROR(__xludf.DUMMYFUNCTION("""COMPUTED_VALUE"""),"Occupied")</f>
        <v>Occupied</v>
      </c>
      <c r="P129" s="1"/>
      <c r="Q129" s="1"/>
      <c r="R129" s="1"/>
      <c r="S129" s="1" t="str">
        <f ca="1">IFERROR(__xludf.DUMMYFUNCTION("""COMPUTED_VALUE"""),"NO CATS OR DOGS")</f>
        <v>NO CATS OR DOGS</v>
      </c>
      <c r="T129" s="1"/>
      <c r="U129" s="1" t="str">
        <f ca="1">IFERROR(__xludf.DUMMYFUNCTION("""COMPUTED_VALUE"""),"N")</f>
        <v>N</v>
      </c>
      <c r="V129" s="1" t="str">
        <f ca="1">IFERROR(__xludf.DUMMYFUNCTION("""COMPUTED_VALUE"""),"N")</f>
        <v>N</v>
      </c>
      <c r="W129" s="1"/>
      <c r="X129" s="1"/>
      <c r="Y129" s="1" t="str">
        <f ca="1">IFERROR(__xludf.DUMMYFUNCTION("""COMPUTED_VALUE"""),"Caroline Boman Grundekjøn")</f>
        <v>Caroline Boman Grundekjøn</v>
      </c>
      <c r="Z129" s="1" t="str">
        <f ca="1">IFERROR(__xludf.DUMMYFUNCTION("""COMPUTED_VALUE"""),"cgrundekjon@gmail.com")</f>
        <v>cgrundekjon@gmail.com</v>
      </c>
      <c r="AA129" s="1"/>
      <c r="AB129" s="1"/>
      <c r="AC129" s="1"/>
    </row>
    <row r="130" spans="1:29">
      <c r="A130" s="1" t="str">
        <f ca="1">IFERROR(__xludf.DUMMYFUNCTION("""COMPUTED_VALUE"""),"22 Austin Street")</f>
        <v>22 Austin Street</v>
      </c>
      <c r="B130" s="1">
        <f ca="1">IFERROR(__xludf.DUMMYFUNCTION("""COMPUTED_VALUE"""),22)</f>
        <v>22</v>
      </c>
      <c r="C130" s="1" t="str">
        <f ca="1">IFERROR(__xludf.DUMMYFUNCTION("""COMPUTED_VALUE"""),"#1")</f>
        <v>#1</v>
      </c>
      <c r="D130" s="1" t="str">
        <f ca="1">IFERROR(__xludf.DUMMYFUNCTION("""COMPUTED_VALUE"""),"22 Austin Street Unit 1")</f>
        <v>22 Austin Street Unit 1</v>
      </c>
      <c r="E130" s="1" t="str">
        <f ca="1">IFERROR(__xludf.DUMMYFUNCTION("""COMPUTED_VALUE"""),"Boston")</f>
        <v>Boston</v>
      </c>
      <c r="F130" s="1" t="str">
        <f ca="1">IFERROR(__xludf.DUMMYFUNCTION("""COMPUTED_VALUE"""),"Boston - Charlestown")</f>
        <v>Boston - Charlestown</v>
      </c>
      <c r="G130" s="1">
        <f ca="1">IFERROR(__xludf.DUMMYFUNCTION("""COMPUTED_VALUE"""),4)</f>
        <v>4</v>
      </c>
      <c r="H130" s="1" t="str">
        <f ca="1">IFERROR(__xludf.DUMMYFUNCTION("""COMPUTED_VALUE"""),"D")</f>
        <v>D</v>
      </c>
      <c r="I130" s="4" t="str">
        <f ca="1">IFERROR(__xludf.DUMMYFUNCTION("""COMPUTED_VALUE"""),"22 Austin Street#1D")</f>
        <v>22 Austin Street#1D</v>
      </c>
      <c r="J130" s="4" t="str">
        <f ca="1">IFERROR(__xludf.DUMMYFUNCTION("""COMPUTED_VALUE"""),"20227157-cbe9-48f1-9b3b-f4b5c3d31ecb")</f>
        <v>20227157-cbe9-48f1-9b3b-f4b5c3d31ecb</v>
      </c>
      <c r="K130" s="4">
        <f ca="1">IFERROR(__xludf.DUMMYFUNCTION("""COMPUTED_VALUE"""),1095)</f>
        <v>1095</v>
      </c>
      <c r="L130" s="1" t="str">
        <f ca="1">IFERROR(__xludf.DUMMYFUNCTION("""COMPUTED_VALUE"""),"Cam")</f>
        <v>Cam</v>
      </c>
      <c r="M130" s="1" t="str">
        <f ca="1">IFERROR(__xludf.DUMMYFUNCTION("""COMPUTED_VALUE"""),"")</f>
        <v/>
      </c>
      <c r="N130" s="1" t="str">
        <f ca="1">IFERROR(__xludf.DUMMYFUNCTION("""COMPUTED_VALUE"""),"Furnished")</f>
        <v>Furnished</v>
      </c>
      <c r="O130" s="1" t="str">
        <f ca="1">IFERROR(__xludf.DUMMYFUNCTION("""COMPUTED_VALUE"""),"Occupied")</f>
        <v>Occupied</v>
      </c>
      <c r="P130" s="1"/>
      <c r="Q130" s="1"/>
      <c r="R130" s="1"/>
      <c r="S130" s="1" t="str">
        <f ca="1">IFERROR(__xludf.DUMMYFUNCTION("""COMPUTED_VALUE"""),"NO CATS OR DOGS")</f>
        <v>NO CATS OR DOGS</v>
      </c>
      <c r="T130" s="1"/>
      <c r="U130" s="1" t="str">
        <f ca="1">IFERROR(__xludf.DUMMYFUNCTION("""COMPUTED_VALUE"""),"N")</f>
        <v>N</v>
      </c>
      <c r="V130" s="1" t="str">
        <f ca="1">IFERROR(__xludf.DUMMYFUNCTION("""COMPUTED_VALUE"""),"N")</f>
        <v>N</v>
      </c>
      <c r="W130" s="1"/>
      <c r="X130" s="1"/>
      <c r="Y130" s="1" t="str">
        <f ca="1">IFERROR(__xludf.DUMMYFUNCTION("""COMPUTED_VALUE"""),"Nevan McCann")</f>
        <v>Nevan McCann</v>
      </c>
      <c r="Z130" s="1" t="str">
        <f ca="1">IFERROR(__xludf.DUMMYFUNCTION("""COMPUTED_VALUE"""),"nevanmccann@gmail.com")</f>
        <v>nevanmccann@gmail.com</v>
      </c>
      <c r="AA130" s="1"/>
      <c r="AB130" s="1"/>
      <c r="AC130" s="1"/>
    </row>
    <row r="131" spans="1:29">
      <c r="A131" s="1" t="str">
        <f ca="1">IFERROR(__xludf.DUMMYFUNCTION("""COMPUTED_VALUE"""),"22 Austin Street")</f>
        <v>22 Austin Street</v>
      </c>
      <c r="B131" s="1">
        <f ca="1">IFERROR(__xludf.DUMMYFUNCTION("""COMPUTED_VALUE"""),22)</f>
        <v>22</v>
      </c>
      <c r="C131" s="1" t="str">
        <f ca="1">IFERROR(__xludf.DUMMYFUNCTION("""COMPUTED_VALUE"""),"#1")</f>
        <v>#1</v>
      </c>
      <c r="D131" s="1" t="str">
        <f ca="1">IFERROR(__xludf.DUMMYFUNCTION("""COMPUTED_VALUE"""),"22 Austin Street Unit 1")</f>
        <v>22 Austin Street Unit 1</v>
      </c>
      <c r="E131" s="1" t="str">
        <f ca="1">IFERROR(__xludf.DUMMYFUNCTION("""COMPUTED_VALUE"""),"Boston")</f>
        <v>Boston</v>
      </c>
      <c r="F131" s="1" t="str">
        <f ca="1">IFERROR(__xludf.DUMMYFUNCTION("""COMPUTED_VALUE"""),"Boston - Charlestown")</f>
        <v>Boston - Charlestown</v>
      </c>
      <c r="G131" s="1">
        <f ca="1">IFERROR(__xludf.DUMMYFUNCTION("""COMPUTED_VALUE"""),5)</f>
        <v>5</v>
      </c>
      <c r="H131" s="1" t="str">
        <f ca="1">IFERROR(__xludf.DUMMYFUNCTION("""COMPUTED_VALUE"""),"E")</f>
        <v>E</v>
      </c>
      <c r="I131" s="4" t="str">
        <f ca="1">IFERROR(__xludf.DUMMYFUNCTION("""COMPUTED_VALUE"""),"22 Austin Street#1E")</f>
        <v>22 Austin Street#1E</v>
      </c>
      <c r="J131" s="4" t="str">
        <f ca="1">IFERROR(__xludf.DUMMYFUNCTION("""COMPUTED_VALUE"""),"20227157-cbe9-48f1-9b3b-f4b5c3d31ecb")</f>
        <v>20227157-cbe9-48f1-9b3b-f4b5c3d31ecb</v>
      </c>
      <c r="K131" s="4">
        <f ca="1">IFERROR(__xludf.DUMMYFUNCTION("""COMPUTED_VALUE"""),1595)</f>
        <v>1595</v>
      </c>
      <c r="L131" s="1" t="str">
        <f ca="1">IFERROR(__xludf.DUMMYFUNCTION("""COMPUTED_VALUE"""),"Cam")</f>
        <v>Cam</v>
      </c>
      <c r="M131" s="1" t="str">
        <f ca="1">IFERROR(__xludf.DUMMYFUNCTION("""COMPUTED_VALUE"""),"")</f>
        <v/>
      </c>
      <c r="N131" s="1" t="str">
        <f ca="1">IFERROR(__xludf.DUMMYFUNCTION("""COMPUTED_VALUE"""),"Furnished")</f>
        <v>Furnished</v>
      </c>
      <c r="O131" s="1" t="str">
        <f ca="1">IFERROR(__xludf.DUMMYFUNCTION("""COMPUTED_VALUE"""),"Occupied")</f>
        <v>Occupied</v>
      </c>
      <c r="P131" s="1"/>
      <c r="Q131" s="1"/>
      <c r="R131" s="1"/>
      <c r="S131" s="1" t="str">
        <f ca="1">IFERROR(__xludf.DUMMYFUNCTION("""COMPUTED_VALUE"""),"NO CATS OR DOGS")</f>
        <v>NO CATS OR DOGS</v>
      </c>
      <c r="T131" s="1"/>
      <c r="U131" s="1" t="str">
        <f ca="1">IFERROR(__xludf.DUMMYFUNCTION("""COMPUTED_VALUE"""),"N")</f>
        <v>N</v>
      </c>
      <c r="V131" s="1" t="str">
        <f ca="1">IFERROR(__xludf.DUMMYFUNCTION("""COMPUTED_VALUE"""),"N")</f>
        <v>N</v>
      </c>
      <c r="W131" s="1"/>
      <c r="X131" s="1"/>
      <c r="Y131" s="1"/>
      <c r="Z131" s="1"/>
      <c r="AA131" s="1"/>
      <c r="AB131" s="1"/>
      <c r="AC131" s="1"/>
    </row>
    <row r="132" spans="1:29">
      <c r="A132" s="1" t="str">
        <f ca="1">IFERROR(__xludf.DUMMYFUNCTION("""COMPUTED_VALUE"""),"23 Granite Street")</f>
        <v>23 Granite Street</v>
      </c>
      <c r="B132" s="1">
        <f ca="1">IFERROR(__xludf.DUMMYFUNCTION("""COMPUTED_VALUE"""),23)</f>
        <v>23</v>
      </c>
      <c r="C132" s="1" t="str">
        <f ca="1">IFERROR(__xludf.DUMMYFUNCTION("""COMPUTED_VALUE"""),"#3")</f>
        <v>#3</v>
      </c>
      <c r="D132" s="1" t="str">
        <f ca="1">IFERROR(__xludf.DUMMYFUNCTION("""COMPUTED_VALUE"""),"23 Granite Street Unit 3")</f>
        <v>23 Granite Street Unit 3</v>
      </c>
      <c r="E132" s="1" t="str">
        <f ca="1">IFERROR(__xludf.DUMMYFUNCTION("""COMPUTED_VALUE"""),"Somerville")</f>
        <v>Somerville</v>
      </c>
      <c r="F132" s="1" t="str">
        <f ca="1">IFERROR(__xludf.DUMMYFUNCTION("""COMPUTED_VALUE"""),"Somerville - Spring Hill")</f>
        <v>Somerville - Spring Hill</v>
      </c>
      <c r="G132" s="1">
        <f ca="1">IFERROR(__xludf.DUMMYFUNCTION("""COMPUTED_VALUE"""),1)</f>
        <v>1</v>
      </c>
      <c r="H132" s="1" t="str">
        <f ca="1">IFERROR(__xludf.DUMMYFUNCTION("""COMPUTED_VALUE"""),"A")</f>
        <v>A</v>
      </c>
      <c r="I132" s="4" t="str">
        <f ca="1">IFERROR(__xludf.DUMMYFUNCTION("""COMPUTED_VALUE"""),"23 Granite Street#3A")</f>
        <v>23 Granite Street#3A</v>
      </c>
      <c r="J132" s="4" t="str">
        <f ca="1">IFERROR(__xludf.DUMMYFUNCTION("""COMPUTED_VALUE"""),"59d3188f-8e54-4c1b-9b00-a245356ca505")</f>
        <v>59d3188f-8e54-4c1b-9b00-a245356ca505</v>
      </c>
      <c r="K132" s="4">
        <f ca="1">IFERROR(__xludf.DUMMYFUNCTION("""COMPUTED_VALUE"""),875)</f>
        <v>875</v>
      </c>
      <c r="L132" s="1" t="str">
        <f ca="1">IFERROR(__xludf.DUMMYFUNCTION("""COMPUTED_VALUE"""),"Lizzie")</f>
        <v>Lizzie</v>
      </c>
      <c r="M132" s="1" t="str">
        <f ca="1">IFERROR(__xludf.DUMMYFUNCTION("""COMPUTED_VALUE"""),"")</f>
        <v/>
      </c>
      <c r="N132" s="1" t="str">
        <f ca="1">IFERROR(__xludf.DUMMYFUNCTION("""COMPUTED_VALUE"""),"")</f>
        <v/>
      </c>
      <c r="O132" s="1" t="str">
        <f ca="1">IFERROR(__xludf.DUMMYFUNCTION("""COMPUTED_VALUE"""),"Occupied")</f>
        <v>Occupied</v>
      </c>
      <c r="P132" s="1"/>
      <c r="Q132" s="1"/>
      <c r="R132" s="1"/>
      <c r="S132" s="1"/>
      <c r="T132" s="1" t="str">
        <f ca="1">IFERROR(__xludf.DUMMYFUNCTION("""COMPUTED_VALUE"""),"Cat")</f>
        <v>Cat</v>
      </c>
      <c r="U132" s="1" t="str">
        <f ca="1">IFERROR(__xludf.DUMMYFUNCTION("""COMPUTED_VALUE"""),"Y")</f>
        <v>Y</v>
      </c>
      <c r="V132" s="1" t="str">
        <f ca="1">IFERROR(__xludf.DUMMYFUNCTION("""COMPUTED_VALUE"""),"N")</f>
        <v>N</v>
      </c>
      <c r="W132" s="1"/>
      <c r="X132" s="1"/>
      <c r="Y132" s="1" t="str">
        <f ca="1">IFERROR(__xludf.DUMMYFUNCTION("""COMPUTED_VALUE"""),"Catherine Grimes")</f>
        <v>Catherine Grimes</v>
      </c>
      <c r="Z132" s="1" t="str">
        <f ca="1">IFERROR(__xludf.DUMMYFUNCTION("""COMPUTED_VALUE"""),"grimescatherines@gmail.com")</f>
        <v>grimescatherines@gmail.com</v>
      </c>
      <c r="AA132" s="1"/>
      <c r="AB132" s="1"/>
      <c r="AC132" s="1"/>
    </row>
    <row r="133" spans="1:29">
      <c r="A133" s="1" t="str">
        <f ca="1">IFERROR(__xludf.DUMMYFUNCTION("""COMPUTED_VALUE"""),"23 Granite Street")</f>
        <v>23 Granite Street</v>
      </c>
      <c r="B133" s="1">
        <f ca="1">IFERROR(__xludf.DUMMYFUNCTION("""COMPUTED_VALUE"""),23)</f>
        <v>23</v>
      </c>
      <c r="C133" s="1" t="str">
        <f ca="1">IFERROR(__xludf.DUMMYFUNCTION("""COMPUTED_VALUE"""),"#3")</f>
        <v>#3</v>
      </c>
      <c r="D133" s="1" t="str">
        <f ca="1">IFERROR(__xludf.DUMMYFUNCTION("""COMPUTED_VALUE"""),"23 Granite Street Unit 3")</f>
        <v>23 Granite Street Unit 3</v>
      </c>
      <c r="E133" s="1" t="str">
        <f ca="1">IFERROR(__xludf.DUMMYFUNCTION("""COMPUTED_VALUE"""),"Somerville")</f>
        <v>Somerville</v>
      </c>
      <c r="F133" s="1" t="str">
        <f ca="1">IFERROR(__xludf.DUMMYFUNCTION("""COMPUTED_VALUE"""),"Somerville - Spring Hill")</f>
        <v>Somerville - Spring Hill</v>
      </c>
      <c r="G133" s="1">
        <f ca="1">IFERROR(__xludf.DUMMYFUNCTION("""COMPUTED_VALUE"""),2)</f>
        <v>2</v>
      </c>
      <c r="H133" s="1" t="str">
        <f ca="1">IFERROR(__xludf.DUMMYFUNCTION("""COMPUTED_VALUE"""),"B")</f>
        <v>B</v>
      </c>
      <c r="I133" s="4" t="str">
        <f ca="1">IFERROR(__xludf.DUMMYFUNCTION("""COMPUTED_VALUE"""),"23 Granite Street#3B")</f>
        <v>23 Granite Street#3B</v>
      </c>
      <c r="J133" s="4" t="str">
        <f ca="1">IFERROR(__xludf.DUMMYFUNCTION("""COMPUTED_VALUE"""),"59d3188f-8e54-4c1b-9b00-a245356ca505")</f>
        <v>59d3188f-8e54-4c1b-9b00-a245356ca505</v>
      </c>
      <c r="K133" s="4">
        <f ca="1">IFERROR(__xludf.DUMMYFUNCTION("""COMPUTED_VALUE"""),850)</f>
        <v>850</v>
      </c>
      <c r="L133" s="1" t="str">
        <f ca="1">IFERROR(__xludf.DUMMYFUNCTION("""COMPUTED_VALUE"""),"Lizzie")</f>
        <v>Lizzie</v>
      </c>
      <c r="M133" s="1" t="str">
        <f ca="1">IFERROR(__xludf.DUMMYFUNCTION("""COMPUTED_VALUE"""),"")</f>
        <v/>
      </c>
      <c r="N133" s="1" t="str">
        <f ca="1">IFERROR(__xludf.DUMMYFUNCTION("""COMPUTED_VALUE"""),"")</f>
        <v/>
      </c>
      <c r="O133" s="1" t="str">
        <f ca="1">IFERROR(__xludf.DUMMYFUNCTION("""COMPUTED_VALUE"""),"Occupied")</f>
        <v>Occupied</v>
      </c>
      <c r="P133" s="1"/>
      <c r="Q133" s="1"/>
      <c r="R133" s="1"/>
      <c r="S133" s="1"/>
      <c r="T133" s="1"/>
      <c r="U133" s="1" t="str">
        <f ca="1">IFERROR(__xludf.DUMMYFUNCTION("""COMPUTED_VALUE"""),"Y")</f>
        <v>Y</v>
      </c>
      <c r="V133" s="1" t="str">
        <f ca="1">IFERROR(__xludf.DUMMYFUNCTION("""COMPUTED_VALUE"""),"N")</f>
        <v>N</v>
      </c>
      <c r="W133" s="1"/>
      <c r="X133" s="1"/>
      <c r="Y133" s="1" t="str">
        <f ca="1">IFERROR(__xludf.DUMMYFUNCTION("""COMPUTED_VALUE"""),"Hannah Ryan")</f>
        <v>Hannah Ryan</v>
      </c>
      <c r="Z133" s="1" t="str">
        <f ca="1">IFERROR(__xludf.DUMMYFUNCTION("""COMPUTED_VALUE"""),"hannah.e.ryan@uvm.edu")</f>
        <v>hannah.e.ryan@uvm.edu</v>
      </c>
      <c r="AA133" s="1"/>
      <c r="AB133" s="1"/>
      <c r="AC133" s="1"/>
    </row>
    <row r="134" spans="1:29">
      <c r="A134" s="1" t="str">
        <f ca="1">IFERROR(__xludf.DUMMYFUNCTION("""COMPUTED_VALUE"""),"23 Granite Street")</f>
        <v>23 Granite Street</v>
      </c>
      <c r="B134" s="1">
        <f ca="1">IFERROR(__xludf.DUMMYFUNCTION("""COMPUTED_VALUE"""),23)</f>
        <v>23</v>
      </c>
      <c r="C134" s="1" t="str">
        <f ca="1">IFERROR(__xludf.DUMMYFUNCTION("""COMPUTED_VALUE"""),"#3")</f>
        <v>#3</v>
      </c>
      <c r="D134" s="1" t="str">
        <f ca="1">IFERROR(__xludf.DUMMYFUNCTION("""COMPUTED_VALUE"""),"23 Granite Street Unit 3")</f>
        <v>23 Granite Street Unit 3</v>
      </c>
      <c r="E134" s="1" t="str">
        <f ca="1">IFERROR(__xludf.DUMMYFUNCTION("""COMPUTED_VALUE"""),"Somerville")</f>
        <v>Somerville</v>
      </c>
      <c r="F134" s="1" t="str">
        <f ca="1">IFERROR(__xludf.DUMMYFUNCTION("""COMPUTED_VALUE"""),"Somerville - Spring Hill")</f>
        <v>Somerville - Spring Hill</v>
      </c>
      <c r="G134" s="1">
        <f ca="1">IFERROR(__xludf.DUMMYFUNCTION("""COMPUTED_VALUE"""),3)</f>
        <v>3</v>
      </c>
      <c r="H134" s="1" t="str">
        <f ca="1">IFERROR(__xludf.DUMMYFUNCTION("""COMPUTED_VALUE"""),"C")</f>
        <v>C</v>
      </c>
      <c r="I134" s="4" t="str">
        <f ca="1">IFERROR(__xludf.DUMMYFUNCTION("""COMPUTED_VALUE"""),"23 Granite Street#3C")</f>
        <v>23 Granite Street#3C</v>
      </c>
      <c r="J134" s="4" t="str">
        <f ca="1">IFERROR(__xludf.DUMMYFUNCTION("""COMPUTED_VALUE"""),"59d3188f-8e54-4c1b-9b00-a245356ca505")</f>
        <v>59d3188f-8e54-4c1b-9b00-a245356ca505</v>
      </c>
      <c r="K134" s="4">
        <f ca="1">IFERROR(__xludf.DUMMYFUNCTION("""COMPUTED_VALUE"""),800)</f>
        <v>800</v>
      </c>
      <c r="L134" s="1" t="str">
        <f ca="1">IFERROR(__xludf.DUMMYFUNCTION("""COMPUTED_VALUE"""),"Lizzie")</f>
        <v>Lizzie</v>
      </c>
      <c r="M134" s="1" t="str">
        <f ca="1">IFERROR(__xludf.DUMMYFUNCTION("""COMPUTED_VALUE"""),"")</f>
        <v/>
      </c>
      <c r="N134" s="1" t="str">
        <f ca="1">IFERROR(__xludf.DUMMYFUNCTION("""COMPUTED_VALUE"""),"")</f>
        <v/>
      </c>
      <c r="O134" s="1" t="str">
        <f ca="1">IFERROR(__xludf.DUMMYFUNCTION("""COMPUTED_VALUE"""),"Occupied")</f>
        <v>Occupied</v>
      </c>
      <c r="P134" s="1"/>
      <c r="Q134" s="1"/>
      <c r="R134" s="1"/>
      <c r="S134" s="1"/>
      <c r="T134" s="1"/>
      <c r="U134" s="1" t="str">
        <f ca="1">IFERROR(__xludf.DUMMYFUNCTION("""COMPUTED_VALUE"""),"Y")</f>
        <v>Y</v>
      </c>
      <c r="V134" s="1" t="str">
        <f ca="1">IFERROR(__xludf.DUMMYFUNCTION("""COMPUTED_VALUE"""),"N")</f>
        <v>N</v>
      </c>
      <c r="W134" s="1"/>
      <c r="X134" s="1"/>
      <c r="Y134" s="1" t="str">
        <f ca="1">IFERROR(__xludf.DUMMYFUNCTION("""COMPUTED_VALUE"""),"Tiffany Truong")</f>
        <v>Tiffany Truong</v>
      </c>
      <c r="Z134" s="1" t="str">
        <f ca="1">IFERROR(__xludf.DUMMYFUNCTION("""COMPUTED_VALUE"""),"ttruong2.28@gmail.com")</f>
        <v>ttruong2.28@gmail.com</v>
      </c>
      <c r="AA134" s="1"/>
      <c r="AB134" s="1"/>
      <c r="AC134" s="1"/>
    </row>
    <row r="135" spans="1:29">
      <c r="A135" s="1" t="str">
        <f ca="1">IFERROR(__xludf.DUMMYFUNCTION("""COMPUTED_VALUE"""),"23 Granite Street")</f>
        <v>23 Granite Street</v>
      </c>
      <c r="B135" s="1">
        <f ca="1">IFERROR(__xludf.DUMMYFUNCTION("""COMPUTED_VALUE"""),23)</f>
        <v>23</v>
      </c>
      <c r="C135" s="1" t="str">
        <f ca="1">IFERROR(__xludf.DUMMYFUNCTION("""COMPUTED_VALUE"""),"#3")</f>
        <v>#3</v>
      </c>
      <c r="D135" s="1" t="str">
        <f ca="1">IFERROR(__xludf.DUMMYFUNCTION("""COMPUTED_VALUE"""),"23 Granite Street Unit 3")</f>
        <v>23 Granite Street Unit 3</v>
      </c>
      <c r="E135" s="1" t="str">
        <f ca="1">IFERROR(__xludf.DUMMYFUNCTION("""COMPUTED_VALUE"""),"Somerville")</f>
        <v>Somerville</v>
      </c>
      <c r="F135" s="1" t="str">
        <f ca="1">IFERROR(__xludf.DUMMYFUNCTION("""COMPUTED_VALUE"""),"Somerville - Spring Hill")</f>
        <v>Somerville - Spring Hill</v>
      </c>
      <c r="G135" s="1">
        <f ca="1">IFERROR(__xludf.DUMMYFUNCTION("""COMPUTED_VALUE"""),4)</f>
        <v>4</v>
      </c>
      <c r="H135" s="1" t="str">
        <f ca="1">IFERROR(__xludf.DUMMYFUNCTION("""COMPUTED_VALUE"""),"D")</f>
        <v>D</v>
      </c>
      <c r="I135" s="4" t="str">
        <f ca="1">IFERROR(__xludf.DUMMYFUNCTION("""COMPUTED_VALUE"""),"23 Granite Street#3D")</f>
        <v>23 Granite Street#3D</v>
      </c>
      <c r="J135" s="4" t="str">
        <f ca="1">IFERROR(__xludf.DUMMYFUNCTION("""COMPUTED_VALUE"""),"59d3188f-8e54-4c1b-9b00-a245356ca505")</f>
        <v>59d3188f-8e54-4c1b-9b00-a245356ca505</v>
      </c>
      <c r="K135" s="4">
        <f ca="1">IFERROR(__xludf.DUMMYFUNCTION("""COMPUTED_VALUE"""),925)</f>
        <v>925</v>
      </c>
      <c r="L135" s="1" t="str">
        <f ca="1">IFERROR(__xludf.DUMMYFUNCTION("""COMPUTED_VALUE"""),"Lizzie")</f>
        <v>Lizzie</v>
      </c>
      <c r="M135" s="1" t="str">
        <f ca="1">IFERROR(__xludf.DUMMYFUNCTION("""COMPUTED_VALUE"""),"Lizzie (later)")</f>
        <v>Lizzie (later)</v>
      </c>
      <c r="N135" s="1" t="str">
        <f ca="1">IFERROR(__xludf.DUMMYFUNCTION("""COMPUTED_VALUE"""),"")</f>
        <v/>
      </c>
      <c r="O135" s="1" t="str">
        <f ca="1">IFERROR(__xludf.DUMMYFUNCTION("""COMPUTED_VALUE"""),"Upcoming Vacancy")</f>
        <v>Upcoming Vacancy</v>
      </c>
      <c r="P135" s="1" t="str">
        <f ca="1">IFERROR(__xludf.DUMMYFUNCTION("""COMPUTED_VALUE"""),"April")</f>
        <v>April</v>
      </c>
      <c r="Q135" s="3">
        <f ca="1">IFERROR(__xludf.DUMMYFUNCTION("""COMPUTED_VALUE"""),43921)</f>
        <v>43921</v>
      </c>
      <c r="R135" s="1"/>
      <c r="S135" s="1"/>
      <c r="T135" s="1"/>
      <c r="U135" s="1" t="str">
        <f ca="1">IFERROR(__xludf.DUMMYFUNCTION("""COMPUTED_VALUE"""),"Y")</f>
        <v>Y</v>
      </c>
      <c r="V135" s="1" t="str">
        <f ca="1">IFERROR(__xludf.DUMMYFUNCTION("""COMPUTED_VALUE"""),"N")</f>
        <v>N</v>
      </c>
      <c r="W135" s="1"/>
      <c r="X135" s="1"/>
      <c r="Y135" s="1" t="str">
        <f ca="1">IFERROR(__xludf.DUMMYFUNCTION("""COMPUTED_VALUE"""),"Harper Smith")</f>
        <v>Harper Smith</v>
      </c>
      <c r="Z135" s="1" t="str">
        <f ca="1">IFERROR(__xludf.DUMMYFUNCTION("""COMPUTED_VALUE"""),"harpersmith97@gmail.com")</f>
        <v>harpersmith97@gmail.com</v>
      </c>
      <c r="AA135" s="1"/>
      <c r="AB135" s="1"/>
      <c r="AC135" s="1"/>
    </row>
    <row r="136" spans="1:29">
      <c r="A136" s="1" t="str">
        <f ca="1">IFERROR(__xludf.DUMMYFUNCTION("""COMPUTED_VALUE"""),"23 Granite Street")</f>
        <v>23 Granite Street</v>
      </c>
      <c r="B136" s="1">
        <f ca="1">IFERROR(__xludf.DUMMYFUNCTION("""COMPUTED_VALUE"""),23)</f>
        <v>23</v>
      </c>
      <c r="C136" s="1" t="str">
        <f ca="1">IFERROR(__xludf.DUMMYFUNCTION("""COMPUTED_VALUE"""),"#3")</f>
        <v>#3</v>
      </c>
      <c r="D136" s="1" t="str">
        <f ca="1">IFERROR(__xludf.DUMMYFUNCTION("""COMPUTED_VALUE"""),"23 Granite Street Unit 3")</f>
        <v>23 Granite Street Unit 3</v>
      </c>
      <c r="E136" s="1" t="str">
        <f ca="1">IFERROR(__xludf.DUMMYFUNCTION("""COMPUTED_VALUE"""),"Somerville")</f>
        <v>Somerville</v>
      </c>
      <c r="F136" s="1" t="str">
        <f ca="1">IFERROR(__xludf.DUMMYFUNCTION("""COMPUTED_VALUE"""),"Somerville - Spring Hill")</f>
        <v>Somerville - Spring Hill</v>
      </c>
      <c r="G136" s="1">
        <f ca="1">IFERROR(__xludf.DUMMYFUNCTION("""COMPUTED_VALUE"""),5)</f>
        <v>5</v>
      </c>
      <c r="H136" s="1" t="str">
        <f ca="1">IFERROR(__xludf.DUMMYFUNCTION("""COMPUTED_VALUE"""),"E")</f>
        <v>E</v>
      </c>
      <c r="I136" s="4" t="str">
        <f ca="1">IFERROR(__xludf.DUMMYFUNCTION("""COMPUTED_VALUE"""),"23 Granite Street#3E")</f>
        <v>23 Granite Street#3E</v>
      </c>
      <c r="J136" s="4" t="str">
        <f ca="1">IFERROR(__xludf.DUMMYFUNCTION("""COMPUTED_VALUE"""),"59d3188f-8e54-4c1b-9b00-a245356ca505")</f>
        <v>59d3188f-8e54-4c1b-9b00-a245356ca505</v>
      </c>
      <c r="K136" s="4">
        <f ca="1">IFERROR(__xludf.DUMMYFUNCTION("""COMPUTED_VALUE"""),975)</f>
        <v>975</v>
      </c>
      <c r="L136" s="1" t="str">
        <f ca="1">IFERROR(__xludf.DUMMYFUNCTION("""COMPUTED_VALUE"""),"Lizzie")</f>
        <v>Lizzie</v>
      </c>
      <c r="M136" s="1" t="str">
        <f ca="1">IFERROR(__xludf.DUMMYFUNCTION("""COMPUTED_VALUE"""),"")</f>
        <v/>
      </c>
      <c r="N136" s="1" t="str">
        <f ca="1">IFERROR(__xludf.DUMMYFUNCTION("""COMPUTED_VALUE"""),"")</f>
        <v/>
      </c>
      <c r="O136" s="1" t="str">
        <f ca="1">IFERROR(__xludf.DUMMYFUNCTION("""COMPUTED_VALUE"""),"Occupied")</f>
        <v>Occupied</v>
      </c>
      <c r="P136" s="1"/>
      <c r="Q136" s="1"/>
      <c r="R136" s="1"/>
      <c r="S136" s="1"/>
      <c r="T136" s="1"/>
      <c r="U136" s="1" t="str">
        <f ca="1">IFERROR(__xludf.DUMMYFUNCTION("""COMPUTED_VALUE"""),"Y")</f>
        <v>Y</v>
      </c>
      <c r="V136" s="1" t="str">
        <f ca="1">IFERROR(__xludf.DUMMYFUNCTION("""COMPUTED_VALUE"""),"N")</f>
        <v>N</v>
      </c>
      <c r="W136" s="1"/>
      <c r="X136" s="1"/>
      <c r="Y136" s="1" t="str">
        <f ca="1">IFERROR(__xludf.DUMMYFUNCTION("""COMPUTED_VALUE"""),"Marissa D'Amelio")</f>
        <v>Marissa D'Amelio</v>
      </c>
      <c r="Z136" s="1" t="str">
        <f ca="1">IFERROR(__xludf.DUMMYFUNCTION("""COMPUTED_VALUE"""),"mkd85@cornell.edu")</f>
        <v>mkd85@cornell.edu</v>
      </c>
      <c r="AA136" s="1"/>
      <c r="AB136" s="1"/>
      <c r="AC136" s="1"/>
    </row>
    <row r="137" spans="1:29">
      <c r="A137" s="1" t="str">
        <f ca="1">IFERROR(__xludf.DUMMYFUNCTION("""COMPUTED_VALUE"""),"23 Rogers Avenue")</f>
        <v>23 Rogers Avenue</v>
      </c>
      <c r="B137" s="1">
        <f ca="1">IFERROR(__xludf.DUMMYFUNCTION("""COMPUTED_VALUE"""),23)</f>
        <v>23</v>
      </c>
      <c r="C137" s="1" t="str">
        <f ca="1">IFERROR(__xludf.DUMMYFUNCTION("""COMPUTED_VALUE"""),"#1")</f>
        <v>#1</v>
      </c>
      <c r="D137" s="1" t="str">
        <f ca="1">IFERROR(__xludf.DUMMYFUNCTION("""COMPUTED_VALUE"""),"23 Rogers Avenue Unit 1")</f>
        <v>23 Rogers Avenue Unit 1</v>
      </c>
      <c r="E137" s="1" t="str">
        <f ca="1">IFERROR(__xludf.DUMMYFUNCTION("""COMPUTED_VALUE"""),"Somerville")</f>
        <v>Somerville</v>
      </c>
      <c r="F137" s="1" t="str">
        <f ca="1">IFERROR(__xludf.DUMMYFUNCTION("""COMPUTED_VALUE"""),"Somerville - Powder House Square")</f>
        <v>Somerville - Powder House Square</v>
      </c>
      <c r="G137" s="1">
        <f ca="1">IFERROR(__xludf.DUMMYFUNCTION("""COMPUTED_VALUE"""),1)</f>
        <v>1</v>
      </c>
      <c r="H137" s="1" t="str">
        <f ca="1">IFERROR(__xludf.DUMMYFUNCTION("""COMPUTED_VALUE"""),"A")</f>
        <v>A</v>
      </c>
      <c r="I137" s="4" t="str">
        <f ca="1">IFERROR(__xludf.DUMMYFUNCTION("""COMPUTED_VALUE"""),"23 Rogers Avenue#1A")</f>
        <v>23 Rogers Avenue#1A</v>
      </c>
      <c r="J137" s="4" t="str">
        <f ca="1">IFERROR(__xludf.DUMMYFUNCTION("""COMPUTED_VALUE"""),"ccdcdb9e-7ffb-42d0-9886-0e852f5e3458")</f>
        <v>ccdcdb9e-7ffb-42d0-9886-0e852f5e3458</v>
      </c>
      <c r="K137" s="4">
        <f ca="1">IFERROR(__xludf.DUMMYFUNCTION("""COMPUTED_VALUE"""),995)</f>
        <v>995</v>
      </c>
      <c r="L137" s="1" t="str">
        <f ca="1">IFERROR(__xludf.DUMMYFUNCTION("""COMPUTED_VALUE"""),"Lizzie")</f>
        <v>Lizzie</v>
      </c>
      <c r="M137" s="1" t="str">
        <f ca="1">IFERROR(__xludf.DUMMYFUNCTION("""COMPUTED_VALUE"""),"")</f>
        <v/>
      </c>
      <c r="N137" s="1" t="str">
        <f ca="1">IFERROR(__xludf.DUMMYFUNCTION("""COMPUTED_VALUE"""),"")</f>
        <v/>
      </c>
      <c r="O137" s="1" t="str">
        <f ca="1">IFERROR(__xludf.DUMMYFUNCTION("""COMPUTED_VALUE"""),"Occupied")</f>
        <v>Occupied</v>
      </c>
      <c r="P137" s="1"/>
      <c r="Q137" s="1"/>
      <c r="R137" s="1"/>
      <c r="S137" s="1"/>
      <c r="T137" s="1" t="str">
        <f ca="1">IFERROR(__xludf.DUMMYFUNCTION("""COMPUTED_VALUE"""),"Dog")</f>
        <v>Dog</v>
      </c>
      <c r="U137" s="1" t="str">
        <f ca="1">IFERROR(__xludf.DUMMYFUNCTION("""COMPUTED_VALUE"""),"Y")</f>
        <v>Y</v>
      </c>
      <c r="V137" s="1" t="str">
        <f ca="1">IFERROR(__xludf.DUMMYFUNCTION("""COMPUTED_VALUE"""),"Y")</f>
        <v>Y</v>
      </c>
      <c r="W137" s="1"/>
      <c r="X137" s="1"/>
      <c r="Y137" s="1" t="str">
        <f ca="1">IFERROR(__xludf.DUMMYFUNCTION("""COMPUTED_VALUE"""),"Joshua Velez")</f>
        <v>Joshua Velez</v>
      </c>
      <c r="Z137" s="1" t="str">
        <f ca="1">IFERROR(__xludf.DUMMYFUNCTION("""COMPUTED_VALUE"""),"joshuabvelez@yahoo.com")</f>
        <v>joshuabvelez@yahoo.com</v>
      </c>
      <c r="AA137" s="1"/>
      <c r="AB137" s="1"/>
      <c r="AC137" s="1"/>
    </row>
    <row r="138" spans="1:29">
      <c r="A138" s="1" t="str">
        <f ca="1">IFERROR(__xludf.DUMMYFUNCTION("""COMPUTED_VALUE"""),"23 Rogers Avenue")</f>
        <v>23 Rogers Avenue</v>
      </c>
      <c r="B138" s="1">
        <f ca="1">IFERROR(__xludf.DUMMYFUNCTION("""COMPUTED_VALUE"""),23)</f>
        <v>23</v>
      </c>
      <c r="C138" s="1" t="str">
        <f ca="1">IFERROR(__xludf.DUMMYFUNCTION("""COMPUTED_VALUE"""),"#1")</f>
        <v>#1</v>
      </c>
      <c r="D138" s="1" t="str">
        <f ca="1">IFERROR(__xludf.DUMMYFUNCTION("""COMPUTED_VALUE"""),"23 Rogers Avenue Unit 1")</f>
        <v>23 Rogers Avenue Unit 1</v>
      </c>
      <c r="E138" s="1" t="str">
        <f ca="1">IFERROR(__xludf.DUMMYFUNCTION("""COMPUTED_VALUE"""),"Somerville")</f>
        <v>Somerville</v>
      </c>
      <c r="F138" s="1" t="str">
        <f ca="1">IFERROR(__xludf.DUMMYFUNCTION("""COMPUTED_VALUE"""),"Somerville - Powder House Square")</f>
        <v>Somerville - Powder House Square</v>
      </c>
      <c r="G138" s="1">
        <f ca="1">IFERROR(__xludf.DUMMYFUNCTION("""COMPUTED_VALUE"""),2)</f>
        <v>2</v>
      </c>
      <c r="H138" s="1" t="str">
        <f ca="1">IFERROR(__xludf.DUMMYFUNCTION("""COMPUTED_VALUE"""),"B")</f>
        <v>B</v>
      </c>
      <c r="I138" s="4" t="str">
        <f ca="1">IFERROR(__xludf.DUMMYFUNCTION("""COMPUTED_VALUE"""),"23 Rogers Avenue#1B")</f>
        <v>23 Rogers Avenue#1B</v>
      </c>
      <c r="J138" s="4" t="str">
        <f ca="1">IFERROR(__xludf.DUMMYFUNCTION("""COMPUTED_VALUE"""),"ccdcdb9e-7ffb-42d0-9886-0e852f5e3458")</f>
        <v>ccdcdb9e-7ffb-42d0-9886-0e852f5e3458</v>
      </c>
      <c r="K138" s="4">
        <f ca="1">IFERROR(__xludf.DUMMYFUNCTION("""COMPUTED_VALUE"""),995)</f>
        <v>995</v>
      </c>
      <c r="L138" s="1" t="str">
        <f ca="1">IFERROR(__xludf.DUMMYFUNCTION("""COMPUTED_VALUE"""),"Lizzie")</f>
        <v>Lizzie</v>
      </c>
      <c r="M138" s="1" t="str">
        <f ca="1">IFERROR(__xludf.DUMMYFUNCTION("""COMPUTED_VALUE"""),"")</f>
        <v/>
      </c>
      <c r="N138" s="1" t="str">
        <f ca="1">IFERROR(__xludf.DUMMYFUNCTION("""COMPUTED_VALUE"""),"")</f>
        <v/>
      </c>
      <c r="O138" s="1" t="str">
        <f ca="1">IFERROR(__xludf.DUMMYFUNCTION("""COMPUTED_VALUE"""),"Occupied")</f>
        <v>Occupied</v>
      </c>
      <c r="P138" s="1"/>
      <c r="Q138" s="1"/>
      <c r="R138" s="1"/>
      <c r="S138" s="1"/>
      <c r="T138" s="1"/>
      <c r="U138" s="1" t="str">
        <f ca="1">IFERROR(__xludf.DUMMYFUNCTION("""COMPUTED_VALUE"""),"Y")</f>
        <v>Y</v>
      </c>
      <c r="V138" s="1" t="str">
        <f ca="1">IFERROR(__xludf.DUMMYFUNCTION("""COMPUTED_VALUE"""),"Y")</f>
        <v>Y</v>
      </c>
      <c r="W138" s="1"/>
      <c r="X138" s="1"/>
      <c r="Y138" s="1" t="str">
        <f ca="1">IFERROR(__xludf.DUMMYFUNCTION("""COMPUTED_VALUE"""),"Georgia Ivsin")</f>
        <v>Georgia Ivsin</v>
      </c>
      <c r="Z138" s="1" t="str">
        <f ca="1">IFERROR(__xludf.DUMMYFUNCTION("""COMPUTED_VALUE"""),"georgia.ivsin@gmail.com")</f>
        <v>georgia.ivsin@gmail.com</v>
      </c>
      <c r="AA138" s="1"/>
      <c r="AB138" s="1"/>
      <c r="AC138" s="1"/>
    </row>
    <row r="139" spans="1:29">
      <c r="A139" s="1" t="str">
        <f ca="1">IFERROR(__xludf.DUMMYFUNCTION("""COMPUTED_VALUE"""),"23 Rogers Avenue")</f>
        <v>23 Rogers Avenue</v>
      </c>
      <c r="B139" s="1">
        <f ca="1">IFERROR(__xludf.DUMMYFUNCTION("""COMPUTED_VALUE"""),23)</f>
        <v>23</v>
      </c>
      <c r="C139" s="1" t="str">
        <f ca="1">IFERROR(__xludf.DUMMYFUNCTION("""COMPUTED_VALUE"""),"#1")</f>
        <v>#1</v>
      </c>
      <c r="D139" s="1" t="str">
        <f ca="1">IFERROR(__xludf.DUMMYFUNCTION("""COMPUTED_VALUE"""),"23 Rogers Avenue Unit 1")</f>
        <v>23 Rogers Avenue Unit 1</v>
      </c>
      <c r="E139" s="1" t="str">
        <f ca="1">IFERROR(__xludf.DUMMYFUNCTION("""COMPUTED_VALUE"""),"Somerville")</f>
        <v>Somerville</v>
      </c>
      <c r="F139" s="1" t="str">
        <f ca="1">IFERROR(__xludf.DUMMYFUNCTION("""COMPUTED_VALUE"""),"Somerville - Powder House Square")</f>
        <v>Somerville - Powder House Square</v>
      </c>
      <c r="G139" s="1">
        <f ca="1">IFERROR(__xludf.DUMMYFUNCTION("""COMPUTED_VALUE"""),3)</f>
        <v>3</v>
      </c>
      <c r="H139" s="1" t="str">
        <f ca="1">IFERROR(__xludf.DUMMYFUNCTION("""COMPUTED_VALUE"""),"C")</f>
        <v>C</v>
      </c>
      <c r="I139" s="4" t="str">
        <f ca="1">IFERROR(__xludf.DUMMYFUNCTION("""COMPUTED_VALUE"""),"23 Rogers Avenue#1C")</f>
        <v>23 Rogers Avenue#1C</v>
      </c>
      <c r="J139" s="4" t="str">
        <f ca="1">IFERROR(__xludf.DUMMYFUNCTION("""COMPUTED_VALUE"""),"ccdcdb9e-7ffb-42d0-9886-0e852f5e3458")</f>
        <v>ccdcdb9e-7ffb-42d0-9886-0e852f5e3458</v>
      </c>
      <c r="K139" s="4">
        <f ca="1">IFERROR(__xludf.DUMMYFUNCTION("""COMPUTED_VALUE"""),795)</f>
        <v>795</v>
      </c>
      <c r="L139" s="1" t="str">
        <f ca="1">IFERROR(__xludf.DUMMYFUNCTION("""COMPUTED_VALUE"""),"Lizzie")</f>
        <v>Lizzie</v>
      </c>
      <c r="M139" s="1" t="str">
        <f ca="1">IFERROR(__xludf.DUMMYFUNCTION("""COMPUTED_VALUE"""),"Lizzie (NOW)")</f>
        <v>Lizzie (NOW)</v>
      </c>
      <c r="N139" s="1" t="str">
        <f ca="1">IFERROR(__xludf.DUMMYFUNCTION("""COMPUTED_VALUE"""),"")</f>
        <v/>
      </c>
      <c r="O139" s="1" t="str">
        <f ca="1">IFERROR(__xludf.DUMMYFUNCTION("""COMPUTED_VALUE"""),"Vacant")</f>
        <v>Vacant</v>
      </c>
      <c r="P139" s="1"/>
      <c r="Q139" s="1"/>
      <c r="R139" s="1"/>
      <c r="S139" s="1"/>
      <c r="T139" s="1"/>
      <c r="U139" s="1" t="str">
        <f ca="1">IFERROR(__xludf.DUMMYFUNCTION("""COMPUTED_VALUE"""),"Y")</f>
        <v>Y</v>
      </c>
      <c r="V139" s="1" t="str">
        <f ca="1">IFERROR(__xludf.DUMMYFUNCTION("""COMPUTED_VALUE"""),"Y")</f>
        <v>Y</v>
      </c>
      <c r="W139" s="1"/>
      <c r="X139" s="1"/>
      <c r="Y139" s="1"/>
      <c r="Z139" s="1"/>
      <c r="AA139" s="1"/>
      <c r="AB139" s="1"/>
      <c r="AC139" s="1"/>
    </row>
    <row r="140" spans="1:29">
      <c r="A140" s="1" t="str">
        <f ca="1">IFERROR(__xludf.DUMMYFUNCTION("""COMPUTED_VALUE"""),"24 Ashford Street")</f>
        <v>24 Ashford Street</v>
      </c>
      <c r="B140" s="1">
        <f ca="1">IFERROR(__xludf.DUMMYFUNCTION("""COMPUTED_VALUE"""),24)</f>
        <v>24</v>
      </c>
      <c r="C140" s="1" t="str">
        <f ca="1">IFERROR(__xludf.DUMMYFUNCTION("""COMPUTED_VALUE"""),"#2")</f>
        <v>#2</v>
      </c>
      <c r="D140" s="1" t="str">
        <f ca="1">IFERROR(__xludf.DUMMYFUNCTION("""COMPUTED_VALUE"""),"24 Ashford Street Unit 2")</f>
        <v>24 Ashford Street Unit 2</v>
      </c>
      <c r="E140" s="1" t="str">
        <f ca="1">IFERROR(__xludf.DUMMYFUNCTION("""COMPUTED_VALUE"""),"Boston")</f>
        <v>Boston</v>
      </c>
      <c r="F140" s="1" t="str">
        <f ca="1">IFERROR(__xludf.DUMMYFUNCTION("""COMPUTED_VALUE"""),"Boston - Allston")</f>
        <v>Boston - Allston</v>
      </c>
      <c r="G140" s="1">
        <f ca="1">IFERROR(__xludf.DUMMYFUNCTION("""COMPUTED_VALUE"""),1)</f>
        <v>1</v>
      </c>
      <c r="H140" s="1" t="str">
        <f ca="1">IFERROR(__xludf.DUMMYFUNCTION("""COMPUTED_VALUE"""),"A")</f>
        <v>A</v>
      </c>
      <c r="I140" s="4" t="str">
        <f ca="1">IFERROR(__xludf.DUMMYFUNCTION("""COMPUTED_VALUE"""),"24 Ashford Street#2A")</f>
        <v>24 Ashford Street#2A</v>
      </c>
      <c r="J140" s="4" t="str">
        <f ca="1">IFERROR(__xludf.DUMMYFUNCTION("""COMPUTED_VALUE"""),"11347752-0a5f-43ed-b098-b3779c906a7e")</f>
        <v>11347752-0a5f-43ed-b098-b3779c906a7e</v>
      </c>
      <c r="K140" s="4">
        <f ca="1">IFERROR(__xludf.DUMMYFUNCTION("""COMPUTED_VALUE"""),1095)</f>
        <v>1095</v>
      </c>
      <c r="L140" s="1" t="str">
        <f ca="1">IFERROR(__xludf.DUMMYFUNCTION("""COMPUTED_VALUE"""),"Cam")</f>
        <v>Cam</v>
      </c>
      <c r="M140" s="1" t="str">
        <f ca="1">IFERROR(__xludf.DUMMYFUNCTION("""COMPUTED_VALUE"""),"")</f>
        <v/>
      </c>
      <c r="N140" s="1" t="str">
        <f ca="1">IFERROR(__xludf.DUMMYFUNCTION("""COMPUTED_VALUE"""),"")</f>
        <v/>
      </c>
      <c r="O140" s="1" t="str">
        <f ca="1">IFERROR(__xludf.DUMMYFUNCTION("""COMPUTED_VALUE"""),"Upcoming Vacancy")</f>
        <v>Upcoming Vacancy</v>
      </c>
      <c r="P140" s="1" t="str">
        <f ca="1">IFERROR(__xludf.DUMMYFUNCTION("""COMPUTED_VALUE"""),"June")</f>
        <v>June</v>
      </c>
      <c r="Q140" s="1"/>
      <c r="R140" s="1"/>
      <c r="S140" s="1"/>
      <c r="T140" s="1"/>
      <c r="U140" s="1" t="str">
        <f ca="1">IFERROR(__xludf.DUMMYFUNCTION("""COMPUTED_VALUE"""),"N")</f>
        <v>N</v>
      </c>
      <c r="V140" s="1" t="str">
        <f ca="1">IFERROR(__xludf.DUMMYFUNCTION("""COMPUTED_VALUE"""),"N")</f>
        <v>N</v>
      </c>
      <c r="W140" s="1"/>
      <c r="X140" s="1"/>
      <c r="Y140" s="1"/>
      <c r="Z140" s="1"/>
      <c r="AA140" s="1"/>
      <c r="AB140" s="1"/>
      <c r="AC140" s="1"/>
    </row>
    <row r="141" spans="1:29">
      <c r="A141" s="1" t="str">
        <f ca="1">IFERROR(__xludf.DUMMYFUNCTION("""COMPUTED_VALUE"""),"24 Ashford Street")</f>
        <v>24 Ashford Street</v>
      </c>
      <c r="B141" s="1">
        <f ca="1">IFERROR(__xludf.DUMMYFUNCTION("""COMPUTED_VALUE"""),24)</f>
        <v>24</v>
      </c>
      <c r="C141" s="1" t="str">
        <f ca="1">IFERROR(__xludf.DUMMYFUNCTION("""COMPUTED_VALUE"""),"#2")</f>
        <v>#2</v>
      </c>
      <c r="D141" s="1" t="str">
        <f ca="1">IFERROR(__xludf.DUMMYFUNCTION("""COMPUTED_VALUE"""),"24 Ashford Street Unit 2")</f>
        <v>24 Ashford Street Unit 2</v>
      </c>
      <c r="E141" s="1" t="str">
        <f ca="1">IFERROR(__xludf.DUMMYFUNCTION("""COMPUTED_VALUE"""),"Boston")</f>
        <v>Boston</v>
      </c>
      <c r="F141" s="1" t="str">
        <f ca="1">IFERROR(__xludf.DUMMYFUNCTION("""COMPUTED_VALUE"""),"Boston - Allston")</f>
        <v>Boston - Allston</v>
      </c>
      <c r="G141" s="1">
        <f ca="1">IFERROR(__xludf.DUMMYFUNCTION("""COMPUTED_VALUE"""),2)</f>
        <v>2</v>
      </c>
      <c r="H141" s="1" t="str">
        <f ca="1">IFERROR(__xludf.DUMMYFUNCTION("""COMPUTED_VALUE"""),"B")</f>
        <v>B</v>
      </c>
      <c r="I141" s="4" t="str">
        <f ca="1">IFERROR(__xludf.DUMMYFUNCTION("""COMPUTED_VALUE"""),"24 Ashford Street#2B")</f>
        <v>24 Ashford Street#2B</v>
      </c>
      <c r="J141" s="4" t="str">
        <f ca="1">IFERROR(__xludf.DUMMYFUNCTION("""COMPUTED_VALUE"""),"11347752-0a5f-43ed-b098-b3779c906a7e")</f>
        <v>11347752-0a5f-43ed-b098-b3779c906a7e</v>
      </c>
      <c r="K141" s="4">
        <f ca="1">IFERROR(__xludf.DUMMYFUNCTION("""COMPUTED_VALUE"""),1095)</f>
        <v>1095</v>
      </c>
      <c r="L141" s="1" t="str">
        <f ca="1">IFERROR(__xludf.DUMMYFUNCTION("""COMPUTED_VALUE"""),"Cam")</f>
        <v>Cam</v>
      </c>
      <c r="M141" s="1" t="str">
        <f ca="1">IFERROR(__xludf.DUMMYFUNCTION("""COMPUTED_VALUE"""),"")</f>
        <v/>
      </c>
      <c r="N141" s="1" t="str">
        <f ca="1">IFERROR(__xludf.DUMMYFUNCTION("""COMPUTED_VALUE"""),"")</f>
        <v/>
      </c>
      <c r="O141" s="1" t="str">
        <f ca="1">IFERROR(__xludf.DUMMYFUNCTION("""COMPUTED_VALUE"""),"Upcoming Vacancy")</f>
        <v>Upcoming Vacancy</v>
      </c>
      <c r="P141" s="1" t="str">
        <f ca="1">IFERROR(__xludf.DUMMYFUNCTION("""COMPUTED_VALUE"""),"June")</f>
        <v>June</v>
      </c>
      <c r="Q141" s="1"/>
      <c r="R141" s="1"/>
      <c r="S141" s="1"/>
      <c r="T141" s="1"/>
      <c r="U141" s="1" t="str">
        <f ca="1">IFERROR(__xludf.DUMMYFUNCTION("""COMPUTED_VALUE"""),"N")</f>
        <v>N</v>
      </c>
      <c r="V141" s="1" t="str">
        <f ca="1">IFERROR(__xludf.DUMMYFUNCTION("""COMPUTED_VALUE"""),"N")</f>
        <v>N</v>
      </c>
      <c r="W141" s="1"/>
      <c r="X141" s="1"/>
      <c r="Y141" s="1"/>
      <c r="Z141" s="1"/>
      <c r="AA141" s="1"/>
      <c r="AB141" s="1"/>
      <c r="AC141" s="1"/>
    </row>
    <row r="142" spans="1:29">
      <c r="A142" s="1" t="str">
        <f ca="1">IFERROR(__xludf.DUMMYFUNCTION("""COMPUTED_VALUE"""),"24 Ashford Street")</f>
        <v>24 Ashford Street</v>
      </c>
      <c r="B142" s="1">
        <f ca="1">IFERROR(__xludf.DUMMYFUNCTION("""COMPUTED_VALUE"""),24)</f>
        <v>24</v>
      </c>
      <c r="C142" s="1" t="str">
        <f ca="1">IFERROR(__xludf.DUMMYFUNCTION("""COMPUTED_VALUE"""),"#2")</f>
        <v>#2</v>
      </c>
      <c r="D142" s="1" t="str">
        <f ca="1">IFERROR(__xludf.DUMMYFUNCTION("""COMPUTED_VALUE"""),"24 Ashford Street Unit 2")</f>
        <v>24 Ashford Street Unit 2</v>
      </c>
      <c r="E142" s="1" t="str">
        <f ca="1">IFERROR(__xludf.DUMMYFUNCTION("""COMPUTED_VALUE"""),"Boston")</f>
        <v>Boston</v>
      </c>
      <c r="F142" s="1" t="str">
        <f ca="1">IFERROR(__xludf.DUMMYFUNCTION("""COMPUTED_VALUE"""),"Boston - Allston")</f>
        <v>Boston - Allston</v>
      </c>
      <c r="G142" s="1">
        <f ca="1">IFERROR(__xludf.DUMMYFUNCTION("""COMPUTED_VALUE"""),3)</f>
        <v>3</v>
      </c>
      <c r="H142" s="1" t="str">
        <f ca="1">IFERROR(__xludf.DUMMYFUNCTION("""COMPUTED_VALUE"""),"C")</f>
        <v>C</v>
      </c>
      <c r="I142" s="4" t="str">
        <f ca="1">IFERROR(__xludf.DUMMYFUNCTION("""COMPUTED_VALUE"""),"24 Ashford Street#2C")</f>
        <v>24 Ashford Street#2C</v>
      </c>
      <c r="J142" s="4" t="str">
        <f ca="1">IFERROR(__xludf.DUMMYFUNCTION("""COMPUTED_VALUE"""),"11347752-0a5f-43ed-b098-b3779c906a7e")</f>
        <v>11347752-0a5f-43ed-b098-b3779c906a7e</v>
      </c>
      <c r="K142" s="4">
        <f ca="1">IFERROR(__xludf.DUMMYFUNCTION("""COMPUTED_VALUE"""),1195)</f>
        <v>1195</v>
      </c>
      <c r="L142" s="1" t="str">
        <f ca="1">IFERROR(__xludf.DUMMYFUNCTION("""COMPUTED_VALUE"""),"Cam")</f>
        <v>Cam</v>
      </c>
      <c r="M142" s="1" t="str">
        <f ca="1">IFERROR(__xludf.DUMMYFUNCTION("""COMPUTED_VALUE"""),"")</f>
        <v/>
      </c>
      <c r="N142" s="1" t="str">
        <f ca="1">IFERROR(__xludf.DUMMYFUNCTION("""COMPUTED_VALUE"""),"")</f>
        <v/>
      </c>
      <c r="O142" s="1" t="str">
        <f ca="1">IFERROR(__xludf.DUMMYFUNCTION("""COMPUTED_VALUE"""),"Upcoming Vacancy")</f>
        <v>Upcoming Vacancy</v>
      </c>
      <c r="P142" s="1" t="str">
        <f ca="1">IFERROR(__xludf.DUMMYFUNCTION("""COMPUTED_VALUE"""),"June")</f>
        <v>June</v>
      </c>
      <c r="Q142" s="1"/>
      <c r="R142" s="1"/>
      <c r="S142" s="1"/>
      <c r="T142" s="1"/>
      <c r="U142" s="1" t="str">
        <f ca="1">IFERROR(__xludf.DUMMYFUNCTION("""COMPUTED_VALUE"""),"N")</f>
        <v>N</v>
      </c>
      <c r="V142" s="1" t="str">
        <f ca="1">IFERROR(__xludf.DUMMYFUNCTION("""COMPUTED_VALUE"""),"N")</f>
        <v>N</v>
      </c>
      <c r="W142" s="1"/>
      <c r="X142" s="1"/>
      <c r="Y142" s="1"/>
      <c r="Z142" s="1"/>
      <c r="AA142" s="1"/>
      <c r="AB142" s="1"/>
      <c r="AC142" s="1"/>
    </row>
    <row r="143" spans="1:29">
      <c r="A143" s="1" t="str">
        <f ca="1">IFERROR(__xludf.DUMMYFUNCTION("""COMPUTED_VALUE"""),"24 Ashford Street")</f>
        <v>24 Ashford Street</v>
      </c>
      <c r="B143" s="1">
        <f ca="1">IFERROR(__xludf.DUMMYFUNCTION("""COMPUTED_VALUE"""),24)</f>
        <v>24</v>
      </c>
      <c r="C143" s="1" t="str">
        <f ca="1">IFERROR(__xludf.DUMMYFUNCTION("""COMPUTED_VALUE"""),"#2")</f>
        <v>#2</v>
      </c>
      <c r="D143" s="1" t="str">
        <f ca="1">IFERROR(__xludf.DUMMYFUNCTION("""COMPUTED_VALUE"""),"24 Ashford Street Unit 2")</f>
        <v>24 Ashford Street Unit 2</v>
      </c>
      <c r="E143" s="1" t="str">
        <f ca="1">IFERROR(__xludf.DUMMYFUNCTION("""COMPUTED_VALUE"""),"Boston")</f>
        <v>Boston</v>
      </c>
      <c r="F143" s="1" t="str">
        <f ca="1">IFERROR(__xludf.DUMMYFUNCTION("""COMPUTED_VALUE"""),"Boston - Allston")</f>
        <v>Boston - Allston</v>
      </c>
      <c r="G143" s="1">
        <f ca="1">IFERROR(__xludf.DUMMYFUNCTION("""COMPUTED_VALUE"""),4)</f>
        <v>4</v>
      </c>
      <c r="H143" s="1" t="str">
        <f ca="1">IFERROR(__xludf.DUMMYFUNCTION("""COMPUTED_VALUE"""),"D")</f>
        <v>D</v>
      </c>
      <c r="I143" s="4" t="str">
        <f ca="1">IFERROR(__xludf.DUMMYFUNCTION("""COMPUTED_VALUE"""),"24 Ashford Street#2D")</f>
        <v>24 Ashford Street#2D</v>
      </c>
      <c r="J143" s="4" t="str">
        <f ca="1">IFERROR(__xludf.DUMMYFUNCTION("""COMPUTED_VALUE"""),"11347752-0a5f-43ed-b098-b3779c906a7e")</f>
        <v>11347752-0a5f-43ed-b098-b3779c906a7e</v>
      </c>
      <c r="K143" s="4">
        <f ca="1">IFERROR(__xludf.DUMMYFUNCTION("""COMPUTED_VALUE"""),895)</f>
        <v>895</v>
      </c>
      <c r="L143" s="1" t="str">
        <f ca="1">IFERROR(__xludf.DUMMYFUNCTION("""COMPUTED_VALUE"""),"Cam")</f>
        <v>Cam</v>
      </c>
      <c r="M143" s="1" t="str">
        <f ca="1">IFERROR(__xludf.DUMMYFUNCTION("""COMPUTED_VALUE"""),"")</f>
        <v/>
      </c>
      <c r="N143" s="1" t="str">
        <f ca="1">IFERROR(__xludf.DUMMYFUNCTION("""COMPUTED_VALUE"""),"")</f>
        <v/>
      </c>
      <c r="O143" s="1" t="str">
        <f ca="1">IFERROR(__xludf.DUMMYFUNCTION("""COMPUTED_VALUE"""),"Upcoming Vacancy")</f>
        <v>Upcoming Vacancy</v>
      </c>
      <c r="P143" s="1" t="str">
        <f ca="1">IFERROR(__xludf.DUMMYFUNCTION("""COMPUTED_VALUE"""),"June")</f>
        <v>June</v>
      </c>
      <c r="Q143" s="1"/>
      <c r="R143" s="1"/>
      <c r="S143" s="1"/>
      <c r="T143" s="1"/>
      <c r="U143" s="1" t="str">
        <f ca="1">IFERROR(__xludf.DUMMYFUNCTION("""COMPUTED_VALUE"""),"N")</f>
        <v>N</v>
      </c>
      <c r="V143" s="1" t="str">
        <f ca="1">IFERROR(__xludf.DUMMYFUNCTION("""COMPUTED_VALUE"""),"N")</f>
        <v>N</v>
      </c>
      <c r="W143" s="1"/>
      <c r="X143" s="1"/>
      <c r="Y143" s="1"/>
      <c r="Z143" s="1"/>
      <c r="AA143" s="1"/>
      <c r="AB143" s="1"/>
      <c r="AC143" s="1"/>
    </row>
    <row r="144" spans="1:29">
      <c r="A144" s="1" t="str">
        <f ca="1">IFERROR(__xludf.DUMMYFUNCTION("""COMPUTED_VALUE"""),"25 Howes Street")</f>
        <v>25 Howes Street</v>
      </c>
      <c r="B144" s="1">
        <f ca="1">IFERROR(__xludf.DUMMYFUNCTION("""COMPUTED_VALUE"""),25)</f>
        <v>25</v>
      </c>
      <c r="C144" s="1" t="str">
        <f ca="1">IFERROR(__xludf.DUMMYFUNCTION("""COMPUTED_VALUE"""),"#2")</f>
        <v>#2</v>
      </c>
      <c r="D144" s="1" t="str">
        <f ca="1">IFERROR(__xludf.DUMMYFUNCTION("""COMPUTED_VALUE"""),"25 Howes Street Unit 2")</f>
        <v>25 Howes Street Unit 2</v>
      </c>
      <c r="E144" s="1" t="str">
        <f ca="1">IFERROR(__xludf.DUMMYFUNCTION("""COMPUTED_VALUE"""),"Boston")</f>
        <v>Boston</v>
      </c>
      <c r="F144" s="1" t="str">
        <f ca="1">IFERROR(__xludf.DUMMYFUNCTION("""COMPUTED_VALUE"""),"Boston - Dorchester")</f>
        <v>Boston - Dorchester</v>
      </c>
      <c r="G144" s="1">
        <f ca="1">IFERROR(__xludf.DUMMYFUNCTION("""COMPUTED_VALUE"""),1)</f>
        <v>1</v>
      </c>
      <c r="H144" s="1" t="str">
        <f ca="1">IFERROR(__xludf.DUMMYFUNCTION("""COMPUTED_VALUE"""),"A")</f>
        <v>A</v>
      </c>
      <c r="I144" s="4" t="str">
        <f ca="1">IFERROR(__xludf.DUMMYFUNCTION("""COMPUTED_VALUE"""),"25 Howes Street#2A")</f>
        <v>25 Howes Street#2A</v>
      </c>
      <c r="J144" s="4" t="str">
        <f ca="1">IFERROR(__xludf.DUMMYFUNCTION("""COMPUTED_VALUE"""),"8ea4747f-9bbd-4b0a-b700-a20aaec6e951")</f>
        <v>8ea4747f-9bbd-4b0a-b700-a20aaec6e951</v>
      </c>
      <c r="K144" s="4">
        <f ca="1">IFERROR(__xludf.DUMMYFUNCTION("""COMPUTED_VALUE"""),895)</f>
        <v>895</v>
      </c>
      <c r="L144" s="1" t="str">
        <f ca="1">IFERROR(__xludf.DUMMYFUNCTION("""COMPUTED_VALUE"""),"Cam")</f>
        <v>Cam</v>
      </c>
      <c r="M144" s="1" t="str">
        <f ca="1">IFERROR(__xludf.DUMMYFUNCTION("""COMPUTED_VALUE"""),"Cam (NOW)")</f>
        <v>Cam (NOW)</v>
      </c>
      <c r="N144" s="1" t="str">
        <f ca="1">IFERROR(__xludf.DUMMYFUNCTION("""COMPUTED_VALUE"""),"")</f>
        <v/>
      </c>
      <c r="O144" s="1" t="str">
        <f ca="1">IFERROR(__xludf.DUMMYFUNCTION("""COMPUTED_VALUE"""),"Vacant")</f>
        <v>Vacant</v>
      </c>
      <c r="P144" s="1"/>
      <c r="Q144" s="1"/>
      <c r="R144" s="1"/>
      <c r="S144" s="1"/>
      <c r="T144" s="1"/>
      <c r="U144" s="1" t="str">
        <f ca="1">IFERROR(__xludf.DUMMYFUNCTION("""COMPUTED_VALUE"""),"Y")</f>
        <v>Y</v>
      </c>
      <c r="V144" s="1" t="str">
        <f ca="1">IFERROR(__xludf.DUMMYFUNCTION("""COMPUTED_VALUE"""),"Y")</f>
        <v>Y</v>
      </c>
      <c r="W144" s="1"/>
      <c r="X144" s="1"/>
      <c r="Y144" s="1"/>
      <c r="Z144" s="1"/>
      <c r="AA144" s="1"/>
      <c r="AB144" s="1"/>
      <c r="AC144" s="1"/>
    </row>
    <row r="145" spans="1:29">
      <c r="A145" s="1" t="str">
        <f ca="1">IFERROR(__xludf.DUMMYFUNCTION("""COMPUTED_VALUE"""),"25 Howes Street")</f>
        <v>25 Howes Street</v>
      </c>
      <c r="B145" s="1">
        <f ca="1">IFERROR(__xludf.DUMMYFUNCTION("""COMPUTED_VALUE"""),25)</f>
        <v>25</v>
      </c>
      <c r="C145" s="1" t="str">
        <f ca="1">IFERROR(__xludf.DUMMYFUNCTION("""COMPUTED_VALUE"""),"#2")</f>
        <v>#2</v>
      </c>
      <c r="D145" s="1" t="str">
        <f ca="1">IFERROR(__xludf.DUMMYFUNCTION("""COMPUTED_VALUE"""),"25 Howes Street Unit 2")</f>
        <v>25 Howes Street Unit 2</v>
      </c>
      <c r="E145" s="1" t="str">
        <f ca="1">IFERROR(__xludf.DUMMYFUNCTION("""COMPUTED_VALUE"""),"Boston")</f>
        <v>Boston</v>
      </c>
      <c r="F145" s="1" t="str">
        <f ca="1">IFERROR(__xludf.DUMMYFUNCTION("""COMPUTED_VALUE"""),"Boston - Dorchester")</f>
        <v>Boston - Dorchester</v>
      </c>
      <c r="G145" s="1">
        <f ca="1">IFERROR(__xludf.DUMMYFUNCTION("""COMPUTED_VALUE"""),2)</f>
        <v>2</v>
      </c>
      <c r="H145" s="1" t="str">
        <f ca="1">IFERROR(__xludf.DUMMYFUNCTION("""COMPUTED_VALUE"""),"B")</f>
        <v>B</v>
      </c>
      <c r="I145" s="4" t="str">
        <f ca="1">IFERROR(__xludf.DUMMYFUNCTION("""COMPUTED_VALUE"""),"25 Howes Street#2B")</f>
        <v>25 Howes Street#2B</v>
      </c>
      <c r="J145" s="4" t="str">
        <f ca="1">IFERROR(__xludf.DUMMYFUNCTION("""COMPUTED_VALUE"""),"8ea4747f-9bbd-4b0a-b700-a20aaec6e951")</f>
        <v>8ea4747f-9bbd-4b0a-b700-a20aaec6e951</v>
      </c>
      <c r="K145" s="4">
        <f ca="1">IFERROR(__xludf.DUMMYFUNCTION("""COMPUTED_VALUE"""),990)</f>
        <v>990</v>
      </c>
      <c r="L145" s="1" t="str">
        <f ca="1">IFERROR(__xludf.DUMMYFUNCTION("""COMPUTED_VALUE"""),"Cam")</f>
        <v>Cam</v>
      </c>
      <c r="M145" s="1" t="str">
        <f ca="1">IFERROR(__xludf.DUMMYFUNCTION("""COMPUTED_VALUE"""),"")</f>
        <v/>
      </c>
      <c r="N145" s="1" t="str">
        <f ca="1">IFERROR(__xludf.DUMMYFUNCTION("""COMPUTED_VALUE"""),"")</f>
        <v/>
      </c>
      <c r="O145" s="1" t="str">
        <f ca="1">IFERROR(__xludf.DUMMYFUNCTION("""COMPUTED_VALUE"""),"Occupied")</f>
        <v>Occupied</v>
      </c>
      <c r="P145" s="1"/>
      <c r="Q145" s="1"/>
      <c r="R145" s="1"/>
      <c r="S145" s="1"/>
      <c r="T145" s="1"/>
      <c r="U145" s="1" t="str">
        <f ca="1">IFERROR(__xludf.DUMMYFUNCTION("""COMPUTED_VALUE"""),"Y")</f>
        <v>Y</v>
      </c>
      <c r="V145" s="1" t="str">
        <f ca="1">IFERROR(__xludf.DUMMYFUNCTION("""COMPUTED_VALUE"""),"Y")</f>
        <v>Y</v>
      </c>
      <c r="W145" s="1"/>
      <c r="X145" s="1"/>
      <c r="Y145" s="1" t="str">
        <f ca="1">IFERROR(__xludf.DUMMYFUNCTION("""COMPUTED_VALUE"""),"Schebania Joseph")</f>
        <v>Schebania Joseph</v>
      </c>
      <c r="Z145" s="1" t="str">
        <f ca="1">IFERROR(__xludf.DUMMYFUNCTION("""COMPUTED_VALUE"""),"schebaniaj@gmail.com")</f>
        <v>schebaniaj@gmail.com</v>
      </c>
      <c r="AA145" s="1"/>
      <c r="AB145" s="1"/>
      <c r="AC145" s="1"/>
    </row>
    <row r="146" spans="1:29">
      <c r="A146" s="1" t="str">
        <f ca="1">IFERROR(__xludf.DUMMYFUNCTION("""COMPUTED_VALUE"""),"25 Howes Street")</f>
        <v>25 Howes Street</v>
      </c>
      <c r="B146" s="1">
        <f ca="1">IFERROR(__xludf.DUMMYFUNCTION("""COMPUTED_VALUE"""),25)</f>
        <v>25</v>
      </c>
      <c r="C146" s="1" t="str">
        <f ca="1">IFERROR(__xludf.DUMMYFUNCTION("""COMPUTED_VALUE"""),"#2")</f>
        <v>#2</v>
      </c>
      <c r="D146" s="1" t="str">
        <f ca="1">IFERROR(__xludf.DUMMYFUNCTION("""COMPUTED_VALUE"""),"25 Howes Street Unit 2")</f>
        <v>25 Howes Street Unit 2</v>
      </c>
      <c r="E146" s="1" t="str">
        <f ca="1">IFERROR(__xludf.DUMMYFUNCTION("""COMPUTED_VALUE"""),"Boston")</f>
        <v>Boston</v>
      </c>
      <c r="F146" s="1" t="str">
        <f ca="1">IFERROR(__xludf.DUMMYFUNCTION("""COMPUTED_VALUE"""),"Boston - Dorchester")</f>
        <v>Boston - Dorchester</v>
      </c>
      <c r="G146" s="1">
        <f ca="1">IFERROR(__xludf.DUMMYFUNCTION("""COMPUTED_VALUE"""),3)</f>
        <v>3</v>
      </c>
      <c r="H146" s="1" t="str">
        <f ca="1">IFERROR(__xludf.DUMMYFUNCTION("""COMPUTED_VALUE"""),"C")</f>
        <v>C</v>
      </c>
      <c r="I146" s="4" t="str">
        <f ca="1">IFERROR(__xludf.DUMMYFUNCTION("""COMPUTED_VALUE"""),"25 Howes Street#2C")</f>
        <v>25 Howes Street#2C</v>
      </c>
      <c r="J146" s="4" t="str">
        <f ca="1">IFERROR(__xludf.DUMMYFUNCTION("""COMPUTED_VALUE"""),"8ea4747f-9bbd-4b0a-b700-a20aaec6e951")</f>
        <v>8ea4747f-9bbd-4b0a-b700-a20aaec6e951</v>
      </c>
      <c r="K146" s="4">
        <f ca="1">IFERROR(__xludf.DUMMYFUNCTION("""COMPUTED_VALUE"""),1040)</f>
        <v>1040</v>
      </c>
      <c r="L146" s="1" t="str">
        <f ca="1">IFERROR(__xludf.DUMMYFUNCTION("""COMPUTED_VALUE"""),"Cam")</f>
        <v>Cam</v>
      </c>
      <c r="M146" s="1" t="str">
        <f ca="1">IFERROR(__xludf.DUMMYFUNCTION("""COMPUTED_VALUE"""),"")</f>
        <v/>
      </c>
      <c r="N146" s="1" t="str">
        <f ca="1">IFERROR(__xludf.DUMMYFUNCTION("""COMPUTED_VALUE"""),"")</f>
        <v/>
      </c>
      <c r="O146" s="1" t="str">
        <f ca="1">IFERROR(__xludf.DUMMYFUNCTION("""COMPUTED_VALUE"""),"Occupied")</f>
        <v>Occupied</v>
      </c>
      <c r="P146" s="1"/>
      <c r="Q146" s="1"/>
      <c r="R146" s="1"/>
      <c r="S146" s="1"/>
      <c r="T146" s="1"/>
      <c r="U146" s="1" t="str">
        <f ca="1">IFERROR(__xludf.DUMMYFUNCTION("""COMPUTED_VALUE"""),"Y")</f>
        <v>Y</v>
      </c>
      <c r="V146" s="1" t="str">
        <f ca="1">IFERROR(__xludf.DUMMYFUNCTION("""COMPUTED_VALUE"""),"Y")</f>
        <v>Y</v>
      </c>
      <c r="W146" s="1"/>
      <c r="X146" s="1"/>
      <c r="Y146" s="1" t="str">
        <f ca="1">IFERROR(__xludf.DUMMYFUNCTION("""COMPUTED_VALUE"""),"Emily Willis")</f>
        <v>Emily Willis</v>
      </c>
      <c r="Z146" s="1" t="str">
        <f ca="1">IFERROR(__xludf.DUMMYFUNCTION("""COMPUTED_VALUE"""),"ms.emily.willis@gmail.com")</f>
        <v>ms.emily.willis@gmail.com</v>
      </c>
      <c r="AA146" s="1"/>
      <c r="AB146" s="1"/>
      <c r="AC146" s="1"/>
    </row>
    <row r="147" spans="1:29">
      <c r="A147" s="1" t="str">
        <f ca="1">IFERROR(__xludf.DUMMYFUNCTION("""COMPUTED_VALUE"""),"25 Howes Street")</f>
        <v>25 Howes Street</v>
      </c>
      <c r="B147" s="1">
        <f ca="1">IFERROR(__xludf.DUMMYFUNCTION("""COMPUTED_VALUE"""),25)</f>
        <v>25</v>
      </c>
      <c r="C147" s="1" t="str">
        <f ca="1">IFERROR(__xludf.DUMMYFUNCTION("""COMPUTED_VALUE"""),"#3")</f>
        <v>#3</v>
      </c>
      <c r="D147" s="1" t="str">
        <f ca="1">IFERROR(__xludf.DUMMYFUNCTION("""COMPUTED_VALUE"""),"25 Howes Street Unit 3")</f>
        <v>25 Howes Street Unit 3</v>
      </c>
      <c r="E147" s="1" t="str">
        <f ca="1">IFERROR(__xludf.DUMMYFUNCTION("""COMPUTED_VALUE"""),"Boston")</f>
        <v>Boston</v>
      </c>
      <c r="F147" s="1" t="str">
        <f ca="1">IFERROR(__xludf.DUMMYFUNCTION("""COMPUTED_VALUE"""),"Boston - Dorchester")</f>
        <v>Boston - Dorchester</v>
      </c>
      <c r="G147" s="1">
        <f ca="1">IFERROR(__xludf.DUMMYFUNCTION("""COMPUTED_VALUE"""),1)</f>
        <v>1</v>
      </c>
      <c r="H147" s="1" t="str">
        <f ca="1">IFERROR(__xludf.DUMMYFUNCTION("""COMPUTED_VALUE"""),"A")</f>
        <v>A</v>
      </c>
      <c r="I147" s="4" t="str">
        <f ca="1">IFERROR(__xludf.DUMMYFUNCTION("""COMPUTED_VALUE"""),"25 Howes Street#3A")</f>
        <v>25 Howes Street#3A</v>
      </c>
      <c r="J147" s="4" t="str">
        <f ca="1">IFERROR(__xludf.DUMMYFUNCTION("""COMPUTED_VALUE"""),"cf65ff14-1251-4d84-a80d-dfd925dacec9")</f>
        <v>cf65ff14-1251-4d84-a80d-dfd925dacec9</v>
      </c>
      <c r="K147" s="4">
        <f ca="1">IFERROR(__xludf.DUMMYFUNCTION("""COMPUTED_VALUE"""),1100)</f>
        <v>1100</v>
      </c>
      <c r="L147" s="1" t="str">
        <f ca="1">IFERROR(__xludf.DUMMYFUNCTION("""COMPUTED_VALUE"""),"Cam")</f>
        <v>Cam</v>
      </c>
      <c r="M147" s="1" t="str">
        <f ca="1">IFERROR(__xludf.DUMMYFUNCTION("""COMPUTED_VALUE"""),"Cam (NOW)")</f>
        <v>Cam (NOW)</v>
      </c>
      <c r="N147" s="1" t="str">
        <f ca="1">IFERROR(__xludf.DUMMYFUNCTION("""COMPUTED_VALUE"""),"")</f>
        <v/>
      </c>
      <c r="O147" s="1" t="str">
        <f ca="1">IFERROR(__xludf.DUMMYFUNCTION("""COMPUTED_VALUE"""),"Upcoming Vacancy")</f>
        <v>Upcoming Vacancy</v>
      </c>
      <c r="P147" s="1" t="str">
        <f ca="1">IFERROR(__xludf.DUMMYFUNCTION("""COMPUTED_VALUE"""),"March")</f>
        <v>March</v>
      </c>
      <c r="Q147" s="3">
        <f ca="1">IFERROR(__xludf.DUMMYFUNCTION("""COMPUTED_VALUE"""),43889)</f>
        <v>43889</v>
      </c>
      <c r="R147" s="1"/>
      <c r="S147" s="1"/>
      <c r="T147" s="1"/>
      <c r="U147" s="1" t="str">
        <f ca="1">IFERROR(__xludf.DUMMYFUNCTION("""COMPUTED_VALUE"""),"Y")</f>
        <v>Y</v>
      </c>
      <c r="V147" s="1" t="str">
        <f ca="1">IFERROR(__xludf.DUMMYFUNCTION("""COMPUTED_VALUE"""),"Y")</f>
        <v>Y</v>
      </c>
      <c r="W147" s="1"/>
      <c r="X147" s="1"/>
      <c r="Y147" s="1" t="str">
        <f ca="1">IFERROR(__xludf.DUMMYFUNCTION("""COMPUTED_VALUE"""),"Samir Asija")</f>
        <v>Samir Asija</v>
      </c>
      <c r="Z147" s="1" t="str">
        <f ca="1">IFERROR(__xludf.DUMMYFUNCTION("""COMPUTED_VALUE"""),"asijasamir@gmail.com")</f>
        <v>asijasamir@gmail.com</v>
      </c>
      <c r="AA147" s="1"/>
      <c r="AB147" s="1"/>
      <c r="AC147" s="1"/>
    </row>
    <row r="148" spans="1:29">
      <c r="A148" s="1" t="str">
        <f ca="1">IFERROR(__xludf.DUMMYFUNCTION("""COMPUTED_VALUE"""),"25 Howes Street")</f>
        <v>25 Howes Street</v>
      </c>
      <c r="B148" s="1">
        <f ca="1">IFERROR(__xludf.DUMMYFUNCTION("""COMPUTED_VALUE"""),25)</f>
        <v>25</v>
      </c>
      <c r="C148" s="1" t="str">
        <f ca="1">IFERROR(__xludf.DUMMYFUNCTION("""COMPUTED_VALUE"""),"#3")</f>
        <v>#3</v>
      </c>
      <c r="D148" s="1" t="str">
        <f ca="1">IFERROR(__xludf.DUMMYFUNCTION("""COMPUTED_VALUE"""),"25 Howes Street Unit 3")</f>
        <v>25 Howes Street Unit 3</v>
      </c>
      <c r="E148" s="1" t="str">
        <f ca="1">IFERROR(__xludf.DUMMYFUNCTION("""COMPUTED_VALUE"""),"Boston")</f>
        <v>Boston</v>
      </c>
      <c r="F148" s="1" t="str">
        <f ca="1">IFERROR(__xludf.DUMMYFUNCTION("""COMPUTED_VALUE"""),"Boston - Dorchester")</f>
        <v>Boston - Dorchester</v>
      </c>
      <c r="G148" s="1">
        <f ca="1">IFERROR(__xludf.DUMMYFUNCTION("""COMPUTED_VALUE"""),2)</f>
        <v>2</v>
      </c>
      <c r="H148" s="1" t="str">
        <f ca="1">IFERROR(__xludf.DUMMYFUNCTION("""COMPUTED_VALUE"""),"B")</f>
        <v>B</v>
      </c>
      <c r="I148" s="4" t="str">
        <f ca="1">IFERROR(__xludf.DUMMYFUNCTION("""COMPUTED_VALUE"""),"25 Howes Street#3B")</f>
        <v>25 Howes Street#3B</v>
      </c>
      <c r="J148" s="4" t="str">
        <f ca="1">IFERROR(__xludf.DUMMYFUNCTION("""COMPUTED_VALUE"""),"cf65ff14-1251-4d84-a80d-dfd925dacec9")</f>
        <v>cf65ff14-1251-4d84-a80d-dfd925dacec9</v>
      </c>
      <c r="K148" s="4">
        <f ca="1">IFERROR(__xludf.DUMMYFUNCTION("""COMPUTED_VALUE"""),795)</f>
        <v>795</v>
      </c>
      <c r="L148" s="1" t="str">
        <f ca="1">IFERROR(__xludf.DUMMYFUNCTION("""COMPUTED_VALUE"""),"Cam")</f>
        <v>Cam</v>
      </c>
      <c r="M148" s="1" t="str">
        <f ca="1">IFERROR(__xludf.DUMMYFUNCTION("""COMPUTED_VALUE"""),"")</f>
        <v/>
      </c>
      <c r="N148" s="1" t="str">
        <f ca="1">IFERROR(__xludf.DUMMYFUNCTION("""COMPUTED_VALUE"""),"")</f>
        <v/>
      </c>
      <c r="O148" s="1" t="str">
        <f ca="1">IFERROR(__xludf.DUMMYFUNCTION("""COMPUTED_VALUE"""),"Lease Signed")</f>
        <v>Lease Signed</v>
      </c>
      <c r="P148" s="1" t="str">
        <f ca="1">IFERROR(__xludf.DUMMYFUNCTION("""COMPUTED_VALUE"""),"February")</f>
        <v>February</v>
      </c>
      <c r="Q148" s="1"/>
      <c r="R148" s="5">
        <f ca="1">IFERROR(__xludf.DUMMYFUNCTION("""COMPUTED_VALUE"""),44228)</f>
        <v>44228</v>
      </c>
      <c r="S148" s="1"/>
      <c r="T148" s="1"/>
      <c r="U148" s="1" t="str">
        <f ca="1">IFERROR(__xludf.DUMMYFUNCTION("""COMPUTED_VALUE"""),"Y")</f>
        <v>Y</v>
      </c>
      <c r="V148" s="1" t="str">
        <f ca="1">IFERROR(__xludf.DUMMYFUNCTION("""COMPUTED_VALUE"""),"Y")</f>
        <v>Y</v>
      </c>
      <c r="W148" s="1" t="str">
        <f ca="1">IFERROR(__xludf.DUMMYFUNCTION("""COMPUTED_VALUE"""),"Ethan Woltz")</f>
        <v>Ethan Woltz</v>
      </c>
      <c r="X148" s="1" t="str">
        <f ca="1">IFERROR(__xludf.DUMMYFUNCTION("""COMPUTED_VALUE"""),"ewoltz19@gmail.com")</f>
        <v>ewoltz19@gmail.com</v>
      </c>
      <c r="Y148" s="1"/>
      <c r="Z148" s="1"/>
      <c r="AA148" s="1"/>
      <c r="AB148" s="1"/>
      <c r="AC148" s="1"/>
    </row>
    <row r="149" spans="1:29">
      <c r="A149" s="1" t="str">
        <f ca="1">IFERROR(__xludf.DUMMYFUNCTION("""COMPUTED_VALUE"""),"25 Howes Street")</f>
        <v>25 Howes Street</v>
      </c>
      <c r="B149" s="1">
        <f ca="1">IFERROR(__xludf.DUMMYFUNCTION("""COMPUTED_VALUE"""),25)</f>
        <v>25</v>
      </c>
      <c r="C149" s="1" t="str">
        <f ca="1">IFERROR(__xludf.DUMMYFUNCTION("""COMPUTED_VALUE"""),"#3")</f>
        <v>#3</v>
      </c>
      <c r="D149" s="1" t="str">
        <f ca="1">IFERROR(__xludf.DUMMYFUNCTION("""COMPUTED_VALUE"""),"25 Howes Street Unit 3")</f>
        <v>25 Howes Street Unit 3</v>
      </c>
      <c r="E149" s="1" t="str">
        <f ca="1">IFERROR(__xludf.DUMMYFUNCTION("""COMPUTED_VALUE"""),"Boston")</f>
        <v>Boston</v>
      </c>
      <c r="F149" s="1" t="str">
        <f ca="1">IFERROR(__xludf.DUMMYFUNCTION("""COMPUTED_VALUE"""),"Boston - Dorchester")</f>
        <v>Boston - Dorchester</v>
      </c>
      <c r="G149" s="1">
        <f ca="1">IFERROR(__xludf.DUMMYFUNCTION("""COMPUTED_VALUE"""),3)</f>
        <v>3</v>
      </c>
      <c r="H149" s="1" t="str">
        <f ca="1">IFERROR(__xludf.DUMMYFUNCTION("""COMPUTED_VALUE"""),"C")</f>
        <v>C</v>
      </c>
      <c r="I149" s="4" t="str">
        <f ca="1">IFERROR(__xludf.DUMMYFUNCTION("""COMPUTED_VALUE"""),"25 Howes Street#3C")</f>
        <v>25 Howes Street#3C</v>
      </c>
      <c r="J149" s="4" t="str">
        <f ca="1">IFERROR(__xludf.DUMMYFUNCTION("""COMPUTED_VALUE"""),"cf65ff14-1251-4d84-a80d-dfd925dacec9")</f>
        <v>cf65ff14-1251-4d84-a80d-dfd925dacec9</v>
      </c>
      <c r="K149" s="4">
        <f ca="1">IFERROR(__xludf.DUMMYFUNCTION("""COMPUTED_VALUE"""),1040)</f>
        <v>1040</v>
      </c>
      <c r="L149" s="1" t="str">
        <f ca="1">IFERROR(__xludf.DUMMYFUNCTION("""COMPUTED_VALUE"""),"Cam")</f>
        <v>Cam</v>
      </c>
      <c r="M149" s="1" t="str">
        <f ca="1">IFERROR(__xludf.DUMMYFUNCTION("""COMPUTED_VALUE"""),"")</f>
        <v/>
      </c>
      <c r="N149" s="1" t="str">
        <f ca="1">IFERROR(__xludf.DUMMYFUNCTION("""COMPUTED_VALUE"""),"")</f>
        <v/>
      </c>
      <c r="O149" s="1" t="str">
        <f ca="1">IFERROR(__xludf.DUMMYFUNCTION("""COMPUTED_VALUE"""),"Occupied")</f>
        <v>Occupied</v>
      </c>
      <c r="P149" s="1"/>
      <c r="Q149" s="1"/>
      <c r="R149" s="1"/>
      <c r="S149" s="1"/>
      <c r="T149" s="1"/>
      <c r="U149" s="1" t="str">
        <f ca="1">IFERROR(__xludf.DUMMYFUNCTION("""COMPUTED_VALUE"""),"Y")</f>
        <v>Y</v>
      </c>
      <c r="V149" s="1" t="str">
        <f ca="1">IFERROR(__xludf.DUMMYFUNCTION("""COMPUTED_VALUE"""),"Y")</f>
        <v>Y</v>
      </c>
      <c r="W149" s="1"/>
      <c r="X149" s="1"/>
      <c r="Y149" s="1" t="str">
        <f ca="1">IFERROR(__xludf.DUMMYFUNCTION("""COMPUTED_VALUE"""),"Roberto Garcia Plata")</f>
        <v>Roberto Garcia Plata</v>
      </c>
      <c r="Z149" s="1" t="str">
        <f ca="1">IFERROR(__xludf.DUMMYFUNCTION("""COMPUTED_VALUE"""),"roberto.gapa96@gmail.com")</f>
        <v>roberto.gapa96@gmail.com</v>
      </c>
      <c r="AA149" s="1"/>
      <c r="AB149" s="1"/>
      <c r="AC149" s="1"/>
    </row>
    <row r="150" spans="1:29">
      <c r="A150" s="1" t="str">
        <f ca="1">IFERROR(__xludf.DUMMYFUNCTION("""COMPUTED_VALUE"""),"26 Washington Terrace")</f>
        <v>26 Washington Terrace</v>
      </c>
      <c r="B150" s="1">
        <f ca="1">IFERROR(__xludf.DUMMYFUNCTION("""COMPUTED_VALUE"""),26)</f>
        <v>26</v>
      </c>
      <c r="C150" s="1" t="str">
        <f ca="1">IFERROR(__xludf.DUMMYFUNCTION("""COMPUTED_VALUE"""),"#1")</f>
        <v>#1</v>
      </c>
      <c r="D150" s="1" t="str">
        <f ca="1">IFERROR(__xludf.DUMMYFUNCTION("""COMPUTED_VALUE"""),"26 Washington Terrace Unit 1")</f>
        <v>26 Washington Terrace Unit 1</v>
      </c>
      <c r="E150" s="1" t="str">
        <f ca="1">IFERROR(__xludf.DUMMYFUNCTION("""COMPUTED_VALUE"""),"Somerville")</f>
        <v>Somerville</v>
      </c>
      <c r="F150" s="1" t="str">
        <f ca="1">IFERROR(__xludf.DUMMYFUNCTION("""COMPUTED_VALUE"""),"Somerville - Union Square")</f>
        <v>Somerville - Union Square</v>
      </c>
      <c r="G150" s="1">
        <f ca="1">IFERROR(__xludf.DUMMYFUNCTION("""COMPUTED_VALUE"""),1)</f>
        <v>1</v>
      </c>
      <c r="H150" s="1" t="str">
        <f ca="1">IFERROR(__xludf.DUMMYFUNCTION("""COMPUTED_VALUE"""),"A")</f>
        <v>A</v>
      </c>
      <c r="I150" s="4" t="str">
        <f ca="1">IFERROR(__xludf.DUMMYFUNCTION("""COMPUTED_VALUE"""),"26 Washington Terrace#1A")</f>
        <v>26 Washington Terrace#1A</v>
      </c>
      <c r="J150" s="4" t="str">
        <f ca="1">IFERROR(__xludf.DUMMYFUNCTION("""COMPUTED_VALUE"""),"edbc2f3a-37f6-4245-89f2-597e23cc76fc")</f>
        <v>edbc2f3a-37f6-4245-89f2-597e23cc76fc</v>
      </c>
      <c r="K150" s="4">
        <f ca="1">IFERROR(__xludf.DUMMYFUNCTION("""COMPUTED_VALUE"""),1150)</f>
        <v>1150</v>
      </c>
      <c r="L150" s="1" t="str">
        <f ca="1">IFERROR(__xludf.DUMMYFUNCTION("""COMPUTED_VALUE"""),"Lizzie")</f>
        <v>Lizzie</v>
      </c>
      <c r="M150" s="1" t="str">
        <f ca="1">IFERROR(__xludf.DUMMYFUNCTION("""COMPUTED_VALUE"""),"")</f>
        <v/>
      </c>
      <c r="N150" s="1" t="str">
        <f ca="1">IFERROR(__xludf.DUMMYFUNCTION("""COMPUTED_VALUE"""),"")</f>
        <v/>
      </c>
      <c r="O150" s="1" t="str">
        <f ca="1">IFERROR(__xludf.DUMMYFUNCTION("""COMPUTED_VALUE"""),"Occupied")</f>
        <v>Occupied</v>
      </c>
      <c r="P150" s="1"/>
      <c r="Q150" s="1"/>
      <c r="R150" s="1"/>
      <c r="S150" s="1"/>
      <c r="T150" s="1"/>
      <c r="U150" s="1" t="str">
        <f ca="1">IFERROR(__xludf.DUMMYFUNCTION("""COMPUTED_VALUE"""),"N")</f>
        <v>N</v>
      </c>
      <c r="V150" s="1" t="str">
        <f ca="1">IFERROR(__xludf.DUMMYFUNCTION("""COMPUTED_VALUE"""),"N")</f>
        <v>N</v>
      </c>
      <c r="W150" s="1"/>
      <c r="X150" s="1"/>
      <c r="Y150" s="1" t="str">
        <f ca="1">IFERROR(__xludf.DUMMYFUNCTION("""COMPUTED_VALUE"""),"Jessica Spagnoli")</f>
        <v>Jessica Spagnoli</v>
      </c>
      <c r="Z150" s="1" t="str">
        <f ca="1">IFERROR(__xludf.DUMMYFUNCTION("""COMPUTED_VALUE"""),"jspagnoli99@gmail.com")</f>
        <v>jspagnoli99@gmail.com</v>
      </c>
      <c r="AA150" s="1"/>
      <c r="AB150" s="1"/>
      <c r="AC150" s="1"/>
    </row>
    <row r="151" spans="1:29">
      <c r="A151" s="1" t="str">
        <f ca="1">IFERROR(__xludf.DUMMYFUNCTION("""COMPUTED_VALUE"""),"26 Washington Terrace")</f>
        <v>26 Washington Terrace</v>
      </c>
      <c r="B151" s="1">
        <f ca="1">IFERROR(__xludf.DUMMYFUNCTION("""COMPUTED_VALUE"""),26)</f>
        <v>26</v>
      </c>
      <c r="C151" s="1" t="str">
        <f ca="1">IFERROR(__xludf.DUMMYFUNCTION("""COMPUTED_VALUE"""),"#1")</f>
        <v>#1</v>
      </c>
      <c r="D151" s="1" t="str">
        <f ca="1">IFERROR(__xludf.DUMMYFUNCTION("""COMPUTED_VALUE"""),"26 Washington Terrace Unit 1")</f>
        <v>26 Washington Terrace Unit 1</v>
      </c>
      <c r="E151" s="1" t="str">
        <f ca="1">IFERROR(__xludf.DUMMYFUNCTION("""COMPUTED_VALUE"""),"Somerville")</f>
        <v>Somerville</v>
      </c>
      <c r="F151" s="1" t="str">
        <f ca="1">IFERROR(__xludf.DUMMYFUNCTION("""COMPUTED_VALUE"""),"Somerville - Union Square")</f>
        <v>Somerville - Union Square</v>
      </c>
      <c r="G151" s="1">
        <f ca="1">IFERROR(__xludf.DUMMYFUNCTION("""COMPUTED_VALUE"""),2)</f>
        <v>2</v>
      </c>
      <c r="H151" s="1" t="str">
        <f ca="1">IFERROR(__xludf.DUMMYFUNCTION("""COMPUTED_VALUE"""),"B")</f>
        <v>B</v>
      </c>
      <c r="I151" s="4" t="str">
        <f ca="1">IFERROR(__xludf.DUMMYFUNCTION("""COMPUTED_VALUE"""),"26 Washington Terrace#1B")</f>
        <v>26 Washington Terrace#1B</v>
      </c>
      <c r="J151" s="4" t="str">
        <f ca="1">IFERROR(__xludf.DUMMYFUNCTION("""COMPUTED_VALUE"""),"edbc2f3a-37f6-4245-89f2-597e23cc76fc")</f>
        <v>edbc2f3a-37f6-4245-89f2-597e23cc76fc</v>
      </c>
      <c r="K151" s="4">
        <f ca="1">IFERROR(__xludf.DUMMYFUNCTION("""COMPUTED_VALUE"""),1175)</f>
        <v>1175</v>
      </c>
      <c r="L151" s="1" t="str">
        <f ca="1">IFERROR(__xludf.DUMMYFUNCTION("""COMPUTED_VALUE"""),"Lizzie")</f>
        <v>Lizzie</v>
      </c>
      <c r="M151" s="1" t="str">
        <f ca="1">IFERROR(__xludf.DUMMYFUNCTION("""COMPUTED_VALUE"""),"")</f>
        <v/>
      </c>
      <c r="N151" s="1" t="str">
        <f ca="1">IFERROR(__xludf.DUMMYFUNCTION("""COMPUTED_VALUE"""),"")</f>
        <v/>
      </c>
      <c r="O151" s="1" t="str">
        <f ca="1">IFERROR(__xludf.DUMMYFUNCTION("""COMPUTED_VALUE"""),"Occupied")</f>
        <v>Occupied</v>
      </c>
      <c r="P151" s="1"/>
      <c r="Q151" s="1"/>
      <c r="R151" s="1"/>
      <c r="S151" s="1"/>
      <c r="T151" s="1"/>
      <c r="U151" s="1" t="str">
        <f ca="1">IFERROR(__xludf.DUMMYFUNCTION("""COMPUTED_VALUE"""),"N")</f>
        <v>N</v>
      </c>
      <c r="V151" s="1" t="str">
        <f ca="1">IFERROR(__xludf.DUMMYFUNCTION("""COMPUTED_VALUE"""),"N")</f>
        <v>N</v>
      </c>
      <c r="W151" s="1"/>
      <c r="X151" s="1"/>
      <c r="Y151" s="1" t="str">
        <f ca="1">IFERROR(__xludf.DUMMYFUNCTION("""COMPUTED_VALUE"""),"Derek Wedyck")</f>
        <v>Derek Wedyck</v>
      </c>
      <c r="Z151" s="1" t="str">
        <f ca="1">IFERROR(__xludf.DUMMYFUNCTION("""COMPUTED_VALUE"""),"wedyckd@gmail.com")</f>
        <v>wedyckd@gmail.com</v>
      </c>
      <c r="AA151" s="1"/>
      <c r="AB151" s="1"/>
      <c r="AC151" s="1"/>
    </row>
    <row r="152" spans="1:29">
      <c r="A152" s="1" t="str">
        <f ca="1">IFERROR(__xludf.DUMMYFUNCTION("""COMPUTED_VALUE"""),"26 Washington Terrace")</f>
        <v>26 Washington Terrace</v>
      </c>
      <c r="B152" s="1">
        <f ca="1">IFERROR(__xludf.DUMMYFUNCTION("""COMPUTED_VALUE"""),26)</f>
        <v>26</v>
      </c>
      <c r="C152" s="1" t="str">
        <f ca="1">IFERROR(__xludf.DUMMYFUNCTION("""COMPUTED_VALUE"""),"#1")</f>
        <v>#1</v>
      </c>
      <c r="D152" s="1" t="str">
        <f ca="1">IFERROR(__xludf.DUMMYFUNCTION("""COMPUTED_VALUE"""),"26 Washington Terrace Unit 1")</f>
        <v>26 Washington Terrace Unit 1</v>
      </c>
      <c r="E152" s="1" t="str">
        <f ca="1">IFERROR(__xludf.DUMMYFUNCTION("""COMPUTED_VALUE"""),"Somerville")</f>
        <v>Somerville</v>
      </c>
      <c r="F152" s="1" t="str">
        <f ca="1">IFERROR(__xludf.DUMMYFUNCTION("""COMPUTED_VALUE"""),"Somerville - Union Square")</f>
        <v>Somerville - Union Square</v>
      </c>
      <c r="G152" s="1">
        <f ca="1">IFERROR(__xludf.DUMMYFUNCTION("""COMPUTED_VALUE"""),3)</f>
        <v>3</v>
      </c>
      <c r="H152" s="1" t="str">
        <f ca="1">IFERROR(__xludf.DUMMYFUNCTION("""COMPUTED_VALUE"""),"C")</f>
        <v>C</v>
      </c>
      <c r="I152" s="4" t="str">
        <f ca="1">IFERROR(__xludf.DUMMYFUNCTION("""COMPUTED_VALUE"""),"26 Washington Terrace#1C")</f>
        <v>26 Washington Terrace#1C</v>
      </c>
      <c r="J152" s="4" t="str">
        <f ca="1">IFERROR(__xludf.DUMMYFUNCTION("""COMPUTED_VALUE"""),"edbc2f3a-37f6-4245-89f2-597e23cc76fc")</f>
        <v>edbc2f3a-37f6-4245-89f2-597e23cc76fc</v>
      </c>
      <c r="K152" s="4">
        <f ca="1">IFERROR(__xludf.DUMMYFUNCTION("""COMPUTED_VALUE"""),1100)</f>
        <v>1100</v>
      </c>
      <c r="L152" s="1" t="str">
        <f ca="1">IFERROR(__xludf.DUMMYFUNCTION("""COMPUTED_VALUE"""),"Lizzie")</f>
        <v>Lizzie</v>
      </c>
      <c r="M152" s="1" t="str">
        <f ca="1">IFERROR(__xludf.DUMMYFUNCTION("""COMPUTED_VALUE"""),"")</f>
        <v/>
      </c>
      <c r="N152" s="1" t="str">
        <f ca="1">IFERROR(__xludf.DUMMYFUNCTION("""COMPUTED_VALUE"""),"")</f>
        <v/>
      </c>
      <c r="O152" s="1" t="str">
        <f ca="1">IFERROR(__xludf.DUMMYFUNCTION("""COMPUTED_VALUE"""),"Occupied")</f>
        <v>Occupied</v>
      </c>
      <c r="P152" s="1"/>
      <c r="Q152" s="1"/>
      <c r="R152" s="1"/>
      <c r="S152" s="1"/>
      <c r="T152" s="1"/>
      <c r="U152" s="1" t="str">
        <f ca="1">IFERROR(__xludf.DUMMYFUNCTION("""COMPUTED_VALUE"""),"N")</f>
        <v>N</v>
      </c>
      <c r="V152" s="1" t="str">
        <f ca="1">IFERROR(__xludf.DUMMYFUNCTION("""COMPUTED_VALUE"""),"N")</f>
        <v>N</v>
      </c>
      <c r="W152" s="1"/>
      <c r="X152" s="1"/>
      <c r="Y152" s="1" t="str">
        <f ca="1">IFERROR(__xludf.DUMMYFUNCTION("""COMPUTED_VALUE"""),"Jose Sanchez-Diaz")</f>
        <v>Jose Sanchez-Diaz</v>
      </c>
      <c r="Z152" s="1" t="str">
        <f ca="1">IFERROR(__xludf.DUMMYFUNCTION("""COMPUTED_VALUE"""),"franksdm19@gmail.com")</f>
        <v>franksdm19@gmail.com</v>
      </c>
      <c r="AA152" s="1"/>
      <c r="AB152" s="1"/>
      <c r="AC152" s="1"/>
    </row>
    <row r="153" spans="1:29">
      <c r="A153" s="1" t="str">
        <f ca="1">IFERROR(__xludf.DUMMYFUNCTION("""COMPUTED_VALUE"""),"26 Washington Terrace")</f>
        <v>26 Washington Terrace</v>
      </c>
      <c r="B153" s="1">
        <f ca="1">IFERROR(__xludf.DUMMYFUNCTION("""COMPUTED_VALUE"""),26)</f>
        <v>26</v>
      </c>
      <c r="C153" s="1" t="str">
        <f ca="1">IFERROR(__xludf.DUMMYFUNCTION("""COMPUTED_VALUE"""),"#1")</f>
        <v>#1</v>
      </c>
      <c r="D153" s="1" t="str">
        <f ca="1">IFERROR(__xludf.DUMMYFUNCTION("""COMPUTED_VALUE"""),"26 Washington Terrace Unit 1")</f>
        <v>26 Washington Terrace Unit 1</v>
      </c>
      <c r="E153" s="1" t="str">
        <f ca="1">IFERROR(__xludf.DUMMYFUNCTION("""COMPUTED_VALUE"""),"Somerville")</f>
        <v>Somerville</v>
      </c>
      <c r="F153" s="1" t="str">
        <f ca="1">IFERROR(__xludf.DUMMYFUNCTION("""COMPUTED_VALUE"""),"Somerville - Union Square")</f>
        <v>Somerville - Union Square</v>
      </c>
      <c r="G153" s="1">
        <f ca="1">IFERROR(__xludf.DUMMYFUNCTION("""COMPUTED_VALUE"""),4)</f>
        <v>4</v>
      </c>
      <c r="H153" s="1" t="str">
        <f ca="1">IFERROR(__xludf.DUMMYFUNCTION("""COMPUTED_VALUE"""),"D")</f>
        <v>D</v>
      </c>
      <c r="I153" s="4" t="str">
        <f ca="1">IFERROR(__xludf.DUMMYFUNCTION("""COMPUTED_VALUE"""),"26 Washington Terrace#1D")</f>
        <v>26 Washington Terrace#1D</v>
      </c>
      <c r="J153" s="4" t="str">
        <f ca="1">IFERROR(__xludf.DUMMYFUNCTION("""COMPUTED_VALUE"""),"edbc2f3a-37f6-4245-89f2-597e23cc76fc")</f>
        <v>edbc2f3a-37f6-4245-89f2-597e23cc76fc</v>
      </c>
      <c r="K153" s="4">
        <f ca="1">IFERROR(__xludf.DUMMYFUNCTION("""COMPUTED_VALUE"""),1100)</f>
        <v>1100</v>
      </c>
      <c r="L153" s="1" t="str">
        <f ca="1">IFERROR(__xludf.DUMMYFUNCTION("""COMPUTED_VALUE"""),"Lizzie")</f>
        <v>Lizzie</v>
      </c>
      <c r="M153" s="1" t="str">
        <f ca="1">IFERROR(__xludf.DUMMYFUNCTION("""COMPUTED_VALUE"""),"")</f>
        <v/>
      </c>
      <c r="N153" s="1" t="str">
        <f ca="1">IFERROR(__xludf.DUMMYFUNCTION("""COMPUTED_VALUE"""),"")</f>
        <v/>
      </c>
      <c r="O153" s="1" t="str">
        <f ca="1">IFERROR(__xludf.DUMMYFUNCTION("""COMPUTED_VALUE"""),"Occupied")</f>
        <v>Occupied</v>
      </c>
      <c r="P153" s="1"/>
      <c r="Q153" s="1"/>
      <c r="R153" s="1"/>
      <c r="S153" s="1"/>
      <c r="T153" s="1"/>
      <c r="U153" s="1" t="str">
        <f ca="1">IFERROR(__xludf.DUMMYFUNCTION("""COMPUTED_VALUE"""),"N")</f>
        <v>N</v>
      </c>
      <c r="V153" s="1" t="str">
        <f ca="1">IFERROR(__xludf.DUMMYFUNCTION("""COMPUTED_VALUE"""),"N")</f>
        <v>N</v>
      </c>
      <c r="W153" s="1"/>
      <c r="X153" s="1"/>
      <c r="Y153" s="1" t="str">
        <f ca="1">IFERROR(__xludf.DUMMYFUNCTION("""COMPUTED_VALUE"""),"Nathan Hearnsberger")</f>
        <v>Nathan Hearnsberger</v>
      </c>
      <c r="Z153" s="1" t="str">
        <f ca="1">IFERROR(__xludf.DUMMYFUNCTION("""COMPUTED_VALUE"""),"nhearnsberger@gmail.com")</f>
        <v>nhearnsberger@gmail.com</v>
      </c>
      <c r="AA153" s="1"/>
      <c r="AB153" s="1"/>
      <c r="AC153" s="1"/>
    </row>
    <row r="154" spans="1:29">
      <c r="A154" s="1" t="str">
        <f ca="1">IFERROR(__xludf.DUMMYFUNCTION("""COMPUTED_VALUE"""),"26 Washington Terrace")</f>
        <v>26 Washington Terrace</v>
      </c>
      <c r="B154" s="1">
        <f ca="1">IFERROR(__xludf.DUMMYFUNCTION("""COMPUTED_VALUE"""),26)</f>
        <v>26</v>
      </c>
      <c r="C154" s="1" t="str">
        <f ca="1">IFERROR(__xludf.DUMMYFUNCTION("""COMPUTED_VALUE"""),"#2")</f>
        <v>#2</v>
      </c>
      <c r="D154" s="1" t="str">
        <f ca="1">IFERROR(__xludf.DUMMYFUNCTION("""COMPUTED_VALUE"""),"26 Washington Terrace Unit 2")</f>
        <v>26 Washington Terrace Unit 2</v>
      </c>
      <c r="E154" s="1" t="str">
        <f ca="1">IFERROR(__xludf.DUMMYFUNCTION("""COMPUTED_VALUE"""),"Somerville")</f>
        <v>Somerville</v>
      </c>
      <c r="F154" s="1" t="str">
        <f ca="1">IFERROR(__xludf.DUMMYFUNCTION("""COMPUTED_VALUE"""),"Somerville - Union Square")</f>
        <v>Somerville - Union Square</v>
      </c>
      <c r="G154" s="1">
        <f ca="1">IFERROR(__xludf.DUMMYFUNCTION("""COMPUTED_VALUE"""),1)</f>
        <v>1</v>
      </c>
      <c r="H154" s="1" t="str">
        <f ca="1">IFERROR(__xludf.DUMMYFUNCTION("""COMPUTED_VALUE"""),"A")</f>
        <v>A</v>
      </c>
      <c r="I154" s="4" t="str">
        <f ca="1">IFERROR(__xludf.DUMMYFUNCTION("""COMPUTED_VALUE"""),"26 Washington Terrace#2A")</f>
        <v>26 Washington Terrace#2A</v>
      </c>
      <c r="J154" s="4" t="str">
        <f ca="1">IFERROR(__xludf.DUMMYFUNCTION("""COMPUTED_VALUE"""),"5d2a2e78-4d75-4803-9eba-e085ac1308a4")</f>
        <v>5d2a2e78-4d75-4803-9eba-e085ac1308a4</v>
      </c>
      <c r="K154" s="4">
        <f ca="1">IFERROR(__xludf.DUMMYFUNCTION("""COMPUTED_VALUE"""),1160)</f>
        <v>1160</v>
      </c>
      <c r="L154" s="1" t="str">
        <f ca="1">IFERROR(__xludf.DUMMYFUNCTION("""COMPUTED_VALUE"""),"Lizzie")</f>
        <v>Lizzie</v>
      </c>
      <c r="M154" s="1" t="str">
        <f ca="1">IFERROR(__xludf.DUMMYFUNCTION("""COMPUTED_VALUE"""),"")</f>
        <v/>
      </c>
      <c r="N154" s="1" t="str">
        <f ca="1">IFERROR(__xludf.DUMMYFUNCTION("""COMPUTED_VALUE"""),"")</f>
        <v/>
      </c>
      <c r="O154" s="1" t="str">
        <f ca="1">IFERROR(__xludf.DUMMYFUNCTION("""COMPUTED_VALUE"""),"Occupied")</f>
        <v>Occupied</v>
      </c>
      <c r="P154" s="1"/>
      <c r="Q154" s="1"/>
      <c r="R154" s="1"/>
      <c r="S154" s="1"/>
      <c r="T154" s="1"/>
      <c r="U154" s="1" t="str">
        <f ca="1">IFERROR(__xludf.DUMMYFUNCTION("""COMPUTED_VALUE"""),"N")</f>
        <v>N</v>
      </c>
      <c r="V154" s="1" t="str">
        <f ca="1">IFERROR(__xludf.DUMMYFUNCTION("""COMPUTED_VALUE"""),"N")</f>
        <v>N</v>
      </c>
      <c r="W154" s="1"/>
      <c r="X154" s="1"/>
      <c r="Y154" s="1" t="str">
        <f ca="1">IFERROR(__xludf.DUMMYFUNCTION("""COMPUTED_VALUE"""),"Daniel Helmer")</f>
        <v>Daniel Helmer</v>
      </c>
      <c r="Z154" s="1" t="str">
        <f ca="1">IFERROR(__xludf.DUMMYFUNCTION("""COMPUTED_VALUE"""),"dnlhelmer@gmail.com")</f>
        <v>dnlhelmer@gmail.com</v>
      </c>
      <c r="AA154" s="1"/>
      <c r="AB154" s="1"/>
      <c r="AC154" s="1"/>
    </row>
    <row r="155" spans="1:29">
      <c r="A155" s="1" t="str">
        <f ca="1">IFERROR(__xludf.DUMMYFUNCTION("""COMPUTED_VALUE"""),"26 Washington Terrace")</f>
        <v>26 Washington Terrace</v>
      </c>
      <c r="B155" s="1">
        <f ca="1">IFERROR(__xludf.DUMMYFUNCTION("""COMPUTED_VALUE"""),26)</f>
        <v>26</v>
      </c>
      <c r="C155" s="1" t="str">
        <f ca="1">IFERROR(__xludf.DUMMYFUNCTION("""COMPUTED_VALUE"""),"#2")</f>
        <v>#2</v>
      </c>
      <c r="D155" s="1" t="str">
        <f ca="1">IFERROR(__xludf.DUMMYFUNCTION("""COMPUTED_VALUE"""),"26 Washington Terrace Unit 2")</f>
        <v>26 Washington Terrace Unit 2</v>
      </c>
      <c r="E155" s="1" t="str">
        <f ca="1">IFERROR(__xludf.DUMMYFUNCTION("""COMPUTED_VALUE"""),"Somerville")</f>
        <v>Somerville</v>
      </c>
      <c r="F155" s="1" t="str">
        <f ca="1">IFERROR(__xludf.DUMMYFUNCTION("""COMPUTED_VALUE"""),"Somerville - Union Square")</f>
        <v>Somerville - Union Square</v>
      </c>
      <c r="G155" s="1">
        <f ca="1">IFERROR(__xludf.DUMMYFUNCTION("""COMPUTED_VALUE"""),2)</f>
        <v>2</v>
      </c>
      <c r="H155" s="1" t="str">
        <f ca="1">IFERROR(__xludf.DUMMYFUNCTION("""COMPUTED_VALUE"""),"B")</f>
        <v>B</v>
      </c>
      <c r="I155" s="4" t="str">
        <f ca="1">IFERROR(__xludf.DUMMYFUNCTION("""COMPUTED_VALUE"""),"26 Washington Terrace#2B")</f>
        <v>26 Washington Terrace#2B</v>
      </c>
      <c r="J155" s="4" t="str">
        <f ca="1">IFERROR(__xludf.DUMMYFUNCTION("""COMPUTED_VALUE"""),"5d2a2e78-4d75-4803-9eba-e085ac1308a4")</f>
        <v>5d2a2e78-4d75-4803-9eba-e085ac1308a4</v>
      </c>
      <c r="K155" s="4">
        <f ca="1">IFERROR(__xludf.DUMMYFUNCTION("""COMPUTED_VALUE"""),1195)</f>
        <v>1195</v>
      </c>
      <c r="L155" s="1" t="str">
        <f ca="1">IFERROR(__xludf.DUMMYFUNCTION("""COMPUTED_VALUE"""),"Lizzie")</f>
        <v>Lizzie</v>
      </c>
      <c r="M155" s="1" t="str">
        <f ca="1">IFERROR(__xludf.DUMMYFUNCTION("""COMPUTED_VALUE"""),"")</f>
        <v/>
      </c>
      <c r="N155" s="1" t="str">
        <f ca="1">IFERROR(__xludf.DUMMYFUNCTION("""COMPUTED_VALUE"""),"")</f>
        <v/>
      </c>
      <c r="O155" s="1" t="str">
        <f ca="1">IFERROR(__xludf.DUMMYFUNCTION("""COMPUTED_VALUE"""),"Occupied")</f>
        <v>Occupied</v>
      </c>
      <c r="P155" s="1"/>
      <c r="Q155" s="1"/>
      <c r="R155" s="1"/>
      <c r="S155" s="1"/>
      <c r="T155" s="1"/>
      <c r="U155" s="1" t="str">
        <f ca="1">IFERROR(__xludf.DUMMYFUNCTION("""COMPUTED_VALUE"""),"N")</f>
        <v>N</v>
      </c>
      <c r="V155" s="1" t="str">
        <f ca="1">IFERROR(__xludf.DUMMYFUNCTION("""COMPUTED_VALUE"""),"N")</f>
        <v>N</v>
      </c>
      <c r="W155" s="1"/>
      <c r="X155" s="1"/>
      <c r="Y155" s="1" t="str">
        <f ca="1">IFERROR(__xludf.DUMMYFUNCTION("""COMPUTED_VALUE"""),"NOT AVAILABLE (Alicia)")</f>
        <v>NOT AVAILABLE (Alicia)</v>
      </c>
      <c r="Z155" s="1"/>
      <c r="AA155" s="1"/>
      <c r="AB155" s="1"/>
      <c r="AC155" s="1"/>
    </row>
    <row r="156" spans="1:29">
      <c r="A156" s="1" t="str">
        <f ca="1">IFERROR(__xludf.DUMMYFUNCTION("""COMPUTED_VALUE"""),"26 Washington Terrace")</f>
        <v>26 Washington Terrace</v>
      </c>
      <c r="B156" s="1">
        <f ca="1">IFERROR(__xludf.DUMMYFUNCTION("""COMPUTED_VALUE"""),26)</f>
        <v>26</v>
      </c>
      <c r="C156" s="1" t="str">
        <f ca="1">IFERROR(__xludf.DUMMYFUNCTION("""COMPUTED_VALUE"""),"#2")</f>
        <v>#2</v>
      </c>
      <c r="D156" s="1" t="str">
        <f ca="1">IFERROR(__xludf.DUMMYFUNCTION("""COMPUTED_VALUE"""),"26 Washington Terrace Unit 2")</f>
        <v>26 Washington Terrace Unit 2</v>
      </c>
      <c r="E156" s="1" t="str">
        <f ca="1">IFERROR(__xludf.DUMMYFUNCTION("""COMPUTED_VALUE"""),"Somerville")</f>
        <v>Somerville</v>
      </c>
      <c r="F156" s="1" t="str">
        <f ca="1">IFERROR(__xludf.DUMMYFUNCTION("""COMPUTED_VALUE"""),"Somerville - Union Square")</f>
        <v>Somerville - Union Square</v>
      </c>
      <c r="G156" s="1">
        <f ca="1">IFERROR(__xludf.DUMMYFUNCTION("""COMPUTED_VALUE"""),3)</f>
        <v>3</v>
      </c>
      <c r="H156" s="1" t="str">
        <f ca="1">IFERROR(__xludf.DUMMYFUNCTION("""COMPUTED_VALUE"""),"C")</f>
        <v>C</v>
      </c>
      <c r="I156" s="4" t="str">
        <f ca="1">IFERROR(__xludf.DUMMYFUNCTION("""COMPUTED_VALUE"""),"26 Washington Terrace#2C")</f>
        <v>26 Washington Terrace#2C</v>
      </c>
      <c r="J156" s="4" t="str">
        <f ca="1">IFERROR(__xludf.DUMMYFUNCTION("""COMPUTED_VALUE"""),"5d2a2e78-4d75-4803-9eba-e085ac1308a4")</f>
        <v>5d2a2e78-4d75-4803-9eba-e085ac1308a4</v>
      </c>
      <c r="K156" s="4">
        <f ca="1">IFERROR(__xludf.DUMMYFUNCTION("""COMPUTED_VALUE"""),1125)</f>
        <v>1125</v>
      </c>
      <c r="L156" s="1" t="str">
        <f ca="1">IFERROR(__xludf.DUMMYFUNCTION("""COMPUTED_VALUE"""),"Lizzie")</f>
        <v>Lizzie</v>
      </c>
      <c r="M156" s="1" t="str">
        <f ca="1">IFERROR(__xludf.DUMMYFUNCTION("""COMPUTED_VALUE"""),"")</f>
        <v/>
      </c>
      <c r="N156" s="1" t="str">
        <f ca="1">IFERROR(__xludf.DUMMYFUNCTION("""COMPUTED_VALUE"""),"")</f>
        <v/>
      </c>
      <c r="O156" s="1" t="str">
        <f ca="1">IFERROR(__xludf.DUMMYFUNCTION("""COMPUTED_VALUE"""),"Occupied")</f>
        <v>Occupied</v>
      </c>
      <c r="P156" s="1"/>
      <c r="Q156" s="1"/>
      <c r="R156" s="1"/>
      <c r="S156" s="1"/>
      <c r="T156" s="1"/>
      <c r="U156" s="1" t="str">
        <f ca="1">IFERROR(__xludf.DUMMYFUNCTION("""COMPUTED_VALUE"""),"N")</f>
        <v>N</v>
      </c>
      <c r="V156" s="1" t="str">
        <f ca="1">IFERROR(__xludf.DUMMYFUNCTION("""COMPUTED_VALUE"""),"N")</f>
        <v>N</v>
      </c>
      <c r="W156" s="1"/>
      <c r="X156" s="1"/>
      <c r="Y156" s="1" t="str">
        <f ca="1">IFERROR(__xludf.DUMMYFUNCTION("""COMPUTED_VALUE"""),"Peter Kim")</f>
        <v>Peter Kim</v>
      </c>
      <c r="Z156" s="1" t="str">
        <f ca="1">IFERROR(__xludf.DUMMYFUNCTION("""COMPUTED_VALUE"""),"peterkim3129@gmail.com")</f>
        <v>peterkim3129@gmail.com</v>
      </c>
      <c r="AA156" s="1"/>
      <c r="AB156" s="1"/>
      <c r="AC156" s="1"/>
    </row>
    <row r="157" spans="1:29">
      <c r="A157" s="1" t="str">
        <f ca="1">IFERROR(__xludf.DUMMYFUNCTION("""COMPUTED_VALUE"""),"26 Washington Terrace")</f>
        <v>26 Washington Terrace</v>
      </c>
      <c r="B157" s="1">
        <f ca="1">IFERROR(__xludf.DUMMYFUNCTION("""COMPUTED_VALUE"""),26)</f>
        <v>26</v>
      </c>
      <c r="C157" s="1" t="str">
        <f ca="1">IFERROR(__xludf.DUMMYFUNCTION("""COMPUTED_VALUE"""),"#2")</f>
        <v>#2</v>
      </c>
      <c r="D157" s="1" t="str">
        <f ca="1">IFERROR(__xludf.DUMMYFUNCTION("""COMPUTED_VALUE"""),"26 Washington Terrace Unit 2")</f>
        <v>26 Washington Terrace Unit 2</v>
      </c>
      <c r="E157" s="1" t="str">
        <f ca="1">IFERROR(__xludf.DUMMYFUNCTION("""COMPUTED_VALUE"""),"Somerville")</f>
        <v>Somerville</v>
      </c>
      <c r="F157" s="1" t="str">
        <f ca="1">IFERROR(__xludf.DUMMYFUNCTION("""COMPUTED_VALUE"""),"Somerville - Union Square")</f>
        <v>Somerville - Union Square</v>
      </c>
      <c r="G157" s="1">
        <f ca="1">IFERROR(__xludf.DUMMYFUNCTION("""COMPUTED_VALUE"""),4)</f>
        <v>4</v>
      </c>
      <c r="H157" s="1" t="str">
        <f ca="1">IFERROR(__xludf.DUMMYFUNCTION("""COMPUTED_VALUE"""),"D")</f>
        <v>D</v>
      </c>
      <c r="I157" s="4" t="str">
        <f ca="1">IFERROR(__xludf.DUMMYFUNCTION("""COMPUTED_VALUE"""),"26 Washington Terrace#2D")</f>
        <v>26 Washington Terrace#2D</v>
      </c>
      <c r="J157" s="4" t="str">
        <f ca="1">IFERROR(__xludf.DUMMYFUNCTION("""COMPUTED_VALUE"""),"5d2a2e78-4d75-4803-9eba-e085ac1308a4")</f>
        <v>5d2a2e78-4d75-4803-9eba-e085ac1308a4</v>
      </c>
      <c r="K157" s="4">
        <f ca="1">IFERROR(__xludf.DUMMYFUNCTION("""COMPUTED_VALUE"""),1090)</f>
        <v>1090</v>
      </c>
      <c r="L157" s="1" t="str">
        <f ca="1">IFERROR(__xludf.DUMMYFUNCTION("""COMPUTED_VALUE"""),"Lizzie")</f>
        <v>Lizzie</v>
      </c>
      <c r="M157" s="1" t="str">
        <f ca="1">IFERROR(__xludf.DUMMYFUNCTION("""COMPUTED_VALUE"""),"")</f>
        <v/>
      </c>
      <c r="N157" s="1" t="str">
        <f ca="1">IFERROR(__xludf.DUMMYFUNCTION("""COMPUTED_VALUE"""),"")</f>
        <v/>
      </c>
      <c r="O157" s="1" t="str">
        <f ca="1">IFERROR(__xludf.DUMMYFUNCTION("""COMPUTED_VALUE"""),"Occupied")</f>
        <v>Occupied</v>
      </c>
      <c r="P157" s="1"/>
      <c r="Q157" s="1"/>
      <c r="R157" s="1"/>
      <c r="S157" s="1"/>
      <c r="T157" s="1"/>
      <c r="U157" s="1" t="str">
        <f ca="1">IFERROR(__xludf.DUMMYFUNCTION("""COMPUTED_VALUE"""),"N")</f>
        <v>N</v>
      </c>
      <c r="V157" s="1" t="str">
        <f ca="1">IFERROR(__xludf.DUMMYFUNCTION("""COMPUTED_VALUE"""),"N")</f>
        <v>N</v>
      </c>
      <c r="W157" s="1"/>
      <c r="X157" s="1"/>
      <c r="Y157" s="1" t="str">
        <f ca="1">IFERROR(__xludf.DUMMYFUNCTION("""COMPUTED_VALUE"""),"Faith Tran")</f>
        <v>Faith Tran</v>
      </c>
      <c r="Z157" s="1" t="str">
        <f ca="1">IFERROR(__xludf.DUMMYFUNCTION("""COMPUTED_VALUE"""),"ftran90@yahoo.com")</f>
        <v>ftran90@yahoo.com</v>
      </c>
      <c r="AA157" s="1"/>
      <c r="AB157" s="1"/>
      <c r="AC157" s="1"/>
    </row>
    <row r="158" spans="1:29">
      <c r="A158" s="1" t="str">
        <f ca="1">IFERROR(__xludf.DUMMYFUNCTION("""COMPUTED_VALUE"""),"26 Washington Terrace")</f>
        <v>26 Washington Terrace</v>
      </c>
      <c r="B158" s="1">
        <f ca="1">IFERROR(__xludf.DUMMYFUNCTION("""COMPUTED_VALUE"""),26)</f>
        <v>26</v>
      </c>
      <c r="C158" s="1" t="str">
        <f ca="1">IFERROR(__xludf.DUMMYFUNCTION("""COMPUTED_VALUE"""),"#2")</f>
        <v>#2</v>
      </c>
      <c r="D158" s="1" t="str">
        <f ca="1">IFERROR(__xludf.DUMMYFUNCTION("""COMPUTED_VALUE"""),"26 Washington Terrace Unit 2")</f>
        <v>26 Washington Terrace Unit 2</v>
      </c>
      <c r="E158" s="1" t="str">
        <f ca="1">IFERROR(__xludf.DUMMYFUNCTION("""COMPUTED_VALUE"""),"Somerville")</f>
        <v>Somerville</v>
      </c>
      <c r="F158" s="1" t="str">
        <f ca="1">IFERROR(__xludf.DUMMYFUNCTION("""COMPUTED_VALUE"""),"Somerville - Union Square")</f>
        <v>Somerville - Union Square</v>
      </c>
      <c r="G158" s="1">
        <f ca="1">IFERROR(__xludf.DUMMYFUNCTION("""COMPUTED_VALUE"""),5)</f>
        <v>5</v>
      </c>
      <c r="H158" s="1" t="str">
        <f ca="1">IFERROR(__xludf.DUMMYFUNCTION("""COMPUTED_VALUE"""),"E")</f>
        <v>E</v>
      </c>
      <c r="I158" s="4" t="str">
        <f ca="1">IFERROR(__xludf.DUMMYFUNCTION("""COMPUTED_VALUE"""),"26 Washington Terrace#2E")</f>
        <v>26 Washington Terrace#2E</v>
      </c>
      <c r="J158" s="4" t="str">
        <f ca="1">IFERROR(__xludf.DUMMYFUNCTION("""COMPUTED_VALUE"""),"5d2a2e78-4d75-4803-9eba-e085ac1308a4")</f>
        <v>5d2a2e78-4d75-4803-9eba-e085ac1308a4</v>
      </c>
      <c r="K158" s="4">
        <f ca="1">IFERROR(__xludf.DUMMYFUNCTION("""COMPUTED_VALUE"""),1050)</f>
        <v>1050</v>
      </c>
      <c r="L158" s="1" t="str">
        <f ca="1">IFERROR(__xludf.DUMMYFUNCTION("""COMPUTED_VALUE"""),"Lizzie")</f>
        <v>Lizzie</v>
      </c>
      <c r="M158" s="1" t="str">
        <f ca="1">IFERROR(__xludf.DUMMYFUNCTION("""COMPUTED_VALUE"""),"")</f>
        <v/>
      </c>
      <c r="N158" s="1" t="str">
        <f ca="1">IFERROR(__xludf.DUMMYFUNCTION("""COMPUTED_VALUE"""),"")</f>
        <v/>
      </c>
      <c r="O158" s="1" t="str">
        <f ca="1">IFERROR(__xludf.DUMMYFUNCTION("""COMPUTED_VALUE"""),"Occupied")</f>
        <v>Occupied</v>
      </c>
      <c r="P158" s="1"/>
      <c r="Q158" s="1"/>
      <c r="R158" s="1"/>
      <c r="S158" s="1"/>
      <c r="T158" s="1"/>
      <c r="U158" s="1" t="str">
        <f ca="1">IFERROR(__xludf.DUMMYFUNCTION("""COMPUTED_VALUE"""),"N")</f>
        <v>N</v>
      </c>
      <c r="V158" s="1" t="str">
        <f ca="1">IFERROR(__xludf.DUMMYFUNCTION("""COMPUTED_VALUE"""),"N")</f>
        <v>N</v>
      </c>
      <c r="W158" s="1"/>
      <c r="X158" s="1"/>
      <c r="Y158" s="1" t="str">
        <f ca="1">IFERROR(__xludf.DUMMYFUNCTION("""COMPUTED_VALUE"""),"Kamal Daghistani")</f>
        <v>Kamal Daghistani</v>
      </c>
      <c r="Z158" s="1" t="str">
        <f ca="1">IFERROR(__xludf.DUMMYFUNCTION("""COMPUTED_VALUE"""),"kdaghistani10@gmail.com")</f>
        <v>kdaghistani10@gmail.com</v>
      </c>
      <c r="AA158" s="1"/>
      <c r="AB158" s="1"/>
      <c r="AC158" s="1"/>
    </row>
    <row r="159" spans="1:29">
      <c r="A159" s="1" t="str">
        <f ca="1">IFERROR(__xludf.DUMMYFUNCTION("""COMPUTED_VALUE"""),"31 Plymouth Street")</f>
        <v>31 Plymouth Street</v>
      </c>
      <c r="B159" s="1">
        <f ca="1">IFERROR(__xludf.DUMMYFUNCTION("""COMPUTED_VALUE"""),31)</f>
        <v>31</v>
      </c>
      <c r="C159" s="1" t="str">
        <f ca="1">IFERROR(__xludf.DUMMYFUNCTION("""COMPUTED_VALUE"""),"#2")</f>
        <v>#2</v>
      </c>
      <c r="D159" s="1" t="str">
        <f ca="1">IFERROR(__xludf.DUMMYFUNCTION("""COMPUTED_VALUE"""),"31 Plymouth Street Unit 2")</f>
        <v>31 Plymouth Street Unit 2</v>
      </c>
      <c r="E159" s="1" t="str">
        <f ca="1">IFERROR(__xludf.DUMMYFUNCTION("""COMPUTED_VALUE"""),"Cambridge")</f>
        <v>Cambridge</v>
      </c>
      <c r="F159" s="1" t="str">
        <f ca="1">IFERROR(__xludf.DUMMYFUNCTION("""COMPUTED_VALUE"""),"Cambridge - East Cambridge")</f>
        <v>Cambridge - East Cambridge</v>
      </c>
      <c r="G159" s="1">
        <f ca="1">IFERROR(__xludf.DUMMYFUNCTION("""COMPUTED_VALUE"""),1)</f>
        <v>1</v>
      </c>
      <c r="H159" s="1" t="str">
        <f ca="1">IFERROR(__xludf.DUMMYFUNCTION("""COMPUTED_VALUE"""),"A")</f>
        <v>A</v>
      </c>
      <c r="I159" s="4" t="str">
        <f ca="1">IFERROR(__xludf.DUMMYFUNCTION("""COMPUTED_VALUE"""),"31 Plymouth Street#2A")</f>
        <v>31 Plymouth Street#2A</v>
      </c>
      <c r="J159" s="4" t="str">
        <f ca="1">IFERROR(__xludf.DUMMYFUNCTION("""COMPUTED_VALUE"""),"cdb63316-7853-4ec1-b7f9-61dffd73cde7")</f>
        <v>cdb63316-7853-4ec1-b7f9-61dffd73cde7</v>
      </c>
      <c r="K159" s="4">
        <f ca="1">IFERROR(__xludf.DUMMYFUNCTION("""COMPUTED_VALUE"""),1095)</f>
        <v>1095</v>
      </c>
      <c r="L159" s="1" t="str">
        <f ca="1">IFERROR(__xludf.DUMMYFUNCTION("""COMPUTED_VALUE"""),"Daniel")</f>
        <v>Daniel</v>
      </c>
      <c r="M159" s="1" t="str">
        <f ca="1">IFERROR(__xludf.DUMMYFUNCTION("""COMPUTED_VALUE"""),"")</f>
        <v/>
      </c>
      <c r="N159" s="1" t="str">
        <f ca="1">IFERROR(__xludf.DUMMYFUNCTION("""COMPUTED_VALUE"""),"Furnished")</f>
        <v>Furnished</v>
      </c>
      <c r="O159" s="1" t="str">
        <f ca="1">IFERROR(__xludf.DUMMYFUNCTION("""COMPUTED_VALUE"""),"Occupied")</f>
        <v>Occupied</v>
      </c>
      <c r="P159" s="1"/>
      <c r="Q159" s="1"/>
      <c r="R159" s="1"/>
      <c r="S159" s="1" t="str">
        <f ca="1">IFERROR(__xludf.DUMMYFUNCTION("""COMPUTED_VALUE"""),"NO CATS OR DOGS")</f>
        <v>NO CATS OR DOGS</v>
      </c>
      <c r="T159" s="1"/>
      <c r="U159" s="1" t="str">
        <f ca="1">IFERROR(__xludf.DUMMYFUNCTION("""COMPUTED_VALUE"""),"N")</f>
        <v>N</v>
      </c>
      <c r="V159" s="1" t="str">
        <f ca="1">IFERROR(__xludf.DUMMYFUNCTION("""COMPUTED_VALUE"""),"Y")</f>
        <v>Y</v>
      </c>
      <c r="W159" s="1"/>
      <c r="X159" s="1"/>
      <c r="Y159" s="1" t="str">
        <f ca="1">IFERROR(__xludf.DUMMYFUNCTION("""COMPUTED_VALUE"""),"Jaqueline Liu")</f>
        <v>Jaqueline Liu</v>
      </c>
      <c r="Z159" s="1" t="str">
        <f ca="1">IFERROR(__xludf.DUMMYFUNCTION("""COMPUTED_VALUE"""),"wenhan_liu@brown.edu")</f>
        <v>wenhan_liu@brown.edu</v>
      </c>
      <c r="AA159" s="1"/>
      <c r="AB159" s="1"/>
      <c r="AC159" s="1"/>
    </row>
    <row r="160" spans="1:29">
      <c r="A160" s="1" t="str">
        <f ca="1">IFERROR(__xludf.DUMMYFUNCTION("""COMPUTED_VALUE"""),"31 Plymouth Street")</f>
        <v>31 Plymouth Street</v>
      </c>
      <c r="B160" s="1">
        <f ca="1">IFERROR(__xludf.DUMMYFUNCTION("""COMPUTED_VALUE"""),31)</f>
        <v>31</v>
      </c>
      <c r="C160" s="1" t="str">
        <f ca="1">IFERROR(__xludf.DUMMYFUNCTION("""COMPUTED_VALUE"""),"#2")</f>
        <v>#2</v>
      </c>
      <c r="D160" s="1" t="str">
        <f ca="1">IFERROR(__xludf.DUMMYFUNCTION("""COMPUTED_VALUE"""),"31 Plymouth Street Unit 2")</f>
        <v>31 Plymouth Street Unit 2</v>
      </c>
      <c r="E160" s="1" t="str">
        <f ca="1">IFERROR(__xludf.DUMMYFUNCTION("""COMPUTED_VALUE"""),"Cambridge")</f>
        <v>Cambridge</v>
      </c>
      <c r="F160" s="1" t="str">
        <f ca="1">IFERROR(__xludf.DUMMYFUNCTION("""COMPUTED_VALUE"""),"Cambridge - East Cambridge")</f>
        <v>Cambridge - East Cambridge</v>
      </c>
      <c r="G160" s="1">
        <f ca="1">IFERROR(__xludf.DUMMYFUNCTION("""COMPUTED_VALUE"""),2)</f>
        <v>2</v>
      </c>
      <c r="H160" s="1" t="str">
        <f ca="1">IFERROR(__xludf.DUMMYFUNCTION("""COMPUTED_VALUE"""),"B")</f>
        <v>B</v>
      </c>
      <c r="I160" s="4" t="str">
        <f ca="1">IFERROR(__xludf.DUMMYFUNCTION("""COMPUTED_VALUE"""),"31 Plymouth Street#2B")</f>
        <v>31 Plymouth Street#2B</v>
      </c>
      <c r="J160" s="4" t="str">
        <f ca="1">IFERROR(__xludf.DUMMYFUNCTION("""COMPUTED_VALUE"""),"cdb63316-7853-4ec1-b7f9-61dffd73cde7")</f>
        <v>cdb63316-7853-4ec1-b7f9-61dffd73cde7</v>
      </c>
      <c r="K160" s="4">
        <f ca="1">IFERROR(__xludf.DUMMYFUNCTION("""COMPUTED_VALUE"""),995)</f>
        <v>995</v>
      </c>
      <c r="L160" s="1" t="str">
        <f ca="1">IFERROR(__xludf.DUMMYFUNCTION("""COMPUTED_VALUE"""),"Daniel")</f>
        <v>Daniel</v>
      </c>
      <c r="M160" s="1" t="str">
        <f ca="1">IFERROR(__xludf.DUMMYFUNCTION("""COMPUTED_VALUE"""),"")</f>
        <v/>
      </c>
      <c r="N160" s="1" t="str">
        <f ca="1">IFERROR(__xludf.DUMMYFUNCTION("""COMPUTED_VALUE"""),"Furnished")</f>
        <v>Furnished</v>
      </c>
      <c r="O160" s="1" t="str">
        <f ca="1">IFERROR(__xludf.DUMMYFUNCTION("""COMPUTED_VALUE"""),"Deposits Complete")</f>
        <v>Deposits Complete</v>
      </c>
      <c r="P160" s="1" t="str">
        <f ca="1">IFERROR(__xludf.DUMMYFUNCTION("""COMPUTED_VALUE"""),"January")</f>
        <v>January</v>
      </c>
      <c r="Q160" s="1"/>
      <c r="R160" s="5">
        <f ca="1">IFERROR(__xludf.DUMMYFUNCTION("""COMPUTED_VALUE"""),43833)</f>
        <v>43833</v>
      </c>
      <c r="S160" s="1" t="str">
        <f ca="1">IFERROR(__xludf.DUMMYFUNCTION("""COMPUTED_VALUE"""),"NO CATS OR DOGS")</f>
        <v>NO CATS OR DOGS</v>
      </c>
      <c r="T160" s="1"/>
      <c r="U160" s="1" t="str">
        <f ca="1">IFERROR(__xludf.DUMMYFUNCTION("""COMPUTED_VALUE"""),"N")</f>
        <v>N</v>
      </c>
      <c r="V160" s="1" t="str">
        <f ca="1">IFERROR(__xludf.DUMMYFUNCTION("""COMPUTED_VALUE"""),"Y")</f>
        <v>Y</v>
      </c>
      <c r="W160" s="1"/>
      <c r="X160" s="1"/>
      <c r="Y160" s="1" t="str">
        <f ca="1">IFERROR(__xludf.DUMMYFUNCTION("""COMPUTED_VALUE"""),"Colby Rossmassler")</f>
        <v>Colby Rossmassler</v>
      </c>
      <c r="Z160" s="1" t="str">
        <f ca="1">IFERROR(__xludf.DUMMYFUNCTION("""COMPUTED_VALUE"""),"colbyrossmassler@gmail.com")</f>
        <v>colbyrossmassler@gmail.com</v>
      </c>
      <c r="AA160" s="1"/>
      <c r="AB160" s="1"/>
      <c r="AC160" s="1"/>
    </row>
    <row r="161" spans="1:29">
      <c r="A161" s="1" t="str">
        <f ca="1">IFERROR(__xludf.DUMMYFUNCTION("""COMPUTED_VALUE"""),"31 Plymouth Street")</f>
        <v>31 Plymouth Street</v>
      </c>
      <c r="B161" s="1">
        <f ca="1">IFERROR(__xludf.DUMMYFUNCTION("""COMPUTED_VALUE"""),31)</f>
        <v>31</v>
      </c>
      <c r="C161" s="1" t="str">
        <f ca="1">IFERROR(__xludf.DUMMYFUNCTION("""COMPUTED_VALUE"""),"#2")</f>
        <v>#2</v>
      </c>
      <c r="D161" s="1" t="str">
        <f ca="1">IFERROR(__xludf.DUMMYFUNCTION("""COMPUTED_VALUE"""),"31 Plymouth Street Unit 2")</f>
        <v>31 Plymouth Street Unit 2</v>
      </c>
      <c r="E161" s="1" t="str">
        <f ca="1">IFERROR(__xludf.DUMMYFUNCTION("""COMPUTED_VALUE"""),"Cambridge")</f>
        <v>Cambridge</v>
      </c>
      <c r="F161" s="1" t="str">
        <f ca="1">IFERROR(__xludf.DUMMYFUNCTION("""COMPUTED_VALUE"""),"Cambridge - East Cambridge")</f>
        <v>Cambridge - East Cambridge</v>
      </c>
      <c r="G161" s="1">
        <f ca="1">IFERROR(__xludf.DUMMYFUNCTION("""COMPUTED_VALUE"""),3)</f>
        <v>3</v>
      </c>
      <c r="H161" s="1" t="str">
        <f ca="1">IFERROR(__xludf.DUMMYFUNCTION("""COMPUTED_VALUE"""),"C")</f>
        <v>C</v>
      </c>
      <c r="I161" s="4" t="str">
        <f ca="1">IFERROR(__xludf.DUMMYFUNCTION("""COMPUTED_VALUE"""),"31 Plymouth Street#2C")</f>
        <v>31 Plymouth Street#2C</v>
      </c>
      <c r="J161" s="4" t="str">
        <f ca="1">IFERROR(__xludf.DUMMYFUNCTION("""COMPUTED_VALUE"""),"cdb63316-7853-4ec1-b7f9-61dffd73cde7")</f>
        <v>cdb63316-7853-4ec1-b7f9-61dffd73cde7</v>
      </c>
      <c r="K161" s="4">
        <f ca="1">IFERROR(__xludf.DUMMYFUNCTION("""COMPUTED_VALUE"""),1350)</f>
        <v>1350</v>
      </c>
      <c r="L161" s="1" t="str">
        <f ca="1">IFERROR(__xludf.DUMMYFUNCTION("""COMPUTED_VALUE"""),"Daniel")</f>
        <v>Daniel</v>
      </c>
      <c r="M161" s="1" t="str">
        <f ca="1">IFERROR(__xludf.DUMMYFUNCTION("""COMPUTED_VALUE"""),"")</f>
        <v/>
      </c>
      <c r="N161" s="1" t="str">
        <f ca="1">IFERROR(__xludf.DUMMYFUNCTION("""COMPUTED_VALUE"""),"Furnished")</f>
        <v>Furnished</v>
      </c>
      <c r="O161" s="1" t="str">
        <f ca="1">IFERROR(__xludf.DUMMYFUNCTION("""COMPUTED_VALUE"""),"Occupied")</f>
        <v>Occupied</v>
      </c>
      <c r="P161" s="1"/>
      <c r="Q161" s="1"/>
      <c r="R161" s="1"/>
      <c r="S161" s="1" t="str">
        <f ca="1">IFERROR(__xludf.DUMMYFUNCTION("""COMPUTED_VALUE"""),"NO CATS OR DOGS")</f>
        <v>NO CATS OR DOGS</v>
      </c>
      <c r="T161" s="1"/>
      <c r="U161" s="1" t="str">
        <f ca="1">IFERROR(__xludf.DUMMYFUNCTION("""COMPUTED_VALUE"""),"N")</f>
        <v>N</v>
      </c>
      <c r="V161" s="1" t="str">
        <f ca="1">IFERROR(__xludf.DUMMYFUNCTION("""COMPUTED_VALUE"""),"Y")</f>
        <v>Y</v>
      </c>
      <c r="W161" s="1"/>
      <c r="X161" s="1"/>
      <c r="Y161" s="1" t="str">
        <f ca="1">IFERROR(__xludf.DUMMYFUNCTION("""COMPUTED_VALUE"""),"Shruthi Seetharaman")</f>
        <v>Shruthi Seetharaman</v>
      </c>
      <c r="Z161" s="1" t="str">
        <f ca="1">IFERROR(__xludf.DUMMYFUNCTION("""COMPUTED_VALUE"""),"shruthi.seetharam@gmail.com")</f>
        <v>shruthi.seetharam@gmail.com</v>
      </c>
      <c r="AA161" s="1"/>
      <c r="AB161" s="1"/>
      <c r="AC161" s="1"/>
    </row>
    <row r="162" spans="1:29">
      <c r="A162" s="1" t="str">
        <f ca="1">IFERROR(__xludf.DUMMYFUNCTION("""COMPUTED_VALUE"""),"31 Plymouth Street")</f>
        <v>31 Plymouth Street</v>
      </c>
      <c r="B162" s="1">
        <f ca="1">IFERROR(__xludf.DUMMYFUNCTION("""COMPUTED_VALUE"""),31)</f>
        <v>31</v>
      </c>
      <c r="C162" s="1" t="str">
        <f ca="1">IFERROR(__xludf.DUMMYFUNCTION("""COMPUTED_VALUE"""),"#3")</f>
        <v>#3</v>
      </c>
      <c r="D162" s="1" t="str">
        <f ca="1">IFERROR(__xludf.DUMMYFUNCTION("""COMPUTED_VALUE"""),"31 Plymouth Street Unit 3")</f>
        <v>31 Plymouth Street Unit 3</v>
      </c>
      <c r="E162" s="1" t="str">
        <f ca="1">IFERROR(__xludf.DUMMYFUNCTION("""COMPUTED_VALUE"""),"Cambridge")</f>
        <v>Cambridge</v>
      </c>
      <c r="F162" s="1" t="str">
        <f ca="1">IFERROR(__xludf.DUMMYFUNCTION("""COMPUTED_VALUE"""),"Cambridge - East Cambridge")</f>
        <v>Cambridge - East Cambridge</v>
      </c>
      <c r="G162" s="1">
        <f ca="1">IFERROR(__xludf.DUMMYFUNCTION("""COMPUTED_VALUE"""),1)</f>
        <v>1</v>
      </c>
      <c r="H162" s="1" t="str">
        <f ca="1">IFERROR(__xludf.DUMMYFUNCTION("""COMPUTED_VALUE"""),"A")</f>
        <v>A</v>
      </c>
      <c r="I162" s="4" t="str">
        <f ca="1">IFERROR(__xludf.DUMMYFUNCTION("""COMPUTED_VALUE"""),"31 Plymouth Street#3A")</f>
        <v>31 Plymouth Street#3A</v>
      </c>
      <c r="J162" s="4" t="str">
        <f ca="1">IFERROR(__xludf.DUMMYFUNCTION("""COMPUTED_VALUE"""),"55eb1e4f-bd1d-4a2b-80a9-0d16d60f4653")</f>
        <v>55eb1e4f-bd1d-4a2b-80a9-0d16d60f4653</v>
      </c>
      <c r="K162" s="4">
        <f ca="1">IFERROR(__xludf.DUMMYFUNCTION("""COMPUTED_VALUE"""),995)</f>
        <v>995</v>
      </c>
      <c r="L162" s="1" t="str">
        <f ca="1">IFERROR(__xludf.DUMMYFUNCTION("""COMPUTED_VALUE"""),"Daniel")</f>
        <v>Daniel</v>
      </c>
      <c r="M162" s="1" t="str">
        <f ca="1">IFERROR(__xludf.DUMMYFUNCTION("""COMPUTED_VALUE"""),"")</f>
        <v/>
      </c>
      <c r="N162" s="1" t="str">
        <f ca="1">IFERROR(__xludf.DUMMYFUNCTION("""COMPUTED_VALUE"""),"Furnished")</f>
        <v>Furnished</v>
      </c>
      <c r="O162" s="1" t="str">
        <f ca="1">IFERROR(__xludf.DUMMYFUNCTION("""COMPUTED_VALUE"""),"Deposits Complete")</f>
        <v>Deposits Complete</v>
      </c>
      <c r="P162" s="1" t="str">
        <f ca="1">IFERROR(__xludf.DUMMYFUNCTION("""COMPUTED_VALUE"""),"February")</f>
        <v>February</v>
      </c>
      <c r="Q162" s="1"/>
      <c r="R162" s="5">
        <f ca="1">IFERROR(__xludf.DUMMYFUNCTION("""COMPUTED_VALUE"""),43862)</f>
        <v>43862</v>
      </c>
      <c r="S162" s="1" t="str">
        <f ca="1">IFERROR(__xludf.DUMMYFUNCTION("""COMPUTED_VALUE"""),"NO CATS OR DOGS")</f>
        <v>NO CATS OR DOGS</v>
      </c>
      <c r="T162" s="1"/>
      <c r="U162" s="1" t="str">
        <f ca="1">IFERROR(__xludf.DUMMYFUNCTION("""COMPUTED_VALUE"""),"N")</f>
        <v>N</v>
      </c>
      <c r="V162" s="1" t="str">
        <f ca="1">IFERROR(__xludf.DUMMYFUNCTION("""COMPUTED_VALUE"""),"N")</f>
        <v>N</v>
      </c>
      <c r="W162" s="1" t="str">
        <f ca="1">IFERROR(__xludf.DUMMYFUNCTION("""COMPUTED_VALUE"""),"Jules Frank")</f>
        <v>Jules Frank</v>
      </c>
      <c r="X162" s="1" t="str">
        <f ca="1">IFERROR(__xludf.DUMMYFUNCTION("""COMPUTED_VALUE"""),"jules.frank@hotmail.fr")</f>
        <v>jules.frank@hotmail.fr</v>
      </c>
      <c r="Y162" s="1"/>
      <c r="Z162" s="1"/>
      <c r="AA162" s="1"/>
      <c r="AB162" s="1"/>
      <c r="AC162" s="1"/>
    </row>
    <row r="163" spans="1:29">
      <c r="A163" s="1" t="str">
        <f ca="1">IFERROR(__xludf.DUMMYFUNCTION("""COMPUTED_VALUE"""),"31 Plymouth Street")</f>
        <v>31 Plymouth Street</v>
      </c>
      <c r="B163" s="1">
        <f ca="1">IFERROR(__xludf.DUMMYFUNCTION("""COMPUTED_VALUE"""),31)</f>
        <v>31</v>
      </c>
      <c r="C163" s="1" t="str">
        <f ca="1">IFERROR(__xludf.DUMMYFUNCTION("""COMPUTED_VALUE"""),"#3")</f>
        <v>#3</v>
      </c>
      <c r="D163" s="1" t="str">
        <f ca="1">IFERROR(__xludf.DUMMYFUNCTION("""COMPUTED_VALUE"""),"31 Plymouth Street Unit 3")</f>
        <v>31 Plymouth Street Unit 3</v>
      </c>
      <c r="E163" s="1" t="str">
        <f ca="1">IFERROR(__xludf.DUMMYFUNCTION("""COMPUTED_VALUE"""),"Cambridge")</f>
        <v>Cambridge</v>
      </c>
      <c r="F163" s="1" t="str">
        <f ca="1">IFERROR(__xludf.DUMMYFUNCTION("""COMPUTED_VALUE"""),"Cambridge - East Cambridge")</f>
        <v>Cambridge - East Cambridge</v>
      </c>
      <c r="G163" s="1">
        <f ca="1">IFERROR(__xludf.DUMMYFUNCTION("""COMPUTED_VALUE"""),2)</f>
        <v>2</v>
      </c>
      <c r="H163" s="1" t="str">
        <f ca="1">IFERROR(__xludf.DUMMYFUNCTION("""COMPUTED_VALUE"""),"B")</f>
        <v>B</v>
      </c>
      <c r="I163" s="4" t="str">
        <f ca="1">IFERROR(__xludf.DUMMYFUNCTION("""COMPUTED_VALUE"""),"31 Plymouth Street#3B")</f>
        <v>31 Plymouth Street#3B</v>
      </c>
      <c r="J163" s="4" t="str">
        <f ca="1">IFERROR(__xludf.DUMMYFUNCTION("""COMPUTED_VALUE"""),"55eb1e4f-bd1d-4a2b-80a9-0d16d60f4653")</f>
        <v>55eb1e4f-bd1d-4a2b-80a9-0d16d60f4653</v>
      </c>
      <c r="K163" s="4">
        <f ca="1">IFERROR(__xludf.DUMMYFUNCTION("""COMPUTED_VALUE"""),995)</f>
        <v>995</v>
      </c>
      <c r="L163" s="1" t="str">
        <f ca="1">IFERROR(__xludf.DUMMYFUNCTION("""COMPUTED_VALUE"""),"Daniel")</f>
        <v>Daniel</v>
      </c>
      <c r="M163" s="1" t="str">
        <f ca="1">IFERROR(__xludf.DUMMYFUNCTION("""COMPUTED_VALUE"""),"")</f>
        <v/>
      </c>
      <c r="N163" s="1" t="str">
        <f ca="1">IFERROR(__xludf.DUMMYFUNCTION("""COMPUTED_VALUE"""),"Furnished")</f>
        <v>Furnished</v>
      </c>
      <c r="O163" s="1" t="str">
        <f ca="1">IFERROR(__xludf.DUMMYFUNCTION("""COMPUTED_VALUE"""),"Lease Signed")</f>
        <v>Lease Signed</v>
      </c>
      <c r="P163" s="1" t="str">
        <f ca="1">IFERROR(__xludf.DUMMYFUNCTION("""COMPUTED_VALUE"""),"February")</f>
        <v>February</v>
      </c>
      <c r="Q163" s="1"/>
      <c r="R163" s="5">
        <f ca="1">IFERROR(__xludf.DUMMYFUNCTION("""COMPUTED_VALUE"""),44241)</f>
        <v>44241</v>
      </c>
      <c r="S163" s="1" t="str">
        <f ca="1">IFERROR(__xludf.DUMMYFUNCTION("""COMPUTED_VALUE"""),"NO CATS OR DOGS")</f>
        <v>NO CATS OR DOGS</v>
      </c>
      <c r="T163" s="1"/>
      <c r="U163" s="1" t="str">
        <f ca="1">IFERROR(__xludf.DUMMYFUNCTION("""COMPUTED_VALUE"""),"N")</f>
        <v>N</v>
      </c>
      <c r="V163" s="1" t="str">
        <f ca="1">IFERROR(__xludf.DUMMYFUNCTION("""COMPUTED_VALUE"""),"N")</f>
        <v>N</v>
      </c>
      <c r="W163" s="1" t="str">
        <f ca="1">IFERROR(__xludf.DUMMYFUNCTION("""COMPUTED_VALUE"""),"Paul Delannoy")</f>
        <v>Paul Delannoy</v>
      </c>
      <c r="X163" s="1" t="str">
        <f ca="1">IFERROR(__xludf.DUMMYFUNCTION("""COMPUTED_VALUE"""),"pdelanno@mit.edu")</f>
        <v>pdelanno@mit.edu</v>
      </c>
      <c r="Y163" s="1"/>
      <c r="Z163" s="1"/>
      <c r="AA163" s="1"/>
      <c r="AB163" s="1"/>
      <c r="AC163" s="1"/>
    </row>
    <row r="164" spans="1:29">
      <c r="A164" s="1" t="str">
        <f ca="1">IFERROR(__xludf.DUMMYFUNCTION("""COMPUTED_VALUE"""),"31 Plymouth Street")</f>
        <v>31 Plymouth Street</v>
      </c>
      <c r="B164" s="1">
        <f ca="1">IFERROR(__xludf.DUMMYFUNCTION("""COMPUTED_VALUE"""),31)</f>
        <v>31</v>
      </c>
      <c r="C164" s="1" t="str">
        <f ca="1">IFERROR(__xludf.DUMMYFUNCTION("""COMPUTED_VALUE"""),"#3")</f>
        <v>#3</v>
      </c>
      <c r="D164" s="1" t="str">
        <f ca="1">IFERROR(__xludf.DUMMYFUNCTION("""COMPUTED_VALUE"""),"31 Plymouth Street Unit 3")</f>
        <v>31 Plymouth Street Unit 3</v>
      </c>
      <c r="E164" s="1" t="str">
        <f ca="1">IFERROR(__xludf.DUMMYFUNCTION("""COMPUTED_VALUE"""),"Cambridge")</f>
        <v>Cambridge</v>
      </c>
      <c r="F164" s="1" t="str">
        <f ca="1">IFERROR(__xludf.DUMMYFUNCTION("""COMPUTED_VALUE"""),"Cambridge - East Cambridge")</f>
        <v>Cambridge - East Cambridge</v>
      </c>
      <c r="G164" s="1">
        <f ca="1">IFERROR(__xludf.DUMMYFUNCTION("""COMPUTED_VALUE"""),3)</f>
        <v>3</v>
      </c>
      <c r="H164" s="1" t="str">
        <f ca="1">IFERROR(__xludf.DUMMYFUNCTION("""COMPUTED_VALUE"""),"C")</f>
        <v>C</v>
      </c>
      <c r="I164" s="4" t="str">
        <f ca="1">IFERROR(__xludf.DUMMYFUNCTION("""COMPUTED_VALUE"""),"31 Plymouth Street#3C")</f>
        <v>31 Plymouth Street#3C</v>
      </c>
      <c r="J164" s="4" t="str">
        <f ca="1">IFERROR(__xludf.DUMMYFUNCTION("""COMPUTED_VALUE"""),"55eb1e4f-bd1d-4a2b-80a9-0d16d60f4653")</f>
        <v>55eb1e4f-bd1d-4a2b-80a9-0d16d60f4653</v>
      </c>
      <c r="K164" s="4">
        <f ca="1">IFERROR(__xludf.DUMMYFUNCTION("""COMPUTED_VALUE"""),995)</f>
        <v>995</v>
      </c>
      <c r="L164" s="1" t="str">
        <f ca="1">IFERROR(__xludf.DUMMYFUNCTION("""COMPUTED_VALUE"""),"Daniel")</f>
        <v>Daniel</v>
      </c>
      <c r="M164" s="1" t="str">
        <f ca="1">IFERROR(__xludf.DUMMYFUNCTION("""COMPUTED_VALUE"""),"")</f>
        <v/>
      </c>
      <c r="N164" s="1" t="str">
        <f ca="1">IFERROR(__xludf.DUMMYFUNCTION("""COMPUTED_VALUE"""),"Furnished")</f>
        <v>Furnished</v>
      </c>
      <c r="O164" s="1" t="str">
        <f ca="1">IFERROR(__xludf.DUMMYFUNCTION("""COMPUTED_VALUE"""),"Lease Signed")</f>
        <v>Lease Signed</v>
      </c>
      <c r="P164" s="1" t="str">
        <f ca="1">IFERROR(__xludf.DUMMYFUNCTION("""COMPUTED_VALUE"""),"February")</f>
        <v>February</v>
      </c>
      <c r="Q164" s="1"/>
      <c r="R164" s="5">
        <f ca="1">IFERROR(__xludf.DUMMYFUNCTION("""COMPUTED_VALUE"""),44228)</f>
        <v>44228</v>
      </c>
      <c r="S164" s="1" t="str">
        <f ca="1">IFERROR(__xludf.DUMMYFUNCTION("""COMPUTED_VALUE"""),"NO CATS OR DOGS")</f>
        <v>NO CATS OR DOGS</v>
      </c>
      <c r="T164" s="1"/>
      <c r="U164" s="1" t="str">
        <f ca="1">IFERROR(__xludf.DUMMYFUNCTION("""COMPUTED_VALUE"""),"N")</f>
        <v>N</v>
      </c>
      <c r="V164" s="1" t="str">
        <f ca="1">IFERROR(__xludf.DUMMYFUNCTION("""COMPUTED_VALUE"""),"N")</f>
        <v>N</v>
      </c>
      <c r="W164" s="1" t="str">
        <f ca="1">IFERROR(__xludf.DUMMYFUNCTION("""COMPUTED_VALUE"""),"Alina Shestiaeva")</f>
        <v>Alina Shestiaeva</v>
      </c>
      <c r="X164" s="1" t="str">
        <f ca="1">IFERROR(__xludf.DUMMYFUNCTION("""COMPUTED_VALUE"""),"alinashe@mit.edu")</f>
        <v>alinashe@mit.edu</v>
      </c>
      <c r="Y164" s="1"/>
      <c r="Z164" s="1"/>
      <c r="AA164" s="1"/>
      <c r="AB164" s="1"/>
      <c r="AC164" s="1"/>
    </row>
    <row r="165" spans="1:29">
      <c r="A165" s="1" t="str">
        <f ca="1">IFERROR(__xludf.DUMMYFUNCTION("""COMPUTED_VALUE"""),"31 Plymouth Street")</f>
        <v>31 Plymouth Street</v>
      </c>
      <c r="B165" s="1">
        <f ca="1">IFERROR(__xludf.DUMMYFUNCTION("""COMPUTED_VALUE"""),31)</f>
        <v>31</v>
      </c>
      <c r="C165" s="1" t="str">
        <f ca="1">IFERROR(__xludf.DUMMYFUNCTION("""COMPUTED_VALUE"""),"#3")</f>
        <v>#3</v>
      </c>
      <c r="D165" s="1" t="str">
        <f ca="1">IFERROR(__xludf.DUMMYFUNCTION("""COMPUTED_VALUE"""),"31 Plymouth Street Unit 3")</f>
        <v>31 Plymouth Street Unit 3</v>
      </c>
      <c r="E165" s="1" t="str">
        <f ca="1">IFERROR(__xludf.DUMMYFUNCTION("""COMPUTED_VALUE"""),"Cambridge")</f>
        <v>Cambridge</v>
      </c>
      <c r="F165" s="1" t="str">
        <f ca="1">IFERROR(__xludf.DUMMYFUNCTION("""COMPUTED_VALUE"""),"Cambridge - East Cambridge")</f>
        <v>Cambridge - East Cambridge</v>
      </c>
      <c r="G165" s="1">
        <f ca="1">IFERROR(__xludf.DUMMYFUNCTION("""COMPUTED_VALUE"""),4)</f>
        <v>4</v>
      </c>
      <c r="H165" s="1" t="str">
        <f ca="1">IFERROR(__xludf.DUMMYFUNCTION("""COMPUTED_VALUE"""),"D")</f>
        <v>D</v>
      </c>
      <c r="I165" s="4" t="str">
        <f ca="1">IFERROR(__xludf.DUMMYFUNCTION("""COMPUTED_VALUE"""),"31 Plymouth Street#3D")</f>
        <v>31 Plymouth Street#3D</v>
      </c>
      <c r="J165" s="4" t="str">
        <f ca="1">IFERROR(__xludf.DUMMYFUNCTION("""COMPUTED_VALUE"""),"55eb1e4f-bd1d-4a2b-80a9-0d16d60f4653")</f>
        <v>55eb1e4f-bd1d-4a2b-80a9-0d16d60f4653</v>
      </c>
      <c r="K165" s="4">
        <f ca="1">IFERROR(__xludf.DUMMYFUNCTION("""COMPUTED_VALUE"""),995)</f>
        <v>995</v>
      </c>
      <c r="L165" s="1" t="str">
        <f ca="1">IFERROR(__xludf.DUMMYFUNCTION("""COMPUTED_VALUE"""),"Daniel")</f>
        <v>Daniel</v>
      </c>
      <c r="M165" s="1" t="str">
        <f ca="1">IFERROR(__xludf.DUMMYFUNCTION("""COMPUTED_VALUE"""),"")</f>
        <v/>
      </c>
      <c r="N165" s="1" t="str">
        <f ca="1">IFERROR(__xludf.DUMMYFUNCTION("""COMPUTED_VALUE"""),"Furnished")</f>
        <v>Furnished</v>
      </c>
      <c r="O165" s="1" t="str">
        <f ca="1">IFERROR(__xludf.DUMMYFUNCTION("""COMPUTED_VALUE"""),"Lease Signed")</f>
        <v>Lease Signed</v>
      </c>
      <c r="P165" s="1" t="str">
        <f ca="1">IFERROR(__xludf.DUMMYFUNCTION("""COMPUTED_VALUE"""),"February")</f>
        <v>February</v>
      </c>
      <c r="Q165" s="1"/>
      <c r="R165" s="5">
        <f ca="1">IFERROR(__xludf.DUMMYFUNCTION("""COMPUTED_VALUE"""),44248)</f>
        <v>44248</v>
      </c>
      <c r="S165" s="1" t="str">
        <f ca="1">IFERROR(__xludf.DUMMYFUNCTION("""COMPUTED_VALUE"""),"NO CATS OR DOGS")</f>
        <v>NO CATS OR DOGS</v>
      </c>
      <c r="T165" s="1"/>
      <c r="U165" s="1" t="str">
        <f ca="1">IFERROR(__xludf.DUMMYFUNCTION("""COMPUTED_VALUE"""),"N")</f>
        <v>N</v>
      </c>
      <c r="V165" s="1" t="str">
        <f ca="1">IFERROR(__xludf.DUMMYFUNCTION("""COMPUTED_VALUE"""),"N")</f>
        <v>N</v>
      </c>
      <c r="W165" s="1" t="str">
        <f ca="1">IFERROR(__xludf.DUMMYFUNCTION("""COMPUTED_VALUE"""),"Antoine Nothias")</f>
        <v>Antoine Nothias</v>
      </c>
      <c r="X165" s="1" t="str">
        <f ca="1">IFERROR(__xludf.DUMMYFUNCTION("""COMPUTED_VALUE"""),"anothias@mit.edu")</f>
        <v>anothias@mit.edu</v>
      </c>
      <c r="Y165" s="1"/>
      <c r="Z165" s="1"/>
      <c r="AA165" s="1"/>
      <c r="AB165" s="1"/>
      <c r="AC165" s="1"/>
    </row>
    <row r="166" spans="1:29">
      <c r="A166" s="1" t="str">
        <f ca="1">IFERROR(__xludf.DUMMYFUNCTION("""COMPUTED_VALUE"""),"31 South Street")</f>
        <v>31 South Street</v>
      </c>
      <c r="B166" s="1">
        <f ca="1">IFERROR(__xludf.DUMMYFUNCTION("""COMPUTED_VALUE"""),31)</f>
        <v>31</v>
      </c>
      <c r="C166" s="1" t="str">
        <f ca="1">IFERROR(__xludf.DUMMYFUNCTION("""COMPUTED_VALUE"""),"#1")</f>
        <v>#1</v>
      </c>
      <c r="D166" s="1" t="str">
        <f ca="1">IFERROR(__xludf.DUMMYFUNCTION("""COMPUTED_VALUE"""),"31 South Street Unit 1")</f>
        <v>31 South Street Unit 1</v>
      </c>
      <c r="E166" s="1" t="str">
        <f ca="1">IFERROR(__xludf.DUMMYFUNCTION("""COMPUTED_VALUE"""),"Boston")</f>
        <v>Boston</v>
      </c>
      <c r="F166" s="1" t="str">
        <f ca="1">IFERROR(__xludf.DUMMYFUNCTION("""COMPUTED_VALUE"""),"Boston - Brighton")</f>
        <v>Boston - Brighton</v>
      </c>
      <c r="G166" s="1">
        <f ca="1">IFERROR(__xludf.DUMMYFUNCTION("""COMPUTED_VALUE"""),1)</f>
        <v>1</v>
      </c>
      <c r="H166" s="1" t="str">
        <f ca="1">IFERROR(__xludf.DUMMYFUNCTION("""COMPUTED_VALUE"""),"A")</f>
        <v>A</v>
      </c>
      <c r="I166" s="4" t="str">
        <f ca="1">IFERROR(__xludf.DUMMYFUNCTION("""COMPUTED_VALUE"""),"31 South Street#1A")</f>
        <v>31 South Street#1A</v>
      </c>
      <c r="J166" s="4" t="str">
        <f ca="1">IFERROR(__xludf.DUMMYFUNCTION("""COMPUTED_VALUE"""),"00000000-0000-0000-0000-000000000001")</f>
        <v>00000000-0000-0000-0000-000000000001</v>
      </c>
      <c r="K166" s="4">
        <f ca="1">IFERROR(__xludf.DUMMYFUNCTION("""COMPUTED_VALUE"""),995)</f>
        <v>995</v>
      </c>
      <c r="L166" s="1" t="str">
        <f ca="1">IFERROR(__xludf.DUMMYFUNCTION("""COMPUTED_VALUE"""),"Peter")</f>
        <v>Peter</v>
      </c>
      <c r="M166" s="1" t="str">
        <f ca="1">IFERROR(__xludf.DUMMYFUNCTION("""COMPUTED_VALUE"""),"")</f>
        <v/>
      </c>
      <c r="N166" s="1" t="str">
        <f ca="1">IFERROR(__xludf.DUMMYFUNCTION("""COMPUTED_VALUE"""),"")</f>
        <v/>
      </c>
      <c r="O166" s="1" t="str">
        <f ca="1">IFERROR(__xludf.DUMMYFUNCTION("""COMPUTED_VALUE"""),"Occupied")</f>
        <v>Occupied</v>
      </c>
      <c r="P166" s="1"/>
      <c r="Q166" s="1"/>
      <c r="R166" s="1"/>
      <c r="S166" s="1" t="str">
        <f ca="1">IFERROR(__xludf.DUMMYFUNCTION("""COMPUTED_VALUE"""),"NO DOGS")</f>
        <v>NO DOGS</v>
      </c>
      <c r="T166" s="1"/>
      <c r="U166" s="1" t="str">
        <f ca="1">IFERROR(__xludf.DUMMYFUNCTION("""COMPUTED_VALUE"""),"N")</f>
        <v>N</v>
      </c>
      <c r="V166" s="1" t="str">
        <f ca="1">IFERROR(__xludf.DUMMYFUNCTION("""COMPUTED_VALUE"""),"Y")</f>
        <v>Y</v>
      </c>
      <c r="W166" s="1"/>
      <c r="X166" s="1"/>
      <c r="Y166" s="1" t="str">
        <f ca="1">IFERROR(__xludf.DUMMYFUNCTION("""COMPUTED_VALUE"""),"Jacob Taylor")</f>
        <v>Jacob Taylor</v>
      </c>
      <c r="Z166" s="1" t="str">
        <f ca="1">IFERROR(__xludf.DUMMYFUNCTION("""COMPUTED_VALUE"""),"taylorjake6@yahoo.com")</f>
        <v>taylorjake6@yahoo.com</v>
      </c>
      <c r="AA166" s="1"/>
      <c r="AB166" s="1"/>
      <c r="AC166" s="1"/>
    </row>
    <row r="167" spans="1:29">
      <c r="A167" s="1" t="str">
        <f ca="1">IFERROR(__xludf.DUMMYFUNCTION("""COMPUTED_VALUE"""),"31 South Street")</f>
        <v>31 South Street</v>
      </c>
      <c r="B167" s="1">
        <f ca="1">IFERROR(__xludf.DUMMYFUNCTION("""COMPUTED_VALUE"""),31)</f>
        <v>31</v>
      </c>
      <c r="C167" s="1" t="str">
        <f ca="1">IFERROR(__xludf.DUMMYFUNCTION("""COMPUTED_VALUE"""),"#1")</f>
        <v>#1</v>
      </c>
      <c r="D167" s="1" t="str">
        <f ca="1">IFERROR(__xludf.DUMMYFUNCTION("""COMPUTED_VALUE"""),"31 South Street Unit 1")</f>
        <v>31 South Street Unit 1</v>
      </c>
      <c r="E167" s="1" t="str">
        <f ca="1">IFERROR(__xludf.DUMMYFUNCTION("""COMPUTED_VALUE"""),"Boston")</f>
        <v>Boston</v>
      </c>
      <c r="F167" s="1" t="str">
        <f ca="1">IFERROR(__xludf.DUMMYFUNCTION("""COMPUTED_VALUE"""),"Boston - Brighton")</f>
        <v>Boston - Brighton</v>
      </c>
      <c r="G167" s="1">
        <f ca="1">IFERROR(__xludf.DUMMYFUNCTION("""COMPUTED_VALUE"""),2)</f>
        <v>2</v>
      </c>
      <c r="H167" s="1" t="str">
        <f ca="1">IFERROR(__xludf.DUMMYFUNCTION("""COMPUTED_VALUE"""),"B")</f>
        <v>B</v>
      </c>
      <c r="I167" s="4" t="str">
        <f ca="1">IFERROR(__xludf.DUMMYFUNCTION("""COMPUTED_VALUE"""),"31 South Street#1B")</f>
        <v>31 South Street#1B</v>
      </c>
      <c r="J167" s="4" t="str">
        <f ca="1">IFERROR(__xludf.DUMMYFUNCTION("""COMPUTED_VALUE"""),"00000000-0000-0000-0000-000000000001")</f>
        <v>00000000-0000-0000-0000-000000000001</v>
      </c>
      <c r="K167" s="4">
        <f ca="1">IFERROR(__xludf.DUMMYFUNCTION("""COMPUTED_VALUE"""),1450)</f>
        <v>1450</v>
      </c>
      <c r="L167" s="1" t="str">
        <f ca="1">IFERROR(__xludf.DUMMYFUNCTION("""COMPUTED_VALUE"""),"Peter")</f>
        <v>Peter</v>
      </c>
      <c r="M167" s="1" t="str">
        <f ca="1">IFERROR(__xludf.DUMMYFUNCTION("""COMPUTED_VALUE"""),"")</f>
        <v/>
      </c>
      <c r="N167" s="1" t="str">
        <f ca="1">IFERROR(__xludf.DUMMYFUNCTION("""COMPUTED_VALUE"""),"")</f>
        <v/>
      </c>
      <c r="O167" s="1" t="str">
        <f ca="1">IFERROR(__xludf.DUMMYFUNCTION("""COMPUTED_VALUE"""),"Occupied")</f>
        <v>Occupied</v>
      </c>
      <c r="P167" s="1"/>
      <c r="Q167" s="1"/>
      <c r="R167" s="1"/>
      <c r="S167" s="1" t="str">
        <f ca="1">IFERROR(__xludf.DUMMYFUNCTION("""COMPUTED_VALUE"""),"NO DOGS")</f>
        <v>NO DOGS</v>
      </c>
      <c r="T167" s="1"/>
      <c r="U167" s="1" t="str">
        <f ca="1">IFERROR(__xludf.DUMMYFUNCTION("""COMPUTED_VALUE"""),"N")</f>
        <v>N</v>
      </c>
      <c r="V167" s="1" t="str">
        <f ca="1">IFERROR(__xludf.DUMMYFUNCTION("""COMPUTED_VALUE"""),"Y")</f>
        <v>Y</v>
      </c>
      <c r="W167" s="1"/>
      <c r="X167" s="1"/>
      <c r="Y167" s="1" t="str">
        <f ca="1">IFERROR(__xludf.DUMMYFUNCTION("""COMPUTED_VALUE"""),"Thomas Coleman Hayes")</f>
        <v>Thomas Coleman Hayes</v>
      </c>
      <c r="Z167" s="1" t="str">
        <f ca="1">IFERROR(__xludf.DUMMYFUNCTION("""COMPUTED_VALUE"""),"tchayes@bu.edu")</f>
        <v>tchayes@bu.edu</v>
      </c>
      <c r="AA167" s="1"/>
      <c r="AB167" s="1"/>
      <c r="AC167" s="1"/>
    </row>
    <row r="168" spans="1:29">
      <c r="A168" s="1" t="str">
        <f ca="1">IFERROR(__xludf.DUMMYFUNCTION("""COMPUTED_VALUE"""),"31 South Street")</f>
        <v>31 South Street</v>
      </c>
      <c r="B168" s="1">
        <f ca="1">IFERROR(__xludf.DUMMYFUNCTION("""COMPUTED_VALUE"""),31)</f>
        <v>31</v>
      </c>
      <c r="C168" s="1" t="str">
        <f ca="1">IFERROR(__xludf.DUMMYFUNCTION("""COMPUTED_VALUE"""),"#1")</f>
        <v>#1</v>
      </c>
      <c r="D168" s="1" t="str">
        <f ca="1">IFERROR(__xludf.DUMMYFUNCTION("""COMPUTED_VALUE"""),"31 South Street Unit 1")</f>
        <v>31 South Street Unit 1</v>
      </c>
      <c r="E168" s="1" t="str">
        <f ca="1">IFERROR(__xludf.DUMMYFUNCTION("""COMPUTED_VALUE"""),"Boston")</f>
        <v>Boston</v>
      </c>
      <c r="F168" s="1" t="str">
        <f ca="1">IFERROR(__xludf.DUMMYFUNCTION("""COMPUTED_VALUE"""),"Boston - Brighton")</f>
        <v>Boston - Brighton</v>
      </c>
      <c r="G168" s="1">
        <f ca="1">IFERROR(__xludf.DUMMYFUNCTION("""COMPUTED_VALUE"""),3)</f>
        <v>3</v>
      </c>
      <c r="H168" s="1" t="str">
        <f ca="1">IFERROR(__xludf.DUMMYFUNCTION("""COMPUTED_VALUE"""),"C")</f>
        <v>C</v>
      </c>
      <c r="I168" s="4" t="str">
        <f ca="1">IFERROR(__xludf.DUMMYFUNCTION("""COMPUTED_VALUE"""),"31 South Street#1C")</f>
        <v>31 South Street#1C</v>
      </c>
      <c r="J168" s="4" t="str">
        <f ca="1">IFERROR(__xludf.DUMMYFUNCTION("""COMPUTED_VALUE"""),"00000000-0000-0000-0000-000000000001")</f>
        <v>00000000-0000-0000-0000-000000000001</v>
      </c>
      <c r="K168" s="4">
        <f ca="1">IFERROR(__xludf.DUMMYFUNCTION("""COMPUTED_VALUE"""),1250)</f>
        <v>1250</v>
      </c>
      <c r="L168" s="1" t="str">
        <f ca="1">IFERROR(__xludf.DUMMYFUNCTION("""COMPUTED_VALUE"""),"Peter")</f>
        <v>Peter</v>
      </c>
      <c r="M168" s="1" t="str">
        <f ca="1">IFERROR(__xludf.DUMMYFUNCTION("""COMPUTED_VALUE"""),"")</f>
        <v/>
      </c>
      <c r="N168" s="1" t="str">
        <f ca="1">IFERROR(__xludf.DUMMYFUNCTION("""COMPUTED_VALUE"""),"")</f>
        <v/>
      </c>
      <c r="O168" s="1" t="str">
        <f ca="1">IFERROR(__xludf.DUMMYFUNCTION("""COMPUTED_VALUE"""),"Occupied")</f>
        <v>Occupied</v>
      </c>
      <c r="P168" s="1"/>
      <c r="Q168" s="1"/>
      <c r="R168" s="1"/>
      <c r="S168" s="1" t="str">
        <f ca="1">IFERROR(__xludf.DUMMYFUNCTION("""COMPUTED_VALUE"""),"NO DOGS")</f>
        <v>NO DOGS</v>
      </c>
      <c r="T168" s="1"/>
      <c r="U168" s="1" t="str">
        <f ca="1">IFERROR(__xludf.DUMMYFUNCTION("""COMPUTED_VALUE"""),"N")</f>
        <v>N</v>
      </c>
      <c r="V168" s="1" t="str">
        <f ca="1">IFERROR(__xludf.DUMMYFUNCTION("""COMPUTED_VALUE"""),"Y")</f>
        <v>Y</v>
      </c>
      <c r="W168" s="1"/>
      <c r="X168" s="1"/>
      <c r="Y168" s="1" t="str">
        <f ca="1">IFERROR(__xludf.DUMMYFUNCTION("""COMPUTED_VALUE"""),"Hanbo Lin")</f>
        <v>Hanbo Lin</v>
      </c>
      <c r="Z168" s="1" t="str">
        <f ca="1">IFERROR(__xludf.DUMMYFUNCTION("""COMPUTED_VALUE"""),"linuz@bc.edu")</f>
        <v>linuz@bc.edu</v>
      </c>
      <c r="AA168" s="1"/>
      <c r="AB168" s="1"/>
      <c r="AC168" s="1"/>
    </row>
    <row r="169" spans="1:29">
      <c r="A169" s="1" t="str">
        <f ca="1">IFERROR(__xludf.DUMMYFUNCTION("""COMPUTED_VALUE"""),"33 Merriam Street")</f>
        <v>33 Merriam Street</v>
      </c>
      <c r="B169" s="1">
        <f ca="1">IFERROR(__xludf.DUMMYFUNCTION("""COMPUTED_VALUE"""),33)</f>
        <v>33</v>
      </c>
      <c r="C169" s="1" t="str">
        <f ca="1">IFERROR(__xludf.DUMMYFUNCTION("""COMPUTED_VALUE"""),"#2")</f>
        <v>#2</v>
      </c>
      <c r="D169" s="1" t="str">
        <f ca="1">IFERROR(__xludf.DUMMYFUNCTION("""COMPUTED_VALUE"""),"33 Merriam Street Unit 2")</f>
        <v>33 Merriam Street Unit 2</v>
      </c>
      <c r="E169" s="1" t="str">
        <f ca="1">IFERROR(__xludf.DUMMYFUNCTION("""COMPUTED_VALUE"""),"Somerville")</f>
        <v>Somerville</v>
      </c>
      <c r="F169" s="1" t="str">
        <f ca="1">IFERROR(__xludf.DUMMYFUNCTION("""COMPUTED_VALUE"""),"Somerville - Union Square")</f>
        <v>Somerville - Union Square</v>
      </c>
      <c r="G169" s="1">
        <f ca="1">IFERROR(__xludf.DUMMYFUNCTION("""COMPUTED_VALUE"""),1)</f>
        <v>1</v>
      </c>
      <c r="H169" s="1" t="str">
        <f ca="1">IFERROR(__xludf.DUMMYFUNCTION("""COMPUTED_VALUE"""),"A")</f>
        <v>A</v>
      </c>
      <c r="I169" s="4" t="str">
        <f ca="1">IFERROR(__xludf.DUMMYFUNCTION("""COMPUTED_VALUE"""),"33 Merriam Street#2A")</f>
        <v>33 Merriam Street#2A</v>
      </c>
      <c r="J169" s="4" t="str">
        <f ca="1">IFERROR(__xludf.DUMMYFUNCTION("""COMPUTED_VALUE"""),"5a001f30-c50f-4a96-a4b5-f99dbf5dfc9b")</f>
        <v>5a001f30-c50f-4a96-a4b5-f99dbf5dfc9b</v>
      </c>
      <c r="K169" s="4">
        <f ca="1">IFERROR(__xludf.DUMMYFUNCTION("""COMPUTED_VALUE"""),995)</f>
        <v>995</v>
      </c>
      <c r="L169" s="1" t="str">
        <f ca="1">IFERROR(__xludf.DUMMYFUNCTION("""COMPUTED_VALUE"""),"Lizzie")</f>
        <v>Lizzie</v>
      </c>
      <c r="M169" s="1" t="str">
        <f ca="1">IFERROR(__xludf.DUMMYFUNCTION("""COMPUTED_VALUE"""),"Lizzie (NOW)")</f>
        <v>Lizzie (NOW)</v>
      </c>
      <c r="N169" s="1" t="str">
        <f ca="1">IFERROR(__xludf.DUMMYFUNCTION("""COMPUTED_VALUE"""),"")</f>
        <v/>
      </c>
      <c r="O169" s="1" t="str">
        <f ca="1">IFERROR(__xludf.DUMMYFUNCTION("""COMPUTED_VALUE"""),"Upcoming Vacancy")</f>
        <v>Upcoming Vacancy</v>
      </c>
      <c r="P169" s="1" t="str">
        <f ca="1">IFERROR(__xludf.DUMMYFUNCTION("""COMPUTED_VALUE"""),"February")</f>
        <v>February</v>
      </c>
      <c r="Q169" s="3">
        <f ca="1">IFERROR(__xludf.DUMMYFUNCTION("""COMPUTED_VALUE"""),43861)</f>
        <v>43861</v>
      </c>
      <c r="R169" s="1"/>
      <c r="S169" s="1"/>
      <c r="T169" s="1"/>
      <c r="U169" s="1" t="str">
        <f ca="1">IFERROR(__xludf.DUMMYFUNCTION("""COMPUTED_VALUE"""),"Y")</f>
        <v>Y</v>
      </c>
      <c r="V169" s="1" t="str">
        <f ca="1">IFERROR(__xludf.DUMMYFUNCTION("""COMPUTED_VALUE"""),"Y")</f>
        <v>Y</v>
      </c>
      <c r="W169" s="1"/>
      <c r="X169" s="1"/>
      <c r="Y169" s="1" t="str">
        <f ca="1">IFERROR(__xludf.DUMMYFUNCTION("""COMPUTED_VALUE"""),"Glen-Ypres Bermejo")</f>
        <v>Glen-Ypres Bermejo</v>
      </c>
      <c r="Z169" s="1" t="str">
        <f ca="1">IFERROR(__xludf.DUMMYFUNCTION("""COMPUTED_VALUE"""),"bermejogleny@gmail.com")</f>
        <v>bermejogleny@gmail.com</v>
      </c>
      <c r="AA169" s="1"/>
      <c r="AB169" s="1"/>
      <c r="AC169" s="1"/>
    </row>
    <row r="170" spans="1:29">
      <c r="A170" s="1" t="str">
        <f ca="1">IFERROR(__xludf.DUMMYFUNCTION("""COMPUTED_VALUE"""),"33 Merriam Street")</f>
        <v>33 Merriam Street</v>
      </c>
      <c r="B170" s="1">
        <f ca="1">IFERROR(__xludf.DUMMYFUNCTION("""COMPUTED_VALUE"""),33)</f>
        <v>33</v>
      </c>
      <c r="C170" s="1" t="str">
        <f ca="1">IFERROR(__xludf.DUMMYFUNCTION("""COMPUTED_VALUE"""),"#2")</f>
        <v>#2</v>
      </c>
      <c r="D170" s="1" t="str">
        <f ca="1">IFERROR(__xludf.DUMMYFUNCTION("""COMPUTED_VALUE"""),"33 Merriam Street Unit 2")</f>
        <v>33 Merriam Street Unit 2</v>
      </c>
      <c r="E170" s="1" t="str">
        <f ca="1">IFERROR(__xludf.DUMMYFUNCTION("""COMPUTED_VALUE"""),"Somerville")</f>
        <v>Somerville</v>
      </c>
      <c r="F170" s="1" t="str">
        <f ca="1">IFERROR(__xludf.DUMMYFUNCTION("""COMPUTED_VALUE"""),"Somerville - Union Square")</f>
        <v>Somerville - Union Square</v>
      </c>
      <c r="G170" s="1">
        <f ca="1">IFERROR(__xludf.DUMMYFUNCTION("""COMPUTED_VALUE"""),2)</f>
        <v>2</v>
      </c>
      <c r="H170" s="1" t="str">
        <f ca="1">IFERROR(__xludf.DUMMYFUNCTION("""COMPUTED_VALUE"""),"B")</f>
        <v>B</v>
      </c>
      <c r="I170" s="4" t="str">
        <f ca="1">IFERROR(__xludf.DUMMYFUNCTION("""COMPUTED_VALUE"""),"33 Merriam Street#2B")</f>
        <v>33 Merriam Street#2B</v>
      </c>
      <c r="J170" s="4" t="str">
        <f ca="1">IFERROR(__xludf.DUMMYFUNCTION("""COMPUTED_VALUE"""),"5a001f30-c50f-4a96-a4b5-f99dbf5dfc9b")</f>
        <v>5a001f30-c50f-4a96-a4b5-f99dbf5dfc9b</v>
      </c>
      <c r="K170" s="4">
        <f ca="1">IFERROR(__xludf.DUMMYFUNCTION("""COMPUTED_VALUE"""),1250)</f>
        <v>1250</v>
      </c>
      <c r="L170" s="1" t="str">
        <f ca="1">IFERROR(__xludf.DUMMYFUNCTION("""COMPUTED_VALUE"""),"Lizzie")</f>
        <v>Lizzie</v>
      </c>
      <c r="M170" s="1" t="str">
        <f ca="1">IFERROR(__xludf.DUMMYFUNCTION("""COMPUTED_VALUE"""),"")</f>
        <v/>
      </c>
      <c r="N170" s="1" t="str">
        <f ca="1">IFERROR(__xludf.DUMMYFUNCTION("""COMPUTED_VALUE"""),"")</f>
        <v/>
      </c>
      <c r="O170" s="1" t="str">
        <f ca="1">IFERROR(__xludf.DUMMYFUNCTION("""COMPUTED_VALUE"""),"Upcoming Vacancy")</f>
        <v>Upcoming Vacancy</v>
      </c>
      <c r="P170" s="1" t="str">
        <f ca="1">IFERROR(__xludf.DUMMYFUNCTION("""COMPUTED_VALUE"""),"May")</f>
        <v>May</v>
      </c>
      <c r="Q170" s="3">
        <f ca="1">IFERROR(__xludf.DUMMYFUNCTION("""COMPUTED_VALUE"""),44316)</f>
        <v>44316</v>
      </c>
      <c r="R170" s="1"/>
      <c r="S170" s="1"/>
      <c r="T170" s="1" t="str">
        <f ca="1">IFERROR(__xludf.DUMMYFUNCTION("""COMPUTED_VALUE"""),"Cat")</f>
        <v>Cat</v>
      </c>
      <c r="U170" s="1" t="str">
        <f ca="1">IFERROR(__xludf.DUMMYFUNCTION("""COMPUTED_VALUE"""),"Y")</f>
        <v>Y</v>
      </c>
      <c r="V170" s="1" t="str">
        <f ca="1">IFERROR(__xludf.DUMMYFUNCTION("""COMPUTED_VALUE"""),"Y")</f>
        <v>Y</v>
      </c>
      <c r="W170" s="1"/>
      <c r="X170" s="1"/>
      <c r="Y170" s="1" t="str">
        <f ca="1">IFERROR(__xludf.DUMMYFUNCTION("""COMPUTED_VALUE"""),"David Martinez; Ronea Palma")</f>
        <v>David Martinez; Ronea Palma</v>
      </c>
      <c r="Z170" s="1" t="str">
        <f ca="1">IFERROR(__xludf.DUMMYFUNCTION("""COMPUTED_VALUE"""),"merkisdog@gmail.com; misachyuwu@gmail.com")</f>
        <v>merkisdog@gmail.com; misachyuwu@gmail.com</v>
      </c>
      <c r="AA170" s="1"/>
      <c r="AB170" s="1"/>
      <c r="AC170" s="1"/>
    </row>
    <row r="171" spans="1:29">
      <c r="A171" s="1" t="str">
        <f ca="1">IFERROR(__xludf.DUMMYFUNCTION("""COMPUTED_VALUE"""),"33 Merriam Street")</f>
        <v>33 Merriam Street</v>
      </c>
      <c r="B171" s="1">
        <f ca="1">IFERROR(__xludf.DUMMYFUNCTION("""COMPUTED_VALUE"""),33)</f>
        <v>33</v>
      </c>
      <c r="C171" s="1" t="str">
        <f ca="1">IFERROR(__xludf.DUMMYFUNCTION("""COMPUTED_VALUE"""),"#2")</f>
        <v>#2</v>
      </c>
      <c r="D171" s="1" t="str">
        <f ca="1">IFERROR(__xludf.DUMMYFUNCTION("""COMPUTED_VALUE"""),"33 Merriam Street Unit 2")</f>
        <v>33 Merriam Street Unit 2</v>
      </c>
      <c r="E171" s="1" t="str">
        <f ca="1">IFERROR(__xludf.DUMMYFUNCTION("""COMPUTED_VALUE"""),"Somerville")</f>
        <v>Somerville</v>
      </c>
      <c r="F171" s="1" t="str">
        <f ca="1">IFERROR(__xludf.DUMMYFUNCTION("""COMPUTED_VALUE"""),"Somerville - Union Square")</f>
        <v>Somerville - Union Square</v>
      </c>
      <c r="G171" s="1">
        <f ca="1">IFERROR(__xludf.DUMMYFUNCTION("""COMPUTED_VALUE"""),3)</f>
        <v>3</v>
      </c>
      <c r="H171" s="1" t="str">
        <f ca="1">IFERROR(__xludf.DUMMYFUNCTION("""COMPUTED_VALUE"""),"C")</f>
        <v>C</v>
      </c>
      <c r="I171" s="4" t="str">
        <f ca="1">IFERROR(__xludf.DUMMYFUNCTION("""COMPUTED_VALUE"""),"33 Merriam Street#2C")</f>
        <v>33 Merriam Street#2C</v>
      </c>
      <c r="J171" s="4" t="str">
        <f ca="1">IFERROR(__xludf.DUMMYFUNCTION("""COMPUTED_VALUE"""),"5a001f30-c50f-4a96-a4b5-f99dbf5dfc9b")</f>
        <v>5a001f30-c50f-4a96-a4b5-f99dbf5dfc9b</v>
      </c>
      <c r="K171" s="4">
        <f ca="1">IFERROR(__xludf.DUMMYFUNCTION("""COMPUTED_VALUE"""),895)</f>
        <v>895</v>
      </c>
      <c r="L171" s="1" t="str">
        <f ca="1">IFERROR(__xludf.DUMMYFUNCTION("""COMPUTED_VALUE"""),"Lizzie")</f>
        <v>Lizzie</v>
      </c>
      <c r="M171" s="1" t="str">
        <f ca="1">IFERROR(__xludf.DUMMYFUNCTION("""COMPUTED_VALUE"""),"")</f>
        <v/>
      </c>
      <c r="N171" s="1" t="str">
        <f ca="1">IFERROR(__xludf.DUMMYFUNCTION("""COMPUTED_VALUE"""),"")</f>
        <v/>
      </c>
      <c r="O171" s="1" t="str">
        <f ca="1">IFERROR(__xludf.DUMMYFUNCTION("""COMPUTED_VALUE"""),"Occupied")</f>
        <v>Occupied</v>
      </c>
      <c r="P171" s="1"/>
      <c r="Q171" s="1"/>
      <c r="R171" s="1"/>
      <c r="S171" s="1"/>
      <c r="T171" s="1"/>
      <c r="U171" s="1" t="str">
        <f ca="1">IFERROR(__xludf.DUMMYFUNCTION("""COMPUTED_VALUE"""),"Y")</f>
        <v>Y</v>
      </c>
      <c r="V171" s="1" t="str">
        <f ca="1">IFERROR(__xludf.DUMMYFUNCTION("""COMPUTED_VALUE"""),"Y")</f>
        <v>Y</v>
      </c>
      <c r="W171" s="1"/>
      <c r="X171" s="1"/>
      <c r="Y171" s="1" t="str">
        <f ca="1">IFERROR(__xludf.DUMMYFUNCTION("""COMPUTED_VALUE"""),"Deaundre Price")</f>
        <v>Deaundre Price</v>
      </c>
      <c r="Z171" s="1" t="str">
        <f ca="1">IFERROR(__xludf.DUMMYFUNCTION("""COMPUTED_VALUE"""),"Deaundreprice@gmail.com")</f>
        <v>Deaundreprice@gmail.com</v>
      </c>
      <c r="AA171" s="1"/>
      <c r="AB171" s="1"/>
      <c r="AC171" s="1"/>
    </row>
    <row r="172" spans="1:29">
      <c r="A172" s="1" t="str">
        <f ca="1">IFERROR(__xludf.DUMMYFUNCTION("""COMPUTED_VALUE"""),"34 Circuit Street")</f>
        <v>34 Circuit Street</v>
      </c>
      <c r="B172" s="1">
        <f ca="1">IFERROR(__xludf.DUMMYFUNCTION("""COMPUTED_VALUE"""),34)</f>
        <v>34</v>
      </c>
      <c r="C172" s="1" t="str">
        <f ca="1">IFERROR(__xludf.DUMMYFUNCTION("""COMPUTED_VALUE"""),"#3")</f>
        <v>#3</v>
      </c>
      <c r="D172" s="1" t="str">
        <f ca="1">IFERROR(__xludf.DUMMYFUNCTION("""COMPUTED_VALUE"""),"34 Circuit Street Unit 3")</f>
        <v>34 Circuit Street Unit 3</v>
      </c>
      <c r="E172" s="1" t="str">
        <f ca="1">IFERROR(__xludf.DUMMYFUNCTION("""COMPUTED_VALUE"""),"Boston")</f>
        <v>Boston</v>
      </c>
      <c r="F172" s="1" t="str">
        <f ca="1">IFERROR(__xludf.DUMMYFUNCTION("""COMPUTED_VALUE"""),"Boston - Nubian Square")</f>
        <v>Boston - Nubian Square</v>
      </c>
      <c r="G172" s="1">
        <f ca="1">IFERROR(__xludf.DUMMYFUNCTION("""COMPUTED_VALUE"""),1)</f>
        <v>1</v>
      </c>
      <c r="H172" s="1" t="str">
        <f ca="1">IFERROR(__xludf.DUMMYFUNCTION("""COMPUTED_VALUE"""),"A")</f>
        <v>A</v>
      </c>
      <c r="I172" s="4" t="str">
        <f ca="1">IFERROR(__xludf.DUMMYFUNCTION("""COMPUTED_VALUE"""),"34 Circuit Street#3A")</f>
        <v>34 Circuit Street#3A</v>
      </c>
      <c r="J172" s="4" t="str">
        <f ca="1">IFERROR(__xludf.DUMMYFUNCTION("""COMPUTED_VALUE"""),"12f40342-f07f-4675-8f2d-f1ac8cb26b90")</f>
        <v>12f40342-f07f-4675-8f2d-f1ac8cb26b90</v>
      </c>
      <c r="K172" s="4">
        <f ca="1">IFERROR(__xludf.DUMMYFUNCTION("""COMPUTED_VALUE"""),750)</f>
        <v>750</v>
      </c>
      <c r="L172" s="1" t="str">
        <f ca="1">IFERROR(__xludf.DUMMYFUNCTION("""COMPUTED_VALUE"""),"Cam")</f>
        <v>Cam</v>
      </c>
      <c r="M172" s="1" t="str">
        <f ca="1">IFERROR(__xludf.DUMMYFUNCTION("""COMPUTED_VALUE"""),"")</f>
        <v/>
      </c>
      <c r="N172" s="1" t="str">
        <f ca="1">IFERROR(__xludf.DUMMYFUNCTION("""COMPUTED_VALUE"""),"")</f>
        <v/>
      </c>
      <c r="O172" s="1" t="str">
        <f ca="1">IFERROR(__xludf.DUMMYFUNCTION("""COMPUTED_VALUE"""),"Occupied")</f>
        <v>Occupied</v>
      </c>
      <c r="P172" s="1"/>
      <c r="Q172" s="1"/>
      <c r="R172" s="1"/>
      <c r="S172" s="1"/>
      <c r="T172" s="1"/>
      <c r="U172" s="1" t="str">
        <f ca="1">IFERROR(__xludf.DUMMYFUNCTION("""COMPUTED_VALUE"""),"Y")</f>
        <v>Y</v>
      </c>
      <c r="V172" s="1" t="str">
        <f ca="1">IFERROR(__xludf.DUMMYFUNCTION("""COMPUTED_VALUE"""),"N")</f>
        <v>N</v>
      </c>
      <c r="W172" s="1"/>
      <c r="X172" s="1"/>
      <c r="Y172" s="1" t="str">
        <f ca="1">IFERROR(__xludf.DUMMYFUNCTION("""COMPUTED_VALUE"""),"Withly Jean-Laurent")</f>
        <v>Withly Jean-Laurent</v>
      </c>
      <c r="Z172" s="1" t="str">
        <f ca="1">IFERROR(__xludf.DUMMYFUNCTION("""COMPUTED_VALUE"""),"wjeanlaurent@gmail.com")</f>
        <v>wjeanlaurent@gmail.com</v>
      </c>
      <c r="AA172" s="1"/>
      <c r="AB172" s="1"/>
      <c r="AC172" s="1"/>
    </row>
    <row r="173" spans="1:29">
      <c r="A173" s="1" t="str">
        <f ca="1">IFERROR(__xludf.DUMMYFUNCTION("""COMPUTED_VALUE"""),"34 Circuit Street")</f>
        <v>34 Circuit Street</v>
      </c>
      <c r="B173" s="1">
        <f ca="1">IFERROR(__xludf.DUMMYFUNCTION("""COMPUTED_VALUE"""),34)</f>
        <v>34</v>
      </c>
      <c r="C173" s="1" t="str">
        <f ca="1">IFERROR(__xludf.DUMMYFUNCTION("""COMPUTED_VALUE"""),"#3")</f>
        <v>#3</v>
      </c>
      <c r="D173" s="1" t="str">
        <f ca="1">IFERROR(__xludf.DUMMYFUNCTION("""COMPUTED_VALUE"""),"34 Circuit Street Unit 3")</f>
        <v>34 Circuit Street Unit 3</v>
      </c>
      <c r="E173" s="1" t="str">
        <f ca="1">IFERROR(__xludf.DUMMYFUNCTION("""COMPUTED_VALUE"""),"Boston")</f>
        <v>Boston</v>
      </c>
      <c r="F173" s="1" t="str">
        <f ca="1">IFERROR(__xludf.DUMMYFUNCTION("""COMPUTED_VALUE"""),"Boston - Nubian Square")</f>
        <v>Boston - Nubian Square</v>
      </c>
      <c r="G173" s="1">
        <f ca="1">IFERROR(__xludf.DUMMYFUNCTION("""COMPUTED_VALUE"""),2)</f>
        <v>2</v>
      </c>
      <c r="H173" s="1" t="str">
        <f ca="1">IFERROR(__xludf.DUMMYFUNCTION("""COMPUTED_VALUE"""),"B")</f>
        <v>B</v>
      </c>
      <c r="I173" s="4" t="str">
        <f ca="1">IFERROR(__xludf.DUMMYFUNCTION("""COMPUTED_VALUE"""),"34 Circuit Street#3B")</f>
        <v>34 Circuit Street#3B</v>
      </c>
      <c r="J173" s="4" t="str">
        <f ca="1">IFERROR(__xludf.DUMMYFUNCTION("""COMPUTED_VALUE"""),"12f40342-f07f-4675-8f2d-f1ac8cb26b90")</f>
        <v>12f40342-f07f-4675-8f2d-f1ac8cb26b90</v>
      </c>
      <c r="K173" s="4">
        <f ca="1">IFERROR(__xludf.DUMMYFUNCTION("""COMPUTED_VALUE"""),880)</f>
        <v>880</v>
      </c>
      <c r="L173" s="1" t="str">
        <f ca="1">IFERROR(__xludf.DUMMYFUNCTION("""COMPUTED_VALUE"""),"Cam")</f>
        <v>Cam</v>
      </c>
      <c r="M173" s="1" t="str">
        <f ca="1">IFERROR(__xludf.DUMMYFUNCTION("""COMPUTED_VALUE"""),"")</f>
        <v/>
      </c>
      <c r="N173" s="1" t="str">
        <f ca="1">IFERROR(__xludf.DUMMYFUNCTION("""COMPUTED_VALUE"""),"")</f>
        <v/>
      </c>
      <c r="O173" s="1" t="str">
        <f ca="1">IFERROR(__xludf.DUMMYFUNCTION("""COMPUTED_VALUE"""),"Occupied")</f>
        <v>Occupied</v>
      </c>
      <c r="P173" s="1"/>
      <c r="Q173" s="1"/>
      <c r="R173" s="1"/>
      <c r="S173" s="1"/>
      <c r="T173" s="1"/>
      <c r="U173" s="1" t="str">
        <f ca="1">IFERROR(__xludf.DUMMYFUNCTION("""COMPUTED_VALUE"""),"Y")</f>
        <v>Y</v>
      </c>
      <c r="V173" s="1" t="str">
        <f ca="1">IFERROR(__xludf.DUMMYFUNCTION("""COMPUTED_VALUE"""),"N")</f>
        <v>N</v>
      </c>
      <c r="W173" s="1"/>
      <c r="X173" s="1"/>
      <c r="Y173" s="1" t="str">
        <f ca="1">IFERROR(__xludf.DUMMYFUNCTION("""COMPUTED_VALUE"""),"Ebony James")</f>
        <v>Ebony James</v>
      </c>
      <c r="Z173" s="1" t="str">
        <f ca="1">IFERROR(__xludf.DUMMYFUNCTION("""COMPUTED_VALUE"""),"EbonyJ5389@gmail.com")</f>
        <v>EbonyJ5389@gmail.com</v>
      </c>
      <c r="AA173" s="1"/>
      <c r="AB173" s="1"/>
      <c r="AC173" s="1"/>
    </row>
    <row r="174" spans="1:29">
      <c r="A174" s="1" t="str">
        <f ca="1">IFERROR(__xludf.DUMMYFUNCTION("""COMPUTED_VALUE"""),"34 Circuit Street")</f>
        <v>34 Circuit Street</v>
      </c>
      <c r="B174" s="1">
        <f ca="1">IFERROR(__xludf.DUMMYFUNCTION("""COMPUTED_VALUE"""),34)</f>
        <v>34</v>
      </c>
      <c r="C174" s="1" t="str">
        <f ca="1">IFERROR(__xludf.DUMMYFUNCTION("""COMPUTED_VALUE"""),"#3")</f>
        <v>#3</v>
      </c>
      <c r="D174" s="1" t="str">
        <f ca="1">IFERROR(__xludf.DUMMYFUNCTION("""COMPUTED_VALUE"""),"34 Circuit Street Unit 3")</f>
        <v>34 Circuit Street Unit 3</v>
      </c>
      <c r="E174" s="1" t="str">
        <f ca="1">IFERROR(__xludf.DUMMYFUNCTION("""COMPUTED_VALUE"""),"Boston")</f>
        <v>Boston</v>
      </c>
      <c r="F174" s="1" t="str">
        <f ca="1">IFERROR(__xludf.DUMMYFUNCTION("""COMPUTED_VALUE"""),"Boston - Nubian Square")</f>
        <v>Boston - Nubian Square</v>
      </c>
      <c r="G174" s="1">
        <f ca="1">IFERROR(__xludf.DUMMYFUNCTION("""COMPUTED_VALUE"""),3)</f>
        <v>3</v>
      </c>
      <c r="H174" s="1" t="str">
        <f ca="1">IFERROR(__xludf.DUMMYFUNCTION("""COMPUTED_VALUE"""),"C")</f>
        <v>C</v>
      </c>
      <c r="I174" s="4" t="str">
        <f ca="1">IFERROR(__xludf.DUMMYFUNCTION("""COMPUTED_VALUE"""),"34 Circuit Street#3C")</f>
        <v>34 Circuit Street#3C</v>
      </c>
      <c r="J174" s="4" t="str">
        <f ca="1">IFERROR(__xludf.DUMMYFUNCTION("""COMPUTED_VALUE"""),"12f40342-f07f-4675-8f2d-f1ac8cb26b90")</f>
        <v>12f40342-f07f-4675-8f2d-f1ac8cb26b90</v>
      </c>
      <c r="K174" s="4">
        <f ca="1">IFERROR(__xludf.DUMMYFUNCTION("""COMPUTED_VALUE"""),895)</f>
        <v>895</v>
      </c>
      <c r="L174" s="1" t="str">
        <f ca="1">IFERROR(__xludf.DUMMYFUNCTION("""COMPUTED_VALUE"""),"Cam")</f>
        <v>Cam</v>
      </c>
      <c r="M174" s="1" t="str">
        <f ca="1">IFERROR(__xludf.DUMMYFUNCTION("""COMPUTED_VALUE"""),"Cam (NOW)")</f>
        <v>Cam (NOW)</v>
      </c>
      <c r="N174" s="1" t="str">
        <f ca="1">IFERROR(__xludf.DUMMYFUNCTION("""COMPUTED_VALUE"""),"")</f>
        <v/>
      </c>
      <c r="O174" s="1" t="str">
        <f ca="1">IFERROR(__xludf.DUMMYFUNCTION("""COMPUTED_VALUE"""),"Vacant")</f>
        <v>Vacant</v>
      </c>
      <c r="P174" s="1"/>
      <c r="Q174" s="1"/>
      <c r="R174" s="1"/>
      <c r="S174" s="1"/>
      <c r="T174" s="1"/>
      <c r="U174" s="1" t="str">
        <f ca="1">IFERROR(__xludf.DUMMYFUNCTION("""COMPUTED_VALUE"""),"Y")</f>
        <v>Y</v>
      </c>
      <c r="V174" s="1" t="str">
        <f ca="1">IFERROR(__xludf.DUMMYFUNCTION("""COMPUTED_VALUE"""),"N")</f>
        <v>N</v>
      </c>
      <c r="W174" s="1"/>
      <c r="X174" s="1"/>
      <c r="Y174" s="1"/>
      <c r="Z174" s="1"/>
      <c r="AA174" s="1"/>
      <c r="AB174" s="1"/>
      <c r="AC174" s="1"/>
    </row>
    <row r="175" spans="1:29">
      <c r="A175" s="1" t="str">
        <f ca="1">IFERROR(__xludf.DUMMYFUNCTION("""COMPUTED_VALUE"""),"34 Circuit Street")</f>
        <v>34 Circuit Street</v>
      </c>
      <c r="B175" s="1">
        <f ca="1">IFERROR(__xludf.DUMMYFUNCTION("""COMPUTED_VALUE"""),34)</f>
        <v>34</v>
      </c>
      <c r="C175" s="1" t="str">
        <f ca="1">IFERROR(__xludf.DUMMYFUNCTION("""COMPUTED_VALUE"""),"#3")</f>
        <v>#3</v>
      </c>
      <c r="D175" s="1" t="str">
        <f ca="1">IFERROR(__xludf.DUMMYFUNCTION("""COMPUTED_VALUE"""),"34 Circuit Street Unit 3")</f>
        <v>34 Circuit Street Unit 3</v>
      </c>
      <c r="E175" s="1" t="str">
        <f ca="1">IFERROR(__xludf.DUMMYFUNCTION("""COMPUTED_VALUE"""),"Boston")</f>
        <v>Boston</v>
      </c>
      <c r="F175" s="1" t="str">
        <f ca="1">IFERROR(__xludf.DUMMYFUNCTION("""COMPUTED_VALUE"""),"Boston - Nubian Square")</f>
        <v>Boston - Nubian Square</v>
      </c>
      <c r="G175" s="1">
        <f ca="1">IFERROR(__xludf.DUMMYFUNCTION("""COMPUTED_VALUE"""),4)</f>
        <v>4</v>
      </c>
      <c r="H175" s="1" t="str">
        <f ca="1">IFERROR(__xludf.DUMMYFUNCTION("""COMPUTED_VALUE"""),"D")</f>
        <v>D</v>
      </c>
      <c r="I175" s="4" t="str">
        <f ca="1">IFERROR(__xludf.DUMMYFUNCTION("""COMPUTED_VALUE"""),"34 Circuit Street#3D")</f>
        <v>34 Circuit Street#3D</v>
      </c>
      <c r="J175" s="4" t="str">
        <f ca="1">IFERROR(__xludf.DUMMYFUNCTION("""COMPUTED_VALUE"""),"12f40342-f07f-4675-8f2d-f1ac8cb26b90")</f>
        <v>12f40342-f07f-4675-8f2d-f1ac8cb26b90</v>
      </c>
      <c r="K175" s="4">
        <f ca="1">IFERROR(__xludf.DUMMYFUNCTION("""COMPUTED_VALUE"""),695)</f>
        <v>695</v>
      </c>
      <c r="L175" s="1" t="str">
        <f ca="1">IFERROR(__xludf.DUMMYFUNCTION("""COMPUTED_VALUE"""),"Cam")</f>
        <v>Cam</v>
      </c>
      <c r="M175" s="1" t="str">
        <f ca="1">IFERROR(__xludf.DUMMYFUNCTION("""COMPUTED_VALUE"""),"")</f>
        <v/>
      </c>
      <c r="N175" s="1" t="str">
        <f ca="1">IFERROR(__xludf.DUMMYFUNCTION("""COMPUTED_VALUE"""),"")</f>
        <v/>
      </c>
      <c r="O175" s="1" t="str">
        <f ca="1">IFERROR(__xludf.DUMMYFUNCTION("""COMPUTED_VALUE"""),"Lease Signed")</f>
        <v>Lease Signed</v>
      </c>
      <c r="P175" s="1" t="str">
        <f ca="1">IFERROR(__xludf.DUMMYFUNCTION("""COMPUTED_VALUE"""),"February")</f>
        <v>February</v>
      </c>
      <c r="Q175" s="3">
        <f ca="1">IFERROR(__xludf.DUMMYFUNCTION("""COMPUTED_VALUE"""),43848)</f>
        <v>43848</v>
      </c>
      <c r="R175" s="5">
        <f ca="1">IFERROR(__xludf.DUMMYFUNCTION("""COMPUTED_VALUE"""),44228)</f>
        <v>44228</v>
      </c>
      <c r="S175" s="1"/>
      <c r="T175" s="1"/>
      <c r="U175" s="1" t="str">
        <f ca="1">IFERROR(__xludf.DUMMYFUNCTION("""COMPUTED_VALUE"""),"Y")</f>
        <v>Y</v>
      </c>
      <c r="V175" s="1" t="str">
        <f ca="1">IFERROR(__xludf.DUMMYFUNCTION("""COMPUTED_VALUE"""),"N")</f>
        <v>N</v>
      </c>
      <c r="W175" s="1" t="str">
        <f ca="1">IFERROR(__xludf.DUMMYFUNCTION("""COMPUTED_VALUE"""),"Angel Acevedo")</f>
        <v>Angel Acevedo</v>
      </c>
      <c r="X175" s="1" t="str">
        <f ca="1">IFERROR(__xludf.DUMMYFUNCTION("""COMPUTED_VALUE"""),"a.acevedo2101@gmail.com")</f>
        <v>a.acevedo2101@gmail.com</v>
      </c>
      <c r="Y175" s="1" t="str">
        <f ca="1">IFERROR(__xludf.DUMMYFUNCTION("""COMPUTED_VALUE"""),"Sarah Strong")</f>
        <v>Sarah Strong</v>
      </c>
      <c r="Z175" s="1" t="str">
        <f ca="1">IFERROR(__xludf.DUMMYFUNCTION("""COMPUTED_VALUE"""),"svs51@bu.edu")</f>
        <v>svs51@bu.edu</v>
      </c>
      <c r="AA175" s="1"/>
      <c r="AB175" s="1"/>
      <c r="AC175" s="1"/>
    </row>
    <row r="176" spans="1:29">
      <c r="A176" s="1" t="str">
        <f ca="1">IFERROR(__xludf.DUMMYFUNCTION("""COMPUTED_VALUE"""),"34 Circuit Street")</f>
        <v>34 Circuit Street</v>
      </c>
      <c r="B176" s="1">
        <f ca="1">IFERROR(__xludf.DUMMYFUNCTION("""COMPUTED_VALUE"""),34)</f>
        <v>34</v>
      </c>
      <c r="C176" s="1" t="str">
        <f ca="1">IFERROR(__xludf.DUMMYFUNCTION("""COMPUTED_VALUE"""),"#3")</f>
        <v>#3</v>
      </c>
      <c r="D176" s="1" t="str">
        <f ca="1">IFERROR(__xludf.DUMMYFUNCTION("""COMPUTED_VALUE"""),"34 Circuit Street Unit 3")</f>
        <v>34 Circuit Street Unit 3</v>
      </c>
      <c r="E176" s="1" t="str">
        <f ca="1">IFERROR(__xludf.DUMMYFUNCTION("""COMPUTED_VALUE"""),"Boston")</f>
        <v>Boston</v>
      </c>
      <c r="F176" s="1" t="str">
        <f ca="1">IFERROR(__xludf.DUMMYFUNCTION("""COMPUTED_VALUE"""),"Boston - Nubian Square")</f>
        <v>Boston - Nubian Square</v>
      </c>
      <c r="G176" s="1">
        <f ca="1">IFERROR(__xludf.DUMMYFUNCTION("""COMPUTED_VALUE"""),5)</f>
        <v>5</v>
      </c>
      <c r="H176" s="1" t="str">
        <f ca="1">IFERROR(__xludf.DUMMYFUNCTION("""COMPUTED_VALUE"""),"E")</f>
        <v>E</v>
      </c>
      <c r="I176" s="4" t="str">
        <f ca="1">IFERROR(__xludf.DUMMYFUNCTION("""COMPUTED_VALUE"""),"34 Circuit Street#3E")</f>
        <v>34 Circuit Street#3E</v>
      </c>
      <c r="J176" s="4" t="str">
        <f ca="1">IFERROR(__xludf.DUMMYFUNCTION("""COMPUTED_VALUE"""),"12f40342-f07f-4675-8f2d-f1ac8cb26b90")</f>
        <v>12f40342-f07f-4675-8f2d-f1ac8cb26b90</v>
      </c>
      <c r="K176" s="4">
        <f ca="1">IFERROR(__xludf.DUMMYFUNCTION("""COMPUTED_VALUE"""),795)</f>
        <v>795</v>
      </c>
      <c r="L176" s="1" t="str">
        <f ca="1">IFERROR(__xludf.DUMMYFUNCTION("""COMPUTED_VALUE"""),"Cam")</f>
        <v>Cam</v>
      </c>
      <c r="M176" s="1" t="str">
        <f ca="1">IFERROR(__xludf.DUMMYFUNCTION("""COMPUTED_VALUE"""),"Cam (later)")</f>
        <v>Cam (later)</v>
      </c>
      <c r="N176" s="1" t="str">
        <f ca="1">IFERROR(__xludf.DUMMYFUNCTION("""COMPUTED_VALUE"""),"")</f>
        <v/>
      </c>
      <c r="O176" s="1" t="str">
        <f ca="1">IFERROR(__xludf.DUMMYFUNCTION("""COMPUTED_VALUE"""),"Roommate Introduction")</f>
        <v>Roommate Introduction</v>
      </c>
      <c r="P176" s="1"/>
      <c r="Q176" s="1"/>
      <c r="R176" s="5">
        <f ca="1">IFERROR(__xludf.DUMMYFUNCTION("""COMPUTED_VALUE"""),44220)</f>
        <v>44220</v>
      </c>
      <c r="S176" s="1"/>
      <c r="T176" s="1"/>
      <c r="U176" s="1" t="str">
        <f ca="1">IFERROR(__xludf.DUMMYFUNCTION("""COMPUTED_VALUE"""),"Y")</f>
        <v>Y</v>
      </c>
      <c r="V176" s="1" t="str">
        <f ca="1">IFERROR(__xludf.DUMMYFUNCTION("""COMPUTED_VALUE"""),"N")</f>
        <v>N</v>
      </c>
      <c r="W176" s="1" t="str">
        <f ca="1">IFERROR(__xludf.DUMMYFUNCTION("""COMPUTED_VALUE"""),"Danielle Dominguez")</f>
        <v>Danielle Dominguez</v>
      </c>
      <c r="X176" s="1" t="str">
        <f ca="1">IFERROR(__xludf.DUMMYFUNCTION("""COMPUTED_VALUE"""),"luminosityluna@gmail.com")</f>
        <v>luminosityluna@gmail.com</v>
      </c>
      <c r="Y176" s="1"/>
      <c r="Z176" s="1"/>
      <c r="AA176" s="1"/>
      <c r="AB176" s="1"/>
      <c r="AC176" s="1"/>
    </row>
    <row r="177" spans="1:29">
      <c r="A177" s="1" t="str">
        <f ca="1">IFERROR(__xludf.DUMMYFUNCTION("""COMPUTED_VALUE"""),"34 Cherokee Street")</f>
        <v>34 Cherokee Street</v>
      </c>
      <c r="B177" s="1">
        <f ca="1">IFERROR(__xludf.DUMMYFUNCTION("""COMPUTED_VALUE"""),34)</f>
        <v>34</v>
      </c>
      <c r="C177" s="1" t="str">
        <f ca="1">IFERROR(__xludf.DUMMYFUNCTION("""COMPUTED_VALUE"""),"#3")</f>
        <v>#3</v>
      </c>
      <c r="D177" s="1" t="str">
        <f ca="1">IFERROR(__xludf.DUMMYFUNCTION("""COMPUTED_VALUE"""),"34 Cherokee Street Unit 3")</f>
        <v>34 Cherokee Street Unit 3</v>
      </c>
      <c r="E177" s="1" t="str">
        <f ca="1">IFERROR(__xludf.DUMMYFUNCTION("""COMPUTED_VALUE"""),"Boston")</f>
        <v>Boston</v>
      </c>
      <c r="F177" s="1" t="str">
        <f ca="1">IFERROR(__xludf.DUMMYFUNCTION("""COMPUTED_VALUE"""),"Boston - Mission Hill")</f>
        <v>Boston - Mission Hill</v>
      </c>
      <c r="G177" s="1">
        <f ca="1">IFERROR(__xludf.DUMMYFUNCTION("""COMPUTED_VALUE"""),1)</f>
        <v>1</v>
      </c>
      <c r="H177" s="1" t="str">
        <f ca="1">IFERROR(__xludf.DUMMYFUNCTION("""COMPUTED_VALUE"""),"A")</f>
        <v>A</v>
      </c>
      <c r="I177" s="4" t="str">
        <f ca="1">IFERROR(__xludf.DUMMYFUNCTION("""COMPUTED_VALUE"""),"34 Cherokee Street#3A")</f>
        <v>34 Cherokee Street#3A</v>
      </c>
      <c r="J177" s="4" t="str">
        <f ca="1">IFERROR(__xludf.DUMMYFUNCTION("""COMPUTED_VALUE"""),"aba8bf63-6d17-4928-ab7c-f4faf310717d")</f>
        <v>aba8bf63-6d17-4928-ab7c-f4faf310717d</v>
      </c>
      <c r="K177" s="4">
        <f ca="1">IFERROR(__xludf.DUMMYFUNCTION("""COMPUTED_VALUE"""),895)</f>
        <v>895</v>
      </c>
      <c r="L177" s="1" t="str">
        <f ca="1">IFERROR(__xludf.DUMMYFUNCTION("""COMPUTED_VALUE"""),"Cam")</f>
        <v>Cam</v>
      </c>
      <c r="M177" s="1" t="str">
        <f ca="1">IFERROR(__xludf.DUMMYFUNCTION("""COMPUTED_VALUE"""),"")</f>
        <v/>
      </c>
      <c r="N177" s="1" t="str">
        <f ca="1">IFERROR(__xludf.DUMMYFUNCTION("""COMPUTED_VALUE"""),"")</f>
        <v/>
      </c>
      <c r="O177" s="1" t="str">
        <f ca="1">IFERROR(__xludf.DUMMYFUNCTION("""COMPUTED_VALUE"""),"Upcoming Vacancy")</f>
        <v>Upcoming Vacancy</v>
      </c>
      <c r="P177" s="1" t="str">
        <f ca="1">IFERROR(__xludf.DUMMYFUNCTION("""COMPUTED_VALUE"""),"May")</f>
        <v>May</v>
      </c>
      <c r="Q177" s="3">
        <f ca="1">IFERROR(__xludf.DUMMYFUNCTION("""COMPUTED_VALUE"""),44316)</f>
        <v>44316</v>
      </c>
      <c r="R177" s="1"/>
      <c r="S177" s="1" t="str">
        <f ca="1">IFERROR(__xludf.DUMMYFUNCTION("""COMPUTED_VALUE"""),"NO CATS OR DOGS")</f>
        <v>NO CATS OR DOGS</v>
      </c>
      <c r="T177" s="1"/>
      <c r="U177" s="1" t="str">
        <f ca="1">IFERROR(__xludf.DUMMYFUNCTION("""COMPUTED_VALUE"""),"Y")</f>
        <v>Y</v>
      </c>
      <c r="V177" s="1" t="str">
        <f ca="1">IFERROR(__xludf.DUMMYFUNCTION("""COMPUTED_VALUE"""),"N")</f>
        <v>N</v>
      </c>
      <c r="W177" s="1"/>
      <c r="X177" s="1"/>
      <c r="Y177" s="1" t="str">
        <f ca="1">IFERROR(__xludf.DUMMYFUNCTION("""COMPUTED_VALUE"""),"Donald York")</f>
        <v>Donald York</v>
      </c>
      <c r="Z177" s="1" t="str">
        <f ca="1">IFERROR(__xludf.DUMMYFUNCTION("""COMPUTED_VALUE"""),"dsy1997@verizon.net")</f>
        <v>dsy1997@verizon.net</v>
      </c>
      <c r="AA177" s="1"/>
      <c r="AB177" s="1"/>
      <c r="AC177" s="1"/>
    </row>
    <row r="178" spans="1:29">
      <c r="A178" s="1" t="str">
        <f ca="1">IFERROR(__xludf.DUMMYFUNCTION("""COMPUTED_VALUE"""),"34 Cherokee Street")</f>
        <v>34 Cherokee Street</v>
      </c>
      <c r="B178" s="1">
        <f ca="1">IFERROR(__xludf.DUMMYFUNCTION("""COMPUTED_VALUE"""),34)</f>
        <v>34</v>
      </c>
      <c r="C178" s="1" t="str">
        <f ca="1">IFERROR(__xludf.DUMMYFUNCTION("""COMPUTED_VALUE"""),"#3")</f>
        <v>#3</v>
      </c>
      <c r="D178" s="1" t="str">
        <f ca="1">IFERROR(__xludf.DUMMYFUNCTION("""COMPUTED_VALUE"""),"34 Cherokee Street Unit 3")</f>
        <v>34 Cherokee Street Unit 3</v>
      </c>
      <c r="E178" s="1" t="str">
        <f ca="1">IFERROR(__xludf.DUMMYFUNCTION("""COMPUTED_VALUE"""),"Boston")</f>
        <v>Boston</v>
      </c>
      <c r="F178" s="1" t="str">
        <f ca="1">IFERROR(__xludf.DUMMYFUNCTION("""COMPUTED_VALUE"""),"Boston - Mission Hill")</f>
        <v>Boston - Mission Hill</v>
      </c>
      <c r="G178" s="1">
        <f ca="1">IFERROR(__xludf.DUMMYFUNCTION("""COMPUTED_VALUE"""),2)</f>
        <v>2</v>
      </c>
      <c r="H178" s="1" t="str">
        <f ca="1">IFERROR(__xludf.DUMMYFUNCTION("""COMPUTED_VALUE"""),"B")</f>
        <v>B</v>
      </c>
      <c r="I178" s="4" t="str">
        <f ca="1">IFERROR(__xludf.DUMMYFUNCTION("""COMPUTED_VALUE"""),"34 Cherokee Street#3B")</f>
        <v>34 Cherokee Street#3B</v>
      </c>
      <c r="J178" s="4" t="str">
        <f ca="1">IFERROR(__xludf.DUMMYFUNCTION("""COMPUTED_VALUE"""),"aba8bf63-6d17-4928-ab7c-f4faf310717d")</f>
        <v>aba8bf63-6d17-4928-ab7c-f4faf310717d</v>
      </c>
      <c r="K178" s="4">
        <f ca="1">IFERROR(__xludf.DUMMYFUNCTION("""COMPUTED_VALUE"""),750)</f>
        <v>750</v>
      </c>
      <c r="L178" s="1" t="str">
        <f ca="1">IFERROR(__xludf.DUMMYFUNCTION("""COMPUTED_VALUE"""),"Cam")</f>
        <v>Cam</v>
      </c>
      <c r="M178" s="1" t="str">
        <f ca="1">IFERROR(__xludf.DUMMYFUNCTION("""COMPUTED_VALUE"""),"Cam (later)")</f>
        <v>Cam (later)</v>
      </c>
      <c r="N178" s="1" t="str">
        <f ca="1">IFERROR(__xludf.DUMMYFUNCTION("""COMPUTED_VALUE"""),"")</f>
        <v/>
      </c>
      <c r="O178" s="1" t="str">
        <f ca="1">IFERROR(__xludf.DUMMYFUNCTION("""COMPUTED_VALUE"""),"Lease Sent")</f>
        <v>Lease Sent</v>
      </c>
      <c r="P178" s="1"/>
      <c r="Q178" s="1"/>
      <c r="R178" s="5">
        <f ca="1">IFERROR(__xludf.DUMMYFUNCTION("""COMPUTED_VALUE"""),44228)</f>
        <v>44228</v>
      </c>
      <c r="S178" s="1" t="str">
        <f ca="1">IFERROR(__xludf.DUMMYFUNCTION("""COMPUTED_VALUE"""),"NO CATS OR DOGS")</f>
        <v>NO CATS OR DOGS</v>
      </c>
      <c r="T178" s="1"/>
      <c r="U178" s="1" t="str">
        <f ca="1">IFERROR(__xludf.DUMMYFUNCTION("""COMPUTED_VALUE"""),"Y")</f>
        <v>Y</v>
      </c>
      <c r="V178" s="1" t="str">
        <f ca="1">IFERROR(__xludf.DUMMYFUNCTION("""COMPUTED_VALUE"""),"N")</f>
        <v>N</v>
      </c>
      <c r="W178" s="1" t="str">
        <f ca="1">IFERROR(__xludf.DUMMYFUNCTION("""COMPUTED_VALUE"""),"Jonathan Jenkins")</f>
        <v>Jonathan Jenkins</v>
      </c>
      <c r="X178" s="1" t="str">
        <f ca="1">IFERROR(__xludf.DUMMYFUNCTION("""COMPUTED_VALUE"""),"jonjenkins917@gmail.com")</f>
        <v>jonjenkins917@gmail.com</v>
      </c>
      <c r="Y178" s="1"/>
      <c r="Z178" s="1"/>
      <c r="AA178" s="1"/>
      <c r="AB178" s="1"/>
      <c r="AC178" s="1"/>
    </row>
    <row r="179" spans="1:29">
      <c r="A179" s="1" t="str">
        <f ca="1">IFERROR(__xludf.DUMMYFUNCTION("""COMPUTED_VALUE"""),"34 Cherokee Street")</f>
        <v>34 Cherokee Street</v>
      </c>
      <c r="B179" s="1">
        <f ca="1">IFERROR(__xludf.DUMMYFUNCTION("""COMPUTED_VALUE"""),34)</f>
        <v>34</v>
      </c>
      <c r="C179" s="1" t="str">
        <f ca="1">IFERROR(__xludf.DUMMYFUNCTION("""COMPUTED_VALUE"""),"#3")</f>
        <v>#3</v>
      </c>
      <c r="D179" s="1" t="str">
        <f ca="1">IFERROR(__xludf.DUMMYFUNCTION("""COMPUTED_VALUE"""),"34 Cherokee Street Unit 3")</f>
        <v>34 Cherokee Street Unit 3</v>
      </c>
      <c r="E179" s="1" t="str">
        <f ca="1">IFERROR(__xludf.DUMMYFUNCTION("""COMPUTED_VALUE"""),"Boston")</f>
        <v>Boston</v>
      </c>
      <c r="F179" s="1" t="str">
        <f ca="1">IFERROR(__xludf.DUMMYFUNCTION("""COMPUTED_VALUE"""),"Boston - Mission Hill")</f>
        <v>Boston - Mission Hill</v>
      </c>
      <c r="G179" s="1">
        <f ca="1">IFERROR(__xludf.DUMMYFUNCTION("""COMPUTED_VALUE"""),3)</f>
        <v>3</v>
      </c>
      <c r="H179" s="1" t="str">
        <f ca="1">IFERROR(__xludf.DUMMYFUNCTION("""COMPUTED_VALUE"""),"C")</f>
        <v>C</v>
      </c>
      <c r="I179" s="4" t="str">
        <f ca="1">IFERROR(__xludf.DUMMYFUNCTION("""COMPUTED_VALUE"""),"34 Cherokee Street#3C")</f>
        <v>34 Cherokee Street#3C</v>
      </c>
      <c r="J179" s="4" t="str">
        <f ca="1">IFERROR(__xludf.DUMMYFUNCTION("""COMPUTED_VALUE"""),"aba8bf63-6d17-4928-ab7c-f4faf310717d")</f>
        <v>aba8bf63-6d17-4928-ab7c-f4faf310717d</v>
      </c>
      <c r="K179" s="4">
        <f ca="1">IFERROR(__xludf.DUMMYFUNCTION("""COMPUTED_VALUE"""),995)</f>
        <v>995</v>
      </c>
      <c r="L179" s="1" t="str">
        <f ca="1">IFERROR(__xludf.DUMMYFUNCTION("""COMPUTED_VALUE"""),"Cam")</f>
        <v>Cam</v>
      </c>
      <c r="M179" s="1" t="str">
        <f ca="1">IFERROR(__xludf.DUMMYFUNCTION("""COMPUTED_VALUE"""),"")</f>
        <v/>
      </c>
      <c r="N179" s="1" t="str">
        <f ca="1">IFERROR(__xludf.DUMMYFUNCTION("""COMPUTED_VALUE"""),"")</f>
        <v/>
      </c>
      <c r="O179" s="1" t="str">
        <f ca="1">IFERROR(__xludf.DUMMYFUNCTION("""COMPUTED_VALUE"""),"Occupied")</f>
        <v>Occupied</v>
      </c>
      <c r="P179" s="1"/>
      <c r="Q179" s="1"/>
      <c r="R179" s="1"/>
      <c r="S179" s="1" t="str">
        <f ca="1">IFERROR(__xludf.DUMMYFUNCTION("""COMPUTED_VALUE"""),"NO CATS OR DOGS")</f>
        <v>NO CATS OR DOGS</v>
      </c>
      <c r="T179" s="1"/>
      <c r="U179" s="1" t="str">
        <f ca="1">IFERROR(__xludf.DUMMYFUNCTION("""COMPUTED_VALUE"""),"Y")</f>
        <v>Y</v>
      </c>
      <c r="V179" s="1" t="str">
        <f ca="1">IFERROR(__xludf.DUMMYFUNCTION("""COMPUTED_VALUE"""),"N")</f>
        <v>N</v>
      </c>
      <c r="W179" s="1"/>
      <c r="X179" s="1"/>
      <c r="Y179" s="1" t="str">
        <f ca="1">IFERROR(__xludf.DUMMYFUNCTION("""COMPUTED_VALUE"""),"William Vojtech Mosby")</f>
        <v>William Vojtech Mosby</v>
      </c>
      <c r="Z179" s="1" t="str">
        <f ca="1">IFERROR(__xludf.DUMMYFUNCTION("""COMPUTED_VALUE"""),"vojtamosby@gmail.com")</f>
        <v>vojtamosby@gmail.com</v>
      </c>
      <c r="AA179" s="1"/>
      <c r="AB179" s="1"/>
      <c r="AC179" s="1"/>
    </row>
    <row r="180" spans="1:29">
      <c r="A180" s="1" t="str">
        <f ca="1">IFERROR(__xludf.DUMMYFUNCTION("""COMPUTED_VALUE"""),"34 Cherokee Street")</f>
        <v>34 Cherokee Street</v>
      </c>
      <c r="B180" s="1">
        <f ca="1">IFERROR(__xludf.DUMMYFUNCTION("""COMPUTED_VALUE"""),34)</f>
        <v>34</v>
      </c>
      <c r="C180" s="1" t="str">
        <f ca="1">IFERROR(__xludf.DUMMYFUNCTION("""COMPUTED_VALUE"""),"#3")</f>
        <v>#3</v>
      </c>
      <c r="D180" s="1" t="str">
        <f ca="1">IFERROR(__xludf.DUMMYFUNCTION("""COMPUTED_VALUE"""),"34 Cherokee Street Unit 3")</f>
        <v>34 Cherokee Street Unit 3</v>
      </c>
      <c r="E180" s="1" t="str">
        <f ca="1">IFERROR(__xludf.DUMMYFUNCTION("""COMPUTED_VALUE"""),"Boston")</f>
        <v>Boston</v>
      </c>
      <c r="F180" s="1" t="str">
        <f ca="1">IFERROR(__xludf.DUMMYFUNCTION("""COMPUTED_VALUE"""),"Boston - Mission Hill")</f>
        <v>Boston - Mission Hill</v>
      </c>
      <c r="G180" s="1">
        <f ca="1">IFERROR(__xludf.DUMMYFUNCTION("""COMPUTED_VALUE"""),4)</f>
        <v>4</v>
      </c>
      <c r="H180" s="1" t="str">
        <f ca="1">IFERROR(__xludf.DUMMYFUNCTION("""COMPUTED_VALUE"""),"D")</f>
        <v>D</v>
      </c>
      <c r="I180" s="4" t="str">
        <f ca="1">IFERROR(__xludf.DUMMYFUNCTION("""COMPUTED_VALUE"""),"34 Cherokee Street#3D")</f>
        <v>34 Cherokee Street#3D</v>
      </c>
      <c r="J180" s="4" t="str">
        <f ca="1">IFERROR(__xludf.DUMMYFUNCTION("""COMPUTED_VALUE"""),"aba8bf63-6d17-4928-ab7c-f4faf310717d")</f>
        <v>aba8bf63-6d17-4928-ab7c-f4faf310717d</v>
      </c>
      <c r="K180" s="4">
        <f ca="1">IFERROR(__xludf.DUMMYFUNCTION("""COMPUTED_VALUE"""),795)</f>
        <v>795</v>
      </c>
      <c r="L180" s="1" t="str">
        <f ca="1">IFERROR(__xludf.DUMMYFUNCTION("""COMPUTED_VALUE"""),"Cam")</f>
        <v>Cam</v>
      </c>
      <c r="M180" s="1" t="str">
        <f ca="1">IFERROR(__xludf.DUMMYFUNCTION("""COMPUTED_VALUE"""),"")</f>
        <v/>
      </c>
      <c r="N180" s="1" t="str">
        <f ca="1">IFERROR(__xludf.DUMMYFUNCTION("""COMPUTED_VALUE"""),"")</f>
        <v/>
      </c>
      <c r="O180" s="1" t="str">
        <f ca="1">IFERROR(__xludf.DUMMYFUNCTION("""COMPUTED_VALUE"""),"Occupied")</f>
        <v>Occupied</v>
      </c>
      <c r="P180" s="1"/>
      <c r="Q180" s="1"/>
      <c r="R180" s="1"/>
      <c r="S180" s="1" t="str">
        <f ca="1">IFERROR(__xludf.DUMMYFUNCTION("""COMPUTED_VALUE"""),"NO CATS OR DOGS")</f>
        <v>NO CATS OR DOGS</v>
      </c>
      <c r="T180" s="1"/>
      <c r="U180" s="1" t="str">
        <f ca="1">IFERROR(__xludf.DUMMYFUNCTION("""COMPUTED_VALUE"""),"Y")</f>
        <v>Y</v>
      </c>
      <c r="V180" s="1" t="str">
        <f ca="1">IFERROR(__xludf.DUMMYFUNCTION("""COMPUTED_VALUE"""),"N")</f>
        <v>N</v>
      </c>
      <c r="W180" s="1"/>
      <c r="X180" s="1"/>
      <c r="Y180" s="1" t="str">
        <f ca="1">IFERROR(__xludf.DUMMYFUNCTION("""COMPUTED_VALUE"""),"Cory Furrier")</f>
        <v>Cory Furrier</v>
      </c>
      <c r="Z180" s="1" t="str">
        <f ca="1">IFERROR(__xludf.DUMMYFUNCTION("""COMPUTED_VALUE"""),"furrierc@wit.edu")</f>
        <v>furrierc@wit.edu</v>
      </c>
      <c r="AA180" s="1"/>
      <c r="AB180" s="1"/>
      <c r="AC180" s="1"/>
    </row>
    <row r="181" spans="1:29">
      <c r="A181" s="1" t="str">
        <f ca="1">IFERROR(__xludf.DUMMYFUNCTION("""COMPUTED_VALUE"""),"34 Cherokee Street")</f>
        <v>34 Cherokee Street</v>
      </c>
      <c r="B181" s="1">
        <f ca="1">IFERROR(__xludf.DUMMYFUNCTION("""COMPUTED_VALUE"""),34)</f>
        <v>34</v>
      </c>
      <c r="C181" s="1" t="str">
        <f ca="1">IFERROR(__xludf.DUMMYFUNCTION("""COMPUTED_VALUE"""),"#3")</f>
        <v>#3</v>
      </c>
      <c r="D181" s="1" t="str">
        <f ca="1">IFERROR(__xludf.DUMMYFUNCTION("""COMPUTED_VALUE"""),"34 Cherokee Street Unit 3")</f>
        <v>34 Cherokee Street Unit 3</v>
      </c>
      <c r="E181" s="1" t="str">
        <f ca="1">IFERROR(__xludf.DUMMYFUNCTION("""COMPUTED_VALUE"""),"Boston")</f>
        <v>Boston</v>
      </c>
      <c r="F181" s="1" t="str">
        <f ca="1">IFERROR(__xludf.DUMMYFUNCTION("""COMPUTED_VALUE"""),"Boston - Mission Hill")</f>
        <v>Boston - Mission Hill</v>
      </c>
      <c r="G181" s="1">
        <f ca="1">IFERROR(__xludf.DUMMYFUNCTION("""COMPUTED_VALUE"""),5)</f>
        <v>5</v>
      </c>
      <c r="H181" s="1" t="str">
        <f ca="1">IFERROR(__xludf.DUMMYFUNCTION("""COMPUTED_VALUE"""),"E")</f>
        <v>E</v>
      </c>
      <c r="I181" s="4" t="str">
        <f ca="1">IFERROR(__xludf.DUMMYFUNCTION("""COMPUTED_VALUE"""),"34 Cherokee Street#3E")</f>
        <v>34 Cherokee Street#3E</v>
      </c>
      <c r="J181" s="4" t="str">
        <f ca="1">IFERROR(__xludf.DUMMYFUNCTION("""COMPUTED_VALUE"""),"aba8bf63-6d17-4928-ab7c-f4faf310717d")</f>
        <v>aba8bf63-6d17-4928-ab7c-f4faf310717d</v>
      </c>
      <c r="K181" s="4">
        <f ca="1">IFERROR(__xludf.DUMMYFUNCTION("""COMPUTED_VALUE"""),695)</f>
        <v>695</v>
      </c>
      <c r="L181" s="1" t="str">
        <f ca="1">IFERROR(__xludf.DUMMYFUNCTION("""COMPUTED_VALUE"""),"Cam")</f>
        <v>Cam</v>
      </c>
      <c r="M181" s="1" t="str">
        <f ca="1">IFERROR(__xludf.DUMMYFUNCTION("""COMPUTED_VALUE"""),"Cam (NOW)")</f>
        <v>Cam (NOW)</v>
      </c>
      <c r="N181" s="1" t="str">
        <f ca="1">IFERROR(__xludf.DUMMYFUNCTION("""COMPUTED_VALUE"""),"")</f>
        <v/>
      </c>
      <c r="O181" s="1" t="str">
        <f ca="1">IFERROR(__xludf.DUMMYFUNCTION("""COMPUTED_VALUE"""),"Upcoming Vacancy")</f>
        <v>Upcoming Vacancy</v>
      </c>
      <c r="P181" s="1" t="str">
        <f ca="1">IFERROR(__xludf.DUMMYFUNCTION("""COMPUTED_VALUE"""),"February")</f>
        <v>February</v>
      </c>
      <c r="Q181" s="3">
        <f ca="1">IFERROR(__xludf.DUMMYFUNCTION("""COMPUTED_VALUE"""),44221)</f>
        <v>44221</v>
      </c>
      <c r="R181" s="1"/>
      <c r="S181" s="1" t="str">
        <f ca="1">IFERROR(__xludf.DUMMYFUNCTION("""COMPUTED_VALUE"""),"NO CATS OR DOGS")</f>
        <v>NO CATS OR DOGS</v>
      </c>
      <c r="T181" s="1"/>
      <c r="U181" s="1" t="str">
        <f ca="1">IFERROR(__xludf.DUMMYFUNCTION("""COMPUTED_VALUE"""),"Y")</f>
        <v>Y</v>
      </c>
      <c r="V181" s="1" t="str">
        <f ca="1">IFERROR(__xludf.DUMMYFUNCTION("""COMPUTED_VALUE"""),"N")</f>
        <v>N</v>
      </c>
      <c r="W181" s="1"/>
      <c r="X181" s="1"/>
      <c r="Y181" s="1" t="str">
        <f ca="1">IFERROR(__xludf.DUMMYFUNCTION("""COMPUTED_VALUE"""),"Nishith Burman")</f>
        <v>Nishith Burman</v>
      </c>
      <c r="Z181" s="1" t="str">
        <f ca="1">IFERROR(__xludf.DUMMYFUNCTION("""COMPUTED_VALUE"""),"burman.ni@husky.neu.edu")</f>
        <v>burman.ni@husky.neu.edu</v>
      </c>
      <c r="AA181" s="1"/>
      <c r="AB181" s="1"/>
      <c r="AC181" s="1"/>
    </row>
    <row r="182" spans="1:29">
      <c r="A182" s="1" t="str">
        <f ca="1">IFERROR(__xludf.DUMMYFUNCTION("""COMPUTED_VALUE"""),"35 South Street")</f>
        <v>35 South Street</v>
      </c>
      <c r="B182" s="1">
        <f ca="1">IFERROR(__xludf.DUMMYFUNCTION("""COMPUTED_VALUE"""),35)</f>
        <v>35</v>
      </c>
      <c r="C182" s="1" t="str">
        <f ca="1">IFERROR(__xludf.DUMMYFUNCTION("""COMPUTED_VALUE"""),"#7")</f>
        <v>#7</v>
      </c>
      <c r="D182" s="1" t="str">
        <f ca="1">IFERROR(__xludf.DUMMYFUNCTION("""COMPUTED_VALUE"""),"35 South Street Unit 7")</f>
        <v>35 South Street Unit 7</v>
      </c>
      <c r="E182" s="1" t="str">
        <f ca="1">IFERROR(__xludf.DUMMYFUNCTION("""COMPUTED_VALUE"""),"Boston")</f>
        <v>Boston</v>
      </c>
      <c r="F182" s="1" t="str">
        <f ca="1">IFERROR(__xludf.DUMMYFUNCTION("""COMPUTED_VALUE"""),"Boston - Brighton")</f>
        <v>Boston - Brighton</v>
      </c>
      <c r="G182" s="1">
        <f ca="1">IFERROR(__xludf.DUMMYFUNCTION("""COMPUTED_VALUE"""),1)</f>
        <v>1</v>
      </c>
      <c r="H182" s="1" t="str">
        <f ca="1">IFERROR(__xludf.DUMMYFUNCTION("""COMPUTED_VALUE"""),"A")</f>
        <v>A</v>
      </c>
      <c r="I182" s="4" t="str">
        <f ca="1">IFERROR(__xludf.DUMMYFUNCTION("""COMPUTED_VALUE"""),"35 South Street#7A")</f>
        <v>35 South Street#7A</v>
      </c>
      <c r="J182" s="4" t="str">
        <f ca="1">IFERROR(__xludf.DUMMYFUNCTION("""COMPUTED_VALUE"""),"f848df19-5047-4a89-b0c4-d683ef64ffae")</f>
        <v>f848df19-5047-4a89-b0c4-d683ef64ffae</v>
      </c>
      <c r="K182" s="4">
        <f ca="1">IFERROR(__xludf.DUMMYFUNCTION("""COMPUTED_VALUE"""),995)</f>
        <v>995</v>
      </c>
      <c r="L182" s="1" t="str">
        <f ca="1">IFERROR(__xludf.DUMMYFUNCTION("""COMPUTED_VALUE"""),"Peter")</f>
        <v>Peter</v>
      </c>
      <c r="M182" s="1" t="str">
        <f ca="1">IFERROR(__xludf.DUMMYFUNCTION("""COMPUTED_VALUE"""),"Peter (NOW)")</f>
        <v>Peter (NOW)</v>
      </c>
      <c r="N182" s="1" t="str">
        <f ca="1">IFERROR(__xludf.DUMMYFUNCTION("""COMPUTED_VALUE"""),"")</f>
        <v/>
      </c>
      <c r="O182" s="1" t="str">
        <f ca="1">IFERROR(__xludf.DUMMYFUNCTION("""COMPUTED_VALUE"""),"Vacant")</f>
        <v>Vacant</v>
      </c>
      <c r="P182" s="1"/>
      <c r="Q182" s="1"/>
      <c r="R182" s="1"/>
      <c r="S182" s="1" t="str">
        <f ca="1">IFERROR(__xludf.DUMMYFUNCTION("""COMPUTED_VALUE"""),"NO DOGS")</f>
        <v>NO DOGS</v>
      </c>
      <c r="T182" s="1"/>
      <c r="U182" s="1" t="str">
        <f ca="1">IFERROR(__xludf.DUMMYFUNCTION("""COMPUTED_VALUE"""),"Y")</f>
        <v>Y</v>
      </c>
      <c r="V182" s="1" t="str">
        <f ca="1">IFERROR(__xludf.DUMMYFUNCTION("""COMPUTED_VALUE"""),"N")</f>
        <v>N</v>
      </c>
      <c r="W182" s="1"/>
      <c r="X182" s="1"/>
      <c r="Y182" s="1"/>
      <c r="Z182" s="1"/>
      <c r="AA182" s="1"/>
      <c r="AB182" s="1"/>
      <c r="AC182" s="1"/>
    </row>
    <row r="183" spans="1:29">
      <c r="A183" s="1" t="str">
        <f ca="1">IFERROR(__xludf.DUMMYFUNCTION("""COMPUTED_VALUE"""),"35 South Street")</f>
        <v>35 South Street</v>
      </c>
      <c r="B183" s="1">
        <f ca="1">IFERROR(__xludf.DUMMYFUNCTION("""COMPUTED_VALUE"""),35)</f>
        <v>35</v>
      </c>
      <c r="C183" s="1" t="str">
        <f ca="1">IFERROR(__xludf.DUMMYFUNCTION("""COMPUTED_VALUE"""),"#7")</f>
        <v>#7</v>
      </c>
      <c r="D183" s="1" t="str">
        <f ca="1">IFERROR(__xludf.DUMMYFUNCTION("""COMPUTED_VALUE"""),"35 South Street Unit 7")</f>
        <v>35 South Street Unit 7</v>
      </c>
      <c r="E183" s="1" t="str">
        <f ca="1">IFERROR(__xludf.DUMMYFUNCTION("""COMPUTED_VALUE"""),"Boston")</f>
        <v>Boston</v>
      </c>
      <c r="F183" s="1" t="str">
        <f ca="1">IFERROR(__xludf.DUMMYFUNCTION("""COMPUTED_VALUE"""),"Boston - Brighton")</f>
        <v>Boston - Brighton</v>
      </c>
      <c r="G183" s="1">
        <f ca="1">IFERROR(__xludf.DUMMYFUNCTION("""COMPUTED_VALUE"""),2)</f>
        <v>2</v>
      </c>
      <c r="H183" s="1" t="str">
        <f ca="1">IFERROR(__xludf.DUMMYFUNCTION("""COMPUTED_VALUE"""),"B")</f>
        <v>B</v>
      </c>
      <c r="I183" s="4" t="str">
        <f ca="1">IFERROR(__xludf.DUMMYFUNCTION("""COMPUTED_VALUE"""),"35 South Street#7B")</f>
        <v>35 South Street#7B</v>
      </c>
      <c r="J183" s="4" t="str">
        <f ca="1">IFERROR(__xludf.DUMMYFUNCTION("""COMPUTED_VALUE"""),"f848df19-5047-4a89-b0c4-d683ef64ffae")</f>
        <v>f848df19-5047-4a89-b0c4-d683ef64ffae</v>
      </c>
      <c r="K183" s="4">
        <f ca="1">IFERROR(__xludf.DUMMYFUNCTION("""COMPUTED_VALUE"""),1375)</f>
        <v>1375</v>
      </c>
      <c r="L183" s="1" t="str">
        <f ca="1">IFERROR(__xludf.DUMMYFUNCTION("""COMPUTED_VALUE"""),"Peter")</f>
        <v>Peter</v>
      </c>
      <c r="M183" s="1" t="str">
        <f ca="1">IFERROR(__xludf.DUMMYFUNCTION("""COMPUTED_VALUE"""),"")</f>
        <v/>
      </c>
      <c r="N183" s="1" t="str">
        <f ca="1">IFERROR(__xludf.DUMMYFUNCTION("""COMPUTED_VALUE"""),"")</f>
        <v/>
      </c>
      <c r="O183" s="1" t="str">
        <f ca="1">IFERROR(__xludf.DUMMYFUNCTION("""COMPUTED_VALUE"""),"Occupied")</f>
        <v>Occupied</v>
      </c>
      <c r="P183" s="1"/>
      <c r="Q183" s="1"/>
      <c r="R183" s="1"/>
      <c r="S183" s="1" t="str">
        <f ca="1">IFERROR(__xludf.DUMMYFUNCTION("""COMPUTED_VALUE"""),"NO DOGS")</f>
        <v>NO DOGS</v>
      </c>
      <c r="T183" s="1"/>
      <c r="U183" s="1" t="str">
        <f ca="1">IFERROR(__xludf.DUMMYFUNCTION("""COMPUTED_VALUE"""),"Y")</f>
        <v>Y</v>
      </c>
      <c r="V183" s="1" t="str">
        <f ca="1">IFERROR(__xludf.DUMMYFUNCTION("""COMPUTED_VALUE"""),"N")</f>
        <v>N</v>
      </c>
      <c r="W183" s="1"/>
      <c r="X183" s="1"/>
      <c r="Y183" s="1" t="str">
        <f ca="1">IFERROR(__xludf.DUMMYFUNCTION("""COMPUTED_VALUE"""),"Kyle Boulanger; Katelyn Comeau")</f>
        <v>Kyle Boulanger; Katelyn Comeau</v>
      </c>
      <c r="Z183" s="1" t="str">
        <f ca="1">IFERROR(__xludf.DUMMYFUNCTION("""COMPUTED_VALUE"""),"kyle.r.boulanger@gmail.com; katelyncomeau8@gmail.com")</f>
        <v>kyle.r.boulanger@gmail.com; katelyncomeau8@gmail.com</v>
      </c>
      <c r="AA183" s="1"/>
      <c r="AB183" s="1"/>
      <c r="AC183" s="1"/>
    </row>
    <row r="184" spans="1:29">
      <c r="A184" s="1" t="str">
        <f ca="1">IFERROR(__xludf.DUMMYFUNCTION("""COMPUTED_VALUE"""),"35 South Street")</f>
        <v>35 South Street</v>
      </c>
      <c r="B184" s="1">
        <f ca="1">IFERROR(__xludf.DUMMYFUNCTION("""COMPUTED_VALUE"""),35)</f>
        <v>35</v>
      </c>
      <c r="C184" s="1" t="str">
        <f ca="1">IFERROR(__xludf.DUMMYFUNCTION("""COMPUTED_VALUE"""),"#7")</f>
        <v>#7</v>
      </c>
      <c r="D184" s="1" t="str">
        <f ca="1">IFERROR(__xludf.DUMMYFUNCTION("""COMPUTED_VALUE"""),"35 South Street Unit 7")</f>
        <v>35 South Street Unit 7</v>
      </c>
      <c r="E184" s="1" t="str">
        <f ca="1">IFERROR(__xludf.DUMMYFUNCTION("""COMPUTED_VALUE"""),"Boston")</f>
        <v>Boston</v>
      </c>
      <c r="F184" s="1" t="str">
        <f ca="1">IFERROR(__xludf.DUMMYFUNCTION("""COMPUTED_VALUE"""),"Boston - Brighton")</f>
        <v>Boston - Brighton</v>
      </c>
      <c r="G184" s="1">
        <f ca="1">IFERROR(__xludf.DUMMYFUNCTION("""COMPUTED_VALUE"""),3)</f>
        <v>3</v>
      </c>
      <c r="H184" s="1" t="str">
        <f ca="1">IFERROR(__xludf.DUMMYFUNCTION("""COMPUTED_VALUE"""),"C")</f>
        <v>C</v>
      </c>
      <c r="I184" s="4" t="str">
        <f ca="1">IFERROR(__xludf.DUMMYFUNCTION("""COMPUTED_VALUE"""),"35 South Street#7C")</f>
        <v>35 South Street#7C</v>
      </c>
      <c r="J184" s="4" t="str">
        <f ca="1">IFERROR(__xludf.DUMMYFUNCTION("""COMPUTED_VALUE"""),"f848df19-5047-4a89-b0c4-d683ef64ffae")</f>
        <v>f848df19-5047-4a89-b0c4-d683ef64ffae</v>
      </c>
      <c r="K184" s="4">
        <f ca="1">IFERROR(__xludf.DUMMYFUNCTION("""COMPUTED_VALUE"""),1375)</f>
        <v>1375</v>
      </c>
      <c r="L184" s="1" t="str">
        <f ca="1">IFERROR(__xludf.DUMMYFUNCTION("""COMPUTED_VALUE"""),"Peter")</f>
        <v>Peter</v>
      </c>
      <c r="M184" s="1" t="str">
        <f ca="1">IFERROR(__xludf.DUMMYFUNCTION("""COMPUTED_VALUE"""),"")</f>
        <v/>
      </c>
      <c r="N184" s="1" t="str">
        <f ca="1">IFERROR(__xludf.DUMMYFUNCTION("""COMPUTED_VALUE"""),"")</f>
        <v/>
      </c>
      <c r="O184" s="1" t="str">
        <f ca="1">IFERROR(__xludf.DUMMYFUNCTION("""COMPUTED_VALUE"""),"Occupied")</f>
        <v>Occupied</v>
      </c>
      <c r="P184" s="1"/>
      <c r="Q184" s="1"/>
      <c r="R184" s="1"/>
      <c r="S184" s="1" t="str">
        <f ca="1">IFERROR(__xludf.DUMMYFUNCTION("""COMPUTED_VALUE"""),"NO DOGS")</f>
        <v>NO DOGS</v>
      </c>
      <c r="T184" s="1"/>
      <c r="U184" s="1" t="str">
        <f ca="1">IFERROR(__xludf.DUMMYFUNCTION("""COMPUTED_VALUE"""),"Y")</f>
        <v>Y</v>
      </c>
      <c r="V184" s="1" t="str">
        <f ca="1">IFERROR(__xludf.DUMMYFUNCTION("""COMPUTED_VALUE"""),"N")</f>
        <v>N</v>
      </c>
      <c r="W184" s="1"/>
      <c r="X184" s="1"/>
      <c r="Y184" s="1" t="str">
        <f ca="1">IFERROR(__xludf.DUMMYFUNCTION("""COMPUTED_VALUE"""),"Kirquenique Rolle")</f>
        <v>Kirquenique Rolle</v>
      </c>
      <c r="Z184" s="1" t="str">
        <f ca="1">IFERROR(__xludf.DUMMYFUNCTION("""COMPUTED_VALUE"""),"kirqueniquerolle@gmail.com")</f>
        <v>kirqueniquerolle@gmail.com</v>
      </c>
      <c r="AA184" s="1"/>
      <c r="AB184" s="1"/>
      <c r="AC184" s="1"/>
    </row>
    <row r="185" spans="1:29">
      <c r="A185" s="1" t="str">
        <f ca="1">IFERROR(__xludf.DUMMYFUNCTION("""COMPUTED_VALUE"""),"38 Day Street")</f>
        <v>38 Day Street</v>
      </c>
      <c r="B185" s="1">
        <f ca="1">IFERROR(__xludf.DUMMYFUNCTION("""COMPUTED_VALUE"""),38)</f>
        <v>38</v>
      </c>
      <c r="C185" s="1" t="str">
        <f ca="1">IFERROR(__xludf.DUMMYFUNCTION("""COMPUTED_VALUE"""),"#42")</f>
        <v>#42</v>
      </c>
      <c r="D185" s="1" t="str">
        <f ca="1">IFERROR(__xludf.DUMMYFUNCTION("""COMPUTED_VALUE"""),"38 Day Street Unit 42")</f>
        <v>38 Day Street Unit 42</v>
      </c>
      <c r="E185" s="1" t="str">
        <f ca="1">IFERROR(__xludf.DUMMYFUNCTION("""COMPUTED_VALUE"""),"Somerville")</f>
        <v>Somerville</v>
      </c>
      <c r="F185" s="1" t="str">
        <f ca="1">IFERROR(__xludf.DUMMYFUNCTION("""COMPUTED_VALUE"""),"Somerville - Davis Square")</f>
        <v>Somerville - Davis Square</v>
      </c>
      <c r="G185" s="1">
        <f ca="1">IFERROR(__xludf.DUMMYFUNCTION("""COMPUTED_VALUE"""),1)</f>
        <v>1</v>
      </c>
      <c r="H185" s="1" t="str">
        <f ca="1">IFERROR(__xludf.DUMMYFUNCTION("""COMPUTED_VALUE"""),"A")</f>
        <v>A</v>
      </c>
      <c r="I185" s="4" t="str">
        <f ca="1">IFERROR(__xludf.DUMMYFUNCTION("""COMPUTED_VALUE"""),"38 Day Street#42A")</f>
        <v>38 Day Street#42A</v>
      </c>
      <c r="J185" s="4" t="str">
        <f ca="1">IFERROR(__xludf.DUMMYFUNCTION("""COMPUTED_VALUE"""),"10605847-0fd4-4007-b8fb-8a8f368f27a4")</f>
        <v>10605847-0fd4-4007-b8fb-8a8f368f27a4</v>
      </c>
      <c r="K185" s="4">
        <f ca="1">IFERROR(__xludf.DUMMYFUNCTION("""COMPUTED_VALUE"""),795)</f>
        <v>795</v>
      </c>
      <c r="L185" s="1" t="str">
        <f ca="1">IFERROR(__xludf.DUMMYFUNCTION("""COMPUTED_VALUE"""),"Self")</f>
        <v>Self</v>
      </c>
      <c r="M185" s="1" t="str">
        <f ca="1">IFERROR(__xludf.DUMMYFUNCTION("""COMPUTED_VALUE"""),"")</f>
        <v/>
      </c>
      <c r="N185" s="1" t="str">
        <f ca="1">IFERROR(__xludf.DUMMYFUNCTION("""COMPUTED_VALUE"""),"")</f>
        <v/>
      </c>
      <c r="O185" s="1" t="str">
        <f ca="1">IFERROR(__xludf.DUMMYFUNCTION("""COMPUTED_VALUE"""),"Occupied")</f>
        <v>Occupied</v>
      </c>
      <c r="P185" s="1"/>
      <c r="Q185" s="1"/>
      <c r="R185" s="1"/>
      <c r="S185" s="1"/>
      <c r="T185" s="1"/>
      <c r="U185" s="1" t="str">
        <f ca="1">IFERROR(__xludf.DUMMYFUNCTION("""COMPUTED_VALUE"""),"N")</f>
        <v>N</v>
      </c>
      <c r="V185" s="1" t="str">
        <f ca="1">IFERROR(__xludf.DUMMYFUNCTION("""COMPUTED_VALUE"""),"Y")</f>
        <v>Y</v>
      </c>
      <c r="W185" s="1"/>
      <c r="X185" s="1"/>
      <c r="Y185" s="1" t="str">
        <f ca="1">IFERROR(__xludf.DUMMYFUNCTION("""COMPUTED_VALUE"""),"Isaac Martinez")</f>
        <v>Isaac Martinez</v>
      </c>
      <c r="Z185" s="1" t="str">
        <f ca="1">IFERROR(__xludf.DUMMYFUNCTION("""COMPUTED_VALUE"""),"isaacmartinez321@gmail.com")</f>
        <v>isaacmartinez321@gmail.com</v>
      </c>
      <c r="AA185" s="1"/>
      <c r="AB185" s="1"/>
      <c r="AC185" s="1"/>
    </row>
    <row r="186" spans="1:29">
      <c r="A186" s="1" t="str">
        <f ca="1">IFERROR(__xludf.DUMMYFUNCTION("""COMPUTED_VALUE"""),"38 Day Street")</f>
        <v>38 Day Street</v>
      </c>
      <c r="B186" s="1">
        <f ca="1">IFERROR(__xludf.DUMMYFUNCTION("""COMPUTED_VALUE"""),38)</f>
        <v>38</v>
      </c>
      <c r="C186" s="1" t="str">
        <f ca="1">IFERROR(__xludf.DUMMYFUNCTION("""COMPUTED_VALUE"""),"#42")</f>
        <v>#42</v>
      </c>
      <c r="D186" s="1" t="str">
        <f ca="1">IFERROR(__xludf.DUMMYFUNCTION("""COMPUTED_VALUE"""),"38 Day Street Unit 42")</f>
        <v>38 Day Street Unit 42</v>
      </c>
      <c r="E186" s="1" t="str">
        <f ca="1">IFERROR(__xludf.DUMMYFUNCTION("""COMPUTED_VALUE"""),"Somerville")</f>
        <v>Somerville</v>
      </c>
      <c r="F186" s="1" t="str">
        <f ca="1">IFERROR(__xludf.DUMMYFUNCTION("""COMPUTED_VALUE"""),"Somerville - Davis Square")</f>
        <v>Somerville - Davis Square</v>
      </c>
      <c r="G186" s="1">
        <f ca="1">IFERROR(__xludf.DUMMYFUNCTION("""COMPUTED_VALUE"""),2)</f>
        <v>2</v>
      </c>
      <c r="H186" s="1" t="str">
        <f ca="1">IFERROR(__xludf.DUMMYFUNCTION("""COMPUTED_VALUE"""),"B")</f>
        <v>B</v>
      </c>
      <c r="I186" s="4" t="str">
        <f ca="1">IFERROR(__xludf.DUMMYFUNCTION("""COMPUTED_VALUE"""),"38 Day Street#42B")</f>
        <v>38 Day Street#42B</v>
      </c>
      <c r="J186" s="4" t="str">
        <f ca="1">IFERROR(__xludf.DUMMYFUNCTION("""COMPUTED_VALUE"""),"10605847-0fd4-4007-b8fb-8a8f368f27a4")</f>
        <v>10605847-0fd4-4007-b8fb-8a8f368f27a4</v>
      </c>
      <c r="K186" s="4">
        <f ca="1">IFERROR(__xludf.DUMMYFUNCTION("""COMPUTED_VALUE"""),1095)</f>
        <v>1095</v>
      </c>
      <c r="L186" s="1" t="str">
        <f ca="1">IFERROR(__xludf.DUMMYFUNCTION("""COMPUTED_VALUE"""),"Self")</f>
        <v>Self</v>
      </c>
      <c r="M186" s="1" t="str">
        <f ca="1">IFERROR(__xludf.DUMMYFUNCTION("""COMPUTED_VALUE"""),"")</f>
        <v/>
      </c>
      <c r="N186" s="1" t="str">
        <f ca="1">IFERROR(__xludf.DUMMYFUNCTION("""COMPUTED_VALUE"""),"")</f>
        <v/>
      </c>
      <c r="O186" s="1" t="str">
        <f ca="1">IFERROR(__xludf.DUMMYFUNCTION("""COMPUTED_VALUE"""),"Occupied")</f>
        <v>Occupied</v>
      </c>
      <c r="P186" s="1"/>
      <c r="Q186" s="1"/>
      <c r="R186" s="1"/>
      <c r="S186" s="1"/>
      <c r="T186" s="1"/>
      <c r="U186" s="1" t="str">
        <f ca="1">IFERROR(__xludf.DUMMYFUNCTION("""COMPUTED_VALUE"""),"N")</f>
        <v>N</v>
      </c>
      <c r="V186" s="1" t="str">
        <f ca="1">IFERROR(__xludf.DUMMYFUNCTION("""COMPUTED_VALUE"""),"Y")</f>
        <v>Y</v>
      </c>
      <c r="W186" s="1"/>
      <c r="X186" s="1"/>
      <c r="Y186" s="1" t="str">
        <f ca="1">IFERROR(__xludf.DUMMYFUNCTION("""COMPUTED_VALUE"""),"Bruno Graber")</f>
        <v>Bruno Graber</v>
      </c>
      <c r="Z186" s="1" t="str">
        <f ca="1">IFERROR(__xludf.DUMMYFUNCTION("""COMPUTED_VALUE"""),"bruno.graber.sit@gmail.com")</f>
        <v>bruno.graber.sit@gmail.com</v>
      </c>
      <c r="AA186" s="1"/>
      <c r="AB186" s="1"/>
      <c r="AC186" s="1"/>
    </row>
    <row r="187" spans="1:29">
      <c r="A187" s="1" t="str">
        <f ca="1">IFERROR(__xludf.DUMMYFUNCTION("""COMPUTED_VALUE"""),"40 Sudan Street")</f>
        <v>40 Sudan Street</v>
      </c>
      <c r="B187" s="1">
        <f ca="1">IFERROR(__xludf.DUMMYFUNCTION("""COMPUTED_VALUE"""),40)</f>
        <v>40</v>
      </c>
      <c r="C187" s="1" t="str">
        <f ca="1">IFERROR(__xludf.DUMMYFUNCTION("""COMPUTED_VALUE"""),"#3")</f>
        <v>#3</v>
      </c>
      <c r="D187" s="1" t="str">
        <f ca="1">IFERROR(__xludf.DUMMYFUNCTION("""COMPUTED_VALUE"""),"40 Sudan Street Unit 3")</f>
        <v>40 Sudan Street Unit 3</v>
      </c>
      <c r="E187" s="1" t="str">
        <f ca="1">IFERROR(__xludf.DUMMYFUNCTION("""COMPUTED_VALUE"""),"Boston")</f>
        <v>Boston</v>
      </c>
      <c r="F187" s="1" t="str">
        <f ca="1">IFERROR(__xludf.DUMMYFUNCTION("""COMPUTED_VALUE"""),"Boston - Dorchester")</f>
        <v>Boston - Dorchester</v>
      </c>
      <c r="G187" s="1">
        <f ca="1">IFERROR(__xludf.DUMMYFUNCTION("""COMPUTED_VALUE"""),1)</f>
        <v>1</v>
      </c>
      <c r="H187" s="1" t="str">
        <f ca="1">IFERROR(__xludf.DUMMYFUNCTION("""COMPUTED_VALUE"""),"A")</f>
        <v>A</v>
      </c>
      <c r="I187" s="4" t="str">
        <f ca="1">IFERROR(__xludf.DUMMYFUNCTION("""COMPUTED_VALUE"""),"40 Sudan Street#3A")</f>
        <v>40 Sudan Street#3A</v>
      </c>
      <c r="J187" s="4" t="str">
        <f ca="1">IFERROR(__xludf.DUMMYFUNCTION("""COMPUTED_VALUE"""),"07dd89d6-6ae3-4475-9d33-82143f6bd72e")</f>
        <v>07dd89d6-6ae3-4475-9d33-82143f6bd72e</v>
      </c>
      <c r="K187" s="4">
        <f ca="1">IFERROR(__xludf.DUMMYFUNCTION("""COMPUTED_VALUE"""),990)</f>
        <v>990</v>
      </c>
      <c r="L187" s="1" t="str">
        <f ca="1">IFERROR(__xludf.DUMMYFUNCTION("""COMPUTED_VALUE"""),"Cam")</f>
        <v>Cam</v>
      </c>
      <c r="M187" s="1" t="str">
        <f ca="1">IFERROR(__xludf.DUMMYFUNCTION("""COMPUTED_VALUE"""),"")</f>
        <v/>
      </c>
      <c r="N187" s="1" t="str">
        <f ca="1">IFERROR(__xludf.DUMMYFUNCTION("""COMPUTED_VALUE"""),"")</f>
        <v/>
      </c>
      <c r="O187" s="1" t="str">
        <f ca="1">IFERROR(__xludf.DUMMYFUNCTION("""COMPUTED_VALUE"""),"Occupied")</f>
        <v>Occupied</v>
      </c>
      <c r="P187" s="1"/>
      <c r="Q187" s="1"/>
      <c r="R187" s="1"/>
      <c r="S187" s="1" t="str">
        <f ca="1">IFERROR(__xludf.DUMMYFUNCTION("""COMPUTED_VALUE"""),"NO DOGS")</f>
        <v>NO DOGS</v>
      </c>
      <c r="T187" s="1" t="str">
        <f ca="1">IFERROR(__xludf.DUMMYFUNCTION("""COMPUTED_VALUE"""),"NO DOGS")</f>
        <v>NO DOGS</v>
      </c>
      <c r="U187" s="1" t="str">
        <f ca="1">IFERROR(__xludf.DUMMYFUNCTION("""COMPUTED_VALUE"""),"Y")</f>
        <v>Y</v>
      </c>
      <c r="V187" s="1" t="str">
        <f ca="1">IFERROR(__xludf.DUMMYFUNCTION("""COMPUTED_VALUE"""),"Y")</f>
        <v>Y</v>
      </c>
      <c r="W187" s="1"/>
      <c r="X187" s="1"/>
      <c r="Y187" s="1" t="str">
        <f ca="1">IFERROR(__xludf.DUMMYFUNCTION("""COMPUTED_VALUE"""),"Serigne Soyibou Sylla")</f>
        <v>Serigne Soyibou Sylla</v>
      </c>
      <c r="Z187" s="1" t="str">
        <f ca="1">IFERROR(__xludf.DUMMYFUNCTION("""COMPUTED_VALUE"""),"soyibousylla@gmail.com")</f>
        <v>soyibousylla@gmail.com</v>
      </c>
      <c r="AA187" s="1"/>
      <c r="AB187" s="1"/>
      <c r="AC187" s="1"/>
    </row>
    <row r="188" spans="1:29">
      <c r="A188" s="1" t="str">
        <f ca="1">IFERROR(__xludf.DUMMYFUNCTION("""COMPUTED_VALUE"""),"40 Sudan Street")</f>
        <v>40 Sudan Street</v>
      </c>
      <c r="B188" s="1">
        <f ca="1">IFERROR(__xludf.DUMMYFUNCTION("""COMPUTED_VALUE"""),40)</f>
        <v>40</v>
      </c>
      <c r="C188" s="1" t="str">
        <f ca="1">IFERROR(__xludf.DUMMYFUNCTION("""COMPUTED_VALUE"""),"#3")</f>
        <v>#3</v>
      </c>
      <c r="D188" s="1" t="str">
        <f ca="1">IFERROR(__xludf.DUMMYFUNCTION("""COMPUTED_VALUE"""),"40 Sudan Street Unit 3")</f>
        <v>40 Sudan Street Unit 3</v>
      </c>
      <c r="E188" s="1" t="str">
        <f ca="1">IFERROR(__xludf.DUMMYFUNCTION("""COMPUTED_VALUE"""),"Boston")</f>
        <v>Boston</v>
      </c>
      <c r="F188" s="1" t="str">
        <f ca="1">IFERROR(__xludf.DUMMYFUNCTION("""COMPUTED_VALUE"""),"Boston - Dorchester")</f>
        <v>Boston - Dorchester</v>
      </c>
      <c r="G188" s="1">
        <f ca="1">IFERROR(__xludf.DUMMYFUNCTION("""COMPUTED_VALUE"""),2)</f>
        <v>2</v>
      </c>
      <c r="H188" s="1" t="str">
        <f ca="1">IFERROR(__xludf.DUMMYFUNCTION("""COMPUTED_VALUE"""),"B")</f>
        <v>B</v>
      </c>
      <c r="I188" s="4" t="str">
        <f ca="1">IFERROR(__xludf.DUMMYFUNCTION("""COMPUTED_VALUE"""),"40 Sudan Street#3B")</f>
        <v>40 Sudan Street#3B</v>
      </c>
      <c r="J188" s="4" t="str">
        <f ca="1">IFERROR(__xludf.DUMMYFUNCTION("""COMPUTED_VALUE"""),"07dd89d6-6ae3-4475-9d33-82143f6bd72e")</f>
        <v>07dd89d6-6ae3-4475-9d33-82143f6bd72e</v>
      </c>
      <c r="K188" s="4">
        <f ca="1">IFERROR(__xludf.DUMMYFUNCTION("""COMPUTED_VALUE"""),750)</f>
        <v>750</v>
      </c>
      <c r="L188" s="1" t="str">
        <f ca="1">IFERROR(__xludf.DUMMYFUNCTION("""COMPUTED_VALUE"""),"Cam")</f>
        <v>Cam</v>
      </c>
      <c r="M188" s="1" t="str">
        <f ca="1">IFERROR(__xludf.DUMMYFUNCTION("""COMPUTED_VALUE"""),"")</f>
        <v/>
      </c>
      <c r="N188" s="1" t="str">
        <f ca="1">IFERROR(__xludf.DUMMYFUNCTION("""COMPUTED_VALUE"""),"")</f>
        <v/>
      </c>
      <c r="O188" s="1" t="str">
        <f ca="1">IFERROR(__xludf.DUMMYFUNCTION("""COMPUTED_VALUE"""),"Occupied")</f>
        <v>Occupied</v>
      </c>
      <c r="P188" s="1"/>
      <c r="Q188" s="1"/>
      <c r="R188" s="1"/>
      <c r="S188" s="1" t="str">
        <f ca="1">IFERROR(__xludf.DUMMYFUNCTION("""COMPUTED_VALUE"""),"NO DOGS")</f>
        <v>NO DOGS</v>
      </c>
      <c r="T188" s="1"/>
      <c r="U188" s="1" t="str">
        <f ca="1">IFERROR(__xludf.DUMMYFUNCTION("""COMPUTED_VALUE"""),"Y")</f>
        <v>Y</v>
      </c>
      <c r="V188" s="1" t="str">
        <f ca="1">IFERROR(__xludf.DUMMYFUNCTION("""COMPUTED_VALUE"""),"Y")</f>
        <v>Y</v>
      </c>
      <c r="W188" s="1"/>
      <c r="X188" s="1"/>
      <c r="Y188" s="1" t="str">
        <f ca="1">IFERROR(__xludf.DUMMYFUNCTION("""COMPUTED_VALUE"""),"Cassio Do Nascimento")</f>
        <v>Cassio Do Nascimento</v>
      </c>
      <c r="Z188" s="1" t="str">
        <f ca="1">IFERROR(__xludf.DUMMYFUNCTION("""COMPUTED_VALUE"""),"cassiov23@gmail.com")</f>
        <v>cassiov23@gmail.com</v>
      </c>
      <c r="AA188" s="1"/>
      <c r="AB188" s="1"/>
      <c r="AC188" s="1"/>
    </row>
    <row r="189" spans="1:29">
      <c r="A189" s="1" t="str">
        <f ca="1">IFERROR(__xludf.DUMMYFUNCTION("""COMPUTED_VALUE"""),"40 Sudan Street")</f>
        <v>40 Sudan Street</v>
      </c>
      <c r="B189" s="1">
        <f ca="1">IFERROR(__xludf.DUMMYFUNCTION("""COMPUTED_VALUE"""),40)</f>
        <v>40</v>
      </c>
      <c r="C189" s="1" t="str">
        <f ca="1">IFERROR(__xludf.DUMMYFUNCTION("""COMPUTED_VALUE"""),"#3")</f>
        <v>#3</v>
      </c>
      <c r="D189" s="1" t="str">
        <f ca="1">IFERROR(__xludf.DUMMYFUNCTION("""COMPUTED_VALUE"""),"40 Sudan Street Unit 3")</f>
        <v>40 Sudan Street Unit 3</v>
      </c>
      <c r="E189" s="1" t="str">
        <f ca="1">IFERROR(__xludf.DUMMYFUNCTION("""COMPUTED_VALUE"""),"Boston")</f>
        <v>Boston</v>
      </c>
      <c r="F189" s="1" t="str">
        <f ca="1">IFERROR(__xludf.DUMMYFUNCTION("""COMPUTED_VALUE"""),"Boston - Dorchester")</f>
        <v>Boston - Dorchester</v>
      </c>
      <c r="G189" s="1">
        <f ca="1">IFERROR(__xludf.DUMMYFUNCTION("""COMPUTED_VALUE"""),3)</f>
        <v>3</v>
      </c>
      <c r="H189" s="1" t="str">
        <f ca="1">IFERROR(__xludf.DUMMYFUNCTION("""COMPUTED_VALUE"""),"C")</f>
        <v>C</v>
      </c>
      <c r="I189" s="4" t="str">
        <f ca="1">IFERROR(__xludf.DUMMYFUNCTION("""COMPUTED_VALUE"""),"40 Sudan Street#3C")</f>
        <v>40 Sudan Street#3C</v>
      </c>
      <c r="J189" s="4" t="str">
        <f ca="1">IFERROR(__xludf.DUMMYFUNCTION("""COMPUTED_VALUE"""),"07dd89d6-6ae3-4475-9d33-82143f6bd72e")</f>
        <v>07dd89d6-6ae3-4475-9d33-82143f6bd72e</v>
      </c>
      <c r="K189" s="4">
        <f ca="1">IFERROR(__xludf.DUMMYFUNCTION("""COMPUTED_VALUE"""),995)</f>
        <v>995</v>
      </c>
      <c r="L189" s="1" t="str">
        <f ca="1">IFERROR(__xludf.DUMMYFUNCTION("""COMPUTED_VALUE"""),"Cam")</f>
        <v>Cam</v>
      </c>
      <c r="M189" s="1" t="str">
        <f ca="1">IFERROR(__xludf.DUMMYFUNCTION("""COMPUTED_VALUE"""),"Cam (NOW)")</f>
        <v>Cam (NOW)</v>
      </c>
      <c r="N189" s="1" t="str">
        <f ca="1">IFERROR(__xludf.DUMMYFUNCTION("""COMPUTED_VALUE"""),"")</f>
        <v/>
      </c>
      <c r="O189" s="1" t="str">
        <f ca="1">IFERROR(__xludf.DUMMYFUNCTION("""COMPUTED_VALUE"""),"Upcoming Vacancy")</f>
        <v>Upcoming Vacancy</v>
      </c>
      <c r="P189" s="1" t="str">
        <f ca="1">IFERROR(__xludf.DUMMYFUNCTION("""COMPUTED_VALUE"""),"February")</f>
        <v>February</v>
      </c>
      <c r="Q189" s="3">
        <f ca="1">IFERROR(__xludf.DUMMYFUNCTION("""COMPUTED_VALUE"""),43861)</f>
        <v>43861</v>
      </c>
      <c r="R189" s="1"/>
      <c r="S189" s="1" t="str">
        <f ca="1">IFERROR(__xludf.DUMMYFUNCTION("""COMPUTED_VALUE"""),"NO DOGS")</f>
        <v>NO DOGS</v>
      </c>
      <c r="T189" s="1" t="str">
        <f ca="1">IFERROR(__xludf.DUMMYFUNCTION("""COMPUTED_VALUE"""),"Cat")</f>
        <v>Cat</v>
      </c>
      <c r="U189" s="1" t="str">
        <f ca="1">IFERROR(__xludf.DUMMYFUNCTION("""COMPUTED_VALUE"""),"Y")</f>
        <v>Y</v>
      </c>
      <c r="V189" s="1" t="str">
        <f ca="1">IFERROR(__xludf.DUMMYFUNCTION("""COMPUTED_VALUE"""),"Y")</f>
        <v>Y</v>
      </c>
      <c r="W189" s="1"/>
      <c r="X189" s="1"/>
      <c r="Y189" s="1" t="str">
        <f ca="1">IFERROR(__xludf.DUMMYFUNCTION("""COMPUTED_VALUE"""),"Eric Huang; Elizabeth Wildey")</f>
        <v>Eric Huang; Elizabeth Wildey</v>
      </c>
      <c r="Z189" s="1" t="str">
        <f ca="1">IFERROR(__xludf.DUMMYFUNCTION("""COMPUTED_VALUE"""),"erichuang13@yahoo.com; liza.wildey@gmail.com")</f>
        <v>erichuang13@yahoo.com; liza.wildey@gmail.com</v>
      </c>
      <c r="AA189" s="1"/>
      <c r="AB189" s="1"/>
      <c r="AC189" s="1"/>
    </row>
    <row r="190" spans="1:29">
      <c r="A190" s="1" t="str">
        <f ca="1">IFERROR(__xludf.DUMMYFUNCTION("""COMPUTED_VALUE"""),"42 Marcella Street")</f>
        <v>42 Marcella Street</v>
      </c>
      <c r="B190" s="1">
        <f ca="1">IFERROR(__xludf.DUMMYFUNCTION("""COMPUTED_VALUE"""),42)</f>
        <v>42</v>
      </c>
      <c r="C190" s="1" t="str">
        <f ca="1">IFERROR(__xludf.DUMMYFUNCTION("""COMPUTED_VALUE"""),"#1")</f>
        <v>#1</v>
      </c>
      <c r="D190" s="1" t="str">
        <f ca="1">IFERROR(__xludf.DUMMYFUNCTION("""COMPUTED_VALUE"""),"42 Marcella Street Unit 1")</f>
        <v>42 Marcella Street Unit 1</v>
      </c>
      <c r="E190" s="1" t="str">
        <f ca="1">IFERROR(__xludf.DUMMYFUNCTION("""COMPUTED_VALUE"""),"Boston")</f>
        <v>Boston</v>
      </c>
      <c r="F190" s="1" t="str">
        <f ca="1">IFERROR(__xludf.DUMMYFUNCTION("""COMPUTED_VALUE"""),"Boston - Nubian Square")</f>
        <v>Boston - Nubian Square</v>
      </c>
      <c r="G190" s="1">
        <f ca="1">IFERROR(__xludf.DUMMYFUNCTION("""COMPUTED_VALUE"""),1)</f>
        <v>1</v>
      </c>
      <c r="H190" s="1" t="str">
        <f ca="1">IFERROR(__xludf.DUMMYFUNCTION("""COMPUTED_VALUE"""),"A")</f>
        <v>A</v>
      </c>
      <c r="I190" s="4" t="str">
        <f ca="1">IFERROR(__xludf.DUMMYFUNCTION("""COMPUTED_VALUE"""),"42 Marcella Street#1A")</f>
        <v>42 Marcella Street#1A</v>
      </c>
      <c r="J190" s="4" t="str">
        <f ca="1">IFERROR(__xludf.DUMMYFUNCTION("""COMPUTED_VALUE"""),"695b4c73-d133-4ae4-8210-4a6762b5a8fc")</f>
        <v>695b4c73-d133-4ae4-8210-4a6762b5a8fc</v>
      </c>
      <c r="K190" s="4">
        <f ca="1">IFERROR(__xludf.DUMMYFUNCTION("""COMPUTED_VALUE"""),695)</f>
        <v>695</v>
      </c>
      <c r="L190" s="1" t="str">
        <f ca="1">IFERROR(__xludf.DUMMYFUNCTION("""COMPUTED_VALUE"""),"Cam")</f>
        <v>Cam</v>
      </c>
      <c r="M190" s="1" t="str">
        <f ca="1">IFERROR(__xludf.DUMMYFUNCTION("""COMPUTED_VALUE"""),"")</f>
        <v/>
      </c>
      <c r="N190" s="1" t="str">
        <f ca="1">IFERROR(__xludf.DUMMYFUNCTION("""COMPUTED_VALUE"""),"")</f>
        <v/>
      </c>
      <c r="O190" s="1" t="str">
        <f ca="1">IFERROR(__xludf.DUMMYFUNCTION("""COMPUTED_VALUE"""),"Lease Signed")</f>
        <v>Lease Signed</v>
      </c>
      <c r="P190" s="1" t="str">
        <f ca="1">IFERROR(__xludf.DUMMYFUNCTION("""COMPUTED_VALUE"""),"February")</f>
        <v>February</v>
      </c>
      <c r="Q190" s="1"/>
      <c r="R190" s="5">
        <f ca="1">IFERROR(__xludf.DUMMYFUNCTION("""COMPUTED_VALUE"""),43862)</f>
        <v>43862</v>
      </c>
      <c r="S190" s="1"/>
      <c r="T190" s="1"/>
      <c r="U190" s="1" t="str">
        <f ca="1">IFERROR(__xludf.DUMMYFUNCTION("""COMPUTED_VALUE"""),"Y")</f>
        <v>Y</v>
      </c>
      <c r="V190" s="1" t="str">
        <f ca="1">IFERROR(__xludf.DUMMYFUNCTION("""COMPUTED_VALUE"""),"N")</f>
        <v>N</v>
      </c>
      <c r="W190" s="1" t="str">
        <f ca="1">IFERROR(__xludf.DUMMYFUNCTION("""COMPUTED_VALUE"""),"Jay Maxey")</f>
        <v>Jay Maxey</v>
      </c>
      <c r="X190" s="1" t="str">
        <f ca="1">IFERROR(__xludf.DUMMYFUNCTION("""COMPUTED_VALUE"""),"Jaymaxey24@gmail.com")</f>
        <v>Jaymaxey24@gmail.com</v>
      </c>
      <c r="Y190" s="1"/>
      <c r="Z190" s="1"/>
      <c r="AA190" s="1"/>
      <c r="AB190" s="1"/>
      <c r="AC190" s="1" t="str">
        <f ca="1">IFERROR(__xludf.DUMMYFUNCTION("""COMPUTED_VALUE"""),"waiting for deposit and last months")</f>
        <v>waiting for deposit and last months</v>
      </c>
    </row>
    <row r="191" spans="1:29">
      <c r="A191" s="1" t="str">
        <f ca="1">IFERROR(__xludf.DUMMYFUNCTION("""COMPUTED_VALUE"""),"42 Marcella Street")</f>
        <v>42 Marcella Street</v>
      </c>
      <c r="B191" s="1">
        <f ca="1">IFERROR(__xludf.DUMMYFUNCTION("""COMPUTED_VALUE"""),42)</f>
        <v>42</v>
      </c>
      <c r="C191" s="1" t="str">
        <f ca="1">IFERROR(__xludf.DUMMYFUNCTION("""COMPUTED_VALUE"""),"#1")</f>
        <v>#1</v>
      </c>
      <c r="D191" s="1" t="str">
        <f ca="1">IFERROR(__xludf.DUMMYFUNCTION("""COMPUTED_VALUE"""),"42 Marcella Street Unit 1")</f>
        <v>42 Marcella Street Unit 1</v>
      </c>
      <c r="E191" s="1" t="str">
        <f ca="1">IFERROR(__xludf.DUMMYFUNCTION("""COMPUTED_VALUE"""),"Boston")</f>
        <v>Boston</v>
      </c>
      <c r="F191" s="1" t="str">
        <f ca="1">IFERROR(__xludf.DUMMYFUNCTION("""COMPUTED_VALUE"""),"Boston - Nubian Square")</f>
        <v>Boston - Nubian Square</v>
      </c>
      <c r="G191" s="1">
        <f ca="1">IFERROR(__xludf.DUMMYFUNCTION("""COMPUTED_VALUE"""),2)</f>
        <v>2</v>
      </c>
      <c r="H191" s="1" t="str">
        <f ca="1">IFERROR(__xludf.DUMMYFUNCTION("""COMPUTED_VALUE"""),"B")</f>
        <v>B</v>
      </c>
      <c r="I191" s="4" t="str">
        <f ca="1">IFERROR(__xludf.DUMMYFUNCTION("""COMPUTED_VALUE"""),"42 Marcella Street#1B")</f>
        <v>42 Marcella Street#1B</v>
      </c>
      <c r="J191" s="4" t="str">
        <f ca="1">IFERROR(__xludf.DUMMYFUNCTION("""COMPUTED_VALUE"""),"695b4c73-d133-4ae4-8210-4a6762b5a8fc")</f>
        <v>695b4c73-d133-4ae4-8210-4a6762b5a8fc</v>
      </c>
      <c r="K191" s="4">
        <f ca="1">IFERROR(__xludf.DUMMYFUNCTION("""COMPUTED_VALUE"""),800)</f>
        <v>800</v>
      </c>
      <c r="L191" s="1" t="str">
        <f ca="1">IFERROR(__xludf.DUMMYFUNCTION("""COMPUTED_VALUE"""),"Cam")</f>
        <v>Cam</v>
      </c>
      <c r="M191" s="1" t="str">
        <f ca="1">IFERROR(__xludf.DUMMYFUNCTION("""COMPUTED_VALUE"""),"Cam (later)")</f>
        <v>Cam (later)</v>
      </c>
      <c r="N191" s="1" t="str">
        <f ca="1">IFERROR(__xludf.DUMMYFUNCTION("""COMPUTED_VALUE"""),"")</f>
        <v/>
      </c>
      <c r="O191" s="1" t="str">
        <f ca="1">IFERROR(__xludf.DUMMYFUNCTION("""COMPUTED_VALUE"""),"Upcoming Vacancy")</f>
        <v>Upcoming Vacancy</v>
      </c>
      <c r="P191" s="1" t="str">
        <f ca="1">IFERROR(__xludf.DUMMYFUNCTION("""COMPUTED_VALUE"""),"April")</f>
        <v>April</v>
      </c>
      <c r="Q191" s="3">
        <f ca="1">IFERROR(__xludf.DUMMYFUNCTION("""COMPUTED_VALUE"""),44286)</f>
        <v>44286</v>
      </c>
      <c r="R191" s="1"/>
      <c r="S191" s="1"/>
      <c r="T191" s="1"/>
      <c r="U191" s="1" t="str">
        <f ca="1">IFERROR(__xludf.DUMMYFUNCTION("""COMPUTED_VALUE"""),"Y")</f>
        <v>Y</v>
      </c>
      <c r="V191" s="1" t="str">
        <f ca="1">IFERROR(__xludf.DUMMYFUNCTION("""COMPUTED_VALUE"""),"N")</f>
        <v>N</v>
      </c>
      <c r="W191" s="1"/>
      <c r="X191" s="1"/>
      <c r="Y191" s="1" t="str">
        <f ca="1">IFERROR(__xludf.DUMMYFUNCTION("""COMPUTED_VALUE"""),"Srikrishna Ram")</f>
        <v>Srikrishna Ram</v>
      </c>
      <c r="Z191" s="1" t="str">
        <f ca="1">IFERROR(__xludf.DUMMYFUNCTION("""COMPUTED_VALUE"""),"krish.shinchan@gmail.com")</f>
        <v>krish.shinchan@gmail.com</v>
      </c>
      <c r="AA191" s="1"/>
      <c r="AB191" s="1"/>
      <c r="AC191" s="1"/>
    </row>
    <row r="192" spans="1:29">
      <c r="A192" s="1" t="str">
        <f ca="1">IFERROR(__xludf.DUMMYFUNCTION("""COMPUTED_VALUE"""),"42 Marcella Street")</f>
        <v>42 Marcella Street</v>
      </c>
      <c r="B192" s="1">
        <f ca="1">IFERROR(__xludf.DUMMYFUNCTION("""COMPUTED_VALUE"""),42)</f>
        <v>42</v>
      </c>
      <c r="C192" s="1" t="str">
        <f ca="1">IFERROR(__xludf.DUMMYFUNCTION("""COMPUTED_VALUE"""),"#1")</f>
        <v>#1</v>
      </c>
      <c r="D192" s="1" t="str">
        <f ca="1">IFERROR(__xludf.DUMMYFUNCTION("""COMPUTED_VALUE"""),"42 Marcella Street Unit 1")</f>
        <v>42 Marcella Street Unit 1</v>
      </c>
      <c r="E192" s="1" t="str">
        <f ca="1">IFERROR(__xludf.DUMMYFUNCTION("""COMPUTED_VALUE"""),"Boston")</f>
        <v>Boston</v>
      </c>
      <c r="F192" s="1" t="str">
        <f ca="1">IFERROR(__xludf.DUMMYFUNCTION("""COMPUTED_VALUE"""),"Boston - Nubian Square")</f>
        <v>Boston - Nubian Square</v>
      </c>
      <c r="G192" s="1">
        <f ca="1">IFERROR(__xludf.DUMMYFUNCTION("""COMPUTED_VALUE"""),3)</f>
        <v>3</v>
      </c>
      <c r="H192" s="1" t="str">
        <f ca="1">IFERROR(__xludf.DUMMYFUNCTION("""COMPUTED_VALUE"""),"C")</f>
        <v>C</v>
      </c>
      <c r="I192" s="4" t="str">
        <f ca="1">IFERROR(__xludf.DUMMYFUNCTION("""COMPUTED_VALUE"""),"42 Marcella Street#1C")</f>
        <v>42 Marcella Street#1C</v>
      </c>
      <c r="J192" s="4" t="str">
        <f ca="1">IFERROR(__xludf.DUMMYFUNCTION("""COMPUTED_VALUE"""),"695b4c73-d133-4ae4-8210-4a6762b5a8fc")</f>
        <v>695b4c73-d133-4ae4-8210-4a6762b5a8fc</v>
      </c>
      <c r="K192" s="4">
        <f ca="1">IFERROR(__xludf.DUMMYFUNCTION("""COMPUTED_VALUE"""),850)</f>
        <v>850</v>
      </c>
      <c r="L192" s="1" t="str">
        <f ca="1">IFERROR(__xludf.DUMMYFUNCTION("""COMPUTED_VALUE"""),"Cam")</f>
        <v>Cam</v>
      </c>
      <c r="M192" s="1" t="str">
        <f ca="1">IFERROR(__xludf.DUMMYFUNCTION("""COMPUTED_VALUE"""),"")</f>
        <v/>
      </c>
      <c r="N192" s="1" t="str">
        <f ca="1">IFERROR(__xludf.DUMMYFUNCTION("""COMPUTED_VALUE"""),"")</f>
        <v/>
      </c>
      <c r="O192" s="1" t="str">
        <f ca="1">IFERROR(__xludf.DUMMYFUNCTION("""COMPUTED_VALUE"""),"Occupied")</f>
        <v>Occupied</v>
      </c>
      <c r="P192" s="1"/>
      <c r="Q192" s="1"/>
      <c r="R192" s="1"/>
      <c r="S192" s="1"/>
      <c r="T192" s="1"/>
      <c r="U192" s="1" t="str">
        <f ca="1">IFERROR(__xludf.DUMMYFUNCTION("""COMPUTED_VALUE"""),"Y")</f>
        <v>Y</v>
      </c>
      <c r="V192" s="1" t="str">
        <f ca="1">IFERROR(__xludf.DUMMYFUNCTION("""COMPUTED_VALUE"""),"N")</f>
        <v>N</v>
      </c>
      <c r="W192" s="1"/>
      <c r="X192" s="1"/>
      <c r="Y192" s="1" t="str">
        <f ca="1">IFERROR(__xludf.DUMMYFUNCTION("""COMPUTED_VALUE"""),"Ha-eun Ryu")</f>
        <v>Ha-eun Ryu</v>
      </c>
      <c r="Z192" s="1" t="str">
        <f ca="1">IFERROR(__xludf.DUMMYFUNCTION("""COMPUTED_VALUE"""),"haeunryu29@gmail.com")</f>
        <v>haeunryu29@gmail.com</v>
      </c>
      <c r="AA192" s="1"/>
      <c r="AB192" s="1"/>
      <c r="AC192" s="1"/>
    </row>
    <row r="193" spans="1:29">
      <c r="A193" s="1" t="str">
        <f ca="1">IFERROR(__xludf.DUMMYFUNCTION("""COMPUTED_VALUE"""),"42 Marcella Street")</f>
        <v>42 Marcella Street</v>
      </c>
      <c r="B193" s="1">
        <f ca="1">IFERROR(__xludf.DUMMYFUNCTION("""COMPUTED_VALUE"""),42)</f>
        <v>42</v>
      </c>
      <c r="C193" s="1" t="str">
        <f ca="1">IFERROR(__xludf.DUMMYFUNCTION("""COMPUTED_VALUE"""),"#1")</f>
        <v>#1</v>
      </c>
      <c r="D193" s="1" t="str">
        <f ca="1">IFERROR(__xludf.DUMMYFUNCTION("""COMPUTED_VALUE"""),"42 Marcella Street Unit 1")</f>
        <v>42 Marcella Street Unit 1</v>
      </c>
      <c r="E193" s="1" t="str">
        <f ca="1">IFERROR(__xludf.DUMMYFUNCTION("""COMPUTED_VALUE"""),"Boston")</f>
        <v>Boston</v>
      </c>
      <c r="F193" s="1" t="str">
        <f ca="1">IFERROR(__xludf.DUMMYFUNCTION("""COMPUTED_VALUE"""),"Boston - Nubian Square")</f>
        <v>Boston - Nubian Square</v>
      </c>
      <c r="G193" s="1">
        <f ca="1">IFERROR(__xludf.DUMMYFUNCTION("""COMPUTED_VALUE"""),4)</f>
        <v>4</v>
      </c>
      <c r="H193" s="1" t="str">
        <f ca="1">IFERROR(__xludf.DUMMYFUNCTION("""COMPUTED_VALUE"""),"D")</f>
        <v>D</v>
      </c>
      <c r="I193" s="4" t="str">
        <f ca="1">IFERROR(__xludf.DUMMYFUNCTION("""COMPUTED_VALUE"""),"42 Marcella Street#1D")</f>
        <v>42 Marcella Street#1D</v>
      </c>
      <c r="J193" s="4" t="str">
        <f ca="1">IFERROR(__xludf.DUMMYFUNCTION("""COMPUTED_VALUE"""),"695b4c73-d133-4ae4-8210-4a6762b5a8fc")</f>
        <v>695b4c73-d133-4ae4-8210-4a6762b5a8fc</v>
      </c>
      <c r="K193" s="4">
        <f ca="1">IFERROR(__xludf.DUMMYFUNCTION("""COMPUTED_VALUE"""),900)</f>
        <v>900</v>
      </c>
      <c r="L193" s="1" t="str">
        <f ca="1">IFERROR(__xludf.DUMMYFUNCTION("""COMPUTED_VALUE"""),"Cam")</f>
        <v>Cam</v>
      </c>
      <c r="M193" s="1" t="str">
        <f ca="1">IFERROR(__xludf.DUMMYFUNCTION("""COMPUTED_VALUE"""),"")</f>
        <v/>
      </c>
      <c r="N193" s="1" t="str">
        <f ca="1">IFERROR(__xludf.DUMMYFUNCTION("""COMPUTED_VALUE"""),"")</f>
        <v/>
      </c>
      <c r="O193" s="1" t="str">
        <f ca="1">IFERROR(__xludf.DUMMYFUNCTION("""COMPUTED_VALUE"""),"Occupied")</f>
        <v>Occupied</v>
      </c>
      <c r="P193" s="1"/>
      <c r="Q193" s="1"/>
      <c r="R193" s="1"/>
      <c r="S193" s="1"/>
      <c r="T193" s="1"/>
      <c r="U193" s="1" t="str">
        <f ca="1">IFERROR(__xludf.DUMMYFUNCTION("""COMPUTED_VALUE"""),"Y")</f>
        <v>Y</v>
      </c>
      <c r="V193" s="1" t="str">
        <f ca="1">IFERROR(__xludf.DUMMYFUNCTION("""COMPUTED_VALUE"""),"N")</f>
        <v>N</v>
      </c>
      <c r="W193" s="1"/>
      <c r="X193" s="1"/>
      <c r="Y193" s="1" t="str">
        <f ca="1">IFERROR(__xludf.DUMMYFUNCTION("""COMPUTED_VALUE"""),"Alan Toda-Ambaras")</f>
        <v>Alan Toda-Ambaras</v>
      </c>
      <c r="Z193" s="1" t="str">
        <f ca="1">IFERROR(__xludf.DUMMYFUNCTION("""COMPUTED_VALUE"""),"amtacello@zoho.com")</f>
        <v>amtacello@zoho.com</v>
      </c>
      <c r="AA193" s="1"/>
      <c r="AB193" s="1"/>
      <c r="AC193" s="1"/>
    </row>
    <row r="194" spans="1:29">
      <c r="A194" s="1" t="str">
        <f ca="1">IFERROR(__xludf.DUMMYFUNCTION("""COMPUTED_VALUE"""),"45 Crescent Avenue")</f>
        <v>45 Crescent Avenue</v>
      </c>
      <c r="B194" s="1">
        <f ca="1">IFERROR(__xludf.DUMMYFUNCTION("""COMPUTED_VALUE"""),45)</f>
        <v>45</v>
      </c>
      <c r="C194" s="1" t="str">
        <f ca="1">IFERROR(__xludf.DUMMYFUNCTION("""COMPUTED_VALUE"""),"#1")</f>
        <v>#1</v>
      </c>
      <c r="D194" s="1" t="str">
        <f ca="1">IFERROR(__xludf.DUMMYFUNCTION("""COMPUTED_VALUE"""),"45 Crescent Avenue Unit 1")</f>
        <v>45 Crescent Avenue Unit 1</v>
      </c>
      <c r="E194" s="1" t="str">
        <f ca="1">IFERROR(__xludf.DUMMYFUNCTION("""COMPUTED_VALUE"""),"Boston")</f>
        <v>Boston</v>
      </c>
      <c r="F194" s="1" t="str">
        <f ca="1">IFERROR(__xludf.DUMMYFUNCTION("""COMPUTED_VALUE"""),"Boston - Dorchester")</f>
        <v>Boston - Dorchester</v>
      </c>
      <c r="G194" s="1">
        <f ca="1">IFERROR(__xludf.DUMMYFUNCTION("""COMPUTED_VALUE"""),1)</f>
        <v>1</v>
      </c>
      <c r="H194" s="1" t="str">
        <f ca="1">IFERROR(__xludf.DUMMYFUNCTION("""COMPUTED_VALUE"""),"A")</f>
        <v>A</v>
      </c>
      <c r="I194" s="4" t="str">
        <f ca="1">IFERROR(__xludf.DUMMYFUNCTION("""COMPUTED_VALUE"""),"45 Crescent Avenue#1A")</f>
        <v>45 Crescent Avenue#1A</v>
      </c>
      <c r="J194" s="4" t="str">
        <f ca="1">IFERROR(__xludf.DUMMYFUNCTION("""COMPUTED_VALUE"""),"718faecc-1ff4-494c-831c-ce57021c4321")</f>
        <v>718faecc-1ff4-494c-831c-ce57021c4321</v>
      </c>
      <c r="K194" s="4">
        <f ca="1">IFERROR(__xludf.DUMMYFUNCTION("""COMPUTED_VALUE"""),1095)</f>
        <v>1095</v>
      </c>
      <c r="L194" s="1" t="str">
        <f ca="1">IFERROR(__xludf.DUMMYFUNCTION("""COMPUTED_VALUE"""),"Cam")</f>
        <v>Cam</v>
      </c>
      <c r="M194" s="1" t="str">
        <f ca="1">IFERROR(__xludf.DUMMYFUNCTION("""COMPUTED_VALUE"""),"Cam (NOW)")</f>
        <v>Cam (NOW)</v>
      </c>
      <c r="N194" s="1" t="str">
        <f ca="1">IFERROR(__xludf.DUMMYFUNCTION("""COMPUTED_VALUE"""),"")</f>
        <v/>
      </c>
      <c r="O194" s="1" t="str">
        <f ca="1">IFERROR(__xludf.DUMMYFUNCTION("""COMPUTED_VALUE"""),"Upcoming Vacancy")</f>
        <v>Upcoming Vacancy</v>
      </c>
      <c r="P194" s="1" t="str">
        <f ca="1">IFERROR(__xludf.DUMMYFUNCTION("""COMPUTED_VALUE"""),"March")</f>
        <v>March</v>
      </c>
      <c r="Q194" s="3">
        <f ca="1">IFERROR(__xludf.DUMMYFUNCTION("""COMPUTED_VALUE"""),43881)</f>
        <v>43881</v>
      </c>
      <c r="R194" s="1"/>
      <c r="S194" s="1" t="str">
        <f ca="1">IFERROR(__xludf.DUMMYFUNCTION("""COMPUTED_VALUE"""),"NO DOGS")</f>
        <v>NO DOGS</v>
      </c>
      <c r="T194" s="1"/>
      <c r="U194" s="1" t="str">
        <f ca="1">IFERROR(__xludf.DUMMYFUNCTION("""COMPUTED_VALUE"""),"Y")</f>
        <v>Y</v>
      </c>
      <c r="V194" s="1" t="str">
        <f ca="1">IFERROR(__xludf.DUMMYFUNCTION("""COMPUTED_VALUE"""),"N")</f>
        <v>N</v>
      </c>
      <c r="W194" s="1"/>
      <c r="X194" s="1"/>
      <c r="Y194" s="1" t="str">
        <f ca="1">IFERROR(__xludf.DUMMYFUNCTION("""COMPUTED_VALUE"""),"Bruno Barbosa")</f>
        <v>Bruno Barbosa</v>
      </c>
      <c r="Z194" s="1" t="str">
        <f ca="1">IFERROR(__xludf.DUMMYFUNCTION("""COMPUTED_VALUE"""),"cvbruno13@gmail.com")</f>
        <v>cvbruno13@gmail.com</v>
      </c>
      <c r="AA194" s="1"/>
      <c r="AB194" s="1"/>
      <c r="AC194" s="1"/>
    </row>
    <row r="195" spans="1:29">
      <c r="A195" s="1" t="str">
        <f ca="1">IFERROR(__xludf.DUMMYFUNCTION("""COMPUTED_VALUE"""),"45 Crescent Avenue")</f>
        <v>45 Crescent Avenue</v>
      </c>
      <c r="B195" s="1">
        <f ca="1">IFERROR(__xludf.DUMMYFUNCTION("""COMPUTED_VALUE"""),45)</f>
        <v>45</v>
      </c>
      <c r="C195" s="1" t="str">
        <f ca="1">IFERROR(__xludf.DUMMYFUNCTION("""COMPUTED_VALUE"""),"#1")</f>
        <v>#1</v>
      </c>
      <c r="D195" s="1" t="str">
        <f ca="1">IFERROR(__xludf.DUMMYFUNCTION("""COMPUTED_VALUE"""),"45 Crescent Avenue Unit 1")</f>
        <v>45 Crescent Avenue Unit 1</v>
      </c>
      <c r="E195" s="1" t="str">
        <f ca="1">IFERROR(__xludf.DUMMYFUNCTION("""COMPUTED_VALUE"""),"Boston")</f>
        <v>Boston</v>
      </c>
      <c r="F195" s="1" t="str">
        <f ca="1">IFERROR(__xludf.DUMMYFUNCTION("""COMPUTED_VALUE"""),"Boston - Dorchester")</f>
        <v>Boston - Dorchester</v>
      </c>
      <c r="G195" s="1">
        <f ca="1">IFERROR(__xludf.DUMMYFUNCTION("""COMPUTED_VALUE"""),2)</f>
        <v>2</v>
      </c>
      <c r="H195" s="1" t="str">
        <f ca="1">IFERROR(__xludf.DUMMYFUNCTION("""COMPUTED_VALUE"""),"B")</f>
        <v>B</v>
      </c>
      <c r="I195" s="4" t="str">
        <f ca="1">IFERROR(__xludf.DUMMYFUNCTION("""COMPUTED_VALUE"""),"45 Crescent Avenue#1B")</f>
        <v>45 Crescent Avenue#1B</v>
      </c>
      <c r="J195" s="4" t="str">
        <f ca="1">IFERROR(__xludf.DUMMYFUNCTION("""COMPUTED_VALUE"""),"718faecc-1ff4-494c-831c-ce57021c4321")</f>
        <v>718faecc-1ff4-494c-831c-ce57021c4321</v>
      </c>
      <c r="K195" s="4">
        <f ca="1">IFERROR(__xludf.DUMMYFUNCTION("""COMPUTED_VALUE"""),950)</f>
        <v>950</v>
      </c>
      <c r="L195" s="1" t="str">
        <f ca="1">IFERROR(__xludf.DUMMYFUNCTION("""COMPUTED_VALUE"""),"Cam")</f>
        <v>Cam</v>
      </c>
      <c r="M195" s="1" t="str">
        <f ca="1">IFERROR(__xludf.DUMMYFUNCTION("""COMPUTED_VALUE"""),"")</f>
        <v/>
      </c>
      <c r="N195" s="1" t="str">
        <f ca="1">IFERROR(__xludf.DUMMYFUNCTION("""COMPUTED_VALUE"""),"")</f>
        <v/>
      </c>
      <c r="O195" s="1" t="str">
        <f ca="1">IFERROR(__xludf.DUMMYFUNCTION("""COMPUTED_VALUE"""),"Occupied")</f>
        <v>Occupied</v>
      </c>
      <c r="P195" s="1"/>
      <c r="Q195" s="1"/>
      <c r="R195" s="1"/>
      <c r="S195" s="1" t="str">
        <f ca="1">IFERROR(__xludf.DUMMYFUNCTION("""COMPUTED_VALUE"""),"NO DOGS")</f>
        <v>NO DOGS</v>
      </c>
      <c r="T195" s="1"/>
      <c r="U195" s="1" t="str">
        <f ca="1">IFERROR(__xludf.DUMMYFUNCTION("""COMPUTED_VALUE"""),"Y")</f>
        <v>Y</v>
      </c>
      <c r="V195" s="1" t="str">
        <f ca="1">IFERROR(__xludf.DUMMYFUNCTION("""COMPUTED_VALUE"""),"N")</f>
        <v>N</v>
      </c>
      <c r="W195" s="1"/>
      <c r="X195" s="1"/>
      <c r="Y195" s="1" t="str">
        <f ca="1">IFERROR(__xludf.DUMMYFUNCTION("""COMPUTED_VALUE"""),"Sean Hickey")</f>
        <v>Sean Hickey</v>
      </c>
      <c r="Z195" s="1" t="str">
        <f ca="1">IFERROR(__xludf.DUMMYFUNCTION("""COMPUTED_VALUE"""),"seanhickey20@gmail.com")</f>
        <v>seanhickey20@gmail.com</v>
      </c>
      <c r="AA195" s="1"/>
      <c r="AB195" s="1"/>
      <c r="AC195" s="1"/>
    </row>
    <row r="196" spans="1:29">
      <c r="A196" s="1" t="str">
        <f ca="1">IFERROR(__xludf.DUMMYFUNCTION("""COMPUTED_VALUE"""),"45 Crescent Avenue")</f>
        <v>45 Crescent Avenue</v>
      </c>
      <c r="B196" s="1">
        <f ca="1">IFERROR(__xludf.DUMMYFUNCTION("""COMPUTED_VALUE"""),45)</f>
        <v>45</v>
      </c>
      <c r="C196" s="1" t="str">
        <f ca="1">IFERROR(__xludf.DUMMYFUNCTION("""COMPUTED_VALUE"""),"#1")</f>
        <v>#1</v>
      </c>
      <c r="D196" s="1" t="str">
        <f ca="1">IFERROR(__xludf.DUMMYFUNCTION("""COMPUTED_VALUE"""),"45 Crescent Avenue Unit 1")</f>
        <v>45 Crescent Avenue Unit 1</v>
      </c>
      <c r="E196" s="1" t="str">
        <f ca="1">IFERROR(__xludf.DUMMYFUNCTION("""COMPUTED_VALUE"""),"Boston")</f>
        <v>Boston</v>
      </c>
      <c r="F196" s="1" t="str">
        <f ca="1">IFERROR(__xludf.DUMMYFUNCTION("""COMPUTED_VALUE"""),"Boston - Dorchester")</f>
        <v>Boston - Dorchester</v>
      </c>
      <c r="G196" s="1">
        <f ca="1">IFERROR(__xludf.DUMMYFUNCTION("""COMPUTED_VALUE"""),3)</f>
        <v>3</v>
      </c>
      <c r="H196" s="1" t="str">
        <f ca="1">IFERROR(__xludf.DUMMYFUNCTION("""COMPUTED_VALUE"""),"C")</f>
        <v>C</v>
      </c>
      <c r="I196" s="4" t="str">
        <f ca="1">IFERROR(__xludf.DUMMYFUNCTION("""COMPUTED_VALUE"""),"45 Crescent Avenue#1C")</f>
        <v>45 Crescent Avenue#1C</v>
      </c>
      <c r="J196" s="4" t="str">
        <f ca="1">IFERROR(__xludf.DUMMYFUNCTION("""COMPUTED_VALUE"""),"718faecc-1ff4-494c-831c-ce57021c4321")</f>
        <v>718faecc-1ff4-494c-831c-ce57021c4321</v>
      </c>
      <c r="K196" s="4">
        <f ca="1">IFERROR(__xludf.DUMMYFUNCTION("""COMPUTED_VALUE"""),795)</f>
        <v>795</v>
      </c>
      <c r="L196" s="1" t="str">
        <f ca="1">IFERROR(__xludf.DUMMYFUNCTION("""COMPUTED_VALUE"""),"Cam")</f>
        <v>Cam</v>
      </c>
      <c r="M196" s="1" t="str">
        <f ca="1">IFERROR(__xludf.DUMMYFUNCTION("""COMPUTED_VALUE"""),"")</f>
        <v/>
      </c>
      <c r="N196" s="1" t="str">
        <f ca="1">IFERROR(__xludf.DUMMYFUNCTION("""COMPUTED_VALUE"""),"")</f>
        <v/>
      </c>
      <c r="O196" s="1" t="str">
        <f ca="1">IFERROR(__xludf.DUMMYFUNCTION("""COMPUTED_VALUE"""),"Lease Signed")</f>
        <v>Lease Signed</v>
      </c>
      <c r="P196" s="1" t="str">
        <f ca="1">IFERROR(__xludf.DUMMYFUNCTION("""COMPUTED_VALUE"""),"January")</f>
        <v>January</v>
      </c>
      <c r="Q196" s="1"/>
      <c r="R196" s="5">
        <f ca="1">IFERROR(__xludf.DUMMYFUNCTION("""COMPUTED_VALUE"""),44211)</f>
        <v>44211</v>
      </c>
      <c r="S196" s="1" t="str">
        <f ca="1">IFERROR(__xludf.DUMMYFUNCTION("""COMPUTED_VALUE"""),"NO DOGS")</f>
        <v>NO DOGS</v>
      </c>
      <c r="T196" s="1"/>
      <c r="U196" s="1" t="str">
        <f ca="1">IFERROR(__xludf.DUMMYFUNCTION("""COMPUTED_VALUE"""),"Y")</f>
        <v>Y</v>
      </c>
      <c r="V196" s="1" t="str">
        <f ca="1">IFERROR(__xludf.DUMMYFUNCTION("""COMPUTED_VALUE"""),"N")</f>
        <v>N</v>
      </c>
      <c r="W196" s="1" t="str">
        <f ca="1">IFERROR(__xludf.DUMMYFUNCTION("""COMPUTED_VALUE"""),"Carla Ceja")</f>
        <v>Carla Ceja</v>
      </c>
      <c r="X196" s="1" t="str">
        <f ca="1">IFERROR(__xludf.DUMMYFUNCTION("""COMPUTED_VALUE"""),"carlaceja.16@gmail.com")</f>
        <v>carlaceja.16@gmail.com</v>
      </c>
      <c r="Y196" s="1"/>
      <c r="Z196" s="1"/>
      <c r="AA196" s="1"/>
      <c r="AB196" s="1"/>
      <c r="AC196" s="1" t="str">
        <f ca="1">IFERROR(__xludf.DUMMYFUNCTION("""COMPUTED_VALUE"""),"waiting for rent")</f>
        <v>waiting for rent</v>
      </c>
    </row>
    <row r="197" spans="1:29">
      <c r="A197" s="1" t="str">
        <f ca="1">IFERROR(__xludf.DUMMYFUNCTION("""COMPUTED_VALUE"""),"45 Crescent Avenue")</f>
        <v>45 Crescent Avenue</v>
      </c>
      <c r="B197" s="1">
        <f ca="1">IFERROR(__xludf.DUMMYFUNCTION("""COMPUTED_VALUE"""),45)</f>
        <v>45</v>
      </c>
      <c r="C197" s="1" t="str">
        <f ca="1">IFERROR(__xludf.DUMMYFUNCTION("""COMPUTED_VALUE"""),"#1")</f>
        <v>#1</v>
      </c>
      <c r="D197" s="1" t="str">
        <f ca="1">IFERROR(__xludf.DUMMYFUNCTION("""COMPUTED_VALUE"""),"45 Crescent Avenue Unit 1")</f>
        <v>45 Crescent Avenue Unit 1</v>
      </c>
      <c r="E197" s="1" t="str">
        <f ca="1">IFERROR(__xludf.DUMMYFUNCTION("""COMPUTED_VALUE"""),"Boston")</f>
        <v>Boston</v>
      </c>
      <c r="F197" s="1" t="str">
        <f ca="1">IFERROR(__xludf.DUMMYFUNCTION("""COMPUTED_VALUE"""),"Boston - Dorchester")</f>
        <v>Boston - Dorchester</v>
      </c>
      <c r="G197" s="1">
        <f ca="1">IFERROR(__xludf.DUMMYFUNCTION("""COMPUTED_VALUE"""),4)</f>
        <v>4</v>
      </c>
      <c r="H197" s="1" t="str">
        <f ca="1">IFERROR(__xludf.DUMMYFUNCTION("""COMPUTED_VALUE"""),"D")</f>
        <v>D</v>
      </c>
      <c r="I197" s="4" t="str">
        <f ca="1">IFERROR(__xludf.DUMMYFUNCTION("""COMPUTED_VALUE"""),"45 Crescent Avenue#1D")</f>
        <v>45 Crescent Avenue#1D</v>
      </c>
      <c r="J197" s="4" t="str">
        <f ca="1">IFERROR(__xludf.DUMMYFUNCTION("""COMPUTED_VALUE"""),"718faecc-1ff4-494c-831c-ce57021c4321")</f>
        <v>718faecc-1ff4-494c-831c-ce57021c4321</v>
      </c>
      <c r="K197" s="4">
        <f ca="1">IFERROR(__xludf.DUMMYFUNCTION("""COMPUTED_VALUE"""),800)</f>
        <v>800</v>
      </c>
      <c r="L197" s="1" t="str">
        <f ca="1">IFERROR(__xludf.DUMMYFUNCTION("""COMPUTED_VALUE"""),"Cam")</f>
        <v>Cam</v>
      </c>
      <c r="M197" s="1" t="str">
        <f ca="1">IFERROR(__xludf.DUMMYFUNCTION("""COMPUTED_VALUE"""),"")</f>
        <v/>
      </c>
      <c r="N197" s="1" t="str">
        <f ca="1">IFERROR(__xludf.DUMMYFUNCTION("""COMPUTED_VALUE"""),"")</f>
        <v/>
      </c>
      <c r="O197" s="1" t="str">
        <f ca="1">IFERROR(__xludf.DUMMYFUNCTION("""COMPUTED_VALUE"""),"Occupied")</f>
        <v>Occupied</v>
      </c>
      <c r="P197" s="1"/>
      <c r="Q197" s="1"/>
      <c r="R197" s="1"/>
      <c r="S197" s="1" t="str">
        <f ca="1">IFERROR(__xludf.DUMMYFUNCTION("""COMPUTED_VALUE"""),"NO DOGS")</f>
        <v>NO DOGS</v>
      </c>
      <c r="T197" s="1"/>
      <c r="U197" s="1" t="str">
        <f ca="1">IFERROR(__xludf.DUMMYFUNCTION("""COMPUTED_VALUE"""),"Y")</f>
        <v>Y</v>
      </c>
      <c r="V197" s="1" t="str">
        <f ca="1">IFERROR(__xludf.DUMMYFUNCTION("""COMPUTED_VALUE"""),"N")</f>
        <v>N</v>
      </c>
      <c r="W197" s="1"/>
      <c r="X197" s="1"/>
      <c r="Y197" s="1" t="str">
        <f ca="1">IFERROR(__xludf.DUMMYFUNCTION("""COMPUTED_VALUE"""),"Cordelia Abidaoud")</f>
        <v>Cordelia Abidaoud</v>
      </c>
      <c r="Z197" s="1" t="str">
        <f ca="1">IFERROR(__xludf.DUMMYFUNCTION("""COMPUTED_VALUE"""),"cordelia.abidaoud@gmail.com")</f>
        <v>cordelia.abidaoud@gmail.com</v>
      </c>
      <c r="AA197" s="1"/>
      <c r="AB197" s="1"/>
      <c r="AC197" s="1"/>
    </row>
    <row r="198" spans="1:29">
      <c r="A198" s="1" t="str">
        <f ca="1">IFERROR(__xludf.DUMMYFUNCTION("""COMPUTED_VALUE"""),"45 Crescent Avenue")</f>
        <v>45 Crescent Avenue</v>
      </c>
      <c r="B198" s="1">
        <f ca="1">IFERROR(__xludf.DUMMYFUNCTION("""COMPUTED_VALUE"""),45)</f>
        <v>45</v>
      </c>
      <c r="C198" s="1" t="str">
        <f ca="1">IFERROR(__xludf.DUMMYFUNCTION("""COMPUTED_VALUE"""),"#1")</f>
        <v>#1</v>
      </c>
      <c r="D198" s="1" t="str">
        <f ca="1">IFERROR(__xludf.DUMMYFUNCTION("""COMPUTED_VALUE"""),"45 Crescent Avenue Unit 1")</f>
        <v>45 Crescent Avenue Unit 1</v>
      </c>
      <c r="E198" s="1" t="str">
        <f ca="1">IFERROR(__xludf.DUMMYFUNCTION("""COMPUTED_VALUE"""),"Boston")</f>
        <v>Boston</v>
      </c>
      <c r="F198" s="1" t="str">
        <f ca="1">IFERROR(__xludf.DUMMYFUNCTION("""COMPUTED_VALUE"""),"Boston - Dorchester")</f>
        <v>Boston - Dorchester</v>
      </c>
      <c r="G198" s="1">
        <f ca="1">IFERROR(__xludf.DUMMYFUNCTION("""COMPUTED_VALUE"""),5)</f>
        <v>5</v>
      </c>
      <c r="H198" s="1" t="str">
        <f ca="1">IFERROR(__xludf.DUMMYFUNCTION("""COMPUTED_VALUE"""),"E")</f>
        <v>E</v>
      </c>
      <c r="I198" s="4" t="str">
        <f ca="1">IFERROR(__xludf.DUMMYFUNCTION("""COMPUTED_VALUE"""),"45 Crescent Avenue#1E")</f>
        <v>45 Crescent Avenue#1E</v>
      </c>
      <c r="J198" s="4" t="str">
        <f ca="1">IFERROR(__xludf.DUMMYFUNCTION("""COMPUTED_VALUE"""),"718faecc-1ff4-494c-831c-ce57021c4321")</f>
        <v>718faecc-1ff4-494c-831c-ce57021c4321</v>
      </c>
      <c r="K198" s="4">
        <f ca="1">IFERROR(__xludf.DUMMYFUNCTION("""COMPUTED_VALUE"""),850)</f>
        <v>850</v>
      </c>
      <c r="L198" s="1" t="str">
        <f ca="1">IFERROR(__xludf.DUMMYFUNCTION("""COMPUTED_VALUE"""),"Cam")</f>
        <v>Cam</v>
      </c>
      <c r="M198" s="1" t="str">
        <f ca="1">IFERROR(__xludf.DUMMYFUNCTION("""COMPUTED_VALUE"""),"")</f>
        <v/>
      </c>
      <c r="N198" s="1" t="str">
        <f ca="1">IFERROR(__xludf.DUMMYFUNCTION("""COMPUTED_VALUE"""),"")</f>
        <v/>
      </c>
      <c r="O198" s="1" t="str">
        <f ca="1">IFERROR(__xludf.DUMMYFUNCTION("""COMPUTED_VALUE"""),"Occupied")</f>
        <v>Occupied</v>
      </c>
      <c r="P198" s="1"/>
      <c r="Q198" s="1"/>
      <c r="R198" s="1"/>
      <c r="S198" s="1" t="str">
        <f ca="1">IFERROR(__xludf.DUMMYFUNCTION("""COMPUTED_VALUE"""),"NO DOGS")</f>
        <v>NO DOGS</v>
      </c>
      <c r="T198" s="1"/>
      <c r="U198" s="1" t="str">
        <f ca="1">IFERROR(__xludf.DUMMYFUNCTION("""COMPUTED_VALUE"""),"Y")</f>
        <v>Y</v>
      </c>
      <c r="V198" s="1" t="str">
        <f ca="1">IFERROR(__xludf.DUMMYFUNCTION("""COMPUTED_VALUE"""),"N")</f>
        <v>N</v>
      </c>
      <c r="W198" s="1"/>
      <c r="X198" s="1"/>
      <c r="Y198" s="1" t="str">
        <f ca="1">IFERROR(__xludf.DUMMYFUNCTION("""COMPUTED_VALUE"""),"Tamir Shimshoni")</f>
        <v>Tamir Shimshoni</v>
      </c>
      <c r="Z198" s="1" t="str">
        <f ca="1">IFERROR(__xludf.DUMMYFUNCTION("""COMPUTED_VALUE"""),"tshimshoni@berklee.edu")</f>
        <v>tshimshoni@berklee.edu</v>
      </c>
      <c r="AA198" s="1"/>
      <c r="AB198" s="1"/>
      <c r="AC198" s="1"/>
    </row>
    <row r="199" spans="1:29">
      <c r="A199" s="1" t="str">
        <f ca="1">IFERROR(__xludf.DUMMYFUNCTION("""COMPUTED_VALUE"""),"45 Crescent Avenue")</f>
        <v>45 Crescent Avenue</v>
      </c>
      <c r="B199" s="1">
        <f ca="1">IFERROR(__xludf.DUMMYFUNCTION("""COMPUTED_VALUE"""),45)</f>
        <v>45</v>
      </c>
      <c r="C199" s="1" t="str">
        <f ca="1">IFERROR(__xludf.DUMMYFUNCTION("""COMPUTED_VALUE"""),"#3")</f>
        <v>#3</v>
      </c>
      <c r="D199" s="1" t="str">
        <f ca="1">IFERROR(__xludf.DUMMYFUNCTION("""COMPUTED_VALUE"""),"45 Crescent Avenue Unit 3")</f>
        <v>45 Crescent Avenue Unit 3</v>
      </c>
      <c r="E199" s="1" t="str">
        <f ca="1">IFERROR(__xludf.DUMMYFUNCTION("""COMPUTED_VALUE"""),"Boston")</f>
        <v>Boston</v>
      </c>
      <c r="F199" s="1" t="str">
        <f ca="1">IFERROR(__xludf.DUMMYFUNCTION("""COMPUTED_VALUE"""),"Boston - Dorchester")</f>
        <v>Boston - Dorchester</v>
      </c>
      <c r="G199" s="1">
        <f ca="1">IFERROR(__xludf.DUMMYFUNCTION("""COMPUTED_VALUE"""),1)</f>
        <v>1</v>
      </c>
      <c r="H199" s="1" t="str">
        <f ca="1">IFERROR(__xludf.DUMMYFUNCTION("""COMPUTED_VALUE"""),"A")</f>
        <v>A</v>
      </c>
      <c r="I199" s="4" t="str">
        <f ca="1">IFERROR(__xludf.DUMMYFUNCTION("""COMPUTED_VALUE"""),"45 Crescent Avenue#3A")</f>
        <v>45 Crescent Avenue#3A</v>
      </c>
      <c r="J199" s="4" t="str">
        <f ca="1">IFERROR(__xludf.DUMMYFUNCTION("""COMPUTED_VALUE"""),"0bb7df9c-91a1-4aa5-adac-7a33b0daa30e")</f>
        <v>0bb7df9c-91a1-4aa5-adac-7a33b0daa30e</v>
      </c>
      <c r="K199" s="4">
        <f ca="1">IFERROR(__xludf.DUMMYFUNCTION("""COMPUTED_VALUE"""),750)</f>
        <v>750</v>
      </c>
      <c r="L199" s="1" t="str">
        <f ca="1">IFERROR(__xludf.DUMMYFUNCTION("""COMPUTED_VALUE"""),"Cam")</f>
        <v>Cam</v>
      </c>
      <c r="M199" s="1" t="str">
        <f ca="1">IFERROR(__xludf.DUMMYFUNCTION("""COMPUTED_VALUE"""),"")</f>
        <v/>
      </c>
      <c r="N199" s="1" t="str">
        <f ca="1">IFERROR(__xludf.DUMMYFUNCTION("""COMPUTED_VALUE"""),"")</f>
        <v/>
      </c>
      <c r="O199" s="1" t="str">
        <f ca="1">IFERROR(__xludf.DUMMYFUNCTION("""COMPUTED_VALUE"""),"Occupied")</f>
        <v>Occupied</v>
      </c>
      <c r="P199" s="1"/>
      <c r="Q199" s="1"/>
      <c r="R199" s="1"/>
      <c r="S199" s="1" t="str">
        <f ca="1">IFERROR(__xludf.DUMMYFUNCTION("""COMPUTED_VALUE"""),"NO DOGS")</f>
        <v>NO DOGS</v>
      </c>
      <c r="T199" s="1"/>
      <c r="U199" s="1" t="str">
        <f ca="1">IFERROR(__xludf.DUMMYFUNCTION("""COMPUTED_VALUE"""),"Y")</f>
        <v>Y</v>
      </c>
      <c r="V199" s="1" t="str">
        <f ca="1">IFERROR(__xludf.DUMMYFUNCTION("""COMPUTED_VALUE"""),"N")</f>
        <v>N</v>
      </c>
      <c r="W199" s="1"/>
      <c r="X199" s="1"/>
      <c r="Y199" s="1" t="str">
        <f ca="1">IFERROR(__xludf.DUMMYFUNCTION("""COMPUTED_VALUE"""),"Briana Vega")</f>
        <v>Briana Vega</v>
      </c>
      <c r="Z199" s="1" t="str">
        <f ca="1">IFERROR(__xludf.DUMMYFUNCTION("""COMPUTED_VALUE"""),"Brivega1295@gmail.com")</f>
        <v>Brivega1295@gmail.com</v>
      </c>
      <c r="AA199" s="1"/>
      <c r="AB199" s="1"/>
      <c r="AC199" s="1"/>
    </row>
    <row r="200" spans="1:29">
      <c r="A200" s="1" t="str">
        <f ca="1">IFERROR(__xludf.DUMMYFUNCTION("""COMPUTED_VALUE"""),"45 Crescent Avenue")</f>
        <v>45 Crescent Avenue</v>
      </c>
      <c r="B200" s="1">
        <f ca="1">IFERROR(__xludf.DUMMYFUNCTION("""COMPUTED_VALUE"""),45)</f>
        <v>45</v>
      </c>
      <c r="C200" s="1" t="str">
        <f ca="1">IFERROR(__xludf.DUMMYFUNCTION("""COMPUTED_VALUE"""),"#3")</f>
        <v>#3</v>
      </c>
      <c r="D200" s="1" t="str">
        <f ca="1">IFERROR(__xludf.DUMMYFUNCTION("""COMPUTED_VALUE"""),"45 Crescent Avenue Unit 3")</f>
        <v>45 Crescent Avenue Unit 3</v>
      </c>
      <c r="E200" s="1" t="str">
        <f ca="1">IFERROR(__xludf.DUMMYFUNCTION("""COMPUTED_VALUE"""),"Boston")</f>
        <v>Boston</v>
      </c>
      <c r="F200" s="1" t="str">
        <f ca="1">IFERROR(__xludf.DUMMYFUNCTION("""COMPUTED_VALUE"""),"Boston - Dorchester")</f>
        <v>Boston - Dorchester</v>
      </c>
      <c r="G200" s="1">
        <f ca="1">IFERROR(__xludf.DUMMYFUNCTION("""COMPUTED_VALUE"""),2)</f>
        <v>2</v>
      </c>
      <c r="H200" s="1" t="str">
        <f ca="1">IFERROR(__xludf.DUMMYFUNCTION("""COMPUTED_VALUE"""),"B")</f>
        <v>B</v>
      </c>
      <c r="I200" s="4" t="str">
        <f ca="1">IFERROR(__xludf.DUMMYFUNCTION("""COMPUTED_VALUE"""),"45 Crescent Avenue#3B")</f>
        <v>45 Crescent Avenue#3B</v>
      </c>
      <c r="J200" s="4" t="str">
        <f ca="1">IFERROR(__xludf.DUMMYFUNCTION("""COMPUTED_VALUE"""),"0bb7df9c-91a1-4aa5-adac-7a33b0daa30e")</f>
        <v>0bb7df9c-91a1-4aa5-adac-7a33b0daa30e</v>
      </c>
      <c r="K200" s="4">
        <f ca="1">IFERROR(__xludf.DUMMYFUNCTION("""COMPUTED_VALUE"""),795)</f>
        <v>795</v>
      </c>
      <c r="L200" s="1" t="str">
        <f ca="1">IFERROR(__xludf.DUMMYFUNCTION("""COMPUTED_VALUE"""),"Cam")</f>
        <v>Cam</v>
      </c>
      <c r="M200" s="1" t="str">
        <f ca="1">IFERROR(__xludf.DUMMYFUNCTION("""COMPUTED_VALUE"""),"Cam (NOW)")</f>
        <v>Cam (NOW)</v>
      </c>
      <c r="N200" s="1" t="str">
        <f ca="1">IFERROR(__xludf.DUMMYFUNCTION("""COMPUTED_VALUE"""),"")</f>
        <v/>
      </c>
      <c r="O200" s="1" t="str">
        <f ca="1">IFERROR(__xludf.DUMMYFUNCTION("""COMPUTED_VALUE"""),"Upcoming Vacancy")</f>
        <v>Upcoming Vacancy</v>
      </c>
      <c r="P200" s="1" t="str">
        <f ca="1">IFERROR(__xludf.DUMMYFUNCTION("""COMPUTED_VALUE"""),"March")</f>
        <v>March</v>
      </c>
      <c r="Q200" s="3">
        <f ca="1">IFERROR(__xludf.DUMMYFUNCTION("""COMPUTED_VALUE"""),43889)</f>
        <v>43889</v>
      </c>
      <c r="R200" s="1"/>
      <c r="S200" s="1" t="str">
        <f ca="1">IFERROR(__xludf.DUMMYFUNCTION("""COMPUTED_VALUE"""),"NO DOGS")</f>
        <v>NO DOGS</v>
      </c>
      <c r="T200" s="1"/>
      <c r="U200" s="1" t="str">
        <f ca="1">IFERROR(__xludf.DUMMYFUNCTION("""COMPUTED_VALUE"""),"Y")</f>
        <v>Y</v>
      </c>
      <c r="V200" s="1" t="str">
        <f ca="1">IFERROR(__xludf.DUMMYFUNCTION("""COMPUTED_VALUE"""),"N")</f>
        <v>N</v>
      </c>
      <c r="W200" s="1"/>
      <c r="X200" s="1"/>
      <c r="Y200" s="1" t="str">
        <f ca="1">IFERROR(__xludf.DUMMYFUNCTION("""COMPUTED_VALUE"""),"Aden Geray")</f>
        <v>Aden Geray</v>
      </c>
      <c r="Z200" s="1" t="str">
        <f ca="1">IFERROR(__xludf.DUMMYFUNCTION("""COMPUTED_VALUE"""),"adengeray01@gmail.com")</f>
        <v>adengeray01@gmail.com</v>
      </c>
      <c r="AA200" s="1"/>
      <c r="AB200" s="1"/>
      <c r="AC200" s="1" t="str">
        <f ca="1">IFERROR(__xludf.DUMMYFUNCTION("""COMPUTED_VALUE"""),"waiting for sec dep")</f>
        <v>waiting for sec dep</v>
      </c>
    </row>
    <row r="201" spans="1:29">
      <c r="A201" s="1" t="str">
        <f ca="1">IFERROR(__xludf.DUMMYFUNCTION("""COMPUTED_VALUE"""),"45 Crescent Avenue")</f>
        <v>45 Crescent Avenue</v>
      </c>
      <c r="B201" s="1">
        <f ca="1">IFERROR(__xludf.DUMMYFUNCTION("""COMPUTED_VALUE"""),45)</f>
        <v>45</v>
      </c>
      <c r="C201" s="1" t="str">
        <f ca="1">IFERROR(__xludf.DUMMYFUNCTION("""COMPUTED_VALUE"""),"#3")</f>
        <v>#3</v>
      </c>
      <c r="D201" s="1" t="str">
        <f ca="1">IFERROR(__xludf.DUMMYFUNCTION("""COMPUTED_VALUE"""),"45 Crescent Avenue Unit 3")</f>
        <v>45 Crescent Avenue Unit 3</v>
      </c>
      <c r="E201" s="1" t="str">
        <f ca="1">IFERROR(__xludf.DUMMYFUNCTION("""COMPUTED_VALUE"""),"Boston")</f>
        <v>Boston</v>
      </c>
      <c r="F201" s="1" t="str">
        <f ca="1">IFERROR(__xludf.DUMMYFUNCTION("""COMPUTED_VALUE"""),"Boston - Dorchester")</f>
        <v>Boston - Dorchester</v>
      </c>
      <c r="G201" s="1">
        <f ca="1">IFERROR(__xludf.DUMMYFUNCTION("""COMPUTED_VALUE"""),3)</f>
        <v>3</v>
      </c>
      <c r="H201" s="1" t="str">
        <f ca="1">IFERROR(__xludf.DUMMYFUNCTION("""COMPUTED_VALUE"""),"C")</f>
        <v>C</v>
      </c>
      <c r="I201" s="4" t="str">
        <f ca="1">IFERROR(__xludf.DUMMYFUNCTION("""COMPUTED_VALUE"""),"45 Crescent Avenue#3C")</f>
        <v>45 Crescent Avenue#3C</v>
      </c>
      <c r="J201" s="4" t="str">
        <f ca="1">IFERROR(__xludf.DUMMYFUNCTION("""COMPUTED_VALUE"""),"0bb7df9c-91a1-4aa5-adac-7a33b0daa30e")</f>
        <v>0bb7df9c-91a1-4aa5-adac-7a33b0daa30e</v>
      </c>
      <c r="K201" s="4">
        <f ca="1">IFERROR(__xludf.DUMMYFUNCTION("""COMPUTED_VALUE"""),850)</f>
        <v>850</v>
      </c>
      <c r="L201" s="1" t="str">
        <f ca="1">IFERROR(__xludf.DUMMYFUNCTION("""COMPUTED_VALUE"""),"Cam")</f>
        <v>Cam</v>
      </c>
      <c r="M201" s="1" t="str">
        <f ca="1">IFERROR(__xludf.DUMMYFUNCTION("""COMPUTED_VALUE"""),"")</f>
        <v/>
      </c>
      <c r="N201" s="1" t="str">
        <f ca="1">IFERROR(__xludf.DUMMYFUNCTION("""COMPUTED_VALUE"""),"")</f>
        <v/>
      </c>
      <c r="O201" s="1" t="str">
        <f ca="1">IFERROR(__xludf.DUMMYFUNCTION("""COMPUTED_VALUE"""),"Occupied")</f>
        <v>Occupied</v>
      </c>
      <c r="P201" s="1"/>
      <c r="Q201" s="1"/>
      <c r="R201" s="1"/>
      <c r="S201" s="1" t="str">
        <f ca="1">IFERROR(__xludf.DUMMYFUNCTION("""COMPUTED_VALUE"""),"NO DOGS")</f>
        <v>NO DOGS</v>
      </c>
      <c r="T201" s="1"/>
      <c r="U201" s="1" t="str">
        <f ca="1">IFERROR(__xludf.DUMMYFUNCTION("""COMPUTED_VALUE"""),"Y")</f>
        <v>Y</v>
      </c>
      <c r="V201" s="1" t="str">
        <f ca="1">IFERROR(__xludf.DUMMYFUNCTION("""COMPUTED_VALUE"""),"N")</f>
        <v>N</v>
      </c>
      <c r="W201" s="1"/>
      <c r="X201" s="1"/>
      <c r="Y201" s="1" t="str">
        <f ca="1">IFERROR(__xludf.DUMMYFUNCTION("""COMPUTED_VALUE"""),"Lauren Chlebove")</f>
        <v>Lauren Chlebove</v>
      </c>
      <c r="Z201" s="1" t="str">
        <f ca="1">IFERROR(__xludf.DUMMYFUNCTION("""COMPUTED_VALUE"""),"laurenchfl@gmail.com")</f>
        <v>laurenchfl@gmail.com</v>
      </c>
      <c r="AA201" s="1"/>
      <c r="AB201" s="1"/>
      <c r="AC201" s="1"/>
    </row>
    <row r="202" spans="1:29">
      <c r="A202" s="1" t="str">
        <f ca="1">IFERROR(__xludf.DUMMYFUNCTION("""COMPUTED_VALUE"""),"45 Crescent Avenue")</f>
        <v>45 Crescent Avenue</v>
      </c>
      <c r="B202" s="1">
        <f ca="1">IFERROR(__xludf.DUMMYFUNCTION("""COMPUTED_VALUE"""),45)</f>
        <v>45</v>
      </c>
      <c r="C202" s="1" t="str">
        <f ca="1">IFERROR(__xludf.DUMMYFUNCTION("""COMPUTED_VALUE"""),"#3")</f>
        <v>#3</v>
      </c>
      <c r="D202" s="1" t="str">
        <f ca="1">IFERROR(__xludf.DUMMYFUNCTION("""COMPUTED_VALUE"""),"45 Crescent Avenue Unit 3")</f>
        <v>45 Crescent Avenue Unit 3</v>
      </c>
      <c r="E202" s="1" t="str">
        <f ca="1">IFERROR(__xludf.DUMMYFUNCTION("""COMPUTED_VALUE"""),"Boston")</f>
        <v>Boston</v>
      </c>
      <c r="F202" s="1" t="str">
        <f ca="1">IFERROR(__xludf.DUMMYFUNCTION("""COMPUTED_VALUE"""),"Boston - Dorchester")</f>
        <v>Boston - Dorchester</v>
      </c>
      <c r="G202" s="1">
        <f ca="1">IFERROR(__xludf.DUMMYFUNCTION("""COMPUTED_VALUE"""),4)</f>
        <v>4</v>
      </c>
      <c r="H202" s="1" t="str">
        <f ca="1">IFERROR(__xludf.DUMMYFUNCTION("""COMPUTED_VALUE"""),"D")</f>
        <v>D</v>
      </c>
      <c r="I202" s="4" t="str">
        <f ca="1">IFERROR(__xludf.DUMMYFUNCTION("""COMPUTED_VALUE"""),"45 Crescent Avenue#3D")</f>
        <v>45 Crescent Avenue#3D</v>
      </c>
      <c r="J202" s="4" t="str">
        <f ca="1">IFERROR(__xludf.DUMMYFUNCTION("""COMPUTED_VALUE"""),"0bb7df9c-91a1-4aa5-adac-7a33b0daa30e")</f>
        <v>0bb7df9c-91a1-4aa5-adac-7a33b0daa30e</v>
      </c>
      <c r="K202" s="4">
        <f ca="1">IFERROR(__xludf.DUMMYFUNCTION("""COMPUTED_VALUE"""),650)</f>
        <v>650</v>
      </c>
      <c r="L202" s="1" t="str">
        <f ca="1">IFERROR(__xludf.DUMMYFUNCTION("""COMPUTED_VALUE"""),"Cam")</f>
        <v>Cam</v>
      </c>
      <c r="M202" s="1" t="str">
        <f ca="1">IFERROR(__xludf.DUMMYFUNCTION("""COMPUTED_VALUE"""),"")</f>
        <v/>
      </c>
      <c r="N202" s="1" t="str">
        <f ca="1">IFERROR(__xludf.DUMMYFUNCTION("""COMPUTED_VALUE"""),"")</f>
        <v/>
      </c>
      <c r="O202" s="1" t="str">
        <f ca="1">IFERROR(__xludf.DUMMYFUNCTION("""COMPUTED_VALUE"""),"Occupied")</f>
        <v>Occupied</v>
      </c>
      <c r="P202" s="1"/>
      <c r="Q202" s="1"/>
      <c r="R202" s="1"/>
      <c r="S202" s="1" t="str">
        <f ca="1">IFERROR(__xludf.DUMMYFUNCTION("""COMPUTED_VALUE"""),"NO DOGS")</f>
        <v>NO DOGS</v>
      </c>
      <c r="T202" s="1" t="str">
        <f ca="1">IFERROR(__xludf.DUMMYFUNCTION("""COMPUTED_VALUE"""),"NO CATS")</f>
        <v>NO CATS</v>
      </c>
      <c r="U202" s="1" t="str">
        <f ca="1">IFERROR(__xludf.DUMMYFUNCTION("""COMPUTED_VALUE"""),"Y")</f>
        <v>Y</v>
      </c>
      <c r="V202" s="1" t="str">
        <f ca="1">IFERROR(__xludf.DUMMYFUNCTION("""COMPUTED_VALUE"""),"N")</f>
        <v>N</v>
      </c>
      <c r="W202" s="1"/>
      <c r="X202" s="1"/>
      <c r="Y202" s="1" t="str">
        <f ca="1">IFERROR(__xludf.DUMMYFUNCTION("""COMPUTED_VALUE"""),"Jannat Khusbo")</f>
        <v>Jannat Khusbo</v>
      </c>
      <c r="Z202" s="1" t="str">
        <f ca="1">IFERROR(__xludf.DUMMYFUNCTION("""COMPUTED_VALUE"""),"jkhusbo@gmail.com")</f>
        <v>jkhusbo@gmail.com</v>
      </c>
      <c r="AA202" s="1"/>
      <c r="AB202" s="1"/>
      <c r="AC202" s="1"/>
    </row>
    <row r="203" spans="1:29">
      <c r="A203" s="1" t="str">
        <f ca="1">IFERROR(__xludf.DUMMYFUNCTION("""COMPUTED_VALUE"""),"45 Crescent Avenue")</f>
        <v>45 Crescent Avenue</v>
      </c>
      <c r="B203" s="1">
        <f ca="1">IFERROR(__xludf.DUMMYFUNCTION("""COMPUTED_VALUE"""),45)</f>
        <v>45</v>
      </c>
      <c r="C203" s="1" t="str">
        <f ca="1">IFERROR(__xludf.DUMMYFUNCTION("""COMPUTED_VALUE"""),"#3")</f>
        <v>#3</v>
      </c>
      <c r="D203" s="1" t="str">
        <f ca="1">IFERROR(__xludf.DUMMYFUNCTION("""COMPUTED_VALUE"""),"45 Crescent Avenue Unit 3")</f>
        <v>45 Crescent Avenue Unit 3</v>
      </c>
      <c r="E203" s="1" t="str">
        <f ca="1">IFERROR(__xludf.DUMMYFUNCTION("""COMPUTED_VALUE"""),"Boston")</f>
        <v>Boston</v>
      </c>
      <c r="F203" s="1" t="str">
        <f ca="1">IFERROR(__xludf.DUMMYFUNCTION("""COMPUTED_VALUE"""),"Boston - Dorchester")</f>
        <v>Boston - Dorchester</v>
      </c>
      <c r="G203" s="1">
        <f ca="1">IFERROR(__xludf.DUMMYFUNCTION("""COMPUTED_VALUE"""),5)</f>
        <v>5</v>
      </c>
      <c r="H203" s="1" t="str">
        <f ca="1">IFERROR(__xludf.DUMMYFUNCTION("""COMPUTED_VALUE"""),"E")</f>
        <v>E</v>
      </c>
      <c r="I203" s="4" t="str">
        <f ca="1">IFERROR(__xludf.DUMMYFUNCTION("""COMPUTED_VALUE"""),"45 Crescent Avenue#3E")</f>
        <v>45 Crescent Avenue#3E</v>
      </c>
      <c r="J203" s="4" t="str">
        <f ca="1">IFERROR(__xludf.DUMMYFUNCTION("""COMPUTED_VALUE"""),"0bb7df9c-91a1-4aa5-adac-7a33b0daa30e")</f>
        <v>0bb7df9c-91a1-4aa5-adac-7a33b0daa30e</v>
      </c>
      <c r="K203" s="4">
        <f ca="1">IFERROR(__xludf.DUMMYFUNCTION("""COMPUTED_VALUE"""),795)</f>
        <v>795</v>
      </c>
      <c r="L203" s="1" t="str">
        <f ca="1">IFERROR(__xludf.DUMMYFUNCTION("""COMPUTED_VALUE"""),"Cam")</f>
        <v>Cam</v>
      </c>
      <c r="M203" s="1" t="str">
        <f ca="1">IFERROR(__xludf.DUMMYFUNCTION("""COMPUTED_VALUE"""),"")</f>
        <v/>
      </c>
      <c r="N203" s="1" t="str">
        <f ca="1">IFERROR(__xludf.DUMMYFUNCTION("""COMPUTED_VALUE"""),"")</f>
        <v/>
      </c>
      <c r="O203" s="1" t="str">
        <f ca="1">IFERROR(__xludf.DUMMYFUNCTION("""COMPUTED_VALUE"""),"Occupied")</f>
        <v>Occupied</v>
      </c>
      <c r="P203" s="1"/>
      <c r="Q203" s="1"/>
      <c r="R203" s="1"/>
      <c r="S203" s="1" t="str">
        <f ca="1">IFERROR(__xludf.DUMMYFUNCTION("""COMPUTED_VALUE"""),"NO DOGS")</f>
        <v>NO DOGS</v>
      </c>
      <c r="T203" s="1"/>
      <c r="U203" s="1" t="str">
        <f ca="1">IFERROR(__xludf.DUMMYFUNCTION("""COMPUTED_VALUE"""),"Y")</f>
        <v>Y</v>
      </c>
      <c r="V203" s="1" t="str">
        <f ca="1">IFERROR(__xludf.DUMMYFUNCTION("""COMPUTED_VALUE"""),"N")</f>
        <v>N</v>
      </c>
      <c r="W203" s="1"/>
      <c r="X203" s="1"/>
      <c r="Y203" s="1" t="str">
        <f ca="1">IFERROR(__xludf.DUMMYFUNCTION("""COMPUTED_VALUE"""),"Michaela Gicho")</f>
        <v>Michaela Gicho</v>
      </c>
      <c r="Z203" s="1" t="str">
        <f ca="1">IFERROR(__xludf.DUMMYFUNCTION("""COMPUTED_VALUE"""),"mgicho@umass.edu")</f>
        <v>mgicho@umass.edu</v>
      </c>
      <c r="AA203" s="1"/>
      <c r="AB203" s="1"/>
      <c r="AC203" s="1" t="str">
        <f ca="1">IFERROR(__xludf.DUMMYFUNCTION("""COMPUTED_VALUE"""),"sec deposit not paid ")</f>
        <v xml:space="preserve">sec deposit not paid </v>
      </c>
    </row>
    <row r="204" spans="1:29">
      <c r="A204" s="1" t="str">
        <f ca="1">IFERROR(__xludf.DUMMYFUNCTION("""COMPUTED_VALUE"""),"49 Boylston Street")</f>
        <v>49 Boylston Street</v>
      </c>
      <c r="B204" s="1">
        <f ca="1">IFERROR(__xludf.DUMMYFUNCTION("""COMPUTED_VALUE"""),49)</f>
        <v>49</v>
      </c>
      <c r="C204" s="1" t="str">
        <f ca="1">IFERROR(__xludf.DUMMYFUNCTION("""COMPUTED_VALUE"""),"#1")</f>
        <v>#1</v>
      </c>
      <c r="D204" s="1" t="str">
        <f ca="1">IFERROR(__xludf.DUMMYFUNCTION("""COMPUTED_VALUE"""),"49 Boylston Street Unit 1")</f>
        <v>49 Boylston Street Unit 1</v>
      </c>
      <c r="E204" s="1" t="str">
        <f ca="1">IFERROR(__xludf.DUMMYFUNCTION("""COMPUTED_VALUE"""),"Brookline")</f>
        <v>Brookline</v>
      </c>
      <c r="F204" s="1" t="str">
        <f ca="1">IFERROR(__xludf.DUMMYFUNCTION("""COMPUTED_VALUE"""),"Brookline - Longwood")</f>
        <v>Brookline - Longwood</v>
      </c>
      <c r="G204" s="1">
        <f ca="1">IFERROR(__xludf.DUMMYFUNCTION("""COMPUTED_VALUE"""),1)</f>
        <v>1</v>
      </c>
      <c r="H204" s="1" t="str">
        <f ca="1">IFERROR(__xludf.DUMMYFUNCTION("""COMPUTED_VALUE"""),"A")</f>
        <v>A</v>
      </c>
      <c r="I204" s="4" t="str">
        <f ca="1">IFERROR(__xludf.DUMMYFUNCTION("""COMPUTED_VALUE"""),"49 Boylston Street#1A")</f>
        <v>49 Boylston Street#1A</v>
      </c>
      <c r="J204" s="4" t="str">
        <f ca="1">IFERROR(__xludf.DUMMYFUNCTION("""COMPUTED_VALUE"""),"d986f986-40a0-4935-b51d-739f9128e754")</f>
        <v>d986f986-40a0-4935-b51d-739f9128e754</v>
      </c>
      <c r="K204" s="4">
        <f ca="1">IFERROR(__xludf.DUMMYFUNCTION("""COMPUTED_VALUE"""),1100)</f>
        <v>1100</v>
      </c>
      <c r="L204" s="1" t="str">
        <f ca="1">IFERROR(__xludf.DUMMYFUNCTION("""COMPUTED_VALUE"""),"Self")</f>
        <v>Self</v>
      </c>
      <c r="M204" s="1" t="str">
        <f ca="1">IFERROR(__xludf.DUMMYFUNCTION("""COMPUTED_VALUE"""),"")</f>
        <v/>
      </c>
      <c r="N204" s="1" t="str">
        <f ca="1">IFERROR(__xludf.DUMMYFUNCTION("""COMPUTED_VALUE"""),"")</f>
        <v/>
      </c>
      <c r="O204" s="1" t="str">
        <f ca="1">IFERROR(__xludf.DUMMYFUNCTION("""COMPUTED_VALUE"""),"Occupied")</f>
        <v>Occupied</v>
      </c>
      <c r="P204" s="1"/>
      <c r="Q204" s="1"/>
      <c r="R204" s="1"/>
      <c r="S204" s="1"/>
      <c r="T204" s="1"/>
      <c r="U204" s="1" t="str">
        <f ca="1">IFERROR(__xludf.DUMMYFUNCTION("""COMPUTED_VALUE"""),"Y")</f>
        <v>Y</v>
      </c>
      <c r="V204" s="1" t="str">
        <f ca="1">IFERROR(__xludf.DUMMYFUNCTION("""COMPUTED_VALUE"""),"Y")</f>
        <v>Y</v>
      </c>
      <c r="W204" s="1"/>
      <c r="X204" s="1"/>
      <c r="Y204" s="1" t="str">
        <f ca="1">IFERROR(__xludf.DUMMYFUNCTION("""COMPUTED_VALUE"""),"Ikechukwu Michael Opara")</f>
        <v>Ikechukwu Michael Opara</v>
      </c>
      <c r="Z204" s="1" t="str">
        <f ca="1">IFERROR(__xludf.DUMMYFUNCTION("""COMPUTED_VALUE"""),"mikesosmart@gmail.com")</f>
        <v>mikesosmart@gmail.com</v>
      </c>
      <c r="AA204" s="1"/>
      <c r="AB204" s="1"/>
      <c r="AC204" s="1"/>
    </row>
    <row r="205" spans="1:29">
      <c r="A205" s="1" t="str">
        <f ca="1">IFERROR(__xludf.DUMMYFUNCTION("""COMPUTED_VALUE"""),"49 Boylston Street")</f>
        <v>49 Boylston Street</v>
      </c>
      <c r="B205" s="1">
        <f ca="1">IFERROR(__xludf.DUMMYFUNCTION("""COMPUTED_VALUE"""),49)</f>
        <v>49</v>
      </c>
      <c r="C205" s="1" t="str">
        <f ca="1">IFERROR(__xludf.DUMMYFUNCTION("""COMPUTED_VALUE"""),"#1")</f>
        <v>#1</v>
      </c>
      <c r="D205" s="1" t="str">
        <f ca="1">IFERROR(__xludf.DUMMYFUNCTION("""COMPUTED_VALUE"""),"49 Boylston Street Unit 1")</f>
        <v>49 Boylston Street Unit 1</v>
      </c>
      <c r="E205" s="1" t="str">
        <f ca="1">IFERROR(__xludf.DUMMYFUNCTION("""COMPUTED_VALUE"""),"Brookline")</f>
        <v>Brookline</v>
      </c>
      <c r="F205" s="1" t="str">
        <f ca="1">IFERROR(__xludf.DUMMYFUNCTION("""COMPUTED_VALUE"""),"Brookline - Longwood")</f>
        <v>Brookline - Longwood</v>
      </c>
      <c r="G205" s="1">
        <f ca="1">IFERROR(__xludf.DUMMYFUNCTION("""COMPUTED_VALUE"""),2)</f>
        <v>2</v>
      </c>
      <c r="H205" s="1" t="str">
        <f ca="1">IFERROR(__xludf.DUMMYFUNCTION("""COMPUTED_VALUE"""),"B")</f>
        <v>B</v>
      </c>
      <c r="I205" s="4" t="str">
        <f ca="1">IFERROR(__xludf.DUMMYFUNCTION("""COMPUTED_VALUE"""),"49 Boylston Street#1B")</f>
        <v>49 Boylston Street#1B</v>
      </c>
      <c r="J205" s="4" t="str">
        <f ca="1">IFERROR(__xludf.DUMMYFUNCTION("""COMPUTED_VALUE"""),"d986f986-40a0-4935-b51d-739f9128e754")</f>
        <v>d986f986-40a0-4935-b51d-739f9128e754</v>
      </c>
      <c r="K205" s="4">
        <f ca="1">IFERROR(__xludf.DUMMYFUNCTION("""COMPUTED_VALUE"""),1095)</f>
        <v>1095</v>
      </c>
      <c r="L205" s="1" t="str">
        <f ca="1">IFERROR(__xludf.DUMMYFUNCTION("""COMPUTED_VALUE"""),"Self")</f>
        <v>Self</v>
      </c>
      <c r="M205" s="1" t="str">
        <f ca="1">IFERROR(__xludf.DUMMYFUNCTION("""COMPUTED_VALUE"""),"Self (NOW)")</f>
        <v>Self (NOW)</v>
      </c>
      <c r="N205" s="1" t="str">
        <f ca="1">IFERROR(__xludf.DUMMYFUNCTION("""COMPUTED_VALUE"""),"Furnished")</f>
        <v>Furnished</v>
      </c>
      <c r="O205" s="1" t="str">
        <f ca="1">IFERROR(__xludf.DUMMYFUNCTION("""COMPUTED_VALUE"""),"Vacant")</f>
        <v>Vacant</v>
      </c>
      <c r="P205" s="1"/>
      <c r="Q205" s="1"/>
      <c r="R205" s="1"/>
      <c r="S205" s="1"/>
      <c r="T205" s="1"/>
      <c r="U205" s="1" t="str">
        <f ca="1">IFERROR(__xludf.DUMMYFUNCTION("""COMPUTED_VALUE"""),"Y")</f>
        <v>Y</v>
      </c>
      <c r="V205" s="1" t="str">
        <f ca="1">IFERROR(__xludf.DUMMYFUNCTION("""COMPUTED_VALUE"""),"Y")</f>
        <v>Y</v>
      </c>
      <c r="W205" s="1"/>
      <c r="X205" s="1"/>
      <c r="Y205" s="1"/>
      <c r="Z205" s="1"/>
      <c r="AA205" s="1"/>
      <c r="AB205" s="1"/>
      <c r="AC205" s="1"/>
    </row>
    <row r="206" spans="1:29">
      <c r="A206" s="1" t="str">
        <f ca="1">IFERROR(__xludf.DUMMYFUNCTION("""COMPUTED_VALUE"""),"49 Boylston Street")</f>
        <v>49 Boylston Street</v>
      </c>
      <c r="B206" s="1">
        <f ca="1">IFERROR(__xludf.DUMMYFUNCTION("""COMPUTED_VALUE"""),49)</f>
        <v>49</v>
      </c>
      <c r="C206" s="1" t="str">
        <f ca="1">IFERROR(__xludf.DUMMYFUNCTION("""COMPUTED_VALUE"""),"#1")</f>
        <v>#1</v>
      </c>
      <c r="D206" s="1" t="str">
        <f ca="1">IFERROR(__xludf.DUMMYFUNCTION("""COMPUTED_VALUE"""),"49 Boylston Street Unit 1")</f>
        <v>49 Boylston Street Unit 1</v>
      </c>
      <c r="E206" s="1" t="str">
        <f ca="1">IFERROR(__xludf.DUMMYFUNCTION("""COMPUTED_VALUE"""),"Brookline")</f>
        <v>Brookline</v>
      </c>
      <c r="F206" s="1" t="str">
        <f ca="1">IFERROR(__xludf.DUMMYFUNCTION("""COMPUTED_VALUE"""),"Brookline - Longwood")</f>
        <v>Brookline - Longwood</v>
      </c>
      <c r="G206" s="1">
        <f ca="1">IFERROR(__xludf.DUMMYFUNCTION("""COMPUTED_VALUE"""),3)</f>
        <v>3</v>
      </c>
      <c r="H206" s="1" t="str">
        <f ca="1">IFERROR(__xludf.DUMMYFUNCTION("""COMPUTED_VALUE"""),"C")</f>
        <v>C</v>
      </c>
      <c r="I206" s="4" t="str">
        <f ca="1">IFERROR(__xludf.DUMMYFUNCTION("""COMPUTED_VALUE"""),"49 Boylston Street#1C")</f>
        <v>49 Boylston Street#1C</v>
      </c>
      <c r="J206" s="4" t="str">
        <f ca="1">IFERROR(__xludf.DUMMYFUNCTION("""COMPUTED_VALUE"""),"d986f986-40a0-4935-b51d-739f9128e754")</f>
        <v>d986f986-40a0-4935-b51d-739f9128e754</v>
      </c>
      <c r="K206" s="4">
        <f ca="1">IFERROR(__xludf.DUMMYFUNCTION("""COMPUTED_VALUE"""),895)</f>
        <v>895</v>
      </c>
      <c r="L206" s="1" t="str">
        <f ca="1">IFERROR(__xludf.DUMMYFUNCTION("""COMPUTED_VALUE"""),"Self")</f>
        <v>Self</v>
      </c>
      <c r="M206" s="1" t="str">
        <f ca="1">IFERROR(__xludf.DUMMYFUNCTION("""COMPUTED_VALUE"""),"")</f>
        <v/>
      </c>
      <c r="N206" s="1" t="str">
        <f ca="1">IFERROR(__xludf.DUMMYFUNCTION("""COMPUTED_VALUE"""),"Furnished")</f>
        <v>Furnished</v>
      </c>
      <c r="O206" s="1" t="str">
        <f ca="1">IFERROR(__xludf.DUMMYFUNCTION("""COMPUTED_VALUE"""),"Occupied")</f>
        <v>Occupied</v>
      </c>
      <c r="P206" s="1"/>
      <c r="Q206" s="1"/>
      <c r="R206" s="1"/>
      <c r="S206" s="1"/>
      <c r="T206" s="1"/>
      <c r="U206" s="1" t="str">
        <f ca="1">IFERROR(__xludf.DUMMYFUNCTION("""COMPUTED_VALUE"""),"Y")</f>
        <v>Y</v>
      </c>
      <c r="V206" s="1" t="str">
        <f ca="1">IFERROR(__xludf.DUMMYFUNCTION("""COMPUTED_VALUE"""),"Y")</f>
        <v>Y</v>
      </c>
      <c r="W206" s="1"/>
      <c r="X206" s="1"/>
      <c r="Y206" s="1" t="str">
        <f ca="1">IFERROR(__xludf.DUMMYFUNCTION("""COMPUTED_VALUE"""),"Mitch Hopperstad")</f>
        <v>Mitch Hopperstad</v>
      </c>
      <c r="Z206" s="1" t="str">
        <f ca="1">IFERROR(__xludf.DUMMYFUNCTION("""COMPUTED_VALUE"""),"Hoppersm379@gmail.com")</f>
        <v>Hoppersm379@gmail.com</v>
      </c>
      <c r="AA206" s="1"/>
      <c r="AB206" s="1"/>
      <c r="AC206" s="1"/>
    </row>
    <row r="207" spans="1:29">
      <c r="A207" s="1" t="str">
        <f ca="1">IFERROR(__xludf.DUMMYFUNCTION("""COMPUTED_VALUE"""),"49 Paulina Street")</f>
        <v>49 Paulina Street</v>
      </c>
      <c r="B207" s="1">
        <f ca="1">IFERROR(__xludf.DUMMYFUNCTION("""COMPUTED_VALUE"""),49)</f>
        <v>49</v>
      </c>
      <c r="C207" s="1" t="str">
        <f ca="1">IFERROR(__xludf.DUMMYFUNCTION("""COMPUTED_VALUE"""),"#2")</f>
        <v>#2</v>
      </c>
      <c r="D207" s="1" t="str">
        <f ca="1">IFERROR(__xludf.DUMMYFUNCTION("""COMPUTED_VALUE"""),"49 Paulina Street Unit 2")</f>
        <v>49 Paulina Street Unit 2</v>
      </c>
      <c r="E207" s="1" t="str">
        <f ca="1">IFERROR(__xludf.DUMMYFUNCTION("""COMPUTED_VALUE"""),"Somerville")</f>
        <v>Somerville</v>
      </c>
      <c r="F207" s="1" t="str">
        <f ca="1">IFERROR(__xludf.DUMMYFUNCTION("""COMPUTED_VALUE"""),"Somerville - Powder House Square")</f>
        <v>Somerville - Powder House Square</v>
      </c>
      <c r="G207" s="1">
        <f ca="1">IFERROR(__xludf.DUMMYFUNCTION("""COMPUTED_VALUE"""),1)</f>
        <v>1</v>
      </c>
      <c r="H207" s="1" t="str">
        <f ca="1">IFERROR(__xludf.DUMMYFUNCTION("""COMPUTED_VALUE"""),"A")</f>
        <v>A</v>
      </c>
      <c r="I207" s="4" t="str">
        <f ca="1">IFERROR(__xludf.DUMMYFUNCTION("""COMPUTED_VALUE"""),"49 Paulina Street#2A")</f>
        <v>49 Paulina Street#2A</v>
      </c>
      <c r="J207" s="1"/>
      <c r="K207" s="4">
        <f ca="1">IFERROR(__xludf.DUMMYFUNCTION("""COMPUTED_VALUE"""),2300)</f>
        <v>2300</v>
      </c>
      <c r="L207" s="1" t="str">
        <f ca="1">IFERROR(__xludf.DUMMYFUNCTION("""COMPUTED_VALUE"""),"Lizzie")</f>
        <v>Lizzie</v>
      </c>
      <c r="M207" s="1" t="str">
        <f ca="1">IFERROR(__xludf.DUMMYFUNCTION("""COMPUTED_VALUE"""),"")</f>
        <v/>
      </c>
      <c r="N207" s="1" t="str">
        <f ca="1">IFERROR(__xludf.DUMMYFUNCTION("""COMPUTED_VALUE"""),"")</f>
        <v/>
      </c>
      <c r="O207" s="1" t="str">
        <f ca="1">IFERROR(__xludf.DUMMYFUNCTION("""COMPUTED_VALUE"""),"Occupied")</f>
        <v>Occupied</v>
      </c>
      <c r="P207" s="1"/>
      <c r="Q207" s="1"/>
      <c r="R207" s="1"/>
      <c r="S207" s="1"/>
      <c r="T207" s="1"/>
      <c r="U207" s="1" t="str">
        <f ca="1">IFERROR(__xludf.DUMMYFUNCTION("""COMPUTED_VALUE"""),"N")</f>
        <v>N</v>
      </c>
      <c r="V207" s="1" t="str">
        <f ca="1">IFERROR(__xludf.DUMMYFUNCTION("""COMPUTED_VALUE"""),"Y")</f>
        <v>Y</v>
      </c>
      <c r="W207" s="1"/>
      <c r="X207" s="1"/>
      <c r="Y207" s="1" t="str">
        <f ca="1">IFERROR(__xludf.DUMMYFUNCTION("""COMPUTED_VALUE"""),"Nathan Taylor")</f>
        <v>Nathan Taylor</v>
      </c>
      <c r="Z207" s="1" t="str">
        <f ca="1">IFERROR(__xludf.DUMMYFUNCTION("""COMPUTED_VALUE"""),"taylornd05@gmail.com")</f>
        <v>taylornd05@gmail.com</v>
      </c>
      <c r="AA207" s="1"/>
      <c r="AB207" s="1"/>
      <c r="AC207" s="1"/>
    </row>
    <row r="208" spans="1:29">
      <c r="A208" s="1" t="str">
        <f ca="1">IFERROR(__xludf.DUMMYFUNCTION("""COMPUTED_VALUE"""),"49 Paulina Street")</f>
        <v>49 Paulina Street</v>
      </c>
      <c r="B208" s="1">
        <f ca="1">IFERROR(__xludf.DUMMYFUNCTION("""COMPUTED_VALUE"""),49)</f>
        <v>49</v>
      </c>
      <c r="C208" s="1" t="str">
        <f ca="1">IFERROR(__xludf.DUMMYFUNCTION("""COMPUTED_VALUE"""),"#3")</f>
        <v>#3</v>
      </c>
      <c r="D208" s="1" t="str">
        <f ca="1">IFERROR(__xludf.DUMMYFUNCTION("""COMPUTED_VALUE"""),"49 Paulina Street Unit 3")</f>
        <v>49 Paulina Street Unit 3</v>
      </c>
      <c r="E208" s="1" t="str">
        <f ca="1">IFERROR(__xludf.DUMMYFUNCTION("""COMPUTED_VALUE"""),"Somerville")</f>
        <v>Somerville</v>
      </c>
      <c r="F208" s="1" t="str">
        <f ca="1">IFERROR(__xludf.DUMMYFUNCTION("""COMPUTED_VALUE"""),"Somerville - Powder House Square")</f>
        <v>Somerville - Powder House Square</v>
      </c>
      <c r="G208" s="1">
        <f ca="1">IFERROR(__xludf.DUMMYFUNCTION("""COMPUTED_VALUE"""),1)</f>
        <v>1</v>
      </c>
      <c r="H208" s="1" t="str">
        <f ca="1">IFERROR(__xludf.DUMMYFUNCTION("""COMPUTED_VALUE"""),"A")</f>
        <v>A</v>
      </c>
      <c r="I208" s="4" t="str">
        <f ca="1">IFERROR(__xludf.DUMMYFUNCTION("""COMPUTED_VALUE"""),"49 Paulina Street#3A")</f>
        <v>49 Paulina Street#3A</v>
      </c>
      <c r="J208" s="4" t="str">
        <f ca="1">IFERROR(__xludf.DUMMYFUNCTION("""COMPUTED_VALUE"""),"b8040338-3bd3-47c8-9741-3d2d44a79af0")</f>
        <v>b8040338-3bd3-47c8-9741-3d2d44a79af0</v>
      </c>
      <c r="K208" s="4">
        <f ca="1">IFERROR(__xludf.DUMMYFUNCTION("""COMPUTED_VALUE"""),1290)</f>
        <v>1290</v>
      </c>
      <c r="L208" s="1" t="str">
        <f ca="1">IFERROR(__xludf.DUMMYFUNCTION("""COMPUTED_VALUE"""),"Lizzie")</f>
        <v>Lizzie</v>
      </c>
      <c r="M208" s="1" t="str">
        <f ca="1">IFERROR(__xludf.DUMMYFUNCTION("""COMPUTED_VALUE"""),"")</f>
        <v/>
      </c>
      <c r="N208" s="1" t="str">
        <f ca="1">IFERROR(__xludf.DUMMYFUNCTION("""COMPUTED_VALUE"""),"")</f>
        <v/>
      </c>
      <c r="O208" s="1" t="str">
        <f ca="1">IFERROR(__xludf.DUMMYFUNCTION("""COMPUTED_VALUE"""),"Occupied")</f>
        <v>Occupied</v>
      </c>
      <c r="P208" s="1"/>
      <c r="Q208" s="1"/>
      <c r="R208" s="1"/>
      <c r="S208" s="1"/>
      <c r="T208" s="1"/>
      <c r="U208" s="1" t="str">
        <f ca="1">IFERROR(__xludf.DUMMYFUNCTION("""COMPUTED_VALUE"""),"Y")</f>
        <v>Y</v>
      </c>
      <c r="V208" s="1" t="str">
        <f ca="1">IFERROR(__xludf.DUMMYFUNCTION("""COMPUTED_VALUE"""),"Y")</f>
        <v>Y</v>
      </c>
      <c r="W208" s="1"/>
      <c r="X208" s="1"/>
      <c r="Y208" s="1" t="str">
        <f ca="1">IFERROR(__xludf.DUMMYFUNCTION("""COMPUTED_VALUE"""),"Nikhil Upadhyaya")</f>
        <v>Nikhil Upadhyaya</v>
      </c>
      <c r="Z208" s="1" t="str">
        <f ca="1">IFERROR(__xludf.DUMMYFUNCTION("""COMPUTED_VALUE"""),"nikhilupadhyaya123@gmail.com")</f>
        <v>nikhilupadhyaya123@gmail.com</v>
      </c>
      <c r="AA208" s="1"/>
      <c r="AB208" s="1"/>
      <c r="AC208" s="1" t="str">
        <f ca="1">IFERROR(__xludf.DUMMYFUNCTION("""COMPUTED_VALUE"""),"new")</f>
        <v>new</v>
      </c>
    </row>
    <row r="209" spans="1:29">
      <c r="A209" s="1" t="str">
        <f ca="1">IFERROR(__xludf.DUMMYFUNCTION("""COMPUTED_VALUE"""),"49 Paulina Street")</f>
        <v>49 Paulina Street</v>
      </c>
      <c r="B209" s="1">
        <f ca="1">IFERROR(__xludf.DUMMYFUNCTION("""COMPUTED_VALUE"""),49)</f>
        <v>49</v>
      </c>
      <c r="C209" s="1" t="str">
        <f ca="1">IFERROR(__xludf.DUMMYFUNCTION("""COMPUTED_VALUE"""),"#3")</f>
        <v>#3</v>
      </c>
      <c r="D209" s="1" t="str">
        <f ca="1">IFERROR(__xludf.DUMMYFUNCTION("""COMPUTED_VALUE"""),"49 Paulina Street Unit 3")</f>
        <v>49 Paulina Street Unit 3</v>
      </c>
      <c r="E209" s="1" t="str">
        <f ca="1">IFERROR(__xludf.DUMMYFUNCTION("""COMPUTED_VALUE"""),"Somerville")</f>
        <v>Somerville</v>
      </c>
      <c r="F209" s="1" t="str">
        <f ca="1">IFERROR(__xludf.DUMMYFUNCTION("""COMPUTED_VALUE"""),"Somerville - Powder House Square")</f>
        <v>Somerville - Powder House Square</v>
      </c>
      <c r="G209" s="1">
        <f ca="1">IFERROR(__xludf.DUMMYFUNCTION("""COMPUTED_VALUE"""),2)</f>
        <v>2</v>
      </c>
      <c r="H209" s="1" t="str">
        <f ca="1">IFERROR(__xludf.DUMMYFUNCTION("""COMPUTED_VALUE"""),"B")</f>
        <v>B</v>
      </c>
      <c r="I209" s="4" t="str">
        <f ca="1">IFERROR(__xludf.DUMMYFUNCTION("""COMPUTED_VALUE"""),"49 Paulina Street#3B")</f>
        <v>49 Paulina Street#3B</v>
      </c>
      <c r="J209" s="4" t="str">
        <f ca="1">IFERROR(__xludf.DUMMYFUNCTION("""COMPUTED_VALUE"""),"b8040338-3bd3-47c8-9741-3d2d44a79af0")</f>
        <v>b8040338-3bd3-47c8-9741-3d2d44a79af0</v>
      </c>
      <c r="K209" s="4">
        <f ca="1">IFERROR(__xludf.DUMMYFUNCTION("""COMPUTED_VALUE"""),1490)</f>
        <v>1490</v>
      </c>
      <c r="L209" s="1" t="str">
        <f ca="1">IFERROR(__xludf.DUMMYFUNCTION("""COMPUTED_VALUE"""),"Lizzie")</f>
        <v>Lizzie</v>
      </c>
      <c r="M209" s="1" t="str">
        <f ca="1">IFERROR(__xludf.DUMMYFUNCTION("""COMPUTED_VALUE"""),"Lizzie (later)")</f>
        <v>Lizzie (later)</v>
      </c>
      <c r="N209" s="1" t="str">
        <f ca="1">IFERROR(__xludf.DUMMYFUNCTION("""COMPUTED_VALUE"""),"")</f>
        <v/>
      </c>
      <c r="O209" s="1" t="str">
        <f ca="1">IFERROR(__xludf.DUMMYFUNCTION("""COMPUTED_VALUE"""),"Upcoming Vacancy")</f>
        <v>Upcoming Vacancy</v>
      </c>
      <c r="P209" s="1" t="str">
        <f ca="1">IFERROR(__xludf.DUMMYFUNCTION("""COMPUTED_VALUE"""),"April")</f>
        <v>April</v>
      </c>
      <c r="Q209" s="3">
        <f ca="1">IFERROR(__xludf.DUMMYFUNCTION("""COMPUTED_VALUE"""),44286)</f>
        <v>44286</v>
      </c>
      <c r="R209" s="1"/>
      <c r="S209" s="1"/>
      <c r="T209" s="1"/>
      <c r="U209" s="1" t="str">
        <f ca="1">IFERROR(__xludf.DUMMYFUNCTION("""COMPUTED_VALUE"""),"Y")</f>
        <v>Y</v>
      </c>
      <c r="V209" s="1" t="str">
        <f ca="1">IFERROR(__xludf.DUMMYFUNCTION("""COMPUTED_VALUE"""),"Y")</f>
        <v>Y</v>
      </c>
      <c r="W209" s="1"/>
      <c r="X209" s="1"/>
      <c r="Y209" s="1" t="str">
        <f ca="1">IFERROR(__xludf.DUMMYFUNCTION("""COMPUTED_VALUE"""),"Margaret Reagan")</f>
        <v>Margaret Reagan</v>
      </c>
      <c r="Z209" s="1" t="str">
        <f ca="1">IFERROR(__xludf.DUMMYFUNCTION("""COMPUTED_VALUE"""),"mjreagan19@gmail.com")</f>
        <v>mjreagan19@gmail.com</v>
      </c>
      <c r="AA209" s="1"/>
      <c r="AB209" s="1"/>
      <c r="AC209" s="1" t="str">
        <f ca="1">IFERROR(__xludf.DUMMYFUNCTION("""COMPUTED_VALUE"""),"Maggie Regan will move in sept ")</f>
        <v xml:space="preserve">Maggie Regan will move in sept </v>
      </c>
    </row>
    <row r="210" spans="1:29">
      <c r="A210" s="1" t="str">
        <f ca="1">IFERROR(__xludf.DUMMYFUNCTION("""COMPUTED_VALUE"""),"51 Clifton Street")</f>
        <v>51 Clifton Street</v>
      </c>
      <c r="B210" s="1">
        <f ca="1">IFERROR(__xludf.DUMMYFUNCTION("""COMPUTED_VALUE"""),51)</f>
        <v>51</v>
      </c>
      <c r="C210" s="1" t="str">
        <f ca="1">IFERROR(__xludf.DUMMYFUNCTION("""COMPUTED_VALUE"""),"#2")</f>
        <v>#2</v>
      </c>
      <c r="D210" s="1" t="str">
        <f ca="1">IFERROR(__xludf.DUMMYFUNCTION("""COMPUTED_VALUE"""),"51 Clifton Street Unit 2")</f>
        <v>51 Clifton Street Unit 2</v>
      </c>
      <c r="E210" s="1" t="str">
        <f ca="1">IFERROR(__xludf.DUMMYFUNCTION("""COMPUTED_VALUE"""),"Cambridge")</f>
        <v>Cambridge</v>
      </c>
      <c r="F210" s="1" t="str">
        <f ca="1">IFERROR(__xludf.DUMMYFUNCTION("""COMPUTED_VALUE"""),"Cambridge - North Cambridge")</f>
        <v>Cambridge - North Cambridge</v>
      </c>
      <c r="G210" s="1">
        <f ca="1">IFERROR(__xludf.DUMMYFUNCTION("""COMPUTED_VALUE"""),1)</f>
        <v>1</v>
      </c>
      <c r="H210" s="1" t="str">
        <f ca="1">IFERROR(__xludf.DUMMYFUNCTION("""COMPUTED_VALUE"""),"A")</f>
        <v>A</v>
      </c>
      <c r="I210" s="4" t="str">
        <f ca="1">IFERROR(__xludf.DUMMYFUNCTION("""COMPUTED_VALUE"""),"51 Clifton Street#2A")</f>
        <v>51 Clifton Street#2A</v>
      </c>
      <c r="J210" s="4" t="str">
        <f ca="1">IFERROR(__xludf.DUMMYFUNCTION("""COMPUTED_VALUE"""),"905eb894-167d-4e33-8034-0c359da2dcc0")</f>
        <v>905eb894-167d-4e33-8034-0c359da2dcc0</v>
      </c>
      <c r="K210" s="4">
        <f ca="1">IFERROR(__xludf.DUMMYFUNCTION("""COMPUTED_VALUE"""),895)</f>
        <v>895</v>
      </c>
      <c r="L210" s="1" t="str">
        <f ca="1">IFERROR(__xludf.DUMMYFUNCTION("""COMPUTED_VALUE"""),"Lizzie")</f>
        <v>Lizzie</v>
      </c>
      <c r="M210" s="1" t="str">
        <f ca="1">IFERROR(__xludf.DUMMYFUNCTION("""COMPUTED_VALUE"""),"")</f>
        <v/>
      </c>
      <c r="N210" s="1" t="str">
        <f ca="1">IFERROR(__xludf.DUMMYFUNCTION("""COMPUTED_VALUE"""),"Furnished")</f>
        <v>Furnished</v>
      </c>
      <c r="O210" s="1" t="str">
        <f ca="1">IFERROR(__xludf.DUMMYFUNCTION("""COMPUTED_VALUE"""),"Deposits Complete")</f>
        <v>Deposits Complete</v>
      </c>
      <c r="P210" s="1" t="str">
        <f ca="1">IFERROR(__xludf.DUMMYFUNCTION("""COMPUTED_VALUE"""),"January")</f>
        <v>January</v>
      </c>
      <c r="Q210" s="1"/>
      <c r="R210" s="5">
        <f ca="1">IFERROR(__xludf.DUMMYFUNCTION("""COMPUTED_VALUE"""),43860)</f>
        <v>43860</v>
      </c>
      <c r="S210" s="1" t="str">
        <f ca="1">IFERROR(__xludf.DUMMYFUNCTION("""COMPUTED_VALUE"""),"NO CATS OR DOGS")</f>
        <v>NO CATS OR DOGS</v>
      </c>
      <c r="T210" s="1"/>
      <c r="U210" s="1" t="str">
        <f ca="1">IFERROR(__xludf.DUMMYFUNCTION("""COMPUTED_VALUE"""),"N")</f>
        <v>N</v>
      </c>
      <c r="V210" s="1" t="str">
        <f ca="1">IFERROR(__xludf.DUMMYFUNCTION("""COMPUTED_VALUE"""),"N")</f>
        <v>N</v>
      </c>
      <c r="W210" s="1" t="str">
        <f ca="1">IFERROR(__xludf.DUMMYFUNCTION("""COMPUTED_VALUE"""),"Bridget Toomey")</f>
        <v>Bridget Toomey</v>
      </c>
      <c r="X210" s="1" t="str">
        <f ca="1">IFERROR(__xludf.DUMMYFUNCTION("""COMPUTED_VALUE"""),"btoomey@college.harvard.edu")</f>
        <v>btoomey@college.harvard.edu</v>
      </c>
      <c r="Y210" s="1"/>
      <c r="Z210" s="1"/>
      <c r="AA210" s="1"/>
      <c r="AB210" s="1"/>
      <c r="AC210" s="1"/>
    </row>
    <row r="211" spans="1:29">
      <c r="A211" s="1" t="str">
        <f ca="1">IFERROR(__xludf.DUMMYFUNCTION("""COMPUTED_VALUE"""),"51 Clifton Street")</f>
        <v>51 Clifton Street</v>
      </c>
      <c r="B211" s="1">
        <f ca="1">IFERROR(__xludf.DUMMYFUNCTION("""COMPUTED_VALUE"""),51)</f>
        <v>51</v>
      </c>
      <c r="C211" s="1" t="str">
        <f ca="1">IFERROR(__xludf.DUMMYFUNCTION("""COMPUTED_VALUE"""),"#2")</f>
        <v>#2</v>
      </c>
      <c r="D211" s="1" t="str">
        <f ca="1">IFERROR(__xludf.DUMMYFUNCTION("""COMPUTED_VALUE"""),"51 Clifton Street Unit 2")</f>
        <v>51 Clifton Street Unit 2</v>
      </c>
      <c r="E211" s="1" t="str">
        <f ca="1">IFERROR(__xludf.DUMMYFUNCTION("""COMPUTED_VALUE"""),"Cambridge")</f>
        <v>Cambridge</v>
      </c>
      <c r="F211" s="1" t="str">
        <f ca="1">IFERROR(__xludf.DUMMYFUNCTION("""COMPUTED_VALUE"""),"Cambridge - North Cambridge")</f>
        <v>Cambridge - North Cambridge</v>
      </c>
      <c r="G211" s="1">
        <f ca="1">IFERROR(__xludf.DUMMYFUNCTION("""COMPUTED_VALUE"""),2)</f>
        <v>2</v>
      </c>
      <c r="H211" s="1" t="str">
        <f ca="1">IFERROR(__xludf.DUMMYFUNCTION("""COMPUTED_VALUE"""),"B")</f>
        <v>B</v>
      </c>
      <c r="I211" s="4" t="str">
        <f ca="1">IFERROR(__xludf.DUMMYFUNCTION("""COMPUTED_VALUE"""),"51 Clifton Street#2B")</f>
        <v>51 Clifton Street#2B</v>
      </c>
      <c r="J211" s="4" t="str">
        <f ca="1">IFERROR(__xludf.DUMMYFUNCTION("""COMPUTED_VALUE"""),"905eb894-167d-4e33-8034-0c359da2dcc0")</f>
        <v>905eb894-167d-4e33-8034-0c359da2dcc0</v>
      </c>
      <c r="K211" s="4">
        <f ca="1">IFERROR(__xludf.DUMMYFUNCTION("""COMPUTED_VALUE"""),1200)</f>
        <v>1200</v>
      </c>
      <c r="L211" s="1" t="str">
        <f ca="1">IFERROR(__xludf.DUMMYFUNCTION("""COMPUTED_VALUE"""),"Lizzie")</f>
        <v>Lizzie</v>
      </c>
      <c r="M211" s="1" t="str">
        <f ca="1">IFERROR(__xludf.DUMMYFUNCTION("""COMPUTED_VALUE"""),"")</f>
        <v/>
      </c>
      <c r="N211" s="1" t="str">
        <f ca="1">IFERROR(__xludf.DUMMYFUNCTION("""COMPUTED_VALUE"""),"Furnished")</f>
        <v>Furnished</v>
      </c>
      <c r="O211" s="1" t="str">
        <f ca="1">IFERROR(__xludf.DUMMYFUNCTION("""COMPUTED_VALUE"""),"Deposits Complete")</f>
        <v>Deposits Complete</v>
      </c>
      <c r="P211" s="1" t="str">
        <f ca="1">IFERROR(__xludf.DUMMYFUNCTION("""COMPUTED_VALUE"""),"January")</f>
        <v>January</v>
      </c>
      <c r="Q211" s="1"/>
      <c r="R211" s="5">
        <f ca="1">IFERROR(__xludf.DUMMYFUNCTION("""COMPUTED_VALUE"""),43860)</f>
        <v>43860</v>
      </c>
      <c r="S211" s="1" t="str">
        <f ca="1">IFERROR(__xludf.DUMMYFUNCTION("""COMPUTED_VALUE"""),"NO CATS OR DOGS")</f>
        <v>NO CATS OR DOGS</v>
      </c>
      <c r="T211" s="1"/>
      <c r="U211" s="1" t="str">
        <f ca="1">IFERROR(__xludf.DUMMYFUNCTION("""COMPUTED_VALUE"""),"N")</f>
        <v>N</v>
      </c>
      <c r="V211" s="1" t="str">
        <f ca="1">IFERROR(__xludf.DUMMYFUNCTION("""COMPUTED_VALUE"""),"N")</f>
        <v>N</v>
      </c>
      <c r="W211" s="1" t="str">
        <f ca="1">IFERROR(__xludf.DUMMYFUNCTION("""COMPUTED_VALUE"""),"Kazi Tasnim")</f>
        <v>Kazi Tasnim</v>
      </c>
      <c r="X211" s="1" t="str">
        <f ca="1">IFERROR(__xludf.DUMMYFUNCTION("""COMPUTED_VALUE"""),"kazitasnim@college.harvard.edu")</f>
        <v>kazitasnim@college.harvard.edu</v>
      </c>
      <c r="Y211" s="1"/>
      <c r="Z211" s="1"/>
      <c r="AA211" s="1"/>
      <c r="AB211" s="1"/>
      <c r="AC211" s="1"/>
    </row>
    <row r="212" spans="1:29">
      <c r="A212" s="1" t="str">
        <f ca="1">IFERROR(__xludf.DUMMYFUNCTION("""COMPUTED_VALUE"""),"51 Clifton Street")</f>
        <v>51 Clifton Street</v>
      </c>
      <c r="B212" s="1">
        <f ca="1">IFERROR(__xludf.DUMMYFUNCTION("""COMPUTED_VALUE"""),51)</f>
        <v>51</v>
      </c>
      <c r="C212" s="1" t="str">
        <f ca="1">IFERROR(__xludf.DUMMYFUNCTION("""COMPUTED_VALUE"""),"#2")</f>
        <v>#2</v>
      </c>
      <c r="D212" s="1" t="str">
        <f ca="1">IFERROR(__xludf.DUMMYFUNCTION("""COMPUTED_VALUE"""),"51 Clifton Street Unit 2")</f>
        <v>51 Clifton Street Unit 2</v>
      </c>
      <c r="E212" s="1" t="str">
        <f ca="1">IFERROR(__xludf.DUMMYFUNCTION("""COMPUTED_VALUE"""),"Cambridge")</f>
        <v>Cambridge</v>
      </c>
      <c r="F212" s="1" t="str">
        <f ca="1">IFERROR(__xludf.DUMMYFUNCTION("""COMPUTED_VALUE"""),"Cambridge - North Cambridge")</f>
        <v>Cambridge - North Cambridge</v>
      </c>
      <c r="G212" s="1">
        <f ca="1">IFERROR(__xludf.DUMMYFUNCTION("""COMPUTED_VALUE"""),3)</f>
        <v>3</v>
      </c>
      <c r="H212" s="1" t="str">
        <f ca="1">IFERROR(__xludf.DUMMYFUNCTION("""COMPUTED_VALUE"""),"C")</f>
        <v>C</v>
      </c>
      <c r="I212" s="4" t="str">
        <f ca="1">IFERROR(__xludf.DUMMYFUNCTION("""COMPUTED_VALUE"""),"51 Clifton Street#2C")</f>
        <v>51 Clifton Street#2C</v>
      </c>
      <c r="J212" s="4" t="str">
        <f ca="1">IFERROR(__xludf.DUMMYFUNCTION("""COMPUTED_VALUE"""),"905eb894-167d-4e33-8034-0c359da2dcc0")</f>
        <v>905eb894-167d-4e33-8034-0c359da2dcc0</v>
      </c>
      <c r="K212" s="4">
        <f ca="1">IFERROR(__xludf.DUMMYFUNCTION("""COMPUTED_VALUE"""),1050)</f>
        <v>1050</v>
      </c>
      <c r="L212" s="1" t="str">
        <f ca="1">IFERROR(__xludf.DUMMYFUNCTION("""COMPUTED_VALUE"""),"Lizzie")</f>
        <v>Lizzie</v>
      </c>
      <c r="M212" s="1" t="str">
        <f ca="1">IFERROR(__xludf.DUMMYFUNCTION("""COMPUTED_VALUE"""),"")</f>
        <v/>
      </c>
      <c r="N212" s="1" t="str">
        <f ca="1">IFERROR(__xludf.DUMMYFUNCTION("""COMPUTED_VALUE"""),"Furnished")</f>
        <v>Furnished</v>
      </c>
      <c r="O212" s="1" t="str">
        <f ca="1">IFERROR(__xludf.DUMMYFUNCTION("""COMPUTED_VALUE"""),"Lease Signed")</f>
        <v>Lease Signed</v>
      </c>
      <c r="P212" s="1" t="str">
        <f ca="1">IFERROR(__xludf.DUMMYFUNCTION("""COMPUTED_VALUE"""),"January")</f>
        <v>January</v>
      </c>
      <c r="Q212" s="1"/>
      <c r="R212" s="5">
        <f ca="1">IFERROR(__xludf.DUMMYFUNCTION("""COMPUTED_VALUE"""),43860)</f>
        <v>43860</v>
      </c>
      <c r="S212" s="1" t="str">
        <f ca="1">IFERROR(__xludf.DUMMYFUNCTION("""COMPUTED_VALUE"""),"NO CATS OR DOGS")</f>
        <v>NO CATS OR DOGS</v>
      </c>
      <c r="T212" s="1"/>
      <c r="U212" s="1" t="str">
        <f ca="1">IFERROR(__xludf.DUMMYFUNCTION("""COMPUTED_VALUE"""),"N")</f>
        <v>N</v>
      </c>
      <c r="V212" s="1" t="str">
        <f ca="1">IFERROR(__xludf.DUMMYFUNCTION("""COMPUTED_VALUE"""),"N")</f>
        <v>N</v>
      </c>
      <c r="W212" s="1" t="str">
        <f ca="1">IFERROR(__xludf.DUMMYFUNCTION("""COMPUTED_VALUE"""),"Angelo Osofsky")</f>
        <v>Angelo Osofsky</v>
      </c>
      <c r="X212" s="1" t="str">
        <f ca="1">IFERROR(__xludf.DUMMYFUNCTION("""COMPUTED_VALUE"""),"aosofsky@college.harvard.edu")</f>
        <v>aosofsky@college.harvard.edu</v>
      </c>
      <c r="Y212" s="1"/>
      <c r="Z212" s="1"/>
      <c r="AA212" s="1"/>
      <c r="AB212" s="1"/>
      <c r="AC212" s="1"/>
    </row>
    <row r="213" spans="1:29">
      <c r="A213" s="1" t="str">
        <f ca="1">IFERROR(__xludf.DUMMYFUNCTION("""COMPUTED_VALUE"""),"51 Clifton Street")</f>
        <v>51 Clifton Street</v>
      </c>
      <c r="B213" s="1">
        <f ca="1">IFERROR(__xludf.DUMMYFUNCTION("""COMPUTED_VALUE"""),51)</f>
        <v>51</v>
      </c>
      <c r="C213" s="1" t="str">
        <f ca="1">IFERROR(__xludf.DUMMYFUNCTION("""COMPUTED_VALUE"""),"#2")</f>
        <v>#2</v>
      </c>
      <c r="D213" s="1" t="str">
        <f ca="1">IFERROR(__xludf.DUMMYFUNCTION("""COMPUTED_VALUE"""),"51 Clifton Street Unit 2")</f>
        <v>51 Clifton Street Unit 2</v>
      </c>
      <c r="E213" s="1" t="str">
        <f ca="1">IFERROR(__xludf.DUMMYFUNCTION("""COMPUTED_VALUE"""),"Cambridge")</f>
        <v>Cambridge</v>
      </c>
      <c r="F213" s="1" t="str">
        <f ca="1">IFERROR(__xludf.DUMMYFUNCTION("""COMPUTED_VALUE"""),"Cambridge - North Cambridge")</f>
        <v>Cambridge - North Cambridge</v>
      </c>
      <c r="G213" s="1">
        <f ca="1">IFERROR(__xludf.DUMMYFUNCTION("""COMPUTED_VALUE"""),4)</f>
        <v>4</v>
      </c>
      <c r="H213" s="1" t="str">
        <f ca="1">IFERROR(__xludf.DUMMYFUNCTION("""COMPUTED_VALUE"""),"D")</f>
        <v>D</v>
      </c>
      <c r="I213" s="4" t="str">
        <f ca="1">IFERROR(__xludf.DUMMYFUNCTION("""COMPUTED_VALUE"""),"51 Clifton Street#2D")</f>
        <v>51 Clifton Street#2D</v>
      </c>
      <c r="J213" s="4" t="str">
        <f ca="1">IFERROR(__xludf.DUMMYFUNCTION("""COMPUTED_VALUE"""),"905eb894-167d-4e33-8034-0c359da2dcc0")</f>
        <v>905eb894-167d-4e33-8034-0c359da2dcc0</v>
      </c>
      <c r="K213" s="4">
        <f ca="1">IFERROR(__xludf.DUMMYFUNCTION("""COMPUTED_VALUE"""),1100)</f>
        <v>1100</v>
      </c>
      <c r="L213" s="1" t="str">
        <f ca="1">IFERROR(__xludf.DUMMYFUNCTION("""COMPUTED_VALUE"""),"Lizzie")</f>
        <v>Lizzie</v>
      </c>
      <c r="M213" s="1" t="str">
        <f ca="1">IFERROR(__xludf.DUMMYFUNCTION("""COMPUTED_VALUE"""),"")</f>
        <v/>
      </c>
      <c r="N213" s="1" t="str">
        <f ca="1">IFERROR(__xludf.DUMMYFUNCTION("""COMPUTED_VALUE"""),"Furnished")</f>
        <v>Furnished</v>
      </c>
      <c r="O213" s="1" t="str">
        <f ca="1">IFERROR(__xludf.DUMMYFUNCTION("""COMPUTED_VALUE"""),"Lease Signed")</f>
        <v>Lease Signed</v>
      </c>
      <c r="P213" s="1" t="str">
        <f ca="1">IFERROR(__xludf.DUMMYFUNCTION("""COMPUTED_VALUE"""),"January")</f>
        <v>January</v>
      </c>
      <c r="Q213" s="1"/>
      <c r="R213" s="5">
        <f ca="1">IFERROR(__xludf.DUMMYFUNCTION("""COMPUTED_VALUE"""),43860)</f>
        <v>43860</v>
      </c>
      <c r="S213" s="1" t="str">
        <f ca="1">IFERROR(__xludf.DUMMYFUNCTION("""COMPUTED_VALUE"""),"NO CATS OR DOGS")</f>
        <v>NO CATS OR DOGS</v>
      </c>
      <c r="T213" s="1"/>
      <c r="U213" s="1" t="str">
        <f ca="1">IFERROR(__xludf.DUMMYFUNCTION("""COMPUTED_VALUE"""),"N")</f>
        <v>N</v>
      </c>
      <c r="V213" s="1" t="str">
        <f ca="1">IFERROR(__xludf.DUMMYFUNCTION("""COMPUTED_VALUE"""),"N")</f>
        <v>N</v>
      </c>
      <c r="W213" s="1" t="str">
        <f ca="1">IFERROR(__xludf.DUMMYFUNCTION("""COMPUTED_VALUE"""),"Mason Burlage")</f>
        <v>Mason Burlage</v>
      </c>
      <c r="X213" s="1" t="str">
        <f ca="1">IFERROR(__xludf.DUMMYFUNCTION("""COMPUTED_VALUE"""),"mcburlage@gmail.com")</f>
        <v>mcburlage@gmail.com</v>
      </c>
      <c r="Y213" s="1"/>
      <c r="Z213" s="1"/>
      <c r="AA213" s="1"/>
      <c r="AB213" s="1"/>
      <c r="AC213" s="1"/>
    </row>
    <row r="214" spans="1:29">
      <c r="A214" s="1" t="str">
        <f ca="1">IFERROR(__xludf.DUMMYFUNCTION("""COMPUTED_VALUE"""),"51 Clifton Street")</f>
        <v>51 Clifton Street</v>
      </c>
      <c r="B214" s="1">
        <f ca="1">IFERROR(__xludf.DUMMYFUNCTION("""COMPUTED_VALUE"""),51)</f>
        <v>51</v>
      </c>
      <c r="C214" s="1" t="str">
        <f ca="1">IFERROR(__xludf.DUMMYFUNCTION("""COMPUTED_VALUE"""),"#2")</f>
        <v>#2</v>
      </c>
      <c r="D214" s="1" t="str">
        <f ca="1">IFERROR(__xludf.DUMMYFUNCTION("""COMPUTED_VALUE"""),"51 Clifton Street Unit 2")</f>
        <v>51 Clifton Street Unit 2</v>
      </c>
      <c r="E214" s="1" t="str">
        <f ca="1">IFERROR(__xludf.DUMMYFUNCTION("""COMPUTED_VALUE"""),"Cambridge")</f>
        <v>Cambridge</v>
      </c>
      <c r="F214" s="1" t="str">
        <f ca="1">IFERROR(__xludf.DUMMYFUNCTION("""COMPUTED_VALUE"""),"Cambridge - North Cambridge")</f>
        <v>Cambridge - North Cambridge</v>
      </c>
      <c r="G214" s="1">
        <f ca="1">IFERROR(__xludf.DUMMYFUNCTION("""COMPUTED_VALUE"""),5)</f>
        <v>5</v>
      </c>
      <c r="H214" s="1" t="str">
        <f ca="1">IFERROR(__xludf.DUMMYFUNCTION("""COMPUTED_VALUE"""),"E")</f>
        <v>E</v>
      </c>
      <c r="I214" s="4" t="str">
        <f ca="1">IFERROR(__xludf.DUMMYFUNCTION("""COMPUTED_VALUE"""),"51 Clifton Street#2E")</f>
        <v>51 Clifton Street#2E</v>
      </c>
      <c r="J214" s="4" t="str">
        <f ca="1">IFERROR(__xludf.DUMMYFUNCTION("""COMPUTED_VALUE"""),"905eb894-167d-4e33-8034-0c359da2dcc0")</f>
        <v>905eb894-167d-4e33-8034-0c359da2dcc0</v>
      </c>
      <c r="K214" s="4">
        <f ca="1">IFERROR(__xludf.DUMMYFUNCTION("""COMPUTED_VALUE"""),1100)</f>
        <v>1100</v>
      </c>
      <c r="L214" s="1" t="str">
        <f ca="1">IFERROR(__xludf.DUMMYFUNCTION("""COMPUTED_VALUE"""),"Lizzie")</f>
        <v>Lizzie</v>
      </c>
      <c r="M214" s="1" t="str">
        <f ca="1">IFERROR(__xludf.DUMMYFUNCTION("""COMPUTED_VALUE"""),"")</f>
        <v/>
      </c>
      <c r="N214" s="1" t="str">
        <f ca="1">IFERROR(__xludf.DUMMYFUNCTION("""COMPUTED_VALUE"""),"Furnished")</f>
        <v>Furnished</v>
      </c>
      <c r="O214" s="1" t="str">
        <f ca="1">IFERROR(__xludf.DUMMYFUNCTION("""COMPUTED_VALUE"""),"Deposits Complete")</f>
        <v>Deposits Complete</v>
      </c>
      <c r="P214" s="1" t="str">
        <f ca="1">IFERROR(__xludf.DUMMYFUNCTION("""COMPUTED_VALUE"""),"January")</f>
        <v>January</v>
      </c>
      <c r="Q214" s="1"/>
      <c r="R214" s="5">
        <f ca="1">IFERROR(__xludf.DUMMYFUNCTION("""COMPUTED_VALUE"""),43860)</f>
        <v>43860</v>
      </c>
      <c r="S214" s="1" t="str">
        <f ca="1">IFERROR(__xludf.DUMMYFUNCTION("""COMPUTED_VALUE"""),"NO CATS OR DOGS")</f>
        <v>NO CATS OR DOGS</v>
      </c>
      <c r="T214" s="1"/>
      <c r="U214" s="1" t="str">
        <f ca="1">IFERROR(__xludf.DUMMYFUNCTION("""COMPUTED_VALUE"""),"N")</f>
        <v>N</v>
      </c>
      <c r="V214" s="1" t="str">
        <f ca="1">IFERROR(__xludf.DUMMYFUNCTION("""COMPUTED_VALUE"""),"N")</f>
        <v>N</v>
      </c>
      <c r="W214" s="1" t="str">
        <f ca="1">IFERROR(__xludf.DUMMYFUNCTION("""COMPUTED_VALUE"""),"Amisha Kambath")</f>
        <v>Amisha Kambath</v>
      </c>
      <c r="X214" s="1" t="str">
        <f ca="1">IFERROR(__xludf.DUMMYFUNCTION("""COMPUTED_VALUE"""),"akambath@college.harvard.edu")</f>
        <v>akambath@college.harvard.edu</v>
      </c>
      <c r="Y214" s="1"/>
      <c r="Z214" s="1"/>
      <c r="AA214" s="1"/>
      <c r="AB214" s="1"/>
      <c r="AC214" s="1"/>
    </row>
    <row r="215" spans="1:29">
      <c r="A215" s="1" t="str">
        <f ca="1">IFERROR(__xludf.DUMMYFUNCTION("""COMPUTED_VALUE"""),"64 Sudan Street")</f>
        <v>64 Sudan Street</v>
      </c>
      <c r="B215" s="1">
        <f ca="1">IFERROR(__xludf.DUMMYFUNCTION("""COMPUTED_VALUE"""),64)</f>
        <v>64</v>
      </c>
      <c r="C215" s="1" t="str">
        <f ca="1">IFERROR(__xludf.DUMMYFUNCTION("""COMPUTED_VALUE"""),"#3")</f>
        <v>#3</v>
      </c>
      <c r="D215" s="1" t="str">
        <f ca="1">IFERROR(__xludf.DUMMYFUNCTION("""COMPUTED_VALUE"""),"64 Sudan Street Unit 3")</f>
        <v>64 Sudan Street Unit 3</v>
      </c>
      <c r="E215" s="1" t="str">
        <f ca="1">IFERROR(__xludf.DUMMYFUNCTION("""COMPUTED_VALUE"""),"Boston")</f>
        <v>Boston</v>
      </c>
      <c r="F215" s="1" t="str">
        <f ca="1">IFERROR(__xludf.DUMMYFUNCTION("""COMPUTED_VALUE"""),"Boston - Dorchester")</f>
        <v>Boston - Dorchester</v>
      </c>
      <c r="G215" s="1">
        <f ca="1">IFERROR(__xludf.DUMMYFUNCTION("""COMPUTED_VALUE"""),1)</f>
        <v>1</v>
      </c>
      <c r="H215" s="1" t="str">
        <f ca="1">IFERROR(__xludf.DUMMYFUNCTION("""COMPUTED_VALUE"""),"A")</f>
        <v>A</v>
      </c>
      <c r="I215" s="4" t="str">
        <f ca="1">IFERROR(__xludf.DUMMYFUNCTION("""COMPUTED_VALUE"""),"64 Sudan Street#3A")</f>
        <v>64 Sudan Street#3A</v>
      </c>
      <c r="J215" s="4" t="str">
        <f ca="1">IFERROR(__xludf.DUMMYFUNCTION("""COMPUTED_VALUE"""),"7d297d02-9e5c-4585-b945-f51d4fb49e52")</f>
        <v>7d297d02-9e5c-4585-b945-f51d4fb49e52</v>
      </c>
      <c r="K215" s="4">
        <f ca="1">IFERROR(__xludf.DUMMYFUNCTION("""COMPUTED_VALUE"""),1075)</f>
        <v>1075</v>
      </c>
      <c r="L215" s="1" t="str">
        <f ca="1">IFERROR(__xludf.DUMMYFUNCTION("""COMPUTED_VALUE"""),"Cam")</f>
        <v>Cam</v>
      </c>
      <c r="M215" s="1" t="str">
        <f ca="1">IFERROR(__xludf.DUMMYFUNCTION("""COMPUTED_VALUE"""),"")</f>
        <v/>
      </c>
      <c r="N215" s="1" t="str">
        <f ca="1">IFERROR(__xludf.DUMMYFUNCTION("""COMPUTED_VALUE"""),"")</f>
        <v/>
      </c>
      <c r="O215" s="1" t="str">
        <f ca="1">IFERROR(__xludf.DUMMYFUNCTION("""COMPUTED_VALUE"""),"Occupied")</f>
        <v>Occupied</v>
      </c>
      <c r="P215" s="1"/>
      <c r="Q215" s="1"/>
      <c r="R215" s="1"/>
      <c r="S215" s="1"/>
      <c r="T215" s="1"/>
      <c r="U215" s="1" t="str">
        <f ca="1">IFERROR(__xludf.DUMMYFUNCTION("""COMPUTED_VALUE"""),"N")</f>
        <v>N</v>
      </c>
      <c r="V215" s="1" t="str">
        <f ca="1">IFERROR(__xludf.DUMMYFUNCTION("""COMPUTED_VALUE"""),"Y")</f>
        <v>Y</v>
      </c>
      <c r="W215" s="1"/>
      <c r="X215" s="1"/>
      <c r="Y215" s="1" t="str">
        <f ca="1">IFERROR(__xludf.DUMMYFUNCTION("""COMPUTED_VALUE"""),"Rebecca Bagley")</f>
        <v>Rebecca Bagley</v>
      </c>
      <c r="Z215" s="1" t="str">
        <f ca="1">IFERROR(__xludf.DUMMYFUNCTION("""COMPUTED_VALUE"""),"bagleyrebecca1@gmail.com")</f>
        <v>bagleyrebecca1@gmail.com</v>
      </c>
      <c r="AA215" s="1"/>
      <c r="AB215" s="1"/>
      <c r="AC215" s="1"/>
    </row>
    <row r="216" spans="1:29">
      <c r="A216" s="1" t="str">
        <f ca="1">IFERROR(__xludf.DUMMYFUNCTION("""COMPUTED_VALUE"""),"64 Sudan Street")</f>
        <v>64 Sudan Street</v>
      </c>
      <c r="B216" s="1">
        <f ca="1">IFERROR(__xludf.DUMMYFUNCTION("""COMPUTED_VALUE"""),64)</f>
        <v>64</v>
      </c>
      <c r="C216" s="1" t="str">
        <f ca="1">IFERROR(__xludf.DUMMYFUNCTION("""COMPUTED_VALUE"""),"#3")</f>
        <v>#3</v>
      </c>
      <c r="D216" s="1" t="str">
        <f ca="1">IFERROR(__xludf.DUMMYFUNCTION("""COMPUTED_VALUE"""),"64 Sudan Street Unit 3")</f>
        <v>64 Sudan Street Unit 3</v>
      </c>
      <c r="E216" s="1" t="str">
        <f ca="1">IFERROR(__xludf.DUMMYFUNCTION("""COMPUTED_VALUE"""),"Boston")</f>
        <v>Boston</v>
      </c>
      <c r="F216" s="1" t="str">
        <f ca="1">IFERROR(__xludf.DUMMYFUNCTION("""COMPUTED_VALUE"""),"Boston - Dorchester")</f>
        <v>Boston - Dorchester</v>
      </c>
      <c r="G216" s="1">
        <f ca="1">IFERROR(__xludf.DUMMYFUNCTION("""COMPUTED_VALUE"""),2)</f>
        <v>2</v>
      </c>
      <c r="H216" s="1" t="str">
        <f ca="1">IFERROR(__xludf.DUMMYFUNCTION("""COMPUTED_VALUE"""),"B")</f>
        <v>B</v>
      </c>
      <c r="I216" s="4" t="str">
        <f ca="1">IFERROR(__xludf.DUMMYFUNCTION("""COMPUTED_VALUE"""),"64 Sudan Street#3B")</f>
        <v>64 Sudan Street#3B</v>
      </c>
      <c r="J216" s="4" t="str">
        <f ca="1">IFERROR(__xludf.DUMMYFUNCTION("""COMPUTED_VALUE"""),"7d297d02-9e5c-4585-b945-f51d4fb49e52")</f>
        <v>7d297d02-9e5c-4585-b945-f51d4fb49e52</v>
      </c>
      <c r="K216" s="4">
        <f ca="1">IFERROR(__xludf.DUMMYFUNCTION("""COMPUTED_VALUE"""),950)</f>
        <v>950</v>
      </c>
      <c r="L216" s="1" t="str">
        <f ca="1">IFERROR(__xludf.DUMMYFUNCTION("""COMPUTED_VALUE"""),"Cam")</f>
        <v>Cam</v>
      </c>
      <c r="M216" s="1" t="str">
        <f ca="1">IFERROR(__xludf.DUMMYFUNCTION("""COMPUTED_VALUE"""),"")</f>
        <v/>
      </c>
      <c r="N216" s="1" t="str">
        <f ca="1">IFERROR(__xludf.DUMMYFUNCTION("""COMPUTED_VALUE"""),"")</f>
        <v/>
      </c>
      <c r="O216" s="1" t="str">
        <f ca="1">IFERROR(__xludf.DUMMYFUNCTION("""COMPUTED_VALUE"""),"Occupied")</f>
        <v>Occupied</v>
      </c>
      <c r="P216" s="1"/>
      <c r="Q216" s="1"/>
      <c r="R216" s="1"/>
      <c r="S216" s="1"/>
      <c r="T216" s="1"/>
      <c r="U216" s="1" t="str">
        <f ca="1">IFERROR(__xludf.DUMMYFUNCTION("""COMPUTED_VALUE"""),"N")</f>
        <v>N</v>
      </c>
      <c r="V216" s="1" t="str">
        <f ca="1">IFERROR(__xludf.DUMMYFUNCTION("""COMPUTED_VALUE"""),"Y")</f>
        <v>Y</v>
      </c>
      <c r="W216" s="1"/>
      <c r="X216" s="1"/>
      <c r="Y216" s="1" t="str">
        <f ca="1">IFERROR(__xludf.DUMMYFUNCTION("""COMPUTED_VALUE"""),"Peter Meacham")</f>
        <v>Peter Meacham</v>
      </c>
      <c r="Z216" s="1" t="str">
        <f ca="1">IFERROR(__xludf.DUMMYFUNCTION("""COMPUTED_VALUE"""),"petermeacham@gmail.com")</f>
        <v>petermeacham@gmail.com</v>
      </c>
      <c r="AA216" s="1"/>
      <c r="AB216" s="1"/>
      <c r="AC216" s="1"/>
    </row>
    <row r="217" spans="1:29">
      <c r="A217" s="1" t="str">
        <f ca="1">IFERROR(__xludf.DUMMYFUNCTION("""COMPUTED_VALUE"""),"64 Sudan Street")</f>
        <v>64 Sudan Street</v>
      </c>
      <c r="B217" s="1">
        <f ca="1">IFERROR(__xludf.DUMMYFUNCTION("""COMPUTED_VALUE"""),64)</f>
        <v>64</v>
      </c>
      <c r="C217" s="1" t="str">
        <f ca="1">IFERROR(__xludf.DUMMYFUNCTION("""COMPUTED_VALUE"""),"#3")</f>
        <v>#3</v>
      </c>
      <c r="D217" s="1" t="str">
        <f ca="1">IFERROR(__xludf.DUMMYFUNCTION("""COMPUTED_VALUE"""),"64 Sudan Street Unit 3")</f>
        <v>64 Sudan Street Unit 3</v>
      </c>
      <c r="E217" s="1" t="str">
        <f ca="1">IFERROR(__xludf.DUMMYFUNCTION("""COMPUTED_VALUE"""),"Boston")</f>
        <v>Boston</v>
      </c>
      <c r="F217" s="1" t="str">
        <f ca="1">IFERROR(__xludf.DUMMYFUNCTION("""COMPUTED_VALUE"""),"Boston - Dorchester")</f>
        <v>Boston - Dorchester</v>
      </c>
      <c r="G217" s="1">
        <f ca="1">IFERROR(__xludf.DUMMYFUNCTION("""COMPUTED_VALUE"""),3)</f>
        <v>3</v>
      </c>
      <c r="H217" s="1" t="str">
        <f ca="1">IFERROR(__xludf.DUMMYFUNCTION("""COMPUTED_VALUE"""),"C")</f>
        <v>C</v>
      </c>
      <c r="I217" s="4" t="str">
        <f ca="1">IFERROR(__xludf.DUMMYFUNCTION("""COMPUTED_VALUE"""),"64 Sudan Street#3C")</f>
        <v>64 Sudan Street#3C</v>
      </c>
      <c r="J217" s="4" t="str">
        <f ca="1">IFERROR(__xludf.DUMMYFUNCTION("""COMPUTED_VALUE"""),"7d297d02-9e5c-4585-b945-f51d4fb49e52")</f>
        <v>7d297d02-9e5c-4585-b945-f51d4fb49e52</v>
      </c>
      <c r="K217" s="4">
        <f ca="1">IFERROR(__xludf.DUMMYFUNCTION("""COMPUTED_VALUE"""),1125)</f>
        <v>1125</v>
      </c>
      <c r="L217" s="1" t="str">
        <f ca="1">IFERROR(__xludf.DUMMYFUNCTION("""COMPUTED_VALUE"""),"Cam")</f>
        <v>Cam</v>
      </c>
      <c r="M217" s="1" t="str">
        <f ca="1">IFERROR(__xludf.DUMMYFUNCTION("""COMPUTED_VALUE"""),"")</f>
        <v/>
      </c>
      <c r="N217" s="1" t="str">
        <f ca="1">IFERROR(__xludf.DUMMYFUNCTION("""COMPUTED_VALUE"""),"")</f>
        <v/>
      </c>
      <c r="O217" s="1" t="str">
        <f ca="1">IFERROR(__xludf.DUMMYFUNCTION("""COMPUTED_VALUE"""),"Occupied")</f>
        <v>Occupied</v>
      </c>
      <c r="P217" s="1"/>
      <c r="Q217" s="1"/>
      <c r="R217" s="1"/>
      <c r="S217" s="1"/>
      <c r="T217" s="1"/>
      <c r="U217" s="1" t="str">
        <f ca="1">IFERROR(__xludf.DUMMYFUNCTION("""COMPUTED_VALUE"""),"N")</f>
        <v>N</v>
      </c>
      <c r="V217" s="1" t="str">
        <f ca="1">IFERROR(__xludf.DUMMYFUNCTION("""COMPUTED_VALUE"""),"Y")</f>
        <v>Y</v>
      </c>
      <c r="W217" s="1"/>
      <c r="X217" s="1"/>
      <c r="Y217" s="1" t="str">
        <f ca="1">IFERROR(__xludf.DUMMYFUNCTION("""COMPUTED_VALUE"""),"Janhvi Trehan")</f>
        <v>Janhvi Trehan</v>
      </c>
      <c r="Z217" s="1" t="str">
        <f ca="1">IFERROR(__xludf.DUMMYFUNCTION("""COMPUTED_VALUE"""),"janatrehan2001@gmail.com")</f>
        <v>janatrehan2001@gmail.com</v>
      </c>
      <c r="AA217" s="1"/>
      <c r="AB217" s="1"/>
      <c r="AC217" s="1"/>
    </row>
    <row r="218" spans="1:29">
      <c r="A218" s="1" t="str">
        <f ca="1">IFERROR(__xludf.DUMMYFUNCTION("""COMPUTED_VALUE"""),"65 Burbank Street")</f>
        <v>65 Burbank Street</v>
      </c>
      <c r="B218" s="1">
        <f ca="1">IFERROR(__xludf.DUMMYFUNCTION("""COMPUTED_VALUE"""),65)</f>
        <v>65</v>
      </c>
      <c r="C218" s="1" t="str">
        <f ca="1">IFERROR(__xludf.DUMMYFUNCTION("""COMPUTED_VALUE"""),"#21")</f>
        <v>#21</v>
      </c>
      <c r="D218" s="1" t="str">
        <f ca="1">IFERROR(__xludf.DUMMYFUNCTION("""COMPUTED_VALUE"""),"65 Burbank Street Unit 21")</f>
        <v>65 Burbank Street Unit 21</v>
      </c>
      <c r="E218" s="1" t="str">
        <f ca="1">IFERROR(__xludf.DUMMYFUNCTION("""COMPUTED_VALUE"""),"Boston")</f>
        <v>Boston</v>
      </c>
      <c r="F218" s="1" t="str">
        <f ca="1">IFERROR(__xludf.DUMMYFUNCTION("""COMPUTED_VALUE"""),"Boston - Back Bay")</f>
        <v>Boston - Back Bay</v>
      </c>
      <c r="G218" s="1">
        <f ca="1">IFERROR(__xludf.DUMMYFUNCTION("""COMPUTED_VALUE"""),1)</f>
        <v>1</v>
      </c>
      <c r="H218" s="1" t="str">
        <f ca="1">IFERROR(__xludf.DUMMYFUNCTION("""COMPUTED_VALUE"""),"A")</f>
        <v>A</v>
      </c>
      <c r="I218" s="4" t="str">
        <f ca="1">IFERROR(__xludf.DUMMYFUNCTION("""COMPUTED_VALUE"""),"65 Burbank Street#21A")</f>
        <v>65 Burbank Street#21A</v>
      </c>
      <c r="J218" s="4" t="str">
        <f ca="1">IFERROR(__xludf.DUMMYFUNCTION("""COMPUTED_VALUE"""),"3869fc82-db0e-4e2d-b9c0-450378a3cb3d")</f>
        <v>3869fc82-db0e-4e2d-b9c0-450378a3cb3d</v>
      </c>
      <c r="K218" s="4">
        <f ca="1">IFERROR(__xludf.DUMMYFUNCTION("""COMPUTED_VALUE"""),1295)</f>
        <v>1295</v>
      </c>
      <c r="L218" s="1" t="str">
        <f ca="1">IFERROR(__xludf.DUMMYFUNCTION("""COMPUTED_VALUE"""),"Daniel")</f>
        <v>Daniel</v>
      </c>
      <c r="M218" s="1" t="str">
        <f ca="1">IFERROR(__xludf.DUMMYFUNCTION("""COMPUTED_VALUE"""),"")</f>
        <v/>
      </c>
      <c r="N218" s="1"/>
      <c r="O218" s="1" t="str">
        <f ca="1">IFERROR(__xludf.DUMMYFUNCTION("""COMPUTED_VALUE"""),"Occupied")</f>
        <v>Occupied</v>
      </c>
      <c r="P218" s="1"/>
      <c r="Q218" s="1"/>
      <c r="R218" s="1"/>
      <c r="S218" s="1"/>
      <c r="T218" s="1"/>
      <c r="U218" s="1" t="str">
        <f ca="1">IFERROR(__xludf.DUMMYFUNCTION("""COMPUTED_VALUE"""),"Y")</f>
        <v>Y</v>
      </c>
      <c r="V218" s="1" t="str">
        <f ca="1">IFERROR(__xludf.DUMMYFUNCTION("""COMPUTED_VALUE"""),"Y")</f>
        <v>Y</v>
      </c>
      <c r="W218" s="1"/>
      <c r="X218" s="1"/>
      <c r="Y218" s="1" t="str">
        <f ca="1">IFERROR(__xludf.DUMMYFUNCTION("""COMPUTED_VALUE"""),"Corcoran Mikol")</f>
        <v>Corcoran Mikol</v>
      </c>
      <c r="Z218" s="1" t="str">
        <f ca="1">IFERROR(__xludf.DUMMYFUNCTION("""COMPUTED_VALUE"""),"cmikol25@gmail.com")</f>
        <v>cmikol25@gmail.com</v>
      </c>
      <c r="AA218" s="1"/>
      <c r="AB218" s="1"/>
      <c r="AC218" s="1"/>
    </row>
    <row r="219" spans="1:29">
      <c r="A219" s="1" t="str">
        <f ca="1">IFERROR(__xludf.DUMMYFUNCTION("""COMPUTED_VALUE"""),"65 Burbank Street")</f>
        <v>65 Burbank Street</v>
      </c>
      <c r="B219" s="1">
        <f ca="1">IFERROR(__xludf.DUMMYFUNCTION("""COMPUTED_VALUE"""),65)</f>
        <v>65</v>
      </c>
      <c r="C219" s="1" t="str">
        <f ca="1">IFERROR(__xludf.DUMMYFUNCTION("""COMPUTED_VALUE"""),"#21")</f>
        <v>#21</v>
      </c>
      <c r="D219" s="1" t="str">
        <f ca="1">IFERROR(__xludf.DUMMYFUNCTION("""COMPUTED_VALUE"""),"65 Burbank Street Unit 21")</f>
        <v>65 Burbank Street Unit 21</v>
      </c>
      <c r="E219" s="1" t="str">
        <f ca="1">IFERROR(__xludf.DUMMYFUNCTION("""COMPUTED_VALUE"""),"Boston")</f>
        <v>Boston</v>
      </c>
      <c r="F219" s="1" t="str">
        <f ca="1">IFERROR(__xludf.DUMMYFUNCTION("""COMPUTED_VALUE"""),"Boston - Back Bay")</f>
        <v>Boston - Back Bay</v>
      </c>
      <c r="G219" s="1">
        <f ca="1">IFERROR(__xludf.DUMMYFUNCTION("""COMPUTED_VALUE"""),2)</f>
        <v>2</v>
      </c>
      <c r="H219" s="1" t="str">
        <f ca="1">IFERROR(__xludf.DUMMYFUNCTION("""COMPUTED_VALUE"""),"B")</f>
        <v>B</v>
      </c>
      <c r="I219" s="4" t="str">
        <f ca="1">IFERROR(__xludf.DUMMYFUNCTION("""COMPUTED_VALUE"""),"65 Burbank Street#21B")</f>
        <v>65 Burbank Street#21B</v>
      </c>
      <c r="J219" s="4" t="str">
        <f ca="1">IFERROR(__xludf.DUMMYFUNCTION("""COMPUTED_VALUE"""),"3869fc82-db0e-4e2d-b9c0-450378a3cb3d")</f>
        <v>3869fc82-db0e-4e2d-b9c0-450378a3cb3d</v>
      </c>
      <c r="K219" s="4">
        <f ca="1">IFERROR(__xludf.DUMMYFUNCTION("""COMPUTED_VALUE"""),995)</f>
        <v>995</v>
      </c>
      <c r="L219" s="1" t="str">
        <f ca="1">IFERROR(__xludf.DUMMYFUNCTION("""COMPUTED_VALUE"""),"Daniel")</f>
        <v>Daniel</v>
      </c>
      <c r="M219" s="1" t="str">
        <f ca="1">IFERROR(__xludf.DUMMYFUNCTION("""COMPUTED_VALUE"""),"Daniel (later)")</f>
        <v>Daniel (later)</v>
      </c>
      <c r="N219" s="1"/>
      <c r="O219" s="1" t="str">
        <f ca="1">IFERROR(__xludf.DUMMYFUNCTION("""COMPUTED_VALUE"""),"Lease Sent")</f>
        <v>Lease Sent</v>
      </c>
      <c r="P219" s="1"/>
      <c r="Q219" s="1"/>
      <c r="R219" s="5">
        <f ca="1">IFERROR(__xludf.DUMMYFUNCTION("""COMPUTED_VALUE"""),44232)</f>
        <v>44232</v>
      </c>
      <c r="S219" s="1"/>
      <c r="T219" s="1"/>
      <c r="U219" s="1" t="str">
        <f ca="1">IFERROR(__xludf.DUMMYFUNCTION("""COMPUTED_VALUE"""),"Y")</f>
        <v>Y</v>
      </c>
      <c r="V219" s="1" t="str">
        <f ca="1">IFERROR(__xludf.DUMMYFUNCTION("""COMPUTED_VALUE"""),"Y")</f>
        <v>Y</v>
      </c>
      <c r="W219" s="1" t="str">
        <f ca="1">IFERROR(__xludf.DUMMYFUNCTION("""COMPUTED_VALUE"""),"Utsav Patel")</f>
        <v>Utsav Patel</v>
      </c>
      <c r="X219" s="1" t="str">
        <f ca="1">IFERROR(__xludf.DUMMYFUNCTION("""COMPUTED_VALUE"""),"utsavp1707@gmail.com")</f>
        <v>utsavp1707@gmail.com</v>
      </c>
      <c r="Y219" s="1"/>
      <c r="Z219" s="1"/>
      <c r="AA219" s="1"/>
      <c r="AB219" s="1"/>
      <c r="AC219" s="1"/>
    </row>
    <row r="220" spans="1:29">
      <c r="A220" s="1" t="str">
        <f ca="1">IFERROR(__xludf.DUMMYFUNCTION("""COMPUTED_VALUE"""),"76 King Street")</f>
        <v>76 King Street</v>
      </c>
      <c r="B220" s="1">
        <f ca="1">IFERROR(__xludf.DUMMYFUNCTION("""COMPUTED_VALUE"""),76)</f>
        <v>76</v>
      </c>
      <c r="C220" s="1" t="str">
        <f ca="1">IFERROR(__xludf.DUMMYFUNCTION("""COMPUTED_VALUE"""),"#2")</f>
        <v>#2</v>
      </c>
      <c r="D220" s="1" t="str">
        <f ca="1">IFERROR(__xludf.DUMMYFUNCTION("""COMPUTED_VALUE"""),"76 King Street Unit 2")</f>
        <v>76 King Street Unit 2</v>
      </c>
      <c r="E220" s="1" t="str">
        <f ca="1">IFERROR(__xludf.DUMMYFUNCTION("""COMPUTED_VALUE"""),"Boston")</f>
        <v>Boston</v>
      </c>
      <c r="F220" s="1" t="str">
        <f ca="1">IFERROR(__xludf.DUMMYFUNCTION("""COMPUTED_VALUE"""),"Boston - Dorchester")</f>
        <v>Boston - Dorchester</v>
      </c>
      <c r="G220" s="1">
        <f ca="1">IFERROR(__xludf.DUMMYFUNCTION("""COMPUTED_VALUE"""),1)</f>
        <v>1</v>
      </c>
      <c r="H220" s="1" t="str">
        <f ca="1">IFERROR(__xludf.DUMMYFUNCTION("""COMPUTED_VALUE"""),"A")</f>
        <v>A</v>
      </c>
      <c r="I220" s="4" t="str">
        <f ca="1">IFERROR(__xludf.DUMMYFUNCTION("""COMPUTED_VALUE"""),"76 King Street#2A")</f>
        <v>76 King Street#2A</v>
      </c>
      <c r="J220" s="4" t="str">
        <f ca="1">IFERROR(__xludf.DUMMYFUNCTION("""COMPUTED_VALUE"""),"4488ea43-df92-480c-8b63-29cbad49af36")</f>
        <v>4488ea43-df92-480c-8b63-29cbad49af36</v>
      </c>
      <c r="K220" s="4">
        <f ca="1">IFERROR(__xludf.DUMMYFUNCTION("""COMPUTED_VALUE"""),1190)</f>
        <v>1190</v>
      </c>
      <c r="L220" s="1" t="str">
        <f ca="1">IFERROR(__xludf.DUMMYFUNCTION("""COMPUTED_VALUE"""),"Cam")</f>
        <v>Cam</v>
      </c>
      <c r="M220" s="1" t="str">
        <f ca="1">IFERROR(__xludf.DUMMYFUNCTION("""COMPUTED_VALUE"""),"")</f>
        <v/>
      </c>
      <c r="N220" s="1" t="str">
        <f ca="1">IFERROR(__xludf.DUMMYFUNCTION("""COMPUTED_VALUE"""),"")</f>
        <v/>
      </c>
      <c r="O220" s="1" t="str">
        <f ca="1">IFERROR(__xludf.DUMMYFUNCTION("""COMPUTED_VALUE"""),"Occupied")</f>
        <v>Occupied</v>
      </c>
      <c r="P220" s="1"/>
      <c r="Q220" s="1"/>
      <c r="R220" s="1"/>
      <c r="S220" s="1" t="str">
        <f ca="1">IFERROR(__xludf.DUMMYFUNCTION("""COMPUTED_VALUE"""),"NO CATS OR DOGS")</f>
        <v>NO CATS OR DOGS</v>
      </c>
      <c r="T220" s="1"/>
      <c r="U220" s="1" t="str">
        <f ca="1">IFERROR(__xludf.DUMMYFUNCTION("""COMPUTED_VALUE"""),"Y")</f>
        <v>Y</v>
      </c>
      <c r="V220" s="1" t="str">
        <f ca="1">IFERROR(__xludf.DUMMYFUNCTION("""COMPUTED_VALUE"""),"Y")</f>
        <v>Y</v>
      </c>
      <c r="W220" s="1"/>
      <c r="X220" s="1"/>
      <c r="Y220" s="1" t="str">
        <f ca="1">IFERROR(__xludf.DUMMYFUNCTION("""COMPUTED_VALUE"""),"Cosimo D'Elia")</f>
        <v>Cosimo D'Elia</v>
      </c>
      <c r="Z220" s="1" t="str">
        <f ca="1">IFERROR(__xludf.DUMMYFUNCTION("""COMPUTED_VALUE"""),"cdelia0410@gmail.com")</f>
        <v>cdelia0410@gmail.com</v>
      </c>
      <c r="AA220" s="1"/>
      <c r="AB220" s="1"/>
      <c r="AC220" s="1"/>
    </row>
    <row r="221" spans="1:29">
      <c r="A221" s="1" t="str">
        <f ca="1">IFERROR(__xludf.DUMMYFUNCTION("""COMPUTED_VALUE"""),"76 King Street")</f>
        <v>76 King Street</v>
      </c>
      <c r="B221" s="1">
        <f ca="1">IFERROR(__xludf.DUMMYFUNCTION("""COMPUTED_VALUE"""),76)</f>
        <v>76</v>
      </c>
      <c r="C221" s="1" t="str">
        <f ca="1">IFERROR(__xludf.DUMMYFUNCTION("""COMPUTED_VALUE"""),"#2")</f>
        <v>#2</v>
      </c>
      <c r="D221" s="1" t="str">
        <f ca="1">IFERROR(__xludf.DUMMYFUNCTION("""COMPUTED_VALUE"""),"76 King Street Unit 2")</f>
        <v>76 King Street Unit 2</v>
      </c>
      <c r="E221" s="1" t="str">
        <f ca="1">IFERROR(__xludf.DUMMYFUNCTION("""COMPUTED_VALUE"""),"Boston")</f>
        <v>Boston</v>
      </c>
      <c r="F221" s="1" t="str">
        <f ca="1">IFERROR(__xludf.DUMMYFUNCTION("""COMPUTED_VALUE"""),"Boston - Dorchester")</f>
        <v>Boston - Dorchester</v>
      </c>
      <c r="G221" s="1">
        <f ca="1">IFERROR(__xludf.DUMMYFUNCTION("""COMPUTED_VALUE"""),2)</f>
        <v>2</v>
      </c>
      <c r="H221" s="1" t="str">
        <f ca="1">IFERROR(__xludf.DUMMYFUNCTION("""COMPUTED_VALUE"""),"B")</f>
        <v>B</v>
      </c>
      <c r="I221" s="4" t="str">
        <f ca="1">IFERROR(__xludf.DUMMYFUNCTION("""COMPUTED_VALUE"""),"76 King Street#2B")</f>
        <v>76 King Street#2B</v>
      </c>
      <c r="J221" s="4" t="str">
        <f ca="1">IFERROR(__xludf.DUMMYFUNCTION("""COMPUTED_VALUE"""),"4488ea43-df92-480c-8b63-29cbad49af36")</f>
        <v>4488ea43-df92-480c-8b63-29cbad49af36</v>
      </c>
      <c r="K221" s="4">
        <f ca="1">IFERROR(__xludf.DUMMYFUNCTION("""COMPUTED_VALUE"""),990)</f>
        <v>990</v>
      </c>
      <c r="L221" s="1" t="str">
        <f ca="1">IFERROR(__xludf.DUMMYFUNCTION("""COMPUTED_VALUE"""),"Cam")</f>
        <v>Cam</v>
      </c>
      <c r="M221" s="1" t="str">
        <f ca="1">IFERROR(__xludf.DUMMYFUNCTION("""COMPUTED_VALUE"""),"Cam (later)")</f>
        <v>Cam (later)</v>
      </c>
      <c r="N221" s="1" t="str">
        <f ca="1">IFERROR(__xludf.DUMMYFUNCTION("""COMPUTED_VALUE"""),"")</f>
        <v/>
      </c>
      <c r="O221" s="1" t="str">
        <f ca="1">IFERROR(__xludf.DUMMYFUNCTION("""COMPUTED_VALUE"""),"Upcoming Vacancy")</f>
        <v>Upcoming Vacancy</v>
      </c>
      <c r="P221" s="1" t="str">
        <f ca="1">IFERROR(__xludf.DUMMYFUNCTION("""COMPUTED_VALUE"""),"April")</f>
        <v>April</v>
      </c>
      <c r="Q221" s="3">
        <f ca="1">IFERROR(__xludf.DUMMYFUNCTION("""COMPUTED_VALUE"""),44286)</f>
        <v>44286</v>
      </c>
      <c r="R221" s="1"/>
      <c r="S221" s="1" t="str">
        <f ca="1">IFERROR(__xludf.DUMMYFUNCTION("""COMPUTED_VALUE"""),"NO CATS OR DOGS")</f>
        <v>NO CATS OR DOGS</v>
      </c>
      <c r="T221" s="1"/>
      <c r="U221" s="1" t="str">
        <f ca="1">IFERROR(__xludf.DUMMYFUNCTION("""COMPUTED_VALUE"""),"Y")</f>
        <v>Y</v>
      </c>
      <c r="V221" s="1" t="str">
        <f ca="1">IFERROR(__xludf.DUMMYFUNCTION("""COMPUTED_VALUE"""),"Y")</f>
        <v>Y</v>
      </c>
      <c r="W221" s="1"/>
      <c r="X221" s="1"/>
      <c r="Y221" s="1" t="str">
        <f ca="1">IFERROR(__xludf.DUMMYFUNCTION("""COMPUTED_VALUE"""),"Aidan Price")</f>
        <v>Aidan Price</v>
      </c>
      <c r="Z221" s="1" t="str">
        <f ca="1">IFERROR(__xludf.DUMMYFUNCTION("""COMPUTED_VALUE"""),"aidanprice7@gmail.com")</f>
        <v>aidanprice7@gmail.com</v>
      </c>
      <c r="AA221" s="1"/>
      <c r="AB221" s="1"/>
      <c r="AC221" s="1"/>
    </row>
    <row r="222" spans="1:29">
      <c r="A222" s="1" t="str">
        <f ca="1">IFERROR(__xludf.DUMMYFUNCTION("""COMPUTED_VALUE"""),"76 King Street")</f>
        <v>76 King Street</v>
      </c>
      <c r="B222" s="1">
        <f ca="1">IFERROR(__xludf.DUMMYFUNCTION("""COMPUTED_VALUE"""),76)</f>
        <v>76</v>
      </c>
      <c r="C222" s="1" t="str">
        <f ca="1">IFERROR(__xludf.DUMMYFUNCTION("""COMPUTED_VALUE"""),"#2")</f>
        <v>#2</v>
      </c>
      <c r="D222" s="1" t="str">
        <f ca="1">IFERROR(__xludf.DUMMYFUNCTION("""COMPUTED_VALUE"""),"76 King Street Unit 2")</f>
        <v>76 King Street Unit 2</v>
      </c>
      <c r="E222" s="1" t="str">
        <f ca="1">IFERROR(__xludf.DUMMYFUNCTION("""COMPUTED_VALUE"""),"Boston")</f>
        <v>Boston</v>
      </c>
      <c r="F222" s="1" t="str">
        <f ca="1">IFERROR(__xludf.DUMMYFUNCTION("""COMPUTED_VALUE"""),"Boston - Dorchester")</f>
        <v>Boston - Dorchester</v>
      </c>
      <c r="G222" s="1">
        <f ca="1">IFERROR(__xludf.DUMMYFUNCTION("""COMPUTED_VALUE"""),3)</f>
        <v>3</v>
      </c>
      <c r="H222" s="1" t="str">
        <f ca="1">IFERROR(__xludf.DUMMYFUNCTION("""COMPUTED_VALUE"""),"C")</f>
        <v>C</v>
      </c>
      <c r="I222" s="4" t="str">
        <f ca="1">IFERROR(__xludf.DUMMYFUNCTION("""COMPUTED_VALUE"""),"76 King Street#2C")</f>
        <v>76 King Street#2C</v>
      </c>
      <c r="J222" s="4" t="str">
        <f ca="1">IFERROR(__xludf.DUMMYFUNCTION("""COMPUTED_VALUE"""),"4488ea43-df92-480c-8b63-29cbad49af36")</f>
        <v>4488ea43-df92-480c-8b63-29cbad49af36</v>
      </c>
      <c r="K222" s="4">
        <f ca="1">IFERROR(__xludf.DUMMYFUNCTION("""COMPUTED_VALUE"""),990)</f>
        <v>990</v>
      </c>
      <c r="L222" s="1" t="str">
        <f ca="1">IFERROR(__xludf.DUMMYFUNCTION("""COMPUTED_VALUE"""),"Cam")</f>
        <v>Cam</v>
      </c>
      <c r="M222" s="1" t="str">
        <f ca="1">IFERROR(__xludf.DUMMYFUNCTION("""COMPUTED_VALUE"""),"Cam (NOW)")</f>
        <v>Cam (NOW)</v>
      </c>
      <c r="N222" s="1" t="str">
        <f ca="1">IFERROR(__xludf.DUMMYFUNCTION("""COMPUTED_VALUE"""),"")</f>
        <v/>
      </c>
      <c r="O222" s="1" t="str">
        <f ca="1">IFERROR(__xludf.DUMMYFUNCTION("""COMPUTED_VALUE"""),"Upcoming Vacancy")</f>
        <v>Upcoming Vacancy</v>
      </c>
      <c r="P222" s="1" t="str">
        <f ca="1">IFERROR(__xludf.DUMMYFUNCTION("""COMPUTED_VALUE"""),"March")</f>
        <v>March</v>
      </c>
      <c r="Q222" s="3">
        <f ca="1">IFERROR(__xludf.DUMMYFUNCTION("""COMPUTED_VALUE"""),43889)</f>
        <v>43889</v>
      </c>
      <c r="R222" s="1"/>
      <c r="S222" s="1" t="str">
        <f ca="1">IFERROR(__xludf.DUMMYFUNCTION("""COMPUTED_VALUE"""),"NO CATS OR DOGS")</f>
        <v>NO CATS OR DOGS</v>
      </c>
      <c r="T222" s="1"/>
      <c r="U222" s="1" t="str">
        <f ca="1">IFERROR(__xludf.DUMMYFUNCTION("""COMPUTED_VALUE"""),"Y")</f>
        <v>Y</v>
      </c>
      <c r="V222" s="1" t="str">
        <f ca="1">IFERROR(__xludf.DUMMYFUNCTION("""COMPUTED_VALUE"""),"Y")</f>
        <v>Y</v>
      </c>
      <c r="W222" s="1"/>
      <c r="X222" s="1"/>
      <c r="Y222" s="1" t="str">
        <f ca="1">IFERROR(__xludf.DUMMYFUNCTION("""COMPUTED_VALUE"""),"David McGaw")</f>
        <v>David McGaw</v>
      </c>
      <c r="Z222" s="1" t="str">
        <f ca="1">IFERROR(__xludf.DUMMYFUNCTION("""COMPUTED_VALUE"""),"davebyah@yahoo.com")</f>
        <v>davebyah@yahoo.com</v>
      </c>
      <c r="AA222" s="1"/>
      <c r="AB222" s="1"/>
      <c r="AC222" s="1"/>
    </row>
    <row r="223" spans="1:29">
      <c r="A223" s="1" t="str">
        <f ca="1">IFERROR(__xludf.DUMMYFUNCTION("""COMPUTED_VALUE"""),"83 Highland Street")</f>
        <v>83 Highland Street</v>
      </c>
      <c r="B223" s="1">
        <f ca="1">IFERROR(__xludf.DUMMYFUNCTION("""COMPUTED_VALUE"""),83)</f>
        <v>83</v>
      </c>
      <c r="C223" s="1" t="str">
        <f ca="1">IFERROR(__xludf.DUMMYFUNCTION("""COMPUTED_VALUE"""),"#2")</f>
        <v>#2</v>
      </c>
      <c r="D223" s="1" t="str">
        <f ca="1">IFERROR(__xludf.DUMMYFUNCTION("""COMPUTED_VALUE"""),"83 Highland Street Unit 2")</f>
        <v>83 Highland Street Unit 2</v>
      </c>
      <c r="E223" s="1" t="str">
        <f ca="1">IFERROR(__xludf.DUMMYFUNCTION("""COMPUTED_VALUE"""),"Boston")</f>
        <v>Boston</v>
      </c>
      <c r="F223" s="1" t="str">
        <f ca="1">IFERROR(__xludf.DUMMYFUNCTION("""COMPUTED_VALUE"""),"Boston - Nubian Square")</f>
        <v>Boston - Nubian Square</v>
      </c>
      <c r="G223" s="1">
        <f ca="1">IFERROR(__xludf.DUMMYFUNCTION("""COMPUTED_VALUE"""),1)</f>
        <v>1</v>
      </c>
      <c r="H223" s="1" t="str">
        <f ca="1">IFERROR(__xludf.DUMMYFUNCTION("""COMPUTED_VALUE"""),"A")</f>
        <v>A</v>
      </c>
      <c r="I223" s="4" t="str">
        <f ca="1">IFERROR(__xludf.DUMMYFUNCTION("""COMPUTED_VALUE"""),"83 Highland Street#2A")</f>
        <v>83 Highland Street#2A</v>
      </c>
      <c r="J223" s="4" t="str">
        <f ca="1">IFERROR(__xludf.DUMMYFUNCTION("""COMPUTED_VALUE"""),"813e9104-e0eb-4bfe-a1f3-0eb25b26e355")</f>
        <v>813e9104-e0eb-4bfe-a1f3-0eb25b26e355</v>
      </c>
      <c r="K223" s="4">
        <f ca="1">IFERROR(__xludf.DUMMYFUNCTION("""COMPUTED_VALUE"""),895)</f>
        <v>895</v>
      </c>
      <c r="L223" s="1" t="str">
        <f ca="1">IFERROR(__xludf.DUMMYFUNCTION("""COMPUTED_VALUE"""),"Cam")</f>
        <v>Cam</v>
      </c>
      <c r="M223" s="1" t="str">
        <f ca="1">IFERROR(__xludf.DUMMYFUNCTION("""COMPUTED_VALUE"""),"Cam (NOW)")</f>
        <v>Cam (NOW)</v>
      </c>
      <c r="N223" s="1" t="str">
        <f ca="1">IFERROR(__xludf.DUMMYFUNCTION("""COMPUTED_VALUE"""),"")</f>
        <v/>
      </c>
      <c r="O223" s="1" t="str">
        <f ca="1">IFERROR(__xludf.DUMMYFUNCTION("""COMPUTED_VALUE"""),"Vacant")</f>
        <v>Vacant</v>
      </c>
      <c r="P223" s="1"/>
      <c r="Q223" s="1"/>
      <c r="R223" s="1"/>
      <c r="S223" s="1"/>
      <c r="T223" s="1"/>
      <c r="U223" s="1" t="str">
        <f ca="1">IFERROR(__xludf.DUMMYFUNCTION("""COMPUTED_VALUE"""),"Y")</f>
        <v>Y</v>
      </c>
      <c r="V223" s="1" t="str">
        <f ca="1">IFERROR(__xludf.DUMMYFUNCTION("""COMPUTED_VALUE"""),"N")</f>
        <v>N</v>
      </c>
      <c r="W223" s="1"/>
      <c r="X223" s="1"/>
      <c r="Y223" s="1"/>
      <c r="Z223" s="1"/>
      <c r="AA223" s="1"/>
      <c r="AB223" s="1"/>
      <c r="AC223" s="1"/>
    </row>
    <row r="224" spans="1:29">
      <c r="A224" s="1" t="str">
        <f ca="1">IFERROR(__xludf.DUMMYFUNCTION("""COMPUTED_VALUE"""),"83 Highland Street")</f>
        <v>83 Highland Street</v>
      </c>
      <c r="B224" s="1">
        <f ca="1">IFERROR(__xludf.DUMMYFUNCTION("""COMPUTED_VALUE"""),83)</f>
        <v>83</v>
      </c>
      <c r="C224" s="1" t="str">
        <f ca="1">IFERROR(__xludf.DUMMYFUNCTION("""COMPUTED_VALUE"""),"#2")</f>
        <v>#2</v>
      </c>
      <c r="D224" s="1" t="str">
        <f ca="1">IFERROR(__xludf.DUMMYFUNCTION("""COMPUTED_VALUE"""),"83 Highland Street Unit 2")</f>
        <v>83 Highland Street Unit 2</v>
      </c>
      <c r="E224" s="1" t="str">
        <f ca="1">IFERROR(__xludf.DUMMYFUNCTION("""COMPUTED_VALUE"""),"Boston")</f>
        <v>Boston</v>
      </c>
      <c r="F224" s="1" t="str">
        <f ca="1">IFERROR(__xludf.DUMMYFUNCTION("""COMPUTED_VALUE"""),"Boston - Nubian Square")</f>
        <v>Boston - Nubian Square</v>
      </c>
      <c r="G224" s="1">
        <f ca="1">IFERROR(__xludf.DUMMYFUNCTION("""COMPUTED_VALUE"""),2)</f>
        <v>2</v>
      </c>
      <c r="H224" s="1" t="str">
        <f ca="1">IFERROR(__xludf.DUMMYFUNCTION("""COMPUTED_VALUE"""),"B")</f>
        <v>B</v>
      </c>
      <c r="I224" s="4" t="str">
        <f ca="1">IFERROR(__xludf.DUMMYFUNCTION("""COMPUTED_VALUE"""),"83 Highland Street#2B")</f>
        <v>83 Highland Street#2B</v>
      </c>
      <c r="J224" s="4" t="str">
        <f ca="1">IFERROR(__xludf.DUMMYFUNCTION("""COMPUTED_VALUE"""),"813e9104-e0eb-4bfe-a1f3-0eb25b26e355")</f>
        <v>813e9104-e0eb-4bfe-a1f3-0eb25b26e355</v>
      </c>
      <c r="K224" s="4">
        <f ca="1">IFERROR(__xludf.DUMMYFUNCTION("""COMPUTED_VALUE"""),895)</f>
        <v>895</v>
      </c>
      <c r="L224" s="1" t="str">
        <f ca="1">IFERROR(__xludf.DUMMYFUNCTION("""COMPUTED_VALUE"""),"Cam")</f>
        <v>Cam</v>
      </c>
      <c r="M224" s="1" t="str">
        <f ca="1">IFERROR(__xludf.DUMMYFUNCTION("""COMPUTED_VALUE"""),"")</f>
        <v/>
      </c>
      <c r="N224" s="1" t="str">
        <f ca="1">IFERROR(__xludf.DUMMYFUNCTION("""COMPUTED_VALUE"""),"")</f>
        <v/>
      </c>
      <c r="O224" s="1" t="str">
        <f ca="1">IFERROR(__xludf.DUMMYFUNCTION("""COMPUTED_VALUE"""),"Occupied")</f>
        <v>Occupied</v>
      </c>
      <c r="P224" s="1"/>
      <c r="Q224" s="1"/>
      <c r="R224" s="1"/>
      <c r="S224" s="1"/>
      <c r="T224" s="1"/>
      <c r="U224" s="1" t="str">
        <f ca="1">IFERROR(__xludf.DUMMYFUNCTION("""COMPUTED_VALUE"""),"Y")</f>
        <v>Y</v>
      </c>
      <c r="V224" s="1" t="str">
        <f ca="1">IFERROR(__xludf.DUMMYFUNCTION("""COMPUTED_VALUE"""),"N")</f>
        <v>N</v>
      </c>
      <c r="W224" s="1"/>
      <c r="X224" s="1"/>
      <c r="Y224" s="1" t="str">
        <f ca="1">IFERROR(__xludf.DUMMYFUNCTION("""COMPUTED_VALUE"""),"Mohsen Moghaddam")</f>
        <v>Mohsen Moghaddam</v>
      </c>
      <c r="Z224" s="1" t="str">
        <f ca="1">IFERROR(__xludf.DUMMYFUNCTION("""COMPUTED_VALUE"""),"mmoghaddam.ut@gmail.com")</f>
        <v>mmoghaddam.ut@gmail.com</v>
      </c>
      <c r="AA224" s="1"/>
      <c r="AB224" s="1"/>
      <c r="AC224" s="1"/>
    </row>
    <row r="225" spans="1:29">
      <c r="A225" s="1" t="str">
        <f ca="1">IFERROR(__xludf.DUMMYFUNCTION("""COMPUTED_VALUE"""),"83 Highland Street")</f>
        <v>83 Highland Street</v>
      </c>
      <c r="B225" s="1">
        <f ca="1">IFERROR(__xludf.DUMMYFUNCTION("""COMPUTED_VALUE"""),83)</f>
        <v>83</v>
      </c>
      <c r="C225" s="1" t="str">
        <f ca="1">IFERROR(__xludf.DUMMYFUNCTION("""COMPUTED_VALUE"""),"#2")</f>
        <v>#2</v>
      </c>
      <c r="D225" s="1" t="str">
        <f ca="1">IFERROR(__xludf.DUMMYFUNCTION("""COMPUTED_VALUE"""),"83 Highland Street Unit 2")</f>
        <v>83 Highland Street Unit 2</v>
      </c>
      <c r="E225" s="1" t="str">
        <f ca="1">IFERROR(__xludf.DUMMYFUNCTION("""COMPUTED_VALUE"""),"Boston")</f>
        <v>Boston</v>
      </c>
      <c r="F225" s="1" t="str">
        <f ca="1">IFERROR(__xludf.DUMMYFUNCTION("""COMPUTED_VALUE"""),"Boston - Nubian Square")</f>
        <v>Boston - Nubian Square</v>
      </c>
      <c r="G225" s="1">
        <f ca="1">IFERROR(__xludf.DUMMYFUNCTION("""COMPUTED_VALUE"""),3)</f>
        <v>3</v>
      </c>
      <c r="H225" s="1" t="str">
        <f ca="1">IFERROR(__xludf.DUMMYFUNCTION("""COMPUTED_VALUE"""),"C")</f>
        <v>C</v>
      </c>
      <c r="I225" s="4" t="str">
        <f ca="1">IFERROR(__xludf.DUMMYFUNCTION("""COMPUTED_VALUE"""),"83 Highland Street#2C")</f>
        <v>83 Highland Street#2C</v>
      </c>
      <c r="J225" s="4" t="str">
        <f ca="1">IFERROR(__xludf.DUMMYFUNCTION("""COMPUTED_VALUE"""),"813e9104-e0eb-4bfe-a1f3-0eb25b26e355")</f>
        <v>813e9104-e0eb-4bfe-a1f3-0eb25b26e355</v>
      </c>
      <c r="K225" s="4">
        <f ca="1">IFERROR(__xludf.DUMMYFUNCTION("""COMPUTED_VALUE"""),1085)</f>
        <v>1085</v>
      </c>
      <c r="L225" s="1" t="str">
        <f ca="1">IFERROR(__xludf.DUMMYFUNCTION("""COMPUTED_VALUE"""),"Cam")</f>
        <v>Cam</v>
      </c>
      <c r="M225" s="1" t="str">
        <f ca="1">IFERROR(__xludf.DUMMYFUNCTION("""COMPUTED_VALUE"""),"")</f>
        <v/>
      </c>
      <c r="N225" s="1" t="str">
        <f ca="1">IFERROR(__xludf.DUMMYFUNCTION("""COMPUTED_VALUE"""),"")</f>
        <v/>
      </c>
      <c r="O225" s="1" t="str">
        <f ca="1">IFERROR(__xludf.DUMMYFUNCTION("""COMPUTED_VALUE"""),"Occupied")</f>
        <v>Occupied</v>
      </c>
      <c r="P225" s="1"/>
      <c r="Q225" s="1"/>
      <c r="R225" s="1"/>
      <c r="S225" s="1"/>
      <c r="T225" s="1"/>
      <c r="U225" s="1" t="str">
        <f ca="1">IFERROR(__xludf.DUMMYFUNCTION("""COMPUTED_VALUE"""),"Y")</f>
        <v>Y</v>
      </c>
      <c r="V225" s="1" t="str">
        <f ca="1">IFERROR(__xludf.DUMMYFUNCTION("""COMPUTED_VALUE"""),"N")</f>
        <v>N</v>
      </c>
      <c r="W225" s="1"/>
      <c r="X225" s="1"/>
      <c r="Y225" s="1" t="str">
        <f ca="1">IFERROR(__xludf.DUMMYFUNCTION("""COMPUTED_VALUE"""),"Michael Davinroy")</f>
        <v>Michael Davinroy</v>
      </c>
      <c r="Z225" s="1" t="str">
        <f ca="1">IFERROR(__xludf.DUMMYFUNCTION("""COMPUTED_VALUE"""),"michael.davinroy@gmail.com")</f>
        <v>michael.davinroy@gmail.com</v>
      </c>
      <c r="AA225" s="1"/>
      <c r="AB225" s="1"/>
      <c r="AC225" s="1"/>
    </row>
    <row r="226" spans="1:29">
      <c r="A226" s="1" t="str">
        <f ca="1">IFERROR(__xludf.DUMMYFUNCTION("""COMPUTED_VALUE"""),"83 Highland Street")</f>
        <v>83 Highland Street</v>
      </c>
      <c r="B226" s="1">
        <f ca="1">IFERROR(__xludf.DUMMYFUNCTION("""COMPUTED_VALUE"""),83)</f>
        <v>83</v>
      </c>
      <c r="C226" s="1" t="str">
        <f ca="1">IFERROR(__xludf.DUMMYFUNCTION("""COMPUTED_VALUE"""),"#2")</f>
        <v>#2</v>
      </c>
      <c r="D226" s="1" t="str">
        <f ca="1">IFERROR(__xludf.DUMMYFUNCTION("""COMPUTED_VALUE"""),"83 Highland Street Unit 2")</f>
        <v>83 Highland Street Unit 2</v>
      </c>
      <c r="E226" s="1" t="str">
        <f ca="1">IFERROR(__xludf.DUMMYFUNCTION("""COMPUTED_VALUE"""),"Boston")</f>
        <v>Boston</v>
      </c>
      <c r="F226" s="1" t="str">
        <f ca="1">IFERROR(__xludf.DUMMYFUNCTION("""COMPUTED_VALUE"""),"Boston - Nubian Square")</f>
        <v>Boston - Nubian Square</v>
      </c>
      <c r="G226" s="1">
        <f ca="1">IFERROR(__xludf.DUMMYFUNCTION("""COMPUTED_VALUE"""),4)</f>
        <v>4</v>
      </c>
      <c r="H226" s="1" t="str">
        <f ca="1">IFERROR(__xludf.DUMMYFUNCTION("""COMPUTED_VALUE"""),"D")</f>
        <v>D</v>
      </c>
      <c r="I226" s="4" t="str">
        <f ca="1">IFERROR(__xludf.DUMMYFUNCTION("""COMPUTED_VALUE"""),"83 Highland Street#2D")</f>
        <v>83 Highland Street#2D</v>
      </c>
      <c r="J226" s="4" t="str">
        <f ca="1">IFERROR(__xludf.DUMMYFUNCTION("""COMPUTED_VALUE"""),"813e9104-e0eb-4bfe-a1f3-0eb25b26e355")</f>
        <v>813e9104-e0eb-4bfe-a1f3-0eb25b26e355</v>
      </c>
      <c r="K226" s="4">
        <f ca="1">IFERROR(__xludf.DUMMYFUNCTION("""COMPUTED_VALUE"""),1085)</f>
        <v>1085</v>
      </c>
      <c r="L226" s="1" t="str">
        <f ca="1">IFERROR(__xludf.DUMMYFUNCTION("""COMPUTED_VALUE"""),"Cam")</f>
        <v>Cam</v>
      </c>
      <c r="M226" s="1" t="str">
        <f ca="1">IFERROR(__xludf.DUMMYFUNCTION("""COMPUTED_VALUE"""),"")</f>
        <v/>
      </c>
      <c r="N226" s="1" t="str">
        <f ca="1">IFERROR(__xludf.DUMMYFUNCTION("""COMPUTED_VALUE"""),"")</f>
        <v/>
      </c>
      <c r="O226" s="1" t="str">
        <f ca="1">IFERROR(__xludf.DUMMYFUNCTION("""COMPUTED_VALUE"""),"Occupied")</f>
        <v>Occupied</v>
      </c>
      <c r="P226" s="1"/>
      <c r="Q226" s="1"/>
      <c r="R226" s="1"/>
      <c r="S226" s="1"/>
      <c r="T226" s="1" t="str">
        <f ca="1">IFERROR(__xludf.DUMMYFUNCTION("""COMPUTED_VALUE"""),"Dog")</f>
        <v>Dog</v>
      </c>
      <c r="U226" s="1" t="str">
        <f ca="1">IFERROR(__xludf.DUMMYFUNCTION("""COMPUTED_VALUE"""),"Y")</f>
        <v>Y</v>
      </c>
      <c r="V226" s="1" t="str">
        <f ca="1">IFERROR(__xludf.DUMMYFUNCTION("""COMPUTED_VALUE"""),"N")</f>
        <v>N</v>
      </c>
      <c r="W226" s="1"/>
      <c r="X226" s="1"/>
      <c r="Y226" s="1" t="str">
        <f ca="1">IFERROR(__xludf.DUMMYFUNCTION("""COMPUTED_VALUE"""),"Cole Bingham")</f>
        <v>Cole Bingham</v>
      </c>
      <c r="Z226" s="1" t="str">
        <f ca="1">IFERROR(__xludf.DUMMYFUNCTION("""COMPUTED_VALUE"""),"cole@binghamfamily.com")</f>
        <v>cole@binghamfamily.com</v>
      </c>
      <c r="AA226" s="1"/>
      <c r="AB226" s="1"/>
      <c r="AC226" s="1"/>
    </row>
    <row r="227" spans="1:29">
      <c r="A227" s="1" t="str">
        <f ca="1">IFERROR(__xludf.DUMMYFUNCTION("""COMPUTED_VALUE"""),"83 Highland Street")</f>
        <v>83 Highland Street</v>
      </c>
      <c r="B227" s="1">
        <f ca="1">IFERROR(__xludf.DUMMYFUNCTION("""COMPUTED_VALUE"""),83)</f>
        <v>83</v>
      </c>
      <c r="C227" s="1" t="str">
        <f ca="1">IFERROR(__xludf.DUMMYFUNCTION("""COMPUTED_VALUE"""),"#2")</f>
        <v>#2</v>
      </c>
      <c r="D227" s="1" t="str">
        <f ca="1">IFERROR(__xludf.DUMMYFUNCTION("""COMPUTED_VALUE"""),"83 Highland Street Unit 2")</f>
        <v>83 Highland Street Unit 2</v>
      </c>
      <c r="E227" s="1" t="str">
        <f ca="1">IFERROR(__xludf.DUMMYFUNCTION("""COMPUTED_VALUE"""),"Boston")</f>
        <v>Boston</v>
      </c>
      <c r="F227" s="1" t="str">
        <f ca="1">IFERROR(__xludf.DUMMYFUNCTION("""COMPUTED_VALUE"""),"Boston - Nubian Square")</f>
        <v>Boston - Nubian Square</v>
      </c>
      <c r="G227" s="1">
        <f ca="1">IFERROR(__xludf.DUMMYFUNCTION("""COMPUTED_VALUE"""),5)</f>
        <v>5</v>
      </c>
      <c r="H227" s="1" t="str">
        <f ca="1">IFERROR(__xludf.DUMMYFUNCTION("""COMPUTED_VALUE"""),"E")</f>
        <v>E</v>
      </c>
      <c r="I227" s="4" t="str">
        <f ca="1">IFERROR(__xludf.DUMMYFUNCTION("""COMPUTED_VALUE"""),"83 Highland Street#2E")</f>
        <v>83 Highland Street#2E</v>
      </c>
      <c r="J227" s="4" t="str">
        <f ca="1">IFERROR(__xludf.DUMMYFUNCTION("""COMPUTED_VALUE"""),"813e9104-e0eb-4bfe-a1f3-0eb25b26e355")</f>
        <v>813e9104-e0eb-4bfe-a1f3-0eb25b26e355</v>
      </c>
      <c r="K227" s="4">
        <f ca="1">IFERROR(__xludf.DUMMYFUNCTION("""COMPUTED_VALUE"""),1150)</f>
        <v>1150</v>
      </c>
      <c r="L227" s="1" t="str">
        <f ca="1">IFERROR(__xludf.DUMMYFUNCTION("""COMPUTED_VALUE"""),"Cam")</f>
        <v>Cam</v>
      </c>
      <c r="M227" s="1" t="str">
        <f ca="1">IFERROR(__xludf.DUMMYFUNCTION("""COMPUTED_VALUE"""),"")</f>
        <v/>
      </c>
      <c r="N227" s="1" t="str">
        <f ca="1">IFERROR(__xludf.DUMMYFUNCTION("""COMPUTED_VALUE"""),"")</f>
        <v/>
      </c>
      <c r="O227" s="1" t="str">
        <f ca="1">IFERROR(__xludf.DUMMYFUNCTION("""COMPUTED_VALUE"""),"Occupied")</f>
        <v>Occupied</v>
      </c>
      <c r="P227" s="1"/>
      <c r="Q227" s="1"/>
      <c r="R227" s="1"/>
      <c r="S227" s="1"/>
      <c r="T227" s="1"/>
      <c r="U227" s="1" t="str">
        <f ca="1">IFERROR(__xludf.DUMMYFUNCTION("""COMPUTED_VALUE"""),"Y")</f>
        <v>Y</v>
      </c>
      <c r="V227" s="1" t="str">
        <f ca="1">IFERROR(__xludf.DUMMYFUNCTION("""COMPUTED_VALUE"""),"N")</f>
        <v>N</v>
      </c>
      <c r="W227" s="1"/>
      <c r="X227" s="1"/>
      <c r="Y227" s="1" t="str">
        <f ca="1">IFERROR(__xludf.DUMMYFUNCTION("""COMPUTED_VALUE"""),"Aaron McDaneld")</f>
        <v>Aaron McDaneld</v>
      </c>
      <c r="Z227" s="1" t="str">
        <f ca="1">IFERROR(__xludf.DUMMYFUNCTION("""COMPUTED_VALUE"""),"mcdaneldfromva@gmail.com")</f>
        <v>mcdaneldfromva@gmail.com</v>
      </c>
      <c r="AA227" s="1"/>
      <c r="AB227" s="1"/>
      <c r="AC227" s="1"/>
    </row>
    <row r="228" spans="1:29">
      <c r="A228" s="1" t="str">
        <f ca="1">IFERROR(__xludf.DUMMYFUNCTION("""COMPUTED_VALUE"""),"83 Highland Street")</f>
        <v>83 Highland Street</v>
      </c>
      <c r="B228" s="1">
        <f ca="1">IFERROR(__xludf.DUMMYFUNCTION("""COMPUTED_VALUE"""),83)</f>
        <v>83</v>
      </c>
      <c r="C228" s="1" t="str">
        <f ca="1">IFERROR(__xludf.DUMMYFUNCTION("""COMPUTED_VALUE"""),"#3")</f>
        <v>#3</v>
      </c>
      <c r="D228" s="1" t="str">
        <f ca="1">IFERROR(__xludf.DUMMYFUNCTION("""COMPUTED_VALUE"""),"83 Highland Street Unit 3")</f>
        <v>83 Highland Street Unit 3</v>
      </c>
      <c r="E228" s="1" t="str">
        <f ca="1">IFERROR(__xludf.DUMMYFUNCTION("""COMPUTED_VALUE"""),"Boston")</f>
        <v>Boston</v>
      </c>
      <c r="F228" s="1" t="str">
        <f ca="1">IFERROR(__xludf.DUMMYFUNCTION("""COMPUTED_VALUE"""),"Boston - Nubian Square")</f>
        <v>Boston - Nubian Square</v>
      </c>
      <c r="G228" s="1">
        <f ca="1">IFERROR(__xludf.DUMMYFUNCTION("""COMPUTED_VALUE"""),1)</f>
        <v>1</v>
      </c>
      <c r="H228" s="1" t="str">
        <f ca="1">IFERROR(__xludf.DUMMYFUNCTION("""COMPUTED_VALUE"""),"A")</f>
        <v>A</v>
      </c>
      <c r="I228" s="4" t="str">
        <f ca="1">IFERROR(__xludf.DUMMYFUNCTION("""COMPUTED_VALUE"""),"83 Highland Street#3A")</f>
        <v>83 Highland Street#3A</v>
      </c>
      <c r="J228" s="4" t="str">
        <f ca="1">IFERROR(__xludf.DUMMYFUNCTION("""COMPUTED_VALUE"""),"91b00b58-3996-4f7d-806f-b4c682c72f34")</f>
        <v>91b00b58-3996-4f7d-806f-b4c682c72f34</v>
      </c>
      <c r="K228" s="4">
        <f ca="1">IFERROR(__xludf.DUMMYFUNCTION("""COMPUTED_VALUE"""),695)</f>
        <v>695</v>
      </c>
      <c r="L228" s="1" t="str">
        <f ca="1">IFERROR(__xludf.DUMMYFUNCTION("""COMPUTED_VALUE"""),"Self")</f>
        <v>Self</v>
      </c>
      <c r="M228" s="1" t="str">
        <f ca="1">IFERROR(__xludf.DUMMYFUNCTION("""COMPUTED_VALUE"""),"")</f>
        <v/>
      </c>
      <c r="N228" s="1" t="str">
        <f ca="1">IFERROR(__xludf.DUMMYFUNCTION("""COMPUTED_VALUE"""),"")</f>
        <v/>
      </c>
      <c r="O228" s="1" t="str">
        <f ca="1">IFERROR(__xludf.DUMMYFUNCTION("""COMPUTED_VALUE"""),"Occupied")</f>
        <v>Occupied</v>
      </c>
      <c r="P228" s="1"/>
      <c r="Q228" s="1"/>
      <c r="R228" s="1"/>
      <c r="S228" s="1"/>
      <c r="T228" s="1"/>
      <c r="U228" s="1" t="str">
        <f ca="1">IFERROR(__xludf.DUMMYFUNCTION("""COMPUTED_VALUE"""),"N")</f>
        <v>N</v>
      </c>
      <c r="V228" s="1" t="str">
        <f ca="1">IFERROR(__xludf.DUMMYFUNCTION("""COMPUTED_VALUE"""),"N")</f>
        <v>N</v>
      </c>
      <c r="W228" s="1"/>
      <c r="X228" s="1"/>
      <c r="Y228" s="1" t="str">
        <f ca="1">IFERROR(__xludf.DUMMYFUNCTION("""COMPUTED_VALUE"""),"Jeicy El Hajj")</f>
        <v>Jeicy El Hajj</v>
      </c>
      <c r="Z228" s="1" t="str">
        <f ca="1">IFERROR(__xludf.DUMMYFUNCTION("""COMPUTED_VALUE"""),"jeicyhajj@gmail.com")</f>
        <v>jeicyhajj@gmail.com</v>
      </c>
      <c r="AA228" s="1"/>
      <c r="AB228" s="1"/>
      <c r="AC228" s="1"/>
    </row>
    <row r="229" spans="1:29">
      <c r="A229" s="1" t="str">
        <f ca="1">IFERROR(__xludf.DUMMYFUNCTION("""COMPUTED_VALUE"""),"83 Highland Street")</f>
        <v>83 Highland Street</v>
      </c>
      <c r="B229" s="1">
        <f ca="1">IFERROR(__xludf.DUMMYFUNCTION("""COMPUTED_VALUE"""),83)</f>
        <v>83</v>
      </c>
      <c r="C229" s="1" t="str">
        <f ca="1">IFERROR(__xludf.DUMMYFUNCTION("""COMPUTED_VALUE"""),"#3")</f>
        <v>#3</v>
      </c>
      <c r="D229" s="1" t="str">
        <f ca="1">IFERROR(__xludf.DUMMYFUNCTION("""COMPUTED_VALUE"""),"83 Highland Street Unit 3")</f>
        <v>83 Highland Street Unit 3</v>
      </c>
      <c r="E229" s="1" t="str">
        <f ca="1">IFERROR(__xludf.DUMMYFUNCTION("""COMPUTED_VALUE"""),"Boston")</f>
        <v>Boston</v>
      </c>
      <c r="F229" s="1" t="str">
        <f ca="1">IFERROR(__xludf.DUMMYFUNCTION("""COMPUTED_VALUE"""),"Boston - Nubian Square")</f>
        <v>Boston - Nubian Square</v>
      </c>
      <c r="G229" s="1">
        <f ca="1">IFERROR(__xludf.DUMMYFUNCTION("""COMPUTED_VALUE"""),2)</f>
        <v>2</v>
      </c>
      <c r="H229" s="1" t="str">
        <f ca="1">IFERROR(__xludf.DUMMYFUNCTION("""COMPUTED_VALUE"""),"B")</f>
        <v>B</v>
      </c>
      <c r="I229" s="4" t="str">
        <f ca="1">IFERROR(__xludf.DUMMYFUNCTION("""COMPUTED_VALUE"""),"83 Highland Street#3B")</f>
        <v>83 Highland Street#3B</v>
      </c>
      <c r="J229" s="4" t="str">
        <f ca="1">IFERROR(__xludf.DUMMYFUNCTION("""COMPUTED_VALUE"""),"91b00b58-3996-4f7d-806f-b4c682c72f34")</f>
        <v>91b00b58-3996-4f7d-806f-b4c682c72f34</v>
      </c>
      <c r="K229" s="4">
        <f ca="1">IFERROR(__xludf.DUMMYFUNCTION("""COMPUTED_VALUE"""),1085)</f>
        <v>1085</v>
      </c>
      <c r="L229" s="1" t="str">
        <f ca="1">IFERROR(__xludf.DUMMYFUNCTION("""COMPUTED_VALUE"""),"Self")</f>
        <v>Self</v>
      </c>
      <c r="M229" s="1" t="str">
        <f ca="1">IFERROR(__xludf.DUMMYFUNCTION("""COMPUTED_VALUE"""),"")</f>
        <v/>
      </c>
      <c r="N229" s="1" t="str">
        <f ca="1">IFERROR(__xludf.DUMMYFUNCTION("""COMPUTED_VALUE"""),"")</f>
        <v/>
      </c>
      <c r="O229" s="1" t="str">
        <f ca="1">IFERROR(__xludf.DUMMYFUNCTION("""COMPUTED_VALUE"""),"Occupied")</f>
        <v>Occupied</v>
      </c>
      <c r="P229" s="1"/>
      <c r="Q229" s="1"/>
      <c r="R229" s="1"/>
      <c r="S229" s="1"/>
      <c r="T229" s="1"/>
      <c r="U229" s="1" t="str">
        <f ca="1">IFERROR(__xludf.DUMMYFUNCTION("""COMPUTED_VALUE"""),"N")</f>
        <v>N</v>
      </c>
      <c r="V229" s="1" t="str">
        <f ca="1">IFERROR(__xludf.DUMMYFUNCTION("""COMPUTED_VALUE"""),"N")</f>
        <v>N</v>
      </c>
      <c r="W229" s="1"/>
      <c r="X229" s="1"/>
      <c r="Y229" s="1" t="str">
        <f ca="1">IFERROR(__xludf.DUMMYFUNCTION("""COMPUTED_VALUE"""),"Lacey Sylvester")</f>
        <v>Lacey Sylvester</v>
      </c>
      <c r="Z229" s="1" t="str">
        <f ca="1">IFERROR(__xludf.DUMMYFUNCTION("""COMPUTED_VALUE"""),"laceyjsylvester@gmail.com")</f>
        <v>laceyjsylvester@gmail.com</v>
      </c>
      <c r="AA229" s="1"/>
      <c r="AB229" s="1"/>
      <c r="AC229" s="1"/>
    </row>
    <row r="230" spans="1:29">
      <c r="A230" s="1" t="str">
        <f ca="1">IFERROR(__xludf.DUMMYFUNCTION("""COMPUTED_VALUE"""),"83 Highland Street")</f>
        <v>83 Highland Street</v>
      </c>
      <c r="B230" s="1">
        <f ca="1">IFERROR(__xludf.DUMMYFUNCTION("""COMPUTED_VALUE"""),83)</f>
        <v>83</v>
      </c>
      <c r="C230" s="1" t="str">
        <f ca="1">IFERROR(__xludf.DUMMYFUNCTION("""COMPUTED_VALUE"""),"#3")</f>
        <v>#3</v>
      </c>
      <c r="D230" s="1" t="str">
        <f ca="1">IFERROR(__xludf.DUMMYFUNCTION("""COMPUTED_VALUE"""),"83 Highland Street Unit 3")</f>
        <v>83 Highland Street Unit 3</v>
      </c>
      <c r="E230" s="1" t="str">
        <f ca="1">IFERROR(__xludf.DUMMYFUNCTION("""COMPUTED_VALUE"""),"Boston")</f>
        <v>Boston</v>
      </c>
      <c r="F230" s="1" t="str">
        <f ca="1">IFERROR(__xludf.DUMMYFUNCTION("""COMPUTED_VALUE"""),"Boston - Nubian Square")</f>
        <v>Boston - Nubian Square</v>
      </c>
      <c r="G230" s="1">
        <f ca="1">IFERROR(__xludf.DUMMYFUNCTION("""COMPUTED_VALUE"""),3)</f>
        <v>3</v>
      </c>
      <c r="H230" s="1" t="str">
        <f ca="1">IFERROR(__xludf.DUMMYFUNCTION("""COMPUTED_VALUE"""),"C")</f>
        <v>C</v>
      </c>
      <c r="I230" s="4" t="str">
        <f ca="1">IFERROR(__xludf.DUMMYFUNCTION("""COMPUTED_VALUE"""),"83 Highland Street#3C")</f>
        <v>83 Highland Street#3C</v>
      </c>
      <c r="J230" s="4" t="str">
        <f ca="1">IFERROR(__xludf.DUMMYFUNCTION("""COMPUTED_VALUE"""),"91b00b58-3996-4f7d-806f-b4c682c72f34")</f>
        <v>91b00b58-3996-4f7d-806f-b4c682c72f34</v>
      </c>
      <c r="K230" s="4">
        <f ca="1">IFERROR(__xludf.DUMMYFUNCTION("""COMPUTED_VALUE"""),995)</f>
        <v>995</v>
      </c>
      <c r="L230" s="1" t="str">
        <f ca="1">IFERROR(__xludf.DUMMYFUNCTION("""COMPUTED_VALUE"""),"Self")</f>
        <v>Self</v>
      </c>
      <c r="M230" s="1" t="str">
        <f ca="1">IFERROR(__xludf.DUMMYFUNCTION("""COMPUTED_VALUE"""),"")</f>
        <v/>
      </c>
      <c r="N230" s="1" t="str">
        <f ca="1">IFERROR(__xludf.DUMMYFUNCTION("""COMPUTED_VALUE"""),"")</f>
        <v/>
      </c>
      <c r="O230" s="1" t="str">
        <f ca="1">IFERROR(__xludf.DUMMYFUNCTION("""COMPUTED_VALUE"""),"Lease Signed")</f>
        <v>Lease Signed</v>
      </c>
      <c r="P230" s="1" t="str">
        <f ca="1">IFERROR(__xludf.DUMMYFUNCTION("""COMPUTED_VALUE"""),"January")</f>
        <v>January</v>
      </c>
      <c r="Q230" s="1"/>
      <c r="R230" s="5">
        <f ca="1">IFERROR(__xludf.DUMMYFUNCTION("""COMPUTED_VALUE"""),43845)</f>
        <v>43845</v>
      </c>
      <c r="S230" s="1"/>
      <c r="T230" s="1"/>
      <c r="U230" s="1" t="str">
        <f ca="1">IFERROR(__xludf.DUMMYFUNCTION("""COMPUTED_VALUE"""),"N")</f>
        <v>N</v>
      </c>
      <c r="V230" s="1" t="str">
        <f ca="1">IFERROR(__xludf.DUMMYFUNCTION("""COMPUTED_VALUE"""),"N")</f>
        <v>N</v>
      </c>
      <c r="W230" s="1" t="str">
        <f ca="1">IFERROR(__xludf.DUMMYFUNCTION("""COMPUTED_VALUE"""),"Jaime Leigh Ryan")</f>
        <v>Jaime Leigh Ryan</v>
      </c>
      <c r="X230" s="1" t="str">
        <f ca="1">IFERROR(__xludf.DUMMYFUNCTION("""COMPUTED_VALUE"""),"ryan.jaime99@gmail.com")</f>
        <v>ryan.jaime99@gmail.com</v>
      </c>
      <c r="Y230" s="1"/>
      <c r="Z230" s="1"/>
      <c r="AA230" s="1"/>
      <c r="AB230" s="1"/>
      <c r="AC230" s="1"/>
    </row>
    <row r="231" spans="1:29">
      <c r="A231" s="1" t="str">
        <f ca="1">IFERROR(__xludf.DUMMYFUNCTION("""COMPUTED_VALUE"""),"83 Highland Street")</f>
        <v>83 Highland Street</v>
      </c>
      <c r="B231" s="1">
        <f ca="1">IFERROR(__xludf.DUMMYFUNCTION("""COMPUTED_VALUE"""),83)</f>
        <v>83</v>
      </c>
      <c r="C231" s="1" t="str">
        <f ca="1">IFERROR(__xludf.DUMMYFUNCTION("""COMPUTED_VALUE"""),"#3")</f>
        <v>#3</v>
      </c>
      <c r="D231" s="1" t="str">
        <f ca="1">IFERROR(__xludf.DUMMYFUNCTION("""COMPUTED_VALUE"""),"83 Highland Street Unit 3")</f>
        <v>83 Highland Street Unit 3</v>
      </c>
      <c r="E231" s="1" t="str">
        <f ca="1">IFERROR(__xludf.DUMMYFUNCTION("""COMPUTED_VALUE"""),"Boston")</f>
        <v>Boston</v>
      </c>
      <c r="F231" s="1" t="str">
        <f ca="1">IFERROR(__xludf.DUMMYFUNCTION("""COMPUTED_VALUE"""),"Boston - Nubian Square")</f>
        <v>Boston - Nubian Square</v>
      </c>
      <c r="G231" s="1">
        <f ca="1">IFERROR(__xludf.DUMMYFUNCTION("""COMPUTED_VALUE"""),4)</f>
        <v>4</v>
      </c>
      <c r="H231" s="1" t="str">
        <f ca="1">IFERROR(__xludf.DUMMYFUNCTION("""COMPUTED_VALUE"""),"D")</f>
        <v>D</v>
      </c>
      <c r="I231" s="4" t="str">
        <f ca="1">IFERROR(__xludf.DUMMYFUNCTION("""COMPUTED_VALUE"""),"83 Highland Street#3D")</f>
        <v>83 Highland Street#3D</v>
      </c>
      <c r="J231" s="4" t="str">
        <f ca="1">IFERROR(__xludf.DUMMYFUNCTION("""COMPUTED_VALUE"""),"91b00b58-3996-4f7d-806f-b4c682c72f34")</f>
        <v>91b00b58-3996-4f7d-806f-b4c682c72f34</v>
      </c>
      <c r="K231" s="4">
        <f ca="1">IFERROR(__xludf.DUMMYFUNCTION("""COMPUTED_VALUE"""),995)</f>
        <v>995</v>
      </c>
      <c r="L231" s="1" t="str">
        <f ca="1">IFERROR(__xludf.DUMMYFUNCTION("""COMPUTED_VALUE"""),"Self")</f>
        <v>Self</v>
      </c>
      <c r="M231" s="1" t="str">
        <f ca="1">IFERROR(__xludf.DUMMYFUNCTION("""COMPUTED_VALUE"""),"")</f>
        <v/>
      </c>
      <c r="N231" s="1" t="str">
        <f ca="1">IFERROR(__xludf.DUMMYFUNCTION("""COMPUTED_VALUE"""),"")</f>
        <v/>
      </c>
      <c r="O231" s="1" t="str">
        <f ca="1">IFERROR(__xludf.DUMMYFUNCTION("""COMPUTED_VALUE"""),"Lease Signed")</f>
        <v>Lease Signed</v>
      </c>
      <c r="P231" s="1" t="str">
        <f ca="1">IFERROR(__xludf.DUMMYFUNCTION("""COMPUTED_VALUE"""),"January")</f>
        <v>January</v>
      </c>
      <c r="Q231" s="1"/>
      <c r="R231" s="5">
        <f ca="1">IFERROR(__xludf.DUMMYFUNCTION("""COMPUTED_VALUE"""),43859)</f>
        <v>43859</v>
      </c>
      <c r="S231" s="1"/>
      <c r="T231" s="1"/>
      <c r="U231" s="1" t="str">
        <f ca="1">IFERROR(__xludf.DUMMYFUNCTION("""COMPUTED_VALUE"""),"N")</f>
        <v>N</v>
      </c>
      <c r="V231" s="1" t="str">
        <f ca="1">IFERROR(__xludf.DUMMYFUNCTION("""COMPUTED_VALUE"""),"N")</f>
        <v>N</v>
      </c>
      <c r="W231" s="1" t="str">
        <f ca="1">IFERROR(__xludf.DUMMYFUNCTION("""COMPUTED_VALUE"""),"Tiara Jones")</f>
        <v>Tiara Jones</v>
      </c>
      <c r="X231" s="1" t="str">
        <f ca="1">IFERROR(__xludf.DUMMYFUNCTION("""COMPUTED_VALUE"""),"tiarajones485@gmail.com")</f>
        <v>tiarajones485@gmail.com</v>
      </c>
      <c r="Y231" s="1"/>
      <c r="Z231" s="1"/>
      <c r="AA231" s="1"/>
      <c r="AB231" s="1"/>
      <c r="AC231" s="1"/>
    </row>
    <row r="232" spans="1:29">
      <c r="A232" s="1" t="str">
        <f ca="1">IFERROR(__xludf.DUMMYFUNCTION("""COMPUTED_VALUE"""),"83 Highland Street")</f>
        <v>83 Highland Street</v>
      </c>
      <c r="B232" s="1">
        <f ca="1">IFERROR(__xludf.DUMMYFUNCTION("""COMPUTED_VALUE"""),83)</f>
        <v>83</v>
      </c>
      <c r="C232" s="1" t="str">
        <f ca="1">IFERROR(__xludf.DUMMYFUNCTION("""COMPUTED_VALUE"""),"#3")</f>
        <v>#3</v>
      </c>
      <c r="D232" s="1" t="str">
        <f ca="1">IFERROR(__xludf.DUMMYFUNCTION("""COMPUTED_VALUE"""),"83 Highland Street Unit 3")</f>
        <v>83 Highland Street Unit 3</v>
      </c>
      <c r="E232" s="1" t="str">
        <f ca="1">IFERROR(__xludf.DUMMYFUNCTION("""COMPUTED_VALUE"""),"Boston")</f>
        <v>Boston</v>
      </c>
      <c r="F232" s="1" t="str">
        <f ca="1">IFERROR(__xludf.DUMMYFUNCTION("""COMPUTED_VALUE"""),"Boston - Nubian Square")</f>
        <v>Boston - Nubian Square</v>
      </c>
      <c r="G232" s="1">
        <f ca="1">IFERROR(__xludf.DUMMYFUNCTION("""COMPUTED_VALUE"""),5)</f>
        <v>5</v>
      </c>
      <c r="H232" s="1" t="str">
        <f ca="1">IFERROR(__xludf.DUMMYFUNCTION("""COMPUTED_VALUE"""),"E")</f>
        <v>E</v>
      </c>
      <c r="I232" s="4" t="str">
        <f ca="1">IFERROR(__xludf.DUMMYFUNCTION("""COMPUTED_VALUE"""),"83 Highland Street#3E")</f>
        <v>83 Highland Street#3E</v>
      </c>
      <c r="J232" s="4" t="str">
        <f ca="1">IFERROR(__xludf.DUMMYFUNCTION("""COMPUTED_VALUE"""),"91b00b58-3996-4f7d-806f-b4c682c72f34")</f>
        <v>91b00b58-3996-4f7d-806f-b4c682c72f34</v>
      </c>
      <c r="K232" s="4">
        <f ca="1">IFERROR(__xludf.DUMMYFUNCTION("""COMPUTED_VALUE"""),1150)</f>
        <v>1150</v>
      </c>
      <c r="L232" s="1" t="str">
        <f ca="1">IFERROR(__xludf.DUMMYFUNCTION("""COMPUTED_VALUE"""),"Self")</f>
        <v>Self</v>
      </c>
      <c r="M232" s="1" t="str">
        <f ca="1">IFERROR(__xludf.DUMMYFUNCTION("""COMPUTED_VALUE"""),"")</f>
        <v/>
      </c>
      <c r="N232" s="1" t="str">
        <f ca="1">IFERROR(__xludf.DUMMYFUNCTION("""COMPUTED_VALUE"""),"")</f>
        <v/>
      </c>
      <c r="O232" s="1" t="str">
        <f ca="1">IFERROR(__xludf.DUMMYFUNCTION("""COMPUTED_VALUE"""),"Occupied")</f>
        <v>Occupied</v>
      </c>
      <c r="P232" s="1"/>
      <c r="Q232" s="1"/>
      <c r="R232" s="1"/>
      <c r="S232" s="1"/>
      <c r="T232" s="1"/>
      <c r="U232" s="1" t="str">
        <f ca="1">IFERROR(__xludf.DUMMYFUNCTION("""COMPUTED_VALUE"""),"N")</f>
        <v>N</v>
      </c>
      <c r="V232" s="1" t="str">
        <f ca="1">IFERROR(__xludf.DUMMYFUNCTION("""COMPUTED_VALUE"""),"N")</f>
        <v>N</v>
      </c>
      <c r="W232" s="1"/>
      <c r="X232" s="1"/>
      <c r="Y232" s="1" t="str">
        <f ca="1">IFERROR(__xludf.DUMMYFUNCTION("""COMPUTED_VALUE"""),"Fan Wu")</f>
        <v>Fan Wu</v>
      </c>
      <c r="Z232" s="1" t="str">
        <f ca="1">IFERROR(__xludf.DUMMYFUNCTION("""COMPUTED_VALUE"""),"fwealain037@gmail.com")</f>
        <v>fwealain037@gmail.com</v>
      </c>
      <c r="AA232" s="1"/>
      <c r="AB232" s="1"/>
      <c r="AC232" s="1"/>
    </row>
    <row r="233" spans="1:29">
      <c r="A233" s="1" t="str">
        <f ca="1">IFERROR(__xludf.DUMMYFUNCTION("""COMPUTED_VALUE"""),"86 Glenville Avenue")</f>
        <v>86 Glenville Avenue</v>
      </c>
      <c r="B233" s="1">
        <f ca="1">IFERROR(__xludf.DUMMYFUNCTION("""COMPUTED_VALUE"""),86)</f>
        <v>86</v>
      </c>
      <c r="C233" s="1" t="str">
        <f ca="1">IFERROR(__xludf.DUMMYFUNCTION("""COMPUTED_VALUE"""),"#11")</f>
        <v>#11</v>
      </c>
      <c r="D233" s="1" t="str">
        <f ca="1">IFERROR(__xludf.DUMMYFUNCTION("""COMPUTED_VALUE"""),"86 Glenville Avenue Unit 11")</f>
        <v>86 Glenville Avenue Unit 11</v>
      </c>
      <c r="E233" s="1" t="str">
        <f ca="1">IFERROR(__xludf.DUMMYFUNCTION("""COMPUTED_VALUE"""),"Boston")</f>
        <v>Boston</v>
      </c>
      <c r="F233" s="1" t="str">
        <f ca="1">IFERROR(__xludf.DUMMYFUNCTION("""COMPUTED_VALUE"""),"Boston - Allston")</f>
        <v>Boston - Allston</v>
      </c>
      <c r="G233" s="1">
        <f ca="1">IFERROR(__xludf.DUMMYFUNCTION("""COMPUTED_VALUE"""),1)</f>
        <v>1</v>
      </c>
      <c r="H233" s="1" t="str">
        <f ca="1">IFERROR(__xludf.DUMMYFUNCTION("""COMPUTED_VALUE"""),"A")</f>
        <v>A</v>
      </c>
      <c r="I233" s="4" t="str">
        <f ca="1">IFERROR(__xludf.DUMMYFUNCTION("""COMPUTED_VALUE"""),"86 Glenville Avenue#11A")</f>
        <v>86 Glenville Avenue#11A</v>
      </c>
      <c r="J233" s="4" t="str">
        <f ca="1">IFERROR(__xludf.DUMMYFUNCTION("""COMPUTED_VALUE"""),"5aa96e13-8fc5-4bcf-b515-8a2ce9cb36e9")</f>
        <v>5aa96e13-8fc5-4bcf-b515-8a2ce9cb36e9</v>
      </c>
      <c r="K233" s="4">
        <f ca="1">IFERROR(__xludf.DUMMYFUNCTION("""COMPUTED_VALUE"""),795)</f>
        <v>795</v>
      </c>
      <c r="L233" s="1" t="str">
        <f ca="1">IFERROR(__xludf.DUMMYFUNCTION("""COMPUTED_VALUE"""),"Peter")</f>
        <v>Peter</v>
      </c>
      <c r="M233" s="1" t="str">
        <f ca="1">IFERROR(__xludf.DUMMYFUNCTION("""COMPUTED_VALUE"""),"")</f>
        <v/>
      </c>
      <c r="N233" s="1"/>
      <c r="O233" s="1" t="str">
        <f ca="1">IFERROR(__xludf.DUMMYFUNCTION("""COMPUTED_VALUE"""),"Lease Signed")</f>
        <v>Lease Signed</v>
      </c>
      <c r="P233" s="1" t="str">
        <f ca="1">IFERROR(__xludf.DUMMYFUNCTION("""COMPUTED_VALUE"""),"January")</f>
        <v>January</v>
      </c>
      <c r="Q233" s="1"/>
      <c r="R233" s="5">
        <f ca="1">IFERROR(__xludf.DUMMYFUNCTION("""COMPUTED_VALUE"""),43848)</f>
        <v>43848</v>
      </c>
      <c r="S233" s="1"/>
      <c r="T233" s="1"/>
      <c r="U233" s="1" t="str">
        <f ca="1">IFERROR(__xludf.DUMMYFUNCTION("""COMPUTED_VALUE"""),"Y")</f>
        <v>Y</v>
      </c>
      <c r="V233" s="1" t="str">
        <f ca="1">IFERROR(__xludf.DUMMYFUNCTION("""COMPUTED_VALUE"""),"Y")</f>
        <v>Y</v>
      </c>
      <c r="W233" s="1" t="str">
        <f ca="1">IFERROR(__xludf.DUMMYFUNCTION("""COMPUTED_VALUE"""),"Sheikh Ahmad Shah")</f>
        <v>Sheikh Ahmad Shah</v>
      </c>
      <c r="X233" s="1" t="str">
        <f ca="1">IFERROR(__xludf.DUMMYFUNCTION("""COMPUTED_VALUE"""),"shahst@bc.edu")</f>
        <v>shahst@bc.edu</v>
      </c>
      <c r="Y233" s="1"/>
      <c r="Z233" s="1"/>
      <c r="AA233" s="1"/>
      <c r="AB233" s="1"/>
      <c r="AC233" s="1"/>
    </row>
    <row r="234" spans="1:29">
      <c r="A234" s="1" t="str">
        <f ca="1">IFERROR(__xludf.DUMMYFUNCTION("""COMPUTED_VALUE"""),"86 Glenville Avenue")</f>
        <v>86 Glenville Avenue</v>
      </c>
      <c r="B234" s="1">
        <f ca="1">IFERROR(__xludf.DUMMYFUNCTION("""COMPUTED_VALUE"""),86)</f>
        <v>86</v>
      </c>
      <c r="C234" s="1" t="str">
        <f ca="1">IFERROR(__xludf.DUMMYFUNCTION("""COMPUTED_VALUE"""),"#11")</f>
        <v>#11</v>
      </c>
      <c r="D234" s="1" t="str">
        <f ca="1">IFERROR(__xludf.DUMMYFUNCTION("""COMPUTED_VALUE"""),"86 Glenville Avenue Unit 11")</f>
        <v>86 Glenville Avenue Unit 11</v>
      </c>
      <c r="E234" s="1" t="str">
        <f ca="1">IFERROR(__xludf.DUMMYFUNCTION("""COMPUTED_VALUE"""),"Boston")</f>
        <v>Boston</v>
      </c>
      <c r="F234" s="1" t="str">
        <f ca="1">IFERROR(__xludf.DUMMYFUNCTION("""COMPUTED_VALUE"""),"Boston - Allston")</f>
        <v>Boston - Allston</v>
      </c>
      <c r="G234" s="1">
        <f ca="1">IFERROR(__xludf.DUMMYFUNCTION("""COMPUTED_VALUE"""),2)</f>
        <v>2</v>
      </c>
      <c r="H234" s="1" t="str">
        <f ca="1">IFERROR(__xludf.DUMMYFUNCTION("""COMPUTED_VALUE"""),"B")</f>
        <v>B</v>
      </c>
      <c r="I234" s="4" t="str">
        <f ca="1">IFERROR(__xludf.DUMMYFUNCTION("""COMPUTED_VALUE"""),"86 Glenville Avenue#11B")</f>
        <v>86 Glenville Avenue#11B</v>
      </c>
      <c r="J234" s="4" t="str">
        <f ca="1">IFERROR(__xludf.DUMMYFUNCTION("""COMPUTED_VALUE"""),"5aa96e13-8fc5-4bcf-b515-8a2ce9cb36e9")</f>
        <v>5aa96e13-8fc5-4bcf-b515-8a2ce9cb36e9</v>
      </c>
      <c r="K234" s="4">
        <f ca="1">IFERROR(__xludf.DUMMYFUNCTION("""COMPUTED_VALUE"""),895)</f>
        <v>895</v>
      </c>
      <c r="L234" s="1" t="str">
        <f ca="1">IFERROR(__xludf.DUMMYFUNCTION("""COMPUTED_VALUE"""),"Peter")</f>
        <v>Peter</v>
      </c>
      <c r="M234" s="1" t="str">
        <f ca="1">IFERROR(__xludf.DUMMYFUNCTION("""COMPUTED_VALUE"""),"")</f>
        <v/>
      </c>
      <c r="N234" s="1"/>
      <c r="O234" s="1" t="str">
        <f ca="1">IFERROR(__xludf.DUMMYFUNCTION("""COMPUTED_VALUE"""),"Occupied")</f>
        <v>Occupied</v>
      </c>
      <c r="P234" s="1" t="str">
        <f ca="1">IFERROR(__xludf.DUMMYFUNCTION("""COMPUTED_VALUE"""),"January")</f>
        <v>January</v>
      </c>
      <c r="Q234" s="1"/>
      <c r="R234" s="1"/>
      <c r="S234" s="1"/>
      <c r="T234" s="1"/>
      <c r="U234" s="1" t="str">
        <f ca="1">IFERROR(__xludf.DUMMYFUNCTION("""COMPUTED_VALUE"""),"Y")</f>
        <v>Y</v>
      </c>
      <c r="V234" s="1" t="str">
        <f ca="1">IFERROR(__xludf.DUMMYFUNCTION("""COMPUTED_VALUE"""),"Y")</f>
        <v>Y</v>
      </c>
      <c r="W234" s="1"/>
      <c r="X234" s="1"/>
      <c r="Y234" s="1" t="str">
        <f ca="1">IFERROR(__xludf.DUMMYFUNCTION("""COMPUTED_VALUE"""),"Christopher Netter")</f>
        <v>Christopher Netter</v>
      </c>
      <c r="Z234" s="1" t="str">
        <f ca="1">IFERROR(__xludf.DUMMYFUNCTION("""COMPUTED_VALUE"""),"c.netter5@gmail.com")</f>
        <v>c.netter5@gmail.com</v>
      </c>
      <c r="AA234" s="1"/>
      <c r="AB234" s="1"/>
      <c r="AC234" s="1"/>
    </row>
    <row r="235" spans="1:29">
      <c r="A235" s="1" t="str">
        <f ca="1">IFERROR(__xludf.DUMMYFUNCTION("""COMPUTED_VALUE"""),"86 Glenville Avenue")</f>
        <v>86 Glenville Avenue</v>
      </c>
      <c r="B235" s="1">
        <f ca="1">IFERROR(__xludf.DUMMYFUNCTION("""COMPUTED_VALUE"""),86)</f>
        <v>86</v>
      </c>
      <c r="C235" s="1" t="str">
        <f ca="1">IFERROR(__xludf.DUMMYFUNCTION("""COMPUTED_VALUE"""),"#11")</f>
        <v>#11</v>
      </c>
      <c r="D235" s="1" t="str">
        <f ca="1">IFERROR(__xludf.DUMMYFUNCTION("""COMPUTED_VALUE"""),"86 Glenville Avenue Unit 11")</f>
        <v>86 Glenville Avenue Unit 11</v>
      </c>
      <c r="E235" s="1" t="str">
        <f ca="1">IFERROR(__xludf.DUMMYFUNCTION("""COMPUTED_VALUE"""),"Boston")</f>
        <v>Boston</v>
      </c>
      <c r="F235" s="1" t="str">
        <f ca="1">IFERROR(__xludf.DUMMYFUNCTION("""COMPUTED_VALUE"""),"Boston - Allston")</f>
        <v>Boston - Allston</v>
      </c>
      <c r="G235" s="1">
        <f ca="1">IFERROR(__xludf.DUMMYFUNCTION("""COMPUTED_VALUE"""),3)</f>
        <v>3</v>
      </c>
      <c r="H235" s="1" t="str">
        <f ca="1">IFERROR(__xludf.DUMMYFUNCTION("""COMPUTED_VALUE"""),"C")</f>
        <v>C</v>
      </c>
      <c r="I235" s="4" t="str">
        <f ca="1">IFERROR(__xludf.DUMMYFUNCTION("""COMPUTED_VALUE"""),"86 Glenville Avenue#11C")</f>
        <v>86 Glenville Avenue#11C</v>
      </c>
      <c r="J235" s="4" t="str">
        <f ca="1">IFERROR(__xludf.DUMMYFUNCTION("""COMPUTED_VALUE"""),"5aa96e13-8fc5-4bcf-b515-8a2ce9cb36e9")</f>
        <v>5aa96e13-8fc5-4bcf-b515-8a2ce9cb36e9</v>
      </c>
      <c r="K235" s="4">
        <f ca="1">IFERROR(__xludf.DUMMYFUNCTION("""COMPUTED_VALUE"""),795)</f>
        <v>795</v>
      </c>
      <c r="L235" s="1" t="str">
        <f ca="1">IFERROR(__xludf.DUMMYFUNCTION("""COMPUTED_VALUE"""),"Peter")</f>
        <v>Peter</v>
      </c>
      <c r="M235" s="1" t="str">
        <f ca="1">IFERROR(__xludf.DUMMYFUNCTION("""COMPUTED_VALUE"""),"Peter (NOW)")</f>
        <v>Peter (NOW)</v>
      </c>
      <c r="N235" s="1"/>
      <c r="O235" s="1" t="str">
        <f ca="1">IFERROR(__xludf.DUMMYFUNCTION("""COMPUTED_VALUE"""),"Vacant")</f>
        <v>Vacant</v>
      </c>
      <c r="P235" s="1"/>
      <c r="Q235" s="1"/>
      <c r="R235" s="1"/>
      <c r="S235" s="1"/>
      <c r="T235" s="1"/>
      <c r="U235" s="1" t="str">
        <f ca="1">IFERROR(__xludf.DUMMYFUNCTION("""COMPUTED_VALUE"""),"Y")</f>
        <v>Y</v>
      </c>
      <c r="V235" s="1" t="str">
        <f ca="1">IFERROR(__xludf.DUMMYFUNCTION("""COMPUTED_VALUE"""),"Y")</f>
        <v>Y</v>
      </c>
      <c r="W235" s="1"/>
      <c r="X235" s="1"/>
      <c r="Y235" s="1"/>
      <c r="Z235" s="1"/>
      <c r="AA235" s="1"/>
      <c r="AB235" s="1"/>
      <c r="AC235" s="1"/>
    </row>
    <row r="236" spans="1:29">
      <c r="A236" s="1" t="str">
        <f ca="1">IFERROR(__xludf.DUMMYFUNCTION("""COMPUTED_VALUE"""),"95 Upland Road")</f>
        <v>95 Upland Road</v>
      </c>
      <c r="B236" s="1">
        <f ca="1">IFERROR(__xludf.DUMMYFUNCTION("""COMPUTED_VALUE"""),95)</f>
        <v>95</v>
      </c>
      <c r="C236" s="1" t="str">
        <f ca="1">IFERROR(__xludf.DUMMYFUNCTION("""COMPUTED_VALUE"""),"#2")</f>
        <v>#2</v>
      </c>
      <c r="D236" s="1" t="str">
        <f ca="1">IFERROR(__xludf.DUMMYFUNCTION("""COMPUTED_VALUE"""),"95 Upland Road Unit 2")</f>
        <v>95 Upland Road Unit 2</v>
      </c>
      <c r="E236" s="1" t="str">
        <f ca="1">IFERROR(__xludf.DUMMYFUNCTION("""COMPUTED_VALUE"""),"Cambridge")</f>
        <v>Cambridge</v>
      </c>
      <c r="F236" s="1" t="str">
        <f ca="1">IFERROR(__xludf.DUMMYFUNCTION("""COMPUTED_VALUE"""),"Cambridge - Porter Square")</f>
        <v>Cambridge - Porter Square</v>
      </c>
      <c r="G236" s="1">
        <f ca="1">IFERROR(__xludf.DUMMYFUNCTION("""COMPUTED_VALUE"""),1)</f>
        <v>1</v>
      </c>
      <c r="H236" s="1" t="str">
        <f ca="1">IFERROR(__xludf.DUMMYFUNCTION("""COMPUTED_VALUE"""),"A")</f>
        <v>A</v>
      </c>
      <c r="I236" s="4" t="str">
        <f ca="1">IFERROR(__xludf.DUMMYFUNCTION("""COMPUTED_VALUE"""),"95 Upland Road#2A")</f>
        <v>95 Upland Road#2A</v>
      </c>
      <c r="J236" s="4" t="str">
        <f ca="1">IFERROR(__xludf.DUMMYFUNCTION("""COMPUTED_VALUE"""),"b39ebb38-6343-4028-933e-f89ef91fbf35")</f>
        <v>b39ebb38-6343-4028-933e-f89ef91fbf35</v>
      </c>
      <c r="K236" s="4">
        <f ca="1">IFERROR(__xludf.DUMMYFUNCTION("""COMPUTED_VALUE"""),895)</f>
        <v>895</v>
      </c>
      <c r="L236" s="1" t="str">
        <f ca="1">IFERROR(__xludf.DUMMYFUNCTION("""COMPUTED_VALUE"""),"Lizzie")</f>
        <v>Lizzie</v>
      </c>
      <c r="M236" s="1" t="str">
        <f ca="1">IFERROR(__xludf.DUMMYFUNCTION("""COMPUTED_VALUE"""),"")</f>
        <v/>
      </c>
      <c r="N236" s="1"/>
      <c r="O236" s="1" t="str">
        <f ca="1">IFERROR(__xludf.DUMMYFUNCTION("""COMPUTED_VALUE"""),"Occupied")</f>
        <v>Occupied</v>
      </c>
      <c r="P236" s="1"/>
      <c r="Q236" s="1"/>
      <c r="R236" s="1"/>
      <c r="S236" s="1" t="str">
        <f ca="1">IFERROR(__xludf.DUMMYFUNCTION("""COMPUTED_VALUE"""),"NO CATS OR DOGS")</f>
        <v>NO CATS OR DOGS</v>
      </c>
      <c r="T236" s="1"/>
      <c r="U236" s="1" t="str">
        <f ca="1">IFERROR(__xludf.DUMMYFUNCTION("""COMPUTED_VALUE"""),"N")</f>
        <v>N</v>
      </c>
      <c r="V236" s="1" t="str">
        <f ca="1">IFERROR(__xludf.DUMMYFUNCTION("""COMPUTED_VALUE"""),"N")</f>
        <v>N</v>
      </c>
      <c r="W236" s="1"/>
      <c r="X236" s="1"/>
      <c r="Y236" s="1" t="str">
        <f ca="1">IFERROR(__xludf.DUMMYFUNCTION("""COMPUTED_VALUE"""),"Aaron Green")</f>
        <v>Aaron Green</v>
      </c>
      <c r="Z236" s="1" t="str">
        <f ca="1">IFERROR(__xludf.DUMMYFUNCTION("""COMPUTED_VALUE"""),"prime342@gmail.com")</f>
        <v>prime342@gmail.com</v>
      </c>
      <c r="AA236" s="1"/>
      <c r="AB236" s="1"/>
      <c r="AC236" s="1"/>
    </row>
    <row r="237" spans="1:29">
      <c r="A237" s="1" t="str">
        <f ca="1">IFERROR(__xludf.DUMMYFUNCTION("""COMPUTED_VALUE"""),"95 Upland Road")</f>
        <v>95 Upland Road</v>
      </c>
      <c r="B237" s="1">
        <f ca="1">IFERROR(__xludf.DUMMYFUNCTION("""COMPUTED_VALUE"""),95)</f>
        <v>95</v>
      </c>
      <c r="C237" s="1" t="str">
        <f ca="1">IFERROR(__xludf.DUMMYFUNCTION("""COMPUTED_VALUE"""),"#2")</f>
        <v>#2</v>
      </c>
      <c r="D237" s="1" t="str">
        <f ca="1">IFERROR(__xludf.DUMMYFUNCTION("""COMPUTED_VALUE"""),"95 Upland Road Unit 2")</f>
        <v>95 Upland Road Unit 2</v>
      </c>
      <c r="E237" s="1" t="str">
        <f ca="1">IFERROR(__xludf.DUMMYFUNCTION("""COMPUTED_VALUE"""),"Cambridge")</f>
        <v>Cambridge</v>
      </c>
      <c r="F237" s="1" t="str">
        <f ca="1">IFERROR(__xludf.DUMMYFUNCTION("""COMPUTED_VALUE"""),"Cambridge - Porter Square")</f>
        <v>Cambridge - Porter Square</v>
      </c>
      <c r="G237" s="1">
        <f ca="1">IFERROR(__xludf.DUMMYFUNCTION("""COMPUTED_VALUE"""),2)</f>
        <v>2</v>
      </c>
      <c r="H237" s="1" t="str">
        <f ca="1">IFERROR(__xludf.DUMMYFUNCTION("""COMPUTED_VALUE"""),"B")</f>
        <v>B</v>
      </c>
      <c r="I237" s="4" t="str">
        <f ca="1">IFERROR(__xludf.DUMMYFUNCTION("""COMPUTED_VALUE"""),"95 Upland Road#2B")</f>
        <v>95 Upland Road#2B</v>
      </c>
      <c r="J237" s="4" t="str">
        <f ca="1">IFERROR(__xludf.DUMMYFUNCTION("""COMPUTED_VALUE"""),"b39ebb38-6343-4028-933e-f89ef91fbf35")</f>
        <v>b39ebb38-6343-4028-933e-f89ef91fbf35</v>
      </c>
      <c r="K237" s="4">
        <f ca="1">IFERROR(__xludf.DUMMYFUNCTION("""COMPUTED_VALUE"""),895)</f>
        <v>895</v>
      </c>
      <c r="L237" s="1" t="str">
        <f ca="1">IFERROR(__xludf.DUMMYFUNCTION("""COMPUTED_VALUE"""),"Lizzie")</f>
        <v>Lizzie</v>
      </c>
      <c r="M237" s="1" t="str">
        <f ca="1">IFERROR(__xludf.DUMMYFUNCTION("""COMPUTED_VALUE"""),"")</f>
        <v/>
      </c>
      <c r="N237" s="1"/>
      <c r="O237" s="1" t="str">
        <f ca="1">IFERROR(__xludf.DUMMYFUNCTION("""COMPUTED_VALUE"""),"Occupied")</f>
        <v>Occupied</v>
      </c>
      <c r="P237" s="1"/>
      <c r="Q237" s="1"/>
      <c r="R237" s="1"/>
      <c r="S237" s="1" t="str">
        <f ca="1">IFERROR(__xludf.DUMMYFUNCTION("""COMPUTED_VALUE"""),"NO CATS OR DOGS")</f>
        <v>NO CATS OR DOGS</v>
      </c>
      <c r="T237" s="1"/>
      <c r="U237" s="1" t="str">
        <f ca="1">IFERROR(__xludf.DUMMYFUNCTION("""COMPUTED_VALUE"""),"N")</f>
        <v>N</v>
      </c>
      <c r="V237" s="1" t="str">
        <f ca="1">IFERROR(__xludf.DUMMYFUNCTION("""COMPUTED_VALUE"""),"N")</f>
        <v>N</v>
      </c>
      <c r="W237" s="1"/>
      <c r="X237" s="1"/>
      <c r="Y237" s="1" t="str">
        <f ca="1">IFERROR(__xludf.DUMMYFUNCTION("""COMPUTED_VALUE"""),"Nicholas Wright")</f>
        <v>Nicholas Wright</v>
      </c>
      <c r="Z237" s="1" t="str">
        <f ca="1">IFERROR(__xludf.DUMMYFUNCTION("""COMPUTED_VALUE"""),"nbrownellwright@gmail.com")</f>
        <v>nbrownellwright@gmail.com</v>
      </c>
      <c r="AA237" s="1"/>
      <c r="AB237" s="1"/>
      <c r="AC237" s="1"/>
    </row>
    <row r="238" spans="1:29">
      <c r="A238" s="1" t="str">
        <f ca="1">IFERROR(__xludf.DUMMYFUNCTION("""COMPUTED_VALUE"""),"95 Upland Road")</f>
        <v>95 Upland Road</v>
      </c>
      <c r="B238" s="1">
        <f ca="1">IFERROR(__xludf.DUMMYFUNCTION("""COMPUTED_VALUE"""),95)</f>
        <v>95</v>
      </c>
      <c r="C238" s="1" t="str">
        <f ca="1">IFERROR(__xludf.DUMMYFUNCTION("""COMPUTED_VALUE"""),"#2")</f>
        <v>#2</v>
      </c>
      <c r="D238" s="1" t="str">
        <f ca="1">IFERROR(__xludf.DUMMYFUNCTION("""COMPUTED_VALUE"""),"95 Upland Road Unit 2")</f>
        <v>95 Upland Road Unit 2</v>
      </c>
      <c r="E238" s="1" t="str">
        <f ca="1">IFERROR(__xludf.DUMMYFUNCTION("""COMPUTED_VALUE"""),"Cambridge")</f>
        <v>Cambridge</v>
      </c>
      <c r="F238" s="1" t="str">
        <f ca="1">IFERROR(__xludf.DUMMYFUNCTION("""COMPUTED_VALUE"""),"Cambridge - Porter Square")</f>
        <v>Cambridge - Porter Square</v>
      </c>
      <c r="G238" s="1">
        <f ca="1">IFERROR(__xludf.DUMMYFUNCTION("""COMPUTED_VALUE"""),3)</f>
        <v>3</v>
      </c>
      <c r="H238" s="1" t="str">
        <f ca="1">IFERROR(__xludf.DUMMYFUNCTION("""COMPUTED_VALUE"""),"C")</f>
        <v>C</v>
      </c>
      <c r="I238" s="4" t="str">
        <f ca="1">IFERROR(__xludf.DUMMYFUNCTION("""COMPUTED_VALUE"""),"95 Upland Road#2C")</f>
        <v>95 Upland Road#2C</v>
      </c>
      <c r="J238" s="4" t="str">
        <f ca="1">IFERROR(__xludf.DUMMYFUNCTION("""COMPUTED_VALUE"""),"b39ebb38-6343-4028-933e-f89ef91fbf35")</f>
        <v>b39ebb38-6343-4028-933e-f89ef91fbf35</v>
      </c>
      <c r="K238" s="4">
        <f ca="1">IFERROR(__xludf.DUMMYFUNCTION("""COMPUTED_VALUE"""),795)</f>
        <v>795</v>
      </c>
      <c r="L238" s="1" t="str">
        <f ca="1">IFERROR(__xludf.DUMMYFUNCTION("""COMPUTED_VALUE"""),"Lizzie")</f>
        <v>Lizzie</v>
      </c>
      <c r="M238" s="1" t="str">
        <f ca="1">IFERROR(__xludf.DUMMYFUNCTION("""COMPUTED_VALUE"""),"")</f>
        <v/>
      </c>
      <c r="N238" s="1"/>
      <c r="O238" s="1" t="str">
        <f ca="1">IFERROR(__xludf.DUMMYFUNCTION("""COMPUTED_VALUE"""),"Occupied")</f>
        <v>Occupied</v>
      </c>
      <c r="P238" s="1"/>
      <c r="Q238" s="1"/>
      <c r="R238" s="1"/>
      <c r="S238" s="1" t="str">
        <f ca="1">IFERROR(__xludf.DUMMYFUNCTION("""COMPUTED_VALUE"""),"NO CATS OR DOGS")</f>
        <v>NO CATS OR DOGS</v>
      </c>
      <c r="T238" s="1"/>
      <c r="U238" s="1" t="str">
        <f ca="1">IFERROR(__xludf.DUMMYFUNCTION("""COMPUTED_VALUE"""),"N")</f>
        <v>N</v>
      </c>
      <c r="V238" s="1" t="str">
        <f ca="1">IFERROR(__xludf.DUMMYFUNCTION("""COMPUTED_VALUE"""),"N")</f>
        <v>N</v>
      </c>
      <c r="W238" s="1"/>
      <c r="X238" s="1"/>
      <c r="Y238" s="1" t="str">
        <f ca="1">IFERROR(__xludf.DUMMYFUNCTION("""COMPUTED_VALUE"""),"Zack Willett")</f>
        <v>Zack Willett</v>
      </c>
      <c r="Z238" s="1" t="str">
        <f ca="1">IFERROR(__xludf.DUMMYFUNCTION("""COMPUTED_VALUE"""),"zjwillett103@gmail.com")</f>
        <v>zjwillett103@gmail.com</v>
      </c>
      <c r="AA238" s="1"/>
      <c r="AB238" s="1"/>
      <c r="AC238" s="1"/>
    </row>
    <row r="239" spans="1:29">
      <c r="A239" s="1" t="str">
        <f ca="1">IFERROR(__xludf.DUMMYFUNCTION("""COMPUTED_VALUE"""),"95 Upland Road")</f>
        <v>95 Upland Road</v>
      </c>
      <c r="B239" s="1">
        <f ca="1">IFERROR(__xludf.DUMMYFUNCTION("""COMPUTED_VALUE"""),95)</f>
        <v>95</v>
      </c>
      <c r="C239" s="1" t="str">
        <f ca="1">IFERROR(__xludf.DUMMYFUNCTION("""COMPUTED_VALUE"""),"#2")</f>
        <v>#2</v>
      </c>
      <c r="D239" s="1" t="str">
        <f ca="1">IFERROR(__xludf.DUMMYFUNCTION("""COMPUTED_VALUE"""),"95 Upland Road Unit 2")</f>
        <v>95 Upland Road Unit 2</v>
      </c>
      <c r="E239" s="1" t="str">
        <f ca="1">IFERROR(__xludf.DUMMYFUNCTION("""COMPUTED_VALUE"""),"Cambridge")</f>
        <v>Cambridge</v>
      </c>
      <c r="F239" s="1" t="str">
        <f ca="1">IFERROR(__xludf.DUMMYFUNCTION("""COMPUTED_VALUE"""),"Cambridge - Porter Square")</f>
        <v>Cambridge - Porter Square</v>
      </c>
      <c r="G239" s="1">
        <f ca="1">IFERROR(__xludf.DUMMYFUNCTION("""COMPUTED_VALUE"""),4)</f>
        <v>4</v>
      </c>
      <c r="H239" s="1" t="str">
        <f ca="1">IFERROR(__xludf.DUMMYFUNCTION("""COMPUTED_VALUE"""),"D")</f>
        <v>D</v>
      </c>
      <c r="I239" s="4" t="str">
        <f ca="1">IFERROR(__xludf.DUMMYFUNCTION("""COMPUTED_VALUE"""),"95 Upland Road#2D")</f>
        <v>95 Upland Road#2D</v>
      </c>
      <c r="J239" s="4" t="str">
        <f ca="1">IFERROR(__xludf.DUMMYFUNCTION("""COMPUTED_VALUE"""),"b39ebb38-6343-4028-933e-f89ef91fbf35")</f>
        <v>b39ebb38-6343-4028-933e-f89ef91fbf35</v>
      </c>
      <c r="K239" s="4">
        <f ca="1">IFERROR(__xludf.DUMMYFUNCTION("""COMPUTED_VALUE"""),795)</f>
        <v>795</v>
      </c>
      <c r="L239" s="1" t="str">
        <f ca="1">IFERROR(__xludf.DUMMYFUNCTION("""COMPUTED_VALUE"""),"Lizzie")</f>
        <v>Lizzie</v>
      </c>
      <c r="M239" s="1" t="str">
        <f ca="1">IFERROR(__xludf.DUMMYFUNCTION("""COMPUTED_VALUE"""),"")</f>
        <v/>
      </c>
      <c r="N239" s="1"/>
      <c r="O239" s="1" t="str">
        <f ca="1">IFERROR(__xludf.DUMMYFUNCTION("""COMPUTED_VALUE"""),"Lease Signed")</f>
        <v>Lease Signed</v>
      </c>
      <c r="P239" s="1" t="str">
        <f ca="1">IFERROR(__xludf.DUMMYFUNCTION("""COMPUTED_VALUE"""),"January")</f>
        <v>January</v>
      </c>
      <c r="Q239" s="1"/>
      <c r="R239" s="5">
        <f ca="1">IFERROR(__xludf.DUMMYFUNCTION("""COMPUTED_VALUE"""),44211)</f>
        <v>44211</v>
      </c>
      <c r="S239" s="1" t="str">
        <f ca="1">IFERROR(__xludf.DUMMYFUNCTION("""COMPUTED_VALUE"""),"NO CATS OR DOGS")</f>
        <v>NO CATS OR DOGS</v>
      </c>
      <c r="T239" s="1"/>
      <c r="U239" s="1" t="str">
        <f ca="1">IFERROR(__xludf.DUMMYFUNCTION("""COMPUTED_VALUE"""),"N")</f>
        <v>N</v>
      </c>
      <c r="V239" s="1" t="str">
        <f ca="1">IFERROR(__xludf.DUMMYFUNCTION("""COMPUTED_VALUE"""),"N")</f>
        <v>N</v>
      </c>
      <c r="W239" s="1" t="str">
        <f ca="1">IFERROR(__xludf.DUMMYFUNCTION("""COMPUTED_VALUE"""),"Cesar Benjamin Rancier")</f>
        <v>Cesar Benjamin Rancier</v>
      </c>
      <c r="X239" s="1" t="str">
        <f ca="1">IFERROR(__xludf.DUMMYFUNCTION("""COMPUTED_VALUE"""),"cbranker00a@netzero.com")</f>
        <v>cbranker00a@netzero.com</v>
      </c>
      <c r="Y239" s="1"/>
      <c r="Z239" s="1"/>
      <c r="AA239" s="1"/>
      <c r="AB239" s="1"/>
      <c r="AC239" s="1"/>
    </row>
    <row r="240" spans="1:29">
      <c r="A240" s="1" t="str">
        <f ca="1">IFERROR(__xludf.DUMMYFUNCTION("""COMPUTED_VALUE"""),"96 Hammond Street")</f>
        <v>96 Hammond Street</v>
      </c>
      <c r="B240" s="1">
        <f ca="1">IFERROR(__xludf.DUMMYFUNCTION("""COMPUTED_VALUE"""),96)</f>
        <v>96</v>
      </c>
      <c r="C240" s="1" t="str">
        <f ca="1">IFERROR(__xludf.DUMMYFUNCTION("""COMPUTED_VALUE"""),"#3")</f>
        <v>#3</v>
      </c>
      <c r="D240" s="1" t="str">
        <f ca="1">IFERROR(__xludf.DUMMYFUNCTION("""COMPUTED_VALUE"""),"96 Hammond Street Unit 3")</f>
        <v>96 Hammond Street Unit 3</v>
      </c>
      <c r="E240" s="1" t="str">
        <f ca="1">IFERROR(__xludf.DUMMYFUNCTION("""COMPUTED_VALUE"""),"Boston")</f>
        <v>Boston</v>
      </c>
      <c r="F240" s="1" t="str">
        <f ca="1">IFERROR(__xludf.DUMMYFUNCTION("""COMPUTED_VALUE"""),"Boston - South End")</f>
        <v>Boston - South End</v>
      </c>
      <c r="G240" s="1">
        <f ca="1">IFERROR(__xludf.DUMMYFUNCTION("""COMPUTED_VALUE"""),1)</f>
        <v>1</v>
      </c>
      <c r="H240" s="1" t="str">
        <f ca="1">IFERROR(__xludf.DUMMYFUNCTION("""COMPUTED_VALUE"""),"A")</f>
        <v>A</v>
      </c>
      <c r="I240" s="4" t="str">
        <f ca="1">IFERROR(__xludf.DUMMYFUNCTION("""COMPUTED_VALUE"""),"96 Hammond Street#3A")</f>
        <v>96 Hammond Street#3A</v>
      </c>
      <c r="J240" s="4" t="str">
        <f ca="1">IFERROR(__xludf.DUMMYFUNCTION("""COMPUTED_VALUE"""),"d7920b17-b11b-4614-bf72-b75951cfd1b9")</f>
        <v>d7920b17-b11b-4614-bf72-b75951cfd1b9</v>
      </c>
      <c r="K240" s="4">
        <f ca="1">IFERROR(__xludf.DUMMYFUNCTION("""COMPUTED_VALUE"""),1100)</f>
        <v>1100</v>
      </c>
      <c r="L240" s="1" t="str">
        <f ca="1">IFERROR(__xludf.DUMMYFUNCTION("""COMPUTED_VALUE"""),"Daniel")</f>
        <v>Daniel</v>
      </c>
      <c r="M240" s="1" t="str">
        <f ca="1">IFERROR(__xludf.DUMMYFUNCTION("""COMPUTED_VALUE"""),"")</f>
        <v/>
      </c>
      <c r="N240" s="1" t="str">
        <f ca="1">IFERROR(__xludf.DUMMYFUNCTION("""COMPUTED_VALUE"""),"")</f>
        <v/>
      </c>
      <c r="O240" s="1" t="str">
        <f ca="1">IFERROR(__xludf.DUMMYFUNCTION("""COMPUTED_VALUE"""),"Occupied")</f>
        <v>Occupied</v>
      </c>
      <c r="P240" s="1"/>
      <c r="Q240" s="1"/>
      <c r="R240" s="1"/>
      <c r="S240" s="1" t="str">
        <f ca="1">IFERROR(__xludf.DUMMYFUNCTION("""COMPUTED_VALUE"""),"NO CATS OR DOGS")</f>
        <v>NO CATS OR DOGS</v>
      </c>
      <c r="T240" s="1"/>
      <c r="U240" s="1" t="str">
        <f ca="1">IFERROR(__xludf.DUMMYFUNCTION("""COMPUTED_VALUE"""),"N")</f>
        <v>N</v>
      </c>
      <c r="V240" s="1" t="str">
        <f ca="1">IFERROR(__xludf.DUMMYFUNCTION("""COMPUTED_VALUE"""),"N")</f>
        <v>N</v>
      </c>
      <c r="W240" s="1"/>
      <c r="X240" s="1"/>
      <c r="Y240" s="1" t="str">
        <f ca="1">IFERROR(__xludf.DUMMYFUNCTION("""COMPUTED_VALUE"""),"Victorina Melendez")</f>
        <v>Victorina Melendez</v>
      </c>
      <c r="Z240" s="1" t="str">
        <f ca="1">IFERROR(__xludf.DUMMYFUNCTION("""COMPUTED_VALUE"""),"v.jovitamelendez0616@gmail.com")</f>
        <v>v.jovitamelendez0616@gmail.com</v>
      </c>
      <c r="AA240" s="1"/>
      <c r="AB240" s="1"/>
      <c r="AC240" s="1"/>
    </row>
    <row r="241" spans="1:29">
      <c r="A241" s="1" t="str">
        <f ca="1">IFERROR(__xludf.DUMMYFUNCTION("""COMPUTED_VALUE"""),"96 Hammond Street")</f>
        <v>96 Hammond Street</v>
      </c>
      <c r="B241" s="1">
        <f ca="1">IFERROR(__xludf.DUMMYFUNCTION("""COMPUTED_VALUE"""),96)</f>
        <v>96</v>
      </c>
      <c r="C241" s="1" t="str">
        <f ca="1">IFERROR(__xludf.DUMMYFUNCTION("""COMPUTED_VALUE"""),"#3")</f>
        <v>#3</v>
      </c>
      <c r="D241" s="1" t="str">
        <f ca="1">IFERROR(__xludf.DUMMYFUNCTION("""COMPUTED_VALUE"""),"96 Hammond Street Unit 3")</f>
        <v>96 Hammond Street Unit 3</v>
      </c>
      <c r="E241" s="1" t="str">
        <f ca="1">IFERROR(__xludf.DUMMYFUNCTION("""COMPUTED_VALUE"""),"Boston")</f>
        <v>Boston</v>
      </c>
      <c r="F241" s="1" t="str">
        <f ca="1">IFERROR(__xludf.DUMMYFUNCTION("""COMPUTED_VALUE"""),"Boston - South End")</f>
        <v>Boston - South End</v>
      </c>
      <c r="G241" s="1">
        <f ca="1">IFERROR(__xludf.DUMMYFUNCTION("""COMPUTED_VALUE"""),2)</f>
        <v>2</v>
      </c>
      <c r="H241" s="1" t="str">
        <f ca="1">IFERROR(__xludf.DUMMYFUNCTION("""COMPUTED_VALUE"""),"B")</f>
        <v>B</v>
      </c>
      <c r="I241" s="4" t="str">
        <f ca="1">IFERROR(__xludf.DUMMYFUNCTION("""COMPUTED_VALUE"""),"96 Hammond Street#3B")</f>
        <v>96 Hammond Street#3B</v>
      </c>
      <c r="J241" s="4" t="str">
        <f ca="1">IFERROR(__xludf.DUMMYFUNCTION("""COMPUTED_VALUE"""),"d7920b17-b11b-4614-bf72-b75951cfd1b9")</f>
        <v>d7920b17-b11b-4614-bf72-b75951cfd1b9</v>
      </c>
      <c r="K241" s="4">
        <f ca="1">IFERROR(__xludf.DUMMYFUNCTION("""COMPUTED_VALUE"""),990)</f>
        <v>990</v>
      </c>
      <c r="L241" s="1" t="str">
        <f ca="1">IFERROR(__xludf.DUMMYFUNCTION("""COMPUTED_VALUE"""),"Daniel")</f>
        <v>Daniel</v>
      </c>
      <c r="M241" s="1" t="str">
        <f ca="1">IFERROR(__xludf.DUMMYFUNCTION("""COMPUTED_VALUE"""),"")</f>
        <v/>
      </c>
      <c r="N241" s="1" t="str">
        <f ca="1">IFERROR(__xludf.DUMMYFUNCTION("""COMPUTED_VALUE"""),"")</f>
        <v/>
      </c>
      <c r="O241" s="1" t="str">
        <f ca="1">IFERROR(__xludf.DUMMYFUNCTION("""COMPUTED_VALUE"""),"Occupied")</f>
        <v>Occupied</v>
      </c>
      <c r="P241" s="1"/>
      <c r="Q241" s="1"/>
      <c r="R241" s="1"/>
      <c r="S241" s="1" t="str">
        <f ca="1">IFERROR(__xludf.DUMMYFUNCTION("""COMPUTED_VALUE"""),"NO CATS OR DOGS")</f>
        <v>NO CATS OR DOGS</v>
      </c>
      <c r="T241" s="1"/>
      <c r="U241" s="1" t="str">
        <f ca="1">IFERROR(__xludf.DUMMYFUNCTION("""COMPUTED_VALUE"""),"N")</f>
        <v>N</v>
      </c>
      <c r="V241" s="1" t="str">
        <f ca="1">IFERROR(__xludf.DUMMYFUNCTION("""COMPUTED_VALUE"""),"N")</f>
        <v>N</v>
      </c>
      <c r="W241" s="1"/>
      <c r="X241" s="1"/>
      <c r="Y241" s="1" t="str">
        <f ca="1">IFERROR(__xludf.DUMMYFUNCTION("""COMPUTED_VALUE"""),"Lindsey McComber")</f>
        <v>Lindsey McComber</v>
      </c>
      <c r="Z241" s="1" t="str">
        <f ca="1">IFERROR(__xludf.DUMMYFUNCTION("""COMPUTED_VALUE"""),"lindseymcc6@gmail.com")</f>
        <v>lindseymcc6@gmail.com</v>
      </c>
      <c r="AA241" s="1"/>
      <c r="AB241" s="1"/>
      <c r="AC241" s="1"/>
    </row>
    <row r="242" spans="1:29">
      <c r="A242" s="1" t="str">
        <f ca="1">IFERROR(__xludf.DUMMYFUNCTION("""COMPUTED_VALUE"""),"96 Hammond Street")</f>
        <v>96 Hammond Street</v>
      </c>
      <c r="B242" s="1">
        <f ca="1">IFERROR(__xludf.DUMMYFUNCTION("""COMPUTED_VALUE"""),96)</f>
        <v>96</v>
      </c>
      <c r="C242" s="1" t="str">
        <f ca="1">IFERROR(__xludf.DUMMYFUNCTION("""COMPUTED_VALUE"""),"#3")</f>
        <v>#3</v>
      </c>
      <c r="D242" s="1" t="str">
        <f ca="1">IFERROR(__xludf.DUMMYFUNCTION("""COMPUTED_VALUE"""),"96 Hammond Street Unit 3")</f>
        <v>96 Hammond Street Unit 3</v>
      </c>
      <c r="E242" s="1" t="str">
        <f ca="1">IFERROR(__xludf.DUMMYFUNCTION("""COMPUTED_VALUE"""),"Boston")</f>
        <v>Boston</v>
      </c>
      <c r="F242" s="1" t="str">
        <f ca="1">IFERROR(__xludf.DUMMYFUNCTION("""COMPUTED_VALUE"""),"Boston - South End")</f>
        <v>Boston - South End</v>
      </c>
      <c r="G242" s="1">
        <f ca="1">IFERROR(__xludf.DUMMYFUNCTION("""COMPUTED_VALUE"""),3)</f>
        <v>3</v>
      </c>
      <c r="H242" s="1" t="str">
        <f ca="1">IFERROR(__xludf.DUMMYFUNCTION("""COMPUTED_VALUE"""),"C")</f>
        <v>C</v>
      </c>
      <c r="I242" s="4" t="str">
        <f ca="1">IFERROR(__xludf.DUMMYFUNCTION("""COMPUTED_VALUE"""),"96 Hammond Street#3C")</f>
        <v>96 Hammond Street#3C</v>
      </c>
      <c r="J242" s="4" t="str">
        <f ca="1">IFERROR(__xludf.DUMMYFUNCTION("""COMPUTED_VALUE"""),"d7920b17-b11b-4614-bf72-b75951cfd1b9")</f>
        <v>d7920b17-b11b-4614-bf72-b75951cfd1b9</v>
      </c>
      <c r="K242" s="4">
        <f ca="1">IFERROR(__xludf.DUMMYFUNCTION("""COMPUTED_VALUE"""),1295)</f>
        <v>1295</v>
      </c>
      <c r="L242" s="1" t="str">
        <f ca="1">IFERROR(__xludf.DUMMYFUNCTION("""COMPUTED_VALUE"""),"Daniel")</f>
        <v>Daniel</v>
      </c>
      <c r="M242" s="1" t="str">
        <f ca="1">IFERROR(__xludf.DUMMYFUNCTION("""COMPUTED_VALUE"""),"")</f>
        <v/>
      </c>
      <c r="N242" s="1" t="str">
        <f ca="1">IFERROR(__xludf.DUMMYFUNCTION("""COMPUTED_VALUE"""),"")</f>
        <v/>
      </c>
      <c r="O242" s="1" t="str">
        <f ca="1">IFERROR(__xludf.DUMMYFUNCTION("""COMPUTED_VALUE"""),"Occupied")</f>
        <v>Occupied</v>
      </c>
      <c r="P242" s="1"/>
      <c r="Q242" s="1"/>
      <c r="R242" s="1"/>
      <c r="S242" s="1" t="str">
        <f ca="1">IFERROR(__xludf.DUMMYFUNCTION("""COMPUTED_VALUE"""),"NO CATS OR DOGS")</f>
        <v>NO CATS OR DOGS</v>
      </c>
      <c r="T242" s="1"/>
      <c r="U242" s="1" t="str">
        <f ca="1">IFERROR(__xludf.DUMMYFUNCTION("""COMPUTED_VALUE"""),"N")</f>
        <v>N</v>
      </c>
      <c r="V242" s="1" t="str">
        <f ca="1">IFERROR(__xludf.DUMMYFUNCTION("""COMPUTED_VALUE"""),"N")</f>
        <v>N</v>
      </c>
      <c r="W242" s="1"/>
      <c r="X242" s="1"/>
      <c r="Y242" s="1" t="str">
        <f ca="1">IFERROR(__xludf.DUMMYFUNCTION("""COMPUTED_VALUE"""),"Samantha Mapa; Brian Patterson")</f>
        <v>Samantha Mapa; Brian Patterson</v>
      </c>
      <c r="Z242" s="1" t="str">
        <f ca="1">IFERROR(__xludf.DUMMYFUNCTION("""COMPUTED_VALUE"""),"samantha19mapa@gmail.com; bpatters2016@students.curry.edu")</f>
        <v>samantha19mapa@gmail.com; bpatters2016@students.curry.edu</v>
      </c>
      <c r="AA242" s="1"/>
      <c r="AB242" s="1"/>
      <c r="AC242" s="1"/>
    </row>
    <row r="243" spans="1:29">
      <c r="A243" s="1" t="str">
        <f ca="1">IFERROR(__xludf.DUMMYFUNCTION("""COMPUTED_VALUE"""),"96 Sheridan Street")</f>
        <v>96 Sheridan Street</v>
      </c>
      <c r="B243" s="1">
        <f ca="1">IFERROR(__xludf.DUMMYFUNCTION("""COMPUTED_VALUE"""),96)</f>
        <v>96</v>
      </c>
      <c r="C243" s="1" t="str">
        <f ca="1">IFERROR(__xludf.DUMMYFUNCTION("""COMPUTED_VALUE"""),"#3")</f>
        <v>#3</v>
      </c>
      <c r="D243" s="1" t="str">
        <f ca="1">IFERROR(__xludf.DUMMYFUNCTION("""COMPUTED_VALUE"""),"96 Sheridan Street Unit 3")</f>
        <v>96 Sheridan Street Unit 3</v>
      </c>
      <c r="E243" s="1" t="str">
        <f ca="1">IFERROR(__xludf.DUMMYFUNCTION("""COMPUTED_VALUE"""),"Boston")</f>
        <v>Boston</v>
      </c>
      <c r="F243" s="1" t="str">
        <f ca="1">IFERROR(__xludf.DUMMYFUNCTION("""COMPUTED_VALUE"""),"Boston - Jamaica Plain")</f>
        <v>Boston - Jamaica Plain</v>
      </c>
      <c r="G243" s="1">
        <f ca="1">IFERROR(__xludf.DUMMYFUNCTION("""COMPUTED_VALUE"""),1)</f>
        <v>1</v>
      </c>
      <c r="H243" s="1" t="str">
        <f ca="1">IFERROR(__xludf.DUMMYFUNCTION("""COMPUTED_VALUE"""),"A")</f>
        <v>A</v>
      </c>
      <c r="I243" s="4" t="str">
        <f ca="1">IFERROR(__xludf.DUMMYFUNCTION("""COMPUTED_VALUE"""),"96 Sheridan Street#3A")</f>
        <v>96 Sheridan Street#3A</v>
      </c>
      <c r="J243" s="4" t="str">
        <f ca="1">IFERROR(__xludf.DUMMYFUNCTION("""COMPUTED_VALUE"""),"1f558911-68d6-4b89-bf0f-2daf6901d166")</f>
        <v>1f558911-68d6-4b89-bf0f-2daf6901d166</v>
      </c>
      <c r="K243" s="4">
        <f ca="1">IFERROR(__xludf.DUMMYFUNCTION("""COMPUTED_VALUE"""),895)</f>
        <v>895</v>
      </c>
      <c r="L243" s="1" t="str">
        <f ca="1">IFERROR(__xludf.DUMMYFUNCTION("""COMPUTED_VALUE"""),"Cam")</f>
        <v>Cam</v>
      </c>
      <c r="M243" s="1" t="str">
        <f ca="1">IFERROR(__xludf.DUMMYFUNCTION("""COMPUTED_VALUE"""),"")</f>
        <v/>
      </c>
      <c r="N243" s="1" t="str">
        <f ca="1">IFERROR(__xludf.DUMMYFUNCTION("""COMPUTED_VALUE"""),"")</f>
        <v/>
      </c>
      <c r="O243" s="1" t="str">
        <f ca="1">IFERROR(__xludf.DUMMYFUNCTION("""COMPUTED_VALUE"""),"Occupied")</f>
        <v>Occupied</v>
      </c>
      <c r="P243" s="1"/>
      <c r="Q243" s="1"/>
      <c r="R243" s="1"/>
      <c r="S243" s="1" t="str">
        <f ca="1">IFERROR(__xludf.DUMMYFUNCTION("""COMPUTED_VALUE"""),"NO CATS OR DOGS")</f>
        <v>NO CATS OR DOGS</v>
      </c>
      <c r="T243" s="1"/>
      <c r="U243" s="1" t="str">
        <f ca="1">IFERROR(__xludf.DUMMYFUNCTION("""COMPUTED_VALUE"""),"N")</f>
        <v>N</v>
      </c>
      <c r="V243" s="1" t="str">
        <f ca="1">IFERROR(__xludf.DUMMYFUNCTION("""COMPUTED_VALUE"""),"N")</f>
        <v>N</v>
      </c>
      <c r="W243" s="1"/>
      <c r="X243" s="1"/>
      <c r="Y243" s="1" t="str">
        <f ca="1">IFERROR(__xludf.DUMMYFUNCTION("""COMPUTED_VALUE"""),"Steven Adams")</f>
        <v>Steven Adams</v>
      </c>
      <c r="Z243" s="1" t="str">
        <f ca="1">IFERROR(__xludf.DUMMYFUNCTION("""COMPUTED_VALUE"""),"stevenadams693@gmail.com")</f>
        <v>stevenadams693@gmail.com</v>
      </c>
      <c r="AA243" s="1"/>
      <c r="AB243" s="1"/>
      <c r="AC243" s="1"/>
    </row>
    <row r="244" spans="1:29">
      <c r="A244" s="1" t="str">
        <f ca="1">IFERROR(__xludf.DUMMYFUNCTION("""COMPUTED_VALUE"""),"96 Sheridan Street")</f>
        <v>96 Sheridan Street</v>
      </c>
      <c r="B244" s="1">
        <f ca="1">IFERROR(__xludf.DUMMYFUNCTION("""COMPUTED_VALUE"""),96)</f>
        <v>96</v>
      </c>
      <c r="C244" s="1" t="str">
        <f ca="1">IFERROR(__xludf.DUMMYFUNCTION("""COMPUTED_VALUE"""),"#3")</f>
        <v>#3</v>
      </c>
      <c r="D244" s="1" t="str">
        <f ca="1">IFERROR(__xludf.DUMMYFUNCTION("""COMPUTED_VALUE"""),"96 Sheridan Street Unit 3")</f>
        <v>96 Sheridan Street Unit 3</v>
      </c>
      <c r="E244" s="1" t="str">
        <f ca="1">IFERROR(__xludf.DUMMYFUNCTION("""COMPUTED_VALUE"""),"Boston")</f>
        <v>Boston</v>
      </c>
      <c r="F244" s="1" t="str">
        <f ca="1">IFERROR(__xludf.DUMMYFUNCTION("""COMPUTED_VALUE"""),"Boston - Jamaica Plain")</f>
        <v>Boston - Jamaica Plain</v>
      </c>
      <c r="G244" s="1">
        <f ca="1">IFERROR(__xludf.DUMMYFUNCTION("""COMPUTED_VALUE"""),2)</f>
        <v>2</v>
      </c>
      <c r="H244" s="1" t="str">
        <f ca="1">IFERROR(__xludf.DUMMYFUNCTION("""COMPUTED_VALUE"""),"B")</f>
        <v>B</v>
      </c>
      <c r="I244" s="4" t="str">
        <f ca="1">IFERROR(__xludf.DUMMYFUNCTION("""COMPUTED_VALUE"""),"96 Sheridan Street#3B")</f>
        <v>96 Sheridan Street#3B</v>
      </c>
      <c r="J244" s="4" t="str">
        <f ca="1">IFERROR(__xludf.DUMMYFUNCTION("""COMPUTED_VALUE"""),"1f558911-68d6-4b89-bf0f-2daf6901d166")</f>
        <v>1f558911-68d6-4b89-bf0f-2daf6901d166</v>
      </c>
      <c r="K244" s="4">
        <f ca="1">IFERROR(__xludf.DUMMYFUNCTION("""COMPUTED_VALUE"""),795)</f>
        <v>795</v>
      </c>
      <c r="L244" s="1" t="str">
        <f ca="1">IFERROR(__xludf.DUMMYFUNCTION("""COMPUTED_VALUE"""),"Cam")</f>
        <v>Cam</v>
      </c>
      <c r="M244" s="1" t="str">
        <f ca="1">IFERROR(__xludf.DUMMYFUNCTION("""COMPUTED_VALUE"""),"")</f>
        <v/>
      </c>
      <c r="N244" s="1" t="str">
        <f ca="1">IFERROR(__xludf.DUMMYFUNCTION("""COMPUTED_VALUE"""),"")</f>
        <v/>
      </c>
      <c r="O244" s="1" t="str">
        <f ca="1">IFERROR(__xludf.DUMMYFUNCTION("""COMPUTED_VALUE"""),"Occupied")</f>
        <v>Occupied</v>
      </c>
      <c r="P244" s="1"/>
      <c r="Q244" s="1"/>
      <c r="R244" s="1"/>
      <c r="S244" s="1" t="str">
        <f ca="1">IFERROR(__xludf.DUMMYFUNCTION("""COMPUTED_VALUE"""),"NO CATS OR DOGS")</f>
        <v>NO CATS OR DOGS</v>
      </c>
      <c r="T244" s="1"/>
      <c r="U244" s="1" t="str">
        <f ca="1">IFERROR(__xludf.DUMMYFUNCTION("""COMPUTED_VALUE"""),"N")</f>
        <v>N</v>
      </c>
      <c r="V244" s="1" t="str">
        <f ca="1">IFERROR(__xludf.DUMMYFUNCTION("""COMPUTED_VALUE"""),"N")</f>
        <v>N</v>
      </c>
      <c r="W244" s="1"/>
      <c r="X244" s="1"/>
      <c r="Y244" s="1" t="str">
        <f ca="1">IFERROR(__xludf.DUMMYFUNCTION("""COMPUTED_VALUE"""),"Nicolas Jouan")</f>
        <v>Nicolas Jouan</v>
      </c>
      <c r="Z244" s="1" t="str">
        <f ca="1">IFERROR(__xludf.DUMMYFUNCTION("""COMPUTED_VALUE"""),"b00754836@essec.edu")</f>
        <v>b00754836@essec.edu</v>
      </c>
      <c r="AA244" s="1"/>
      <c r="AB244" s="1"/>
      <c r="AC244" s="1"/>
    </row>
    <row r="245" spans="1:29">
      <c r="A245" s="1" t="str">
        <f ca="1">IFERROR(__xludf.DUMMYFUNCTION("""COMPUTED_VALUE"""),"96 Sheridan Street")</f>
        <v>96 Sheridan Street</v>
      </c>
      <c r="B245" s="1">
        <f ca="1">IFERROR(__xludf.DUMMYFUNCTION("""COMPUTED_VALUE"""),96)</f>
        <v>96</v>
      </c>
      <c r="C245" s="1" t="str">
        <f ca="1">IFERROR(__xludf.DUMMYFUNCTION("""COMPUTED_VALUE"""),"#3")</f>
        <v>#3</v>
      </c>
      <c r="D245" s="1" t="str">
        <f ca="1">IFERROR(__xludf.DUMMYFUNCTION("""COMPUTED_VALUE"""),"96 Sheridan Street Unit 3")</f>
        <v>96 Sheridan Street Unit 3</v>
      </c>
      <c r="E245" s="1" t="str">
        <f ca="1">IFERROR(__xludf.DUMMYFUNCTION("""COMPUTED_VALUE"""),"Boston")</f>
        <v>Boston</v>
      </c>
      <c r="F245" s="1" t="str">
        <f ca="1">IFERROR(__xludf.DUMMYFUNCTION("""COMPUTED_VALUE"""),"Boston - Jamaica Plain")</f>
        <v>Boston - Jamaica Plain</v>
      </c>
      <c r="G245" s="1">
        <f ca="1">IFERROR(__xludf.DUMMYFUNCTION("""COMPUTED_VALUE"""),3)</f>
        <v>3</v>
      </c>
      <c r="H245" s="1" t="str">
        <f ca="1">IFERROR(__xludf.DUMMYFUNCTION("""COMPUTED_VALUE"""),"C")</f>
        <v>C</v>
      </c>
      <c r="I245" s="4" t="str">
        <f ca="1">IFERROR(__xludf.DUMMYFUNCTION("""COMPUTED_VALUE"""),"96 Sheridan Street#3C")</f>
        <v>96 Sheridan Street#3C</v>
      </c>
      <c r="J245" s="4" t="str">
        <f ca="1">IFERROR(__xludf.DUMMYFUNCTION("""COMPUTED_VALUE"""),"1f558911-68d6-4b89-bf0f-2daf6901d166")</f>
        <v>1f558911-68d6-4b89-bf0f-2daf6901d166</v>
      </c>
      <c r="K245" s="4">
        <f ca="1">IFERROR(__xludf.DUMMYFUNCTION("""COMPUTED_VALUE"""),795)</f>
        <v>795</v>
      </c>
      <c r="L245" s="1" t="str">
        <f ca="1">IFERROR(__xludf.DUMMYFUNCTION("""COMPUTED_VALUE"""),"Cam")</f>
        <v>Cam</v>
      </c>
      <c r="M245" s="1" t="str">
        <f ca="1">IFERROR(__xludf.DUMMYFUNCTION("""COMPUTED_VALUE"""),"")</f>
        <v/>
      </c>
      <c r="N245" s="1" t="str">
        <f ca="1">IFERROR(__xludf.DUMMYFUNCTION("""COMPUTED_VALUE"""),"")</f>
        <v/>
      </c>
      <c r="O245" s="1" t="str">
        <f ca="1">IFERROR(__xludf.DUMMYFUNCTION("""COMPUTED_VALUE"""),"Occupied")</f>
        <v>Occupied</v>
      </c>
      <c r="P245" s="1"/>
      <c r="Q245" s="1"/>
      <c r="R245" s="1"/>
      <c r="S245" s="1" t="str">
        <f ca="1">IFERROR(__xludf.DUMMYFUNCTION("""COMPUTED_VALUE"""),"NO CATS OR DOGS")</f>
        <v>NO CATS OR DOGS</v>
      </c>
      <c r="T245" s="1"/>
      <c r="U245" s="1" t="str">
        <f ca="1">IFERROR(__xludf.DUMMYFUNCTION("""COMPUTED_VALUE"""),"N")</f>
        <v>N</v>
      </c>
      <c r="V245" s="1" t="str">
        <f ca="1">IFERROR(__xludf.DUMMYFUNCTION("""COMPUTED_VALUE"""),"N")</f>
        <v>N</v>
      </c>
      <c r="W245" s="1"/>
      <c r="X245" s="1"/>
      <c r="Y245" s="1" t="str">
        <f ca="1">IFERROR(__xludf.DUMMYFUNCTION("""COMPUTED_VALUE"""),"Shantalle Arrechea")</f>
        <v>Shantalle Arrechea</v>
      </c>
      <c r="Z245" s="1" t="str">
        <f ca="1">IFERROR(__xludf.DUMMYFUNCTION("""COMPUTED_VALUE"""),"Shantallea2@gmail.com")</f>
        <v>Shantallea2@gmail.com</v>
      </c>
      <c r="AA245" s="1"/>
      <c r="AB245" s="1"/>
      <c r="AC245" s="1"/>
    </row>
    <row r="246" spans="1:29">
      <c r="A246" s="1" t="str">
        <f ca="1">IFERROR(__xludf.DUMMYFUNCTION("""COMPUTED_VALUE"""),"96 Sheridan Street")</f>
        <v>96 Sheridan Street</v>
      </c>
      <c r="B246" s="1">
        <f ca="1">IFERROR(__xludf.DUMMYFUNCTION("""COMPUTED_VALUE"""),96)</f>
        <v>96</v>
      </c>
      <c r="C246" s="1" t="str">
        <f ca="1">IFERROR(__xludf.DUMMYFUNCTION("""COMPUTED_VALUE"""),"#3")</f>
        <v>#3</v>
      </c>
      <c r="D246" s="1" t="str">
        <f ca="1">IFERROR(__xludf.DUMMYFUNCTION("""COMPUTED_VALUE"""),"96 Sheridan Street Unit 3")</f>
        <v>96 Sheridan Street Unit 3</v>
      </c>
      <c r="E246" s="1" t="str">
        <f ca="1">IFERROR(__xludf.DUMMYFUNCTION("""COMPUTED_VALUE"""),"Boston")</f>
        <v>Boston</v>
      </c>
      <c r="F246" s="1" t="str">
        <f ca="1">IFERROR(__xludf.DUMMYFUNCTION("""COMPUTED_VALUE"""),"Boston - Jamaica Plain")</f>
        <v>Boston - Jamaica Plain</v>
      </c>
      <c r="G246" s="1">
        <f ca="1">IFERROR(__xludf.DUMMYFUNCTION("""COMPUTED_VALUE"""),4)</f>
        <v>4</v>
      </c>
      <c r="H246" s="1" t="str">
        <f ca="1">IFERROR(__xludf.DUMMYFUNCTION("""COMPUTED_VALUE"""),"D")</f>
        <v>D</v>
      </c>
      <c r="I246" s="4" t="str">
        <f ca="1">IFERROR(__xludf.DUMMYFUNCTION("""COMPUTED_VALUE"""),"96 Sheridan Street#3D")</f>
        <v>96 Sheridan Street#3D</v>
      </c>
      <c r="J246" s="4" t="str">
        <f ca="1">IFERROR(__xludf.DUMMYFUNCTION("""COMPUTED_VALUE"""),"1f558911-68d6-4b89-bf0f-2daf6901d166")</f>
        <v>1f558911-68d6-4b89-bf0f-2daf6901d166</v>
      </c>
      <c r="K246" s="4">
        <f ca="1">IFERROR(__xludf.DUMMYFUNCTION("""COMPUTED_VALUE"""),695)</f>
        <v>695</v>
      </c>
      <c r="L246" s="1" t="str">
        <f ca="1">IFERROR(__xludf.DUMMYFUNCTION("""COMPUTED_VALUE"""),"Cam")</f>
        <v>Cam</v>
      </c>
      <c r="M246" s="1" t="str">
        <f ca="1">IFERROR(__xludf.DUMMYFUNCTION("""COMPUTED_VALUE"""),"")</f>
        <v/>
      </c>
      <c r="N246" s="1" t="str">
        <f ca="1">IFERROR(__xludf.DUMMYFUNCTION("""COMPUTED_VALUE"""),"")</f>
        <v/>
      </c>
      <c r="O246" s="1" t="str">
        <f ca="1">IFERROR(__xludf.DUMMYFUNCTION("""COMPUTED_VALUE"""),"Occupied")</f>
        <v>Occupied</v>
      </c>
      <c r="P246" s="1"/>
      <c r="Q246" s="1"/>
      <c r="R246" s="1"/>
      <c r="S246" s="1" t="str">
        <f ca="1">IFERROR(__xludf.DUMMYFUNCTION("""COMPUTED_VALUE"""),"NO CATS OR DOGS")</f>
        <v>NO CATS OR DOGS</v>
      </c>
      <c r="T246" s="1"/>
      <c r="U246" s="1" t="str">
        <f ca="1">IFERROR(__xludf.DUMMYFUNCTION("""COMPUTED_VALUE"""),"N")</f>
        <v>N</v>
      </c>
      <c r="V246" s="1" t="str">
        <f ca="1">IFERROR(__xludf.DUMMYFUNCTION("""COMPUTED_VALUE"""),"N")</f>
        <v>N</v>
      </c>
      <c r="W246" s="1"/>
      <c r="X246" s="1"/>
      <c r="Y246" s="1" t="str">
        <f ca="1">IFERROR(__xludf.DUMMYFUNCTION("""COMPUTED_VALUE"""),"Peter Therriault")</f>
        <v>Peter Therriault</v>
      </c>
      <c r="Z246" s="1" t="str">
        <f ca="1">IFERROR(__xludf.DUMMYFUNCTION("""COMPUTED_VALUE"""),"pmtherriault@gmail.com")</f>
        <v>pmtherriault@gmail.com</v>
      </c>
      <c r="AA246" s="1"/>
      <c r="AB246" s="1"/>
      <c r="AC246" s="1"/>
    </row>
    <row r="247" spans="1:29">
      <c r="A247" s="1" t="str">
        <f ca="1">IFERROR(__xludf.DUMMYFUNCTION("""COMPUTED_VALUE"""),"99 Marion Street")</f>
        <v>99 Marion Street</v>
      </c>
      <c r="B247" s="1">
        <f ca="1">IFERROR(__xludf.DUMMYFUNCTION("""COMPUTED_VALUE"""),99)</f>
        <v>99</v>
      </c>
      <c r="C247" s="1" t="str">
        <f ca="1">IFERROR(__xludf.DUMMYFUNCTION("""COMPUTED_VALUE"""),"#3")</f>
        <v>#3</v>
      </c>
      <c r="D247" s="1" t="str">
        <f ca="1">IFERROR(__xludf.DUMMYFUNCTION("""COMPUTED_VALUE"""),"99 Marion Street Unit 3")</f>
        <v>99 Marion Street Unit 3</v>
      </c>
      <c r="E247" s="1" t="str">
        <f ca="1">IFERROR(__xludf.DUMMYFUNCTION("""COMPUTED_VALUE"""),"Somerville")</f>
        <v>Somerville</v>
      </c>
      <c r="F247" s="1" t="str">
        <f ca="1">IFERROR(__xludf.DUMMYFUNCTION("""COMPUTED_VALUE"""),"Somerville - Union Square")</f>
        <v>Somerville - Union Square</v>
      </c>
      <c r="G247" s="1">
        <f ca="1">IFERROR(__xludf.DUMMYFUNCTION("""COMPUTED_VALUE"""),1)</f>
        <v>1</v>
      </c>
      <c r="H247" s="1" t="str">
        <f ca="1">IFERROR(__xludf.DUMMYFUNCTION("""COMPUTED_VALUE"""),"A")</f>
        <v>A</v>
      </c>
      <c r="I247" s="4" t="str">
        <f ca="1">IFERROR(__xludf.DUMMYFUNCTION("""COMPUTED_VALUE"""),"99 Marion Street#3A")</f>
        <v>99 Marion Street#3A</v>
      </c>
      <c r="J247" s="4" t="str">
        <f ca="1">IFERROR(__xludf.DUMMYFUNCTION("""COMPUTED_VALUE"""),"18dda1cf-e3ac-458a-a4d6-d5de85968f5a")</f>
        <v>18dda1cf-e3ac-458a-a4d6-d5de85968f5a</v>
      </c>
      <c r="K247" s="4">
        <f ca="1">IFERROR(__xludf.DUMMYFUNCTION("""COMPUTED_VALUE"""),1150)</f>
        <v>1150</v>
      </c>
      <c r="L247" s="1" t="str">
        <f ca="1">IFERROR(__xludf.DUMMYFUNCTION("""COMPUTED_VALUE"""),"Lizzie")</f>
        <v>Lizzie</v>
      </c>
      <c r="M247" s="1" t="str">
        <f ca="1">IFERROR(__xludf.DUMMYFUNCTION("""COMPUTED_VALUE"""),"")</f>
        <v/>
      </c>
      <c r="N247" s="1" t="str">
        <f ca="1">IFERROR(__xludf.DUMMYFUNCTION("""COMPUTED_VALUE"""),"")</f>
        <v/>
      </c>
      <c r="O247" s="1" t="str">
        <f ca="1">IFERROR(__xludf.DUMMYFUNCTION("""COMPUTED_VALUE"""),"Lease Signed")</f>
        <v>Lease Signed</v>
      </c>
      <c r="P247" s="1" t="str">
        <f ca="1">IFERROR(__xludf.DUMMYFUNCTION("""COMPUTED_VALUE"""),"January")</f>
        <v>January</v>
      </c>
      <c r="Q247" s="1"/>
      <c r="R247" s="5">
        <f ca="1">IFERROR(__xludf.DUMMYFUNCTION("""COMPUTED_VALUE"""),44225)</f>
        <v>44225</v>
      </c>
      <c r="S247" s="1"/>
      <c r="T247" s="1"/>
      <c r="U247" s="1" t="str">
        <f ca="1">IFERROR(__xludf.DUMMYFUNCTION("""COMPUTED_VALUE"""),"Y")</f>
        <v>Y</v>
      </c>
      <c r="V247" s="1" t="str">
        <f ca="1">IFERROR(__xludf.DUMMYFUNCTION("""COMPUTED_VALUE"""),"N")</f>
        <v>N</v>
      </c>
      <c r="W247" s="1" t="str">
        <f ca="1">IFERROR(__xludf.DUMMYFUNCTION("""COMPUTED_VALUE"""),"Daniel Berman")</f>
        <v>Daniel Berman</v>
      </c>
      <c r="X247" s="1" t="str">
        <f ca="1">IFERROR(__xludf.DUMMYFUNCTION("""COMPUTED_VALUE"""),"Danielberman33@gmail.com")</f>
        <v>Danielberman33@gmail.com</v>
      </c>
      <c r="Y247" s="1"/>
      <c r="Z247" s="1"/>
      <c r="AA247" s="1"/>
      <c r="AB247" s="1"/>
      <c r="AC247" s="1"/>
    </row>
    <row r="248" spans="1:29">
      <c r="A248" s="1" t="str">
        <f ca="1">IFERROR(__xludf.DUMMYFUNCTION("""COMPUTED_VALUE"""),"99 Marion Street")</f>
        <v>99 Marion Street</v>
      </c>
      <c r="B248" s="1">
        <f ca="1">IFERROR(__xludf.DUMMYFUNCTION("""COMPUTED_VALUE"""),99)</f>
        <v>99</v>
      </c>
      <c r="C248" s="1" t="str">
        <f ca="1">IFERROR(__xludf.DUMMYFUNCTION("""COMPUTED_VALUE"""),"#3")</f>
        <v>#3</v>
      </c>
      <c r="D248" s="1" t="str">
        <f ca="1">IFERROR(__xludf.DUMMYFUNCTION("""COMPUTED_VALUE"""),"99 Marion Street Unit 3")</f>
        <v>99 Marion Street Unit 3</v>
      </c>
      <c r="E248" s="1" t="str">
        <f ca="1">IFERROR(__xludf.DUMMYFUNCTION("""COMPUTED_VALUE"""),"Somerville")</f>
        <v>Somerville</v>
      </c>
      <c r="F248" s="1" t="str">
        <f ca="1">IFERROR(__xludf.DUMMYFUNCTION("""COMPUTED_VALUE"""),"Somerville - Union Square")</f>
        <v>Somerville - Union Square</v>
      </c>
      <c r="G248" s="1">
        <f ca="1">IFERROR(__xludf.DUMMYFUNCTION("""COMPUTED_VALUE"""),2)</f>
        <v>2</v>
      </c>
      <c r="H248" s="1" t="str">
        <f ca="1">IFERROR(__xludf.DUMMYFUNCTION("""COMPUTED_VALUE"""),"B")</f>
        <v>B</v>
      </c>
      <c r="I248" s="4" t="str">
        <f ca="1">IFERROR(__xludf.DUMMYFUNCTION("""COMPUTED_VALUE"""),"99 Marion Street#3B")</f>
        <v>99 Marion Street#3B</v>
      </c>
      <c r="J248" s="4" t="str">
        <f ca="1">IFERROR(__xludf.DUMMYFUNCTION("""COMPUTED_VALUE"""),"18dda1cf-e3ac-458a-a4d6-d5de85968f5a")</f>
        <v>18dda1cf-e3ac-458a-a4d6-d5de85968f5a</v>
      </c>
      <c r="K248" s="4">
        <f ca="1">IFERROR(__xludf.DUMMYFUNCTION("""COMPUTED_VALUE"""),1150)</f>
        <v>1150</v>
      </c>
      <c r="L248" s="1" t="str">
        <f ca="1">IFERROR(__xludf.DUMMYFUNCTION("""COMPUTED_VALUE"""),"Lizzie")</f>
        <v>Lizzie</v>
      </c>
      <c r="M248" s="1" t="str">
        <f ca="1">IFERROR(__xludf.DUMMYFUNCTION("""COMPUTED_VALUE"""),"")</f>
        <v/>
      </c>
      <c r="N248" s="1" t="str">
        <f ca="1">IFERROR(__xludf.DUMMYFUNCTION("""COMPUTED_VALUE"""),"")</f>
        <v/>
      </c>
      <c r="O248" s="1" t="str">
        <f ca="1">IFERROR(__xludf.DUMMYFUNCTION("""COMPUTED_VALUE"""),"Upcoming Vacancy")</f>
        <v>Upcoming Vacancy</v>
      </c>
      <c r="P248" s="1" t="str">
        <f ca="1">IFERROR(__xludf.DUMMYFUNCTION("""COMPUTED_VALUE"""),"May")</f>
        <v>May</v>
      </c>
      <c r="Q248" s="3">
        <f ca="1">IFERROR(__xludf.DUMMYFUNCTION("""COMPUTED_VALUE"""),44316)</f>
        <v>44316</v>
      </c>
      <c r="R248" s="1"/>
      <c r="S248" s="1"/>
      <c r="T248" s="1"/>
      <c r="U248" s="1" t="str">
        <f ca="1">IFERROR(__xludf.DUMMYFUNCTION("""COMPUTED_VALUE"""),"Y")</f>
        <v>Y</v>
      </c>
      <c r="V248" s="1" t="str">
        <f ca="1">IFERROR(__xludf.DUMMYFUNCTION("""COMPUTED_VALUE"""),"N")</f>
        <v>N</v>
      </c>
      <c r="W248" s="1"/>
      <c r="X248" s="1"/>
      <c r="Y248" s="1" t="str">
        <f ca="1">IFERROR(__xludf.DUMMYFUNCTION("""COMPUTED_VALUE"""),"Gamaral Sawyer")</f>
        <v>Gamaral Sawyer</v>
      </c>
      <c r="Z248" s="1" t="str">
        <f ca="1">IFERROR(__xludf.DUMMYFUNCTION("""COMPUTED_VALUE"""),"gamaralsawyer98@gmail.com")</f>
        <v>gamaralsawyer98@gmail.com</v>
      </c>
      <c r="AA248" s="1"/>
      <c r="AB248" s="1"/>
      <c r="AC248" s="1"/>
    </row>
    <row r="249" spans="1:29">
      <c r="A249" s="1" t="str">
        <f ca="1">IFERROR(__xludf.DUMMYFUNCTION("""COMPUTED_VALUE"""),"99 Marion Street")</f>
        <v>99 Marion Street</v>
      </c>
      <c r="B249" s="1">
        <f ca="1">IFERROR(__xludf.DUMMYFUNCTION("""COMPUTED_VALUE"""),99)</f>
        <v>99</v>
      </c>
      <c r="C249" s="1" t="str">
        <f ca="1">IFERROR(__xludf.DUMMYFUNCTION("""COMPUTED_VALUE"""),"#3")</f>
        <v>#3</v>
      </c>
      <c r="D249" s="1" t="str">
        <f ca="1">IFERROR(__xludf.DUMMYFUNCTION("""COMPUTED_VALUE"""),"99 Marion Street Unit 3")</f>
        <v>99 Marion Street Unit 3</v>
      </c>
      <c r="E249" s="1" t="str">
        <f ca="1">IFERROR(__xludf.DUMMYFUNCTION("""COMPUTED_VALUE"""),"Somerville")</f>
        <v>Somerville</v>
      </c>
      <c r="F249" s="1" t="str">
        <f ca="1">IFERROR(__xludf.DUMMYFUNCTION("""COMPUTED_VALUE"""),"Somerville - Union Square")</f>
        <v>Somerville - Union Square</v>
      </c>
      <c r="G249" s="1">
        <f ca="1">IFERROR(__xludf.DUMMYFUNCTION("""COMPUTED_VALUE"""),3)</f>
        <v>3</v>
      </c>
      <c r="H249" s="1" t="str">
        <f ca="1">IFERROR(__xludf.DUMMYFUNCTION("""COMPUTED_VALUE"""),"C")</f>
        <v>C</v>
      </c>
      <c r="I249" s="4" t="str">
        <f ca="1">IFERROR(__xludf.DUMMYFUNCTION("""COMPUTED_VALUE"""),"99 Marion Street#3C")</f>
        <v>99 Marion Street#3C</v>
      </c>
      <c r="J249" s="4" t="str">
        <f ca="1">IFERROR(__xludf.DUMMYFUNCTION("""COMPUTED_VALUE"""),"18dda1cf-e3ac-458a-a4d6-d5de85968f5a")</f>
        <v>18dda1cf-e3ac-458a-a4d6-d5de85968f5a</v>
      </c>
      <c r="K249" s="4">
        <f ca="1">IFERROR(__xludf.DUMMYFUNCTION("""COMPUTED_VALUE"""),795)</f>
        <v>795</v>
      </c>
      <c r="L249" s="1" t="str">
        <f ca="1">IFERROR(__xludf.DUMMYFUNCTION("""COMPUTED_VALUE"""),"Lizzie")</f>
        <v>Lizzie</v>
      </c>
      <c r="M249" s="1" t="str">
        <f ca="1">IFERROR(__xludf.DUMMYFUNCTION("""COMPUTED_VALUE"""),"Lizzie (NOW)")</f>
        <v>Lizzie (NOW)</v>
      </c>
      <c r="N249" s="1" t="str">
        <f ca="1">IFERROR(__xludf.DUMMYFUNCTION("""COMPUTED_VALUE"""),"")</f>
        <v/>
      </c>
      <c r="O249" s="1" t="str">
        <f ca="1">IFERROR(__xludf.DUMMYFUNCTION("""COMPUTED_VALUE"""),"Vacant")</f>
        <v>Vacant</v>
      </c>
      <c r="P249" s="1"/>
      <c r="Q249" s="1"/>
      <c r="R249" s="1"/>
      <c r="S249" s="1"/>
      <c r="T249" s="1"/>
      <c r="U249" s="1" t="str">
        <f ca="1">IFERROR(__xludf.DUMMYFUNCTION("""COMPUTED_VALUE"""),"Y")</f>
        <v>Y</v>
      </c>
      <c r="V249" s="1" t="str">
        <f ca="1">IFERROR(__xludf.DUMMYFUNCTION("""COMPUTED_VALUE"""),"N")</f>
        <v>N</v>
      </c>
      <c r="W249" s="1"/>
      <c r="X249" s="1"/>
      <c r="Y249" s="1"/>
      <c r="Z249" s="1"/>
      <c r="AA249" s="1"/>
      <c r="AB249" s="1"/>
      <c r="AC249" s="1"/>
    </row>
    <row r="250" spans="1:29">
      <c r="A250" s="1" t="str">
        <f ca="1">IFERROR(__xludf.DUMMYFUNCTION("""COMPUTED_VALUE"""),"99 Marion Street")</f>
        <v>99 Marion Street</v>
      </c>
      <c r="B250" s="1">
        <f ca="1">IFERROR(__xludf.DUMMYFUNCTION("""COMPUTED_VALUE"""),99)</f>
        <v>99</v>
      </c>
      <c r="C250" s="1" t="str">
        <f ca="1">IFERROR(__xludf.DUMMYFUNCTION("""COMPUTED_VALUE"""),"#3")</f>
        <v>#3</v>
      </c>
      <c r="D250" s="1" t="str">
        <f ca="1">IFERROR(__xludf.DUMMYFUNCTION("""COMPUTED_VALUE"""),"99 Marion Street Unit 3")</f>
        <v>99 Marion Street Unit 3</v>
      </c>
      <c r="E250" s="1" t="str">
        <f ca="1">IFERROR(__xludf.DUMMYFUNCTION("""COMPUTED_VALUE"""),"Somerville")</f>
        <v>Somerville</v>
      </c>
      <c r="F250" s="1" t="str">
        <f ca="1">IFERROR(__xludf.DUMMYFUNCTION("""COMPUTED_VALUE"""),"Somerville - Union Square")</f>
        <v>Somerville - Union Square</v>
      </c>
      <c r="G250" s="1">
        <f ca="1">IFERROR(__xludf.DUMMYFUNCTION("""COMPUTED_VALUE"""),4)</f>
        <v>4</v>
      </c>
      <c r="H250" s="1" t="str">
        <f ca="1">IFERROR(__xludf.DUMMYFUNCTION("""COMPUTED_VALUE"""),"D")</f>
        <v>D</v>
      </c>
      <c r="I250" s="4" t="str">
        <f ca="1">IFERROR(__xludf.DUMMYFUNCTION("""COMPUTED_VALUE"""),"99 Marion Street#3D")</f>
        <v>99 Marion Street#3D</v>
      </c>
      <c r="J250" s="4" t="str">
        <f ca="1">IFERROR(__xludf.DUMMYFUNCTION("""COMPUTED_VALUE"""),"18dda1cf-e3ac-458a-a4d6-d5de85968f5a")</f>
        <v>18dda1cf-e3ac-458a-a4d6-d5de85968f5a</v>
      </c>
      <c r="K250" s="4">
        <f ca="1">IFERROR(__xludf.DUMMYFUNCTION("""COMPUTED_VALUE"""),950)</f>
        <v>950</v>
      </c>
      <c r="L250" s="1" t="str">
        <f ca="1">IFERROR(__xludf.DUMMYFUNCTION("""COMPUTED_VALUE"""),"Lizzie")</f>
        <v>Lizzie</v>
      </c>
      <c r="M250" s="1" t="str">
        <f ca="1">IFERROR(__xludf.DUMMYFUNCTION("""COMPUTED_VALUE"""),"")</f>
        <v/>
      </c>
      <c r="N250" s="1" t="str">
        <f ca="1">IFERROR(__xludf.DUMMYFUNCTION("""COMPUTED_VALUE"""),"")</f>
        <v/>
      </c>
      <c r="O250" s="1" t="str">
        <f ca="1">IFERROR(__xludf.DUMMYFUNCTION("""COMPUTED_VALUE"""),"Occupied")</f>
        <v>Occupied</v>
      </c>
      <c r="P250" s="1"/>
      <c r="Q250" s="1"/>
      <c r="R250" s="1"/>
      <c r="S250" s="1"/>
      <c r="T250" s="1"/>
      <c r="U250" s="1" t="str">
        <f ca="1">IFERROR(__xludf.DUMMYFUNCTION("""COMPUTED_VALUE"""),"Y")</f>
        <v>Y</v>
      </c>
      <c r="V250" s="1" t="str">
        <f ca="1">IFERROR(__xludf.DUMMYFUNCTION("""COMPUTED_VALUE"""),"N")</f>
        <v>N</v>
      </c>
      <c r="W250" s="1"/>
      <c r="X250" s="1"/>
      <c r="Y250" s="1" t="str">
        <f ca="1">IFERROR(__xludf.DUMMYFUNCTION("""COMPUTED_VALUE"""),"Jimmy Bonilla")</f>
        <v>Jimmy Bonilla</v>
      </c>
      <c r="Z250" s="1" t="str">
        <f ca="1">IFERROR(__xludf.DUMMYFUNCTION("""COMPUTED_VALUE"""),"jimmy.bonilla03@gmail.com")</f>
        <v>jimmy.bonilla03@gmail.com</v>
      </c>
      <c r="AA250" s="1"/>
      <c r="AB250" s="1"/>
      <c r="AC250" s="1"/>
    </row>
    <row r="251" spans="1:29">
      <c r="A251" s="1" t="str">
        <f ca="1">IFERROR(__xludf.DUMMYFUNCTION("""COMPUTED_VALUE"""),"101 Heath Street")</f>
        <v>101 Heath Street</v>
      </c>
      <c r="B251" s="1">
        <f ca="1">IFERROR(__xludf.DUMMYFUNCTION("""COMPUTED_VALUE"""),101)</f>
        <v>101</v>
      </c>
      <c r="C251" s="1" t="str">
        <f ca="1">IFERROR(__xludf.DUMMYFUNCTION("""COMPUTED_VALUE"""),"#1")</f>
        <v>#1</v>
      </c>
      <c r="D251" s="1" t="str">
        <f ca="1">IFERROR(__xludf.DUMMYFUNCTION("""COMPUTED_VALUE"""),"101 Heath Street Unit 1")</f>
        <v>101 Heath Street Unit 1</v>
      </c>
      <c r="E251" s="1" t="str">
        <f ca="1">IFERROR(__xludf.DUMMYFUNCTION("""COMPUTED_VALUE"""),"Somerville")</f>
        <v>Somerville</v>
      </c>
      <c r="F251" s="1" t="str">
        <f ca="1">IFERROR(__xludf.DUMMYFUNCTION("""COMPUTED_VALUE"""),"Somerville - Winter Hill")</f>
        <v>Somerville - Winter Hill</v>
      </c>
      <c r="G251" s="1">
        <f ca="1">IFERROR(__xludf.DUMMYFUNCTION("""COMPUTED_VALUE"""),1)</f>
        <v>1</v>
      </c>
      <c r="H251" s="1" t="str">
        <f ca="1">IFERROR(__xludf.DUMMYFUNCTION("""COMPUTED_VALUE"""),"A")</f>
        <v>A</v>
      </c>
      <c r="I251" s="4" t="str">
        <f ca="1">IFERROR(__xludf.DUMMYFUNCTION("""COMPUTED_VALUE"""),"101 Heath Street#1A")</f>
        <v>101 Heath Street#1A</v>
      </c>
      <c r="J251" s="4" t="str">
        <f ca="1">IFERROR(__xludf.DUMMYFUNCTION("""COMPUTED_VALUE"""),"46b399fc-fdeb-4cb3-bba1-7b50a8b2b20d")</f>
        <v>46b399fc-fdeb-4cb3-bba1-7b50a8b2b20d</v>
      </c>
      <c r="K251" s="4">
        <f ca="1">IFERROR(__xludf.DUMMYFUNCTION("""COMPUTED_VALUE"""),695)</f>
        <v>695</v>
      </c>
      <c r="L251" s="1" t="str">
        <f ca="1">IFERROR(__xludf.DUMMYFUNCTION("""COMPUTED_VALUE"""),"Lizzie")</f>
        <v>Lizzie</v>
      </c>
      <c r="M251" s="1" t="str">
        <f ca="1">IFERROR(__xludf.DUMMYFUNCTION("""COMPUTED_VALUE"""),"")</f>
        <v/>
      </c>
      <c r="N251" s="1" t="str">
        <f ca="1">IFERROR(__xludf.DUMMYFUNCTION("""COMPUTED_VALUE"""),"")</f>
        <v/>
      </c>
      <c r="O251" s="1" t="str">
        <f ca="1">IFERROR(__xludf.DUMMYFUNCTION("""COMPUTED_VALUE"""),"Occupied")</f>
        <v>Occupied</v>
      </c>
      <c r="P251" s="1"/>
      <c r="Q251" s="1"/>
      <c r="R251" s="1"/>
      <c r="S251" s="1"/>
      <c r="T251" s="1"/>
      <c r="U251" s="1" t="str">
        <f ca="1">IFERROR(__xludf.DUMMYFUNCTION("""COMPUTED_VALUE"""),"N")</f>
        <v>N</v>
      </c>
      <c r="V251" s="1" t="str">
        <f ca="1">IFERROR(__xludf.DUMMYFUNCTION("""COMPUTED_VALUE"""),"N")</f>
        <v>N</v>
      </c>
      <c r="W251" s="1"/>
      <c r="X251" s="1"/>
      <c r="Y251" s="1" t="str">
        <f ca="1">IFERROR(__xludf.DUMMYFUNCTION("""COMPUTED_VALUE"""),"Brenda Machado")</f>
        <v>Brenda Machado</v>
      </c>
      <c r="Z251" s="1" t="str">
        <f ca="1">IFERROR(__xludf.DUMMYFUNCTION("""COMPUTED_VALUE"""),"Bremachado016@gmail.com")</f>
        <v>Bremachado016@gmail.com</v>
      </c>
      <c r="AA251" s="1"/>
      <c r="AB251" s="1"/>
      <c r="AC251" s="1"/>
    </row>
    <row r="252" spans="1:29">
      <c r="A252" s="1" t="str">
        <f ca="1">IFERROR(__xludf.DUMMYFUNCTION("""COMPUTED_VALUE"""),"101 Heath Street")</f>
        <v>101 Heath Street</v>
      </c>
      <c r="B252" s="1">
        <f ca="1">IFERROR(__xludf.DUMMYFUNCTION("""COMPUTED_VALUE"""),101)</f>
        <v>101</v>
      </c>
      <c r="C252" s="1" t="str">
        <f ca="1">IFERROR(__xludf.DUMMYFUNCTION("""COMPUTED_VALUE"""),"#1")</f>
        <v>#1</v>
      </c>
      <c r="D252" s="1" t="str">
        <f ca="1">IFERROR(__xludf.DUMMYFUNCTION("""COMPUTED_VALUE"""),"101 Heath Street Unit 1")</f>
        <v>101 Heath Street Unit 1</v>
      </c>
      <c r="E252" s="1" t="str">
        <f ca="1">IFERROR(__xludf.DUMMYFUNCTION("""COMPUTED_VALUE"""),"Somerville")</f>
        <v>Somerville</v>
      </c>
      <c r="F252" s="1" t="str">
        <f ca="1">IFERROR(__xludf.DUMMYFUNCTION("""COMPUTED_VALUE"""),"Somerville - Winter Hill")</f>
        <v>Somerville - Winter Hill</v>
      </c>
      <c r="G252" s="1">
        <f ca="1">IFERROR(__xludf.DUMMYFUNCTION("""COMPUTED_VALUE"""),2)</f>
        <v>2</v>
      </c>
      <c r="H252" s="1" t="str">
        <f ca="1">IFERROR(__xludf.DUMMYFUNCTION("""COMPUTED_VALUE"""),"B")</f>
        <v>B</v>
      </c>
      <c r="I252" s="4" t="str">
        <f ca="1">IFERROR(__xludf.DUMMYFUNCTION("""COMPUTED_VALUE"""),"101 Heath Street#1B")</f>
        <v>101 Heath Street#1B</v>
      </c>
      <c r="J252" s="4" t="str">
        <f ca="1">IFERROR(__xludf.DUMMYFUNCTION("""COMPUTED_VALUE"""),"46b399fc-fdeb-4cb3-bba1-7b50a8b2b20d")</f>
        <v>46b399fc-fdeb-4cb3-bba1-7b50a8b2b20d</v>
      </c>
      <c r="K252" s="4">
        <f ca="1">IFERROR(__xludf.DUMMYFUNCTION("""COMPUTED_VALUE"""),925)</f>
        <v>925</v>
      </c>
      <c r="L252" s="1" t="str">
        <f ca="1">IFERROR(__xludf.DUMMYFUNCTION("""COMPUTED_VALUE"""),"Lizzie")</f>
        <v>Lizzie</v>
      </c>
      <c r="M252" s="1" t="str">
        <f ca="1">IFERROR(__xludf.DUMMYFUNCTION("""COMPUTED_VALUE"""),"")</f>
        <v/>
      </c>
      <c r="N252" s="1" t="str">
        <f ca="1">IFERROR(__xludf.DUMMYFUNCTION("""COMPUTED_VALUE"""),"")</f>
        <v/>
      </c>
      <c r="O252" s="1" t="str">
        <f ca="1">IFERROR(__xludf.DUMMYFUNCTION("""COMPUTED_VALUE"""),"Occupied")</f>
        <v>Occupied</v>
      </c>
      <c r="P252" s="1"/>
      <c r="Q252" s="1"/>
      <c r="R252" s="1"/>
      <c r="S252" s="1"/>
      <c r="T252" s="1"/>
      <c r="U252" s="1" t="str">
        <f ca="1">IFERROR(__xludf.DUMMYFUNCTION("""COMPUTED_VALUE"""),"N")</f>
        <v>N</v>
      </c>
      <c r="V252" s="1" t="str">
        <f ca="1">IFERROR(__xludf.DUMMYFUNCTION("""COMPUTED_VALUE"""),"N")</f>
        <v>N</v>
      </c>
      <c r="W252" s="1"/>
      <c r="X252" s="1"/>
      <c r="Y252" s="1" t="str">
        <f ca="1">IFERROR(__xludf.DUMMYFUNCTION("""COMPUTED_VALUE"""),"Timothy Dills")</f>
        <v>Timothy Dills</v>
      </c>
      <c r="Z252" s="1" t="str">
        <f ca="1">IFERROR(__xludf.DUMMYFUNCTION("""COMPUTED_VALUE"""),"timothy.dills@yahoo.com")</f>
        <v>timothy.dills@yahoo.com</v>
      </c>
      <c r="AA252" s="1"/>
      <c r="AB252" s="1"/>
      <c r="AC252" s="1"/>
    </row>
    <row r="253" spans="1:29">
      <c r="A253" s="1" t="str">
        <f ca="1">IFERROR(__xludf.DUMMYFUNCTION("""COMPUTED_VALUE"""),"101 Heath Street")</f>
        <v>101 Heath Street</v>
      </c>
      <c r="B253" s="1">
        <f ca="1">IFERROR(__xludf.DUMMYFUNCTION("""COMPUTED_VALUE"""),101)</f>
        <v>101</v>
      </c>
      <c r="C253" s="1" t="str">
        <f ca="1">IFERROR(__xludf.DUMMYFUNCTION("""COMPUTED_VALUE"""),"#1")</f>
        <v>#1</v>
      </c>
      <c r="D253" s="1" t="str">
        <f ca="1">IFERROR(__xludf.DUMMYFUNCTION("""COMPUTED_VALUE"""),"101 Heath Street Unit 1")</f>
        <v>101 Heath Street Unit 1</v>
      </c>
      <c r="E253" s="1" t="str">
        <f ca="1">IFERROR(__xludf.DUMMYFUNCTION("""COMPUTED_VALUE"""),"Somerville")</f>
        <v>Somerville</v>
      </c>
      <c r="F253" s="1" t="str">
        <f ca="1">IFERROR(__xludf.DUMMYFUNCTION("""COMPUTED_VALUE"""),"Somerville - Winter Hill")</f>
        <v>Somerville - Winter Hill</v>
      </c>
      <c r="G253" s="1">
        <f ca="1">IFERROR(__xludf.DUMMYFUNCTION("""COMPUTED_VALUE"""),3)</f>
        <v>3</v>
      </c>
      <c r="H253" s="1" t="str">
        <f ca="1">IFERROR(__xludf.DUMMYFUNCTION("""COMPUTED_VALUE"""),"C")</f>
        <v>C</v>
      </c>
      <c r="I253" s="4" t="str">
        <f ca="1">IFERROR(__xludf.DUMMYFUNCTION("""COMPUTED_VALUE"""),"101 Heath Street#1C")</f>
        <v>101 Heath Street#1C</v>
      </c>
      <c r="J253" s="4" t="str">
        <f ca="1">IFERROR(__xludf.DUMMYFUNCTION("""COMPUTED_VALUE"""),"46b399fc-fdeb-4cb3-bba1-7b50a8b2b20d")</f>
        <v>46b399fc-fdeb-4cb3-bba1-7b50a8b2b20d</v>
      </c>
      <c r="K253" s="4">
        <f ca="1">IFERROR(__xludf.DUMMYFUNCTION("""COMPUTED_VALUE"""),895)</f>
        <v>895</v>
      </c>
      <c r="L253" s="1" t="str">
        <f ca="1">IFERROR(__xludf.DUMMYFUNCTION("""COMPUTED_VALUE"""),"Lizzie")</f>
        <v>Lizzie</v>
      </c>
      <c r="M253" s="1" t="str">
        <f ca="1">IFERROR(__xludf.DUMMYFUNCTION("""COMPUTED_VALUE"""),"")</f>
        <v/>
      </c>
      <c r="N253" s="1" t="str">
        <f ca="1">IFERROR(__xludf.DUMMYFUNCTION("""COMPUTED_VALUE"""),"")</f>
        <v/>
      </c>
      <c r="O253" s="1" t="str">
        <f ca="1">IFERROR(__xludf.DUMMYFUNCTION("""COMPUTED_VALUE"""),"Occupied")</f>
        <v>Occupied</v>
      </c>
      <c r="P253" s="1"/>
      <c r="Q253" s="1"/>
      <c r="R253" s="1"/>
      <c r="S253" s="1"/>
      <c r="T253" s="1" t="str">
        <f ca="1">IFERROR(__xludf.DUMMYFUNCTION("""COMPUTED_VALUE"""),"Cat")</f>
        <v>Cat</v>
      </c>
      <c r="U253" s="1" t="str">
        <f ca="1">IFERROR(__xludf.DUMMYFUNCTION("""COMPUTED_VALUE"""),"N")</f>
        <v>N</v>
      </c>
      <c r="V253" s="1" t="str">
        <f ca="1">IFERROR(__xludf.DUMMYFUNCTION("""COMPUTED_VALUE"""),"N")</f>
        <v>N</v>
      </c>
      <c r="W253" s="1"/>
      <c r="X253" s="1"/>
      <c r="Y253" s="1" t="str">
        <f ca="1">IFERROR(__xludf.DUMMYFUNCTION("""COMPUTED_VALUE"""),"Samantha Benjamin")</f>
        <v>Samantha Benjamin</v>
      </c>
      <c r="Z253" s="1" t="str">
        <f ca="1">IFERROR(__xludf.DUMMYFUNCTION("""COMPUTED_VALUE"""),"samantha.benjamin135@gmail.com")</f>
        <v>samantha.benjamin135@gmail.com</v>
      </c>
      <c r="AA253" s="1"/>
      <c r="AB253" s="1"/>
      <c r="AC253" s="1"/>
    </row>
    <row r="254" spans="1:29">
      <c r="A254" s="1" t="str">
        <f ca="1">IFERROR(__xludf.DUMMYFUNCTION("""COMPUTED_VALUE"""),"101 Heath Street")</f>
        <v>101 Heath Street</v>
      </c>
      <c r="B254" s="1">
        <f ca="1">IFERROR(__xludf.DUMMYFUNCTION("""COMPUTED_VALUE"""),101)</f>
        <v>101</v>
      </c>
      <c r="C254" s="1" t="str">
        <f ca="1">IFERROR(__xludf.DUMMYFUNCTION("""COMPUTED_VALUE"""),"#1")</f>
        <v>#1</v>
      </c>
      <c r="D254" s="1" t="str">
        <f ca="1">IFERROR(__xludf.DUMMYFUNCTION("""COMPUTED_VALUE"""),"101 Heath Street Unit 1")</f>
        <v>101 Heath Street Unit 1</v>
      </c>
      <c r="E254" s="1" t="str">
        <f ca="1">IFERROR(__xludf.DUMMYFUNCTION("""COMPUTED_VALUE"""),"Somerville")</f>
        <v>Somerville</v>
      </c>
      <c r="F254" s="1" t="str">
        <f ca="1">IFERROR(__xludf.DUMMYFUNCTION("""COMPUTED_VALUE"""),"Somerville - Winter Hill")</f>
        <v>Somerville - Winter Hill</v>
      </c>
      <c r="G254" s="1">
        <f ca="1">IFERROR(__xludf.DUMMYFUNCTION("""COMPUTED_VALUE"""),4)</f>
        <v>4</v>
      </c>
      <c r="H254" s="1" t="str">
        <f ca="1">IFERROR(__xludf.DUMMYFUNCTION("""COMPUTED_VALUE"""),"D")</f>
        <v>D</v>
      </c>
      <c r="I254" s="4" t="str">
        <f ca="1">IFERROR(__xludf.DUMMYFUNCTION("""COMPUTED_VALUE"""),"101 Heath Street#1D")</f>
        <v>101 Heath Street#1D</v>
      </c>
      <c r="J254" s="4" t="str">
        <f ca="1">IFERROR(__xludf.DUMMYFUNCTION("""COMPUTED_VALUE"""),"46b399fc-fdeb-4cb3-bba1-7b50a8b2b20d")</f>
        <v>46b399fc-fdeb-4cb3-bba1-7b50a8b2b20d</v>
      </c>
      <c r="K254" s="4">
        <f ca="1">IFERROR(__xludf.DUMMYFUNCTION("""COMPUTED_VALUE"""),900)</f>
        <v>900</v>
      </c>
      <c r="L254" s="1" t="str">
        <f ca="1">IFERROR(__xludf.DUMMYFUNCTION("""COMPUTED_VALUE"""),"Lizzie")</f>
        <v>Lizzie</v>
      </c>
      <c r="M254" s="1" t="str">
        <f ca="1">IFERROR(__xludf.DUMMYFUNCTION("""COMPUTED_VALUE"""),"")</f>
        <v/>
      </c>
      <c r="N254" s="1" t="str">
        <f ca="1">IFERROR(__xludf.DUMMYFUNCTION("""COMPUTED_VALUE"""),"")</f>
        <v/>
      </c>
      <c r="O254" s="1" t="str">
        <f ca="1">IFERROR(__xludf.DUMMYFUNCTION("""COMPUTED_VALUE"""),"Occupied")</f>
        <v>Occupied</v>
      </c>
      <c r="P254" s="1"/>
      <c r="Q254" s="1"/>
      <c r="R254" s="1"/>
      <c r="S254" s="1"/>
      <c r="T254" s="1"/>
      <c r="U254" s="1" t="str">
        <f ca="1">IFERROR(__xludf.DUMMYFUNCTION("""COMPUTED_VALUE"""),"N")</f>
        <v>N</v>
      </c>
      <c r="V254" s="1" t="str">
        <f ca="1">IFERROR(__xludf.DUMMYFUNCTION("""COMPUTED_VALUE"""),"N")</f>
        <v>N</v>
      </c>
      <c r="W254" s="1"/>
      <c r="X254" s="1"/>
      <c r="Y254" s="1" t="str">
        <f ca="1">IFERROR(__xludf.DUMMYFUNCTION("""COMPUTED_VALUE"""),"David Velandia")</f>
        <v>David Velandia</v>
      </c>
      <c r="Z254" s="1" t="str">
        <f ca="1">IFERROR(__xludf.DUMMYFUNCTION("""COMPUTED_VALUE"""),"eserai.v@gmail.com")</f>
        <v>eserai.v@gmail.com</v>
      </c>
      <c r="AA254" s="1"/>
      <c r="AB254" s="1"/>
      <c r="AC254" s="1"/>
    </row>
    <row r="255" spans="1:29">
      <c r="A255" s="1" t="str">
        <f ca="1">IFERROR(__xludf.DUMMYFUNCTION("""COMPUTED_VALUE"""),"106 Hyde Park Avenue")</f>
        <v>106 Hyde Park Avenue</v>
      </c>
      <c r="B255" s="1">
        <f ca="1">IFERROR(__xludf.DUMMYFUNCTION("""COMPUTED_VALUE"""),106)</f>
        <v>106</v>
      </c>
      <c r="C255" s="1" t="str">
        <f ca="1">IFERROR(__xludf.DUMMYFUNCTION("""COMPUTED_VALUE"""),"#2")</f>
        <v>#2</v>
      </c>
      <c r="D255" s="1" t="str">
        <f ca="1">IFERROR(__xludf.DUMMYFUNCTION("""COMPUTED_VALUE"""),"106 Hyde Park Avenue Unit 2")</f>
        <v>106 Hyde Park Avenue Unit 2</v>
      </c>
      <c r="E255" s="1" t="str">
        <f ca="1">IFERROR(__xludf.DUMMYFUNCTION("""COMPUTED_VALUE"""),"Boston")</f>
        <v>Boston</v>
      </c>
      <c r="F255" s="1" t="str">
        <f ca="1">IFERROR(__xludf.DUMMYFUNCTION("""COMPUTED_VALUE"""),"Boston - Jamaica Plain")</f>
        <v>Boston - Jamaica Plain</v>
      </c>
      <c r="G255" s="1">
        <f ca="1">IFERROR(__xludf.DUMMYFUNCTION("""COMPUTED_VALUE"""),1)</f>
        <v>1</v>
      </c>
      <c r="H255" s="1" t="str">
        <f ca="1">IFERROR(__xludf.DUMMYFUNCTION("""COMPUTED_VALUE"""),"A")</f>
        <v>A</v>
      </c>
      <c r="I255" s="4" t="str">
        <f ca="1">IFERROR(__xludf.DUMMYFUNCTION("""COMPUTED_VALUE"""),"106 Hyde Park Avenue#2A")</f>
        <v>106 Hyde Park Avenue#2A</v>
      </c>
      <c r="J255" s="4" t="str">
        <f ca="1">IFERROR(__xludf.DUMMYFUNCTION("""COMPUTED_VALUE"""),"d101dc7c-b426-4a7a-b5d5-3ae5c945f526")</f>
        <v>d101dc7c-b426-4a7a-b5d5-3ae5c945f526</v>
      </c>
      <c r="K255" s="4">
        <f ca="1">IFERROR(__xludf.DUMMYFUNCTION("""COMPUTED_VALUE"""),795)</f>
        <v>795</v>
      </c>
      <c r="L255" s="1" t="str">
        <f ca="1">IFERROR(__xludf.DUMMYFUNCTION("""COMPUTED_VALUE"""),"Cam")</f>
        <v>Cam</v>
      </c>
      <c r="M255" s="1" t="str">
        <f ca="1">IFERROR(__xludf.DUMMYFUNCTION("""COMPUTED_VALUE"""),"")</f>
        <v/>
      </c>
      <c r="N255" s="1" t="str">
        <f ca="1">IFERROR(__xludf.DUMMYFUNCTION("""COMPUTED_VALUE"""),"")</f>
        <v/>
      </c>
      <c r="O255" s="1" t="str">
        <f ca="1">IFERROR(__xludf.DUMMYFUNCTION("""COMPUTED_VALUE"""),"Occupied")</f>
        <v>Occupied</v>
      </c>
      <c r="P255" s="1"/>
      <c r="Q255" s="1"/>
      <c r="R255" s="1"/>
      <c r="S255" s="1" t="str">
        <f ca="1">IFERROR(__xludf.DUMMYFUNCTION("""COMPUTED_VALUE"""),"NO CATS OR DOGS")</f>
        <v>NO CATS OR DOGS</v>
      </c>
      <c r="T255" s="1"/>
      <c r="U255" s="1" t="str">
        <f ca="1">IFERROR(__xludf.DUMMYFUNCTION("""COMPUTED_VALUE"""),"Y")</f>
        <v>Y</v>
      </c>
      <c r="V255" s="1" t="str">
        <f ca="1">IFERROR(__xludf.DUMMYFUNCTION("""COMPUTED_VALUE"""),"Y")</f>
        <v>Y</v>
      </c>
      <c r="W255" s="1"/>
      <c r="X255" s="1"/>
      <c r="Y255" s="1" t="str">
        <f ca="1">IFERROR(__xludf.DUMMYFUNCTION("""COMPUTED_VALUE"""),"Nakya Westbrooks")</f>
        <v>Nakya Westbrooks</v>
      </c>
      <c r="Z255" s="1" t="str">
        <f ca="1">IFERROR(__xludf.DUMMYFUNCTION("""COMPUTED_VALUE"""),"Nakyawestbrooks@yahoo.com")</f>
        <v>Nakyawestbrooks@yahoo.com</v>
      </c>
      <c r="AA255" s="1"/>
      <c r="AB255" s="1"/>
      <c r="AC255" s="1"/>
    </row>
    <row r="256" spans="1:29">
      <c r="A256" s="1" t="str">
        <f ca="1">IFERROR(__xludf.DUMMYFUNCTION("""COMPUTED_VALUE"""),"106 Hyde Park Avenue")</f>
        <v>106 Hyde Park Avenue</v>
      </c>
      <c r="B256" s="1">
        <f ca="1">IFERROR(__xludf.DUMMYFUNCTION("""COMPUTED_VALUE"""),106)</f>
        <v>106</v>
      </c>
      <c r="C256" s="1" t="str">
        <f ca="1">IFERROR(__xludf.DUMMYFUNCTION("""COMPUTED_VALUE"""),"#2")</f>
        <v>#2</v>
      </c>
      <c r="D256" s="1" t="str">
        <f ca="1">IFERROR(__xludf.DUMMYFUNCTION("""COMPUTED_VALUE"""),"106 Hyde Park Avenue Unit 2")</f>
        <v>106 Hyde Park Avenue Unit 2</v>
      </c>
      <c r="E256" s="1" t="str">
        <f ca="1">IFERROR(__xludf.DUMMYFUNCTION("""COMPUTED_VALUE"""),"Boston")</f>
        <v>Boston</v>
      </c>
      <c r="F256" s="1" t="str">
        <f ca="1">IFERROR(__xludf.DUMMYFUNCTION("""COMPUTED_VALUE"""),"Boston - Jamaica Plain")</f>
        <v>Boston - Jamaica Plain</v>
      </c>
      <c r="G256" s="1">
        <f ca="1">IFERROR(__xludf.DUMMYFUNCTION("""COMPUTED_VALUE"""),2)</f>
        <v>2</v>
      </c>
      <c r="H256" s="1" t="str">
        <f ca="1">IFERROR(__xludf.DUMMYFUNCTION("""COMPUTED_VALUE"""),"B")</f>
        <v>B</v>
      </c>
      <c r="I256" s="4" t="str">
        <f ca="1">IFERROR(__xludf.DUMMYFUNCTION("""COMPUTED_VALUE"""),"106 Hyde Park Avenue#2B")</f>
        <v>106 Hyde Park Avenue#2B</v>
      </c>
      <c r="J256" s="4" t="str">
        <f ca="1">IFERROR(__xludf.DUMMYFUNCTION("""COMPUTED_VALUE"""),"d101dc7c-b426-4a7a-b5d5-3ae5c945f526")</f>
        <v>d101dc7c-b426-4a7a-b5d5-3ae5c945f526</v>
      </c>
      <c r="K256" s="4">
        <f ca="1">IFERROR(__xludf.DUMMYFUNCTION("""COMPUTED_VALUE"""),895)</f>
        <v>895</v>
      </c>
      <c r="L256" s="1" t="str">
        <f ca="1">IFERROR(__xludf.DUMMYFUNCTION("""COMPUTED_VALUE"""),"Cam")</f>
        <v>Cam</v>
      </c>
      <c r="M256" s="1" t="str">
        <f ca="1">IFERROR(__xludf.DUMMYFUNCTION("""COMPUTED_VALUE"""),"Cam (NOW)")</f>
        <v>Cam (NOW)</v>
      </c>
      <c r="N256" s="1" t="str">
        <f ca="1">IFERROR(__xludf.DUMMYFUNCTION("""COMPUTED_VALUE"""),"")</f>
        <v/>
      </c>
      <c r="O256" s="1" t="str">
        <f ca="1">IFERROR(__xludf.DUMMYFUNCTION("""COMPUTED_VALUE"""),"Vacant")</f>
        <v>Vacant</v>
      </c>
      <c r="P256" s="1"/>
      <c r="Q256" s="1"/>
      <c r="R256" s="1"/>
      <c r="S256" s="1" t="str">
        <f ca="1">IFERROR(__xludf.DUMMYFUNCTION("""COMPUTED_VALUE"""),"NO CATS OR DOGS")</f>
        <v>NO CATS OR DOGS</v>
      </c>
      <c r="T256" s="1"/>
      <c r="U256" s="1" t="str">
        <f ca="1">IFERROR(__xludf.DUMMYFUNCTION("""COMPUTED_VALUE"""),"Y")</f>
        <v>Y</v>
      </c>
      <c r="V256" s="1" t="str">
        <f ca="1">IFERROR(__xludf.DUMMYFUNCTION("""COMPUTED_VALUE"""),"Y")</f>
        <v>Y</v>
      </c>
      <c r="W256" s="1"/>
      <c r="X256" s="1"/>
      <c r="Y256" s="1"/>
      <c r="Z256" s="1"/>
      <c r="AA256" s="1"/>
      <c r="AB256" s="1"/>
      <c r="AC256" s="1"/>
    </row>
    <row r="257" spans="1:29">
      <c r="A257" s="1" t="str">
        <f ca="1">IFERROR(__xludf.DUMMYFUNCTION("""COMPUTED_VALUE"""),"106 Hyde Park Avenue")</f>
        <v>106 Hyde Park Avenue</v>
      </c>
      <c r="B257" s="1">
        <f ca="1">IFERROR(__xludf.DUMMYFUNCTION("""COMPUTED_VALUE"""),106)</f>
        <v>106</v>
      </c>
      <c r="C257" s="1" t="str">
        <f ca="1">IFERROR(__xludf.DUMMYFUNCTION("""COMPUTED_VALUE"""),"#2")</f>
        <v>#2</v>
      </c>
      <c r="D257" s="1" t="str">
        <f ca="1">IFERROR(__xludf.DUMMYFUNCTION("""COMPUTED_VALUE"""),"106 Hyde Park Avenue Unit 2")</f>
        <v>106 Hyde Park Avenue Unit 2</v>
      </c>
      <c r="E257" s="1" t="str">
        <f ca="1">IFERROR(__xludf.DUMMYFUNCTION("""COMPUTED_VALUE"""),"Boston")</f>
        <v>Boston</v>
      </c>
      <c r="F257" s="1" t="str">
        <f ca="1">IFERROR(__xludf.DUMMYFUNCTION("""COMPUTED_VALUE"""),"Boston - Jamaica Plain")</f>
        <v>Boston - Jamaica Plain</v>
      </c>
      <c r="G257" s="1">
        <f ca="1">IFERROR(__xludf.DUMMYFUNCTION("""COMPUTED_VALUE"""),3)</f>
        <v>3</v>
      </c>
      <c r="H257" s="1" t="str">
        <f ca="1">IFERROR(__xludf.DUMMYFUNCTION("""COMPUTED_VALUE"""),"C")</f>
        <v>C</v>
      </c>
      <c r="I257" s="4" t="str">
        <f ca="1">IFERROR(__xludf.DUMMYFUNCTION("""COMPUTED_VALUE"""),"106 Hyde Park Avenue#2C")</f>
        <v>106 Hyde Park Avenue#2C</v>
      </c>
      <c r="J257" s="4" t="str">
        <f ca="1">IFERROR(__xludf.DUMMYFUNCTION("""COMPUTED_VALUE"""),"d101dc7c-b426-4a7a-b5d5-3ae5c945f526")</f>
        <v>d101dc7c-b426-4a7a-b5d5-3ae5c945f526</v>
      </c>
      <c r="K257" s="4">
        <f ca="1">IFERROR(__xludf.DUMMYFUNCTION("""COMPUTED_VALUE"""),795)</f>
        <v>795</v>
      </c>
      <c r="L257" s="1" t="str">
        <f ca="1">IFERROR(__xludf.DUMMYFUNCTION("""COMPUTED_VALUE"""),"Cam")</f>
        <v>Cam</v>
      </c>
      <c r="M257" s="1" t="str">
        <f ca="1">IFERROR(__xludf.DUMMYFUNCTION("""COMPUTED_VALUE"""),"Cam (later)")</f>
        <v>Cam (later)</v>
      </c>
      <c r="N257" s="1" t="str">
        <f ca="1">IFERROR(__xludf.DUMMYFUNCTION("""COMPUTED_VALUE"""),"")</f>
        <v/>
      </c>
      <c r="O257" s="1" t="str">
        <f ca="1">IFERROR(__xludf.DUMMYFUNCTION("""COMPUTED_VALUE"""),"Roommate Introduction")</f>
        <v>Roommate Introduction</v>
      </c>
      <c r="P257" s="1"/>
      <c r="Q257" s="1"/>
      <c r="R257" s="5">
        <f ca="1">IFERROR(__xludf.DUMMYFUNCTION("""COMPUTED_VALUE"""),44212)</f>
        <v>44212</v>
      </c>
      <c r="S257" s="1" t="str">
        <f ca="1">IFERROR(__xludf.DUMMYFUNCTION("""COMPUTED_VALUE"""),"NO CATS OR DOGS")</f>
        <v>NO CATS OR DOGS</v>
      </c>
      <c r="T257" s="1"/>
      <c r="U257" s="1" t="str">
        <f ca="1">IFERROR(__xludf.DUMMYFUNCTION("""COMPUTED_VALUE"""),"Y")</f>
        <v>Y</v>
      </c>
      <c r="V257" s="1" t="str">
        <f ca="1">IFERROR(__xludf.DUMMYFUNCTION("""COMPUTED_VALUE"""),"Y")</f>
        <v>Y</v>
      </c>
      <c r="W257" s="1" t="str">
        <f ca="1">IFERROR(__xludf.DUMMYFUNCTION("""COMPUTED_VALUE"""),"Bradli Cheng")</f>
        <v>Bradli Cheng</v>
      </c>
      <c r="X257" s="1" t="str">
        <f ca="1">IFERROR(__xludf.DUMMYFUNCTION("""COMPUTED_VALUE"""),"bcheng999@gmail.com")</f>
        <v>bcheng999@gmail.com</v>
      </c>
      <c r="Y257" s="1"/>
      <c r="Z257" s="1"/>
      <c r="AA257" s="1"/>
      <c r="AB257" s="1"/>
      <c r="AC257" s="1"/>
    </row>
    <row r="258" spans="1:29">
      <c r="A258" s="1" t="str">
        <f ca="1">IFERROR(__xludf.DUMMYFUNCTION("""COMPUTED_VALUE"""),"106 Hyde Park Avenue")</f>
        <v>106 Hyde Park Avenue</v>
      </c>
      <c r="B258" s="1">
        <f ca="1">IFERROR(__xludf.DUMMYFUNCTION("""COMPUTED_VALUE"""),106)</f>
        <v>106</v>
      </c>
      <c r="C258" s="1" t="str">
        <f ca="1">IFERROR(__xludf.DUMMYFUNCTION("""COMPUTED_VALUE"""),"#3")</f>
        <v>#3</v>
      </c>
      <c r="D258" s="1" t="str">
        <f ca="1">IFERROR(__xludf.DUMMYFUNCTION("""COMPUTED_VALUE"""),"106 Hyde Park Avenue Unit 3")</f>
        <v>106 Hyde Park Avenue Unit 3</v>
      </c>
      <c r="E258" s="1" t="str">
        <f ca="1">IFERROR(__xludf.DUMMYFUNCTION("""COMPUTED_VALUE"""),"Boston")</f>
        <v>Boston</v>
      </c>
      <c r="F258" s="1" t="str">
        <f ca="1">IFERROR(__xludf.DUMMYFUNCTION("""COMPUTED_VALUE"""),"Boston - Jamaica Plain")</f>
        <v>Boston - Jamaica Plain</v>
      </c>
      <c r="G258" s="1">
        <f ca="1">IFERROR(__xludf.DUMMYFUNCTION("""COMPUTED_VALUE"""),1)</f>
        <v>1</v>
      </c>
      <c r="H258" s="1" t="str">
        <f ca="1">IFERROR(__xludf.DUMMYFUNCTION("""COMPUTED_VALUE"""),"A")</f>
        <v>A</v>
      </c>
      <c r="I258" s="4" t="str">
        <f ca="1">IFERROR(__xludf.DUMMYFUNCTION("""COMPUTED_VALUE"""),"106 Hyde Park Avenue#3A")</f>
        <v>106 Hyde Park Avenue#3A</v>
      </c>
      <c r="J258" s="4" t="str">
        <f ca="1">IFERROR(__xludf.DUMMYFUNCTION("""COMPUTED_VALUE"""),"bc8d5af5-7a2f-4ca6-b2dc-efc36dfaf354")</f>
        <v>bc8d5af5-7a2f-4ca6-b2dc-efc36dfaf354</v>
      </c>
      <c r="K258" s="4">
        <f ca="1">IFERROR(__xludf.DUMMYFUNCTION("""COMPUTED_VALUE"""),840)</f>
        <v>840</v>
      </c>
      <c r="L258" s="1" t="str">
        <f ca="1">IFERROR(__xludf.DUMMYFUNCTION("""COMPUTED_VALUE"""),"Cam")</f>
        <v>Cam</v>
      </c>
      <c r="M258" s="1" t="str">
        <f ca="1">IFERROR(__xludf.DUMMYFUNCTION("""COMPUTED_VALUE"""),"")</f>
        <v/>
      </c>
      <c r="N258" s="1" t="str">
        <f ca="1">IFERROR(__xludf.DUMMYFUNCTION("""COMPUTED_VALUE"""),"")</f>
        <v/>
      </c>
      <c r="O258" s="1" t="str">
        <f ca="1">IFERROR(__xludf.DUMMYFUNCTION("""COMPUTED_VALUE"""),"Occupied")</f>
        <v>Occupied</v>
      </c>
      <c r="P258" s="1"/>
      <c r="Q258" s="1"/>
      <c r="R258" s="1"/>
      <c r="S258" s="1" t="str">
        <f ca="1">IFERROR(__xludf.DUMMYFUNCTION("""COMPUTED_VALUE"""),"NO CATS OR DOGS")</f>
        <v>NO CATS OR DOGS</v>
      </c>
      <c r="T258" s="1"/>
      <c r="U258" s="1" t="str">
        <f ca="1">IFERROR(__xludf.DUMMYFUNCTION("""COMPUTED_VALUE"""),"Y")</f>
        <v>Y</v>
      </c>
      <c r="V258" s="1" t="str">
        <f ca="1">IFERROR(__xludf.DUMMYFUNCTION("""COMPUTED_VALUE"""),"N")</f>
        <v>N</v>
      </c>
      <c r="W258" s="1"/>
      <c r="X258" s="1"/>
      <c r="Y258" s="1" t="str">
        <f ca="1">IFERROR(__xludf.DUMMYFUNCTION("""COMPUTED_VALUE"""),"Luis Dasilva")</f>
        <v>Luis Dasilva</v>
      </c>
      <c r="Z258" s="1" t="str">
        <f ca="1">IFERROR(__xludf.DUMMYFUNCTION("""COMPUTED_VALUE"""),"poollookcool@yahoo.com")</f>
        <v>poollookcool@yahoo.com</v>
      </c>
      <c r="AA258" s="1"/>
      <c r="AB258" s="1"/>
      <c r="AC258" s="1"/>
    </row>
    <row r="259" spans="1:29">
      <c r="A259" s="1" t="str">
        <f ca="1">IFERROR(__xludf.DUMMYFUNCTION("""COMPUTED_VALUE"""),"106 Hyde Park Avenue")</f>
        <v>106 Hyde Park Avenue</v>
      </c>
      <c r="B259" s="1">
        <f ca="1">IFERROR(__xludf.DUMMYFUNCTION("""COMPUTED_VALUE"""),106)</f>
        <v>106</v>
      </c>
      <c r="C259" s="1" t="str">
        <f ca="1">IFERROR(__xludf.DUMMYFUNCTION("""COMPUTED_VALUE"""),"#3")</f>
        <v>#3</v>
      </c>
      <c r="D259" s="1" t="str">
        <f ca="1">IFERROR(__xludf.DUMMYFUNCTION("""COMPUTED_VALUE"""),"106 Hyde Park Avenue Unit 3")</f>
        <v>106 Hyde Park Avenue Unit 3</v>
      </c>
      <c r="E259" s="1" t="str">
        <f ca="1">IFERROR(__xludf.DUMMYFUNCTION("""COMPUTED_VALUE"""),"Boston")</f>
        <v>Boston</v>
      </c>
      <c r="F259" s="1" t="str">
        <f ca="1">IFERROR(__xludf.DUMMYFUNCTION("""COMPUTED_VALUE"""),"Boston - Jamaica Plain")</f>
        <v>Boston - Jamaica Plain</v>
      </c>
      <c r="G259" s="1">
        <f ca="1">IFERROR(__xludf.DUMMYFUNCTION("""COMPUTED_VALUE"""),2)</f>
        <v>2</v>
      </c>
      <c r="H259" s="1" t="str">
        <f ca="1">IFERROR(__xludf.DUMMYFUNCTION("""COMPUTED_VALUE"""),"B")</f>
        <v>B</v>
      </c>
      <c r="I259" s="4" t="str">
        <f ca="1">IFERROR(__xludf.DUMMYFUNCTION("""COMPUTED_VALUE"""),"106 Hyde Park Avenue#3B")</f>
        <v>106 Hyde Park Avenue#3B</v>
      </c>
      <c r="J259" s="4" t="str">
        <f ca="1">IFERROR(__xludf.DUMMYFUNCTION("""COMPUTED_VALUE"""),"bc8d5af5-7a2f-4ca6-b2dc-efc36dfaf354")</f>
        <v>bc8d5af5-7a2f-4ca6-b2dc-efc36dfaf354</v>
      </c>
      <c r="K259" s="4">
        <f ca="1">IFERROR(__xludf.DUMMYFUNCTION("""COMPUTED_VALUE"""),995)</f>
        <v>995</v>
      </c>
      <c r="L259" s="1" t="str">
        <f ca="1">IFERROR(__xludf.DUMMYFUNCTION("""COMPUTED_VALUE"""),"Cam")</f>
        <v>Cam</v>
      </c>
      <c r="M259" s="1" t="str">
        <f ca="1">IFERROR(__xludf.DUMMYFUNCTION("""COMPUTED_VALUE"""),"Cam (NOW)")</f>
        <v>Cam (NOW)</v>
      </c>
      <c r="N259" s="1" t="str">
        <f ca="1">IFERROR(__xludf.DUMMYFUNCTION("""COMPUTED_VALUE"""),"")</f>
        <v/>
      </c>
      <c r="O259" s="1" t="str">
        <f ca="1">IFERROR(__xludf.DUMMYFUNCTION("""COMPUTED_VALUE"""),"Vacant")</f>
        <v>Vacant</v>
      </c>
      <c r="P259" s="1"/>
      <c r="Q259" s="1"/>
      <c r="R259" s="1"/>
      <c r="S259" s="1" t="str">
        <f ca="1">IFERROR(__xludf.DUMMYFUNCTION("""COMPUTED_VALUE"""),"NO CATS OR DOGS")</f>
        <v>NO CATS OR DOGS</v>
      </c>
      <c r="T259" s="1"/>
      <c r="U259" s="1" t="str">
        <f ca="1">IFERROR(__xludf.DUMMYFUNCTION("""COMPUTED_VALUE"""),"Y")</f>
        <v>Y</v>
      </c>
      <c r="V259" s="1" t="str">
        <f ca="1">IFERROR(__xludf.DUMMYFUNCTION("""COMPUTED_VALUE"""),"N")</f>
        <v>N</v>
      </c>
      <c r="W259" s="1"/>
      <c r="X259" s="1"/>
      <c r="Y259" s="1"/>
      <c r="Z259" s="1"/>
      <c r="AA259" s="1"/>
      <c r="AB259" s="1"/>
      <c r="AC259" s="1"/>
    </row>
    <row r="260" spans="1:29">
      <c r="A260" s="1" t="str">
        <f ca="1">IFERROR(__xludf.DUMMYFUNCTION("""COMPUTED_VALUE"""),"106 Hyde Park Avenue")</f>
        <v>106 Hyde Park Avenue</v>
      </c>
      <c r="B260" s="1">
        <f ca="1">IFERROR(__xludf.DUMMYFUNCTION("""COMPUTED_VALUE"""),106)</f>
        <v>106</v>
      </c>
      <c r="C260" s="1" t="str">
        <f ca="1">IFERROR(__xludf.DUMMYFUNCTION("""COMPUTED_VALUE"""),"#3")</f>
        <v>#3</v>
      </c>
      <c r="D260" s="1" t="str">
        <f ca="1">IFERROR(__xludf.DUMMYFUNCTION("""COMPUTED_VALUE"""),"106 Hyde Park Avenue Unit 3")</f>
        <v>106 Hyde Park Avenue Unit 3</v>
      </c>
      <c r="E260" s="1" t="str">
        <f ca="1">IFERROR(__xludf.DUMMYFUNCTION("""COMPUTED_VALUE"""),"Boston")</f>
        <v>Boston</v>
      </c>
      <c r="F260" s="1" t="str">
        <f ca="1">IFERROR(__xludf.DUMMYFUNCTION("""COMPUTED_VALUE"""),"Boston - Jamaica Plain")</f>
        <v>Boston - Jamaica Plain</v>
      </c>
      <c r="G260" s="1">
        <f ca="1">IFERROR(__xludf.DUMMYFUNCTION("""COMPUTED_VALUE"""),3)</f>
        <v>3</v>
      </c>
      <c r="H260" s="1" t="str">
        <f ca="1">IFERROR(__xludf.DUMMYFUNCTION("""COMPUTED_VALUE"""),"C")</f>
        <v>C</v>
      </c>
      <c r="I260" s="4" t="str">
        <f ca="1">IFERROR(__xludf.DUMMYFUNCTION("""COMPUTED_VALUE"""),"106 Hyde Park Avenue#3C")</f>
        <v>106 Hyde Park Avenue#3C</v>
      </c>
      <c r="J260" s="4" t="str">
        <f ca="1">IFERROR(__xludf.DUMMYFUNCTION("""COMPUTED_VALUE"""),"bc8d5af5-7a2f-4ca6-b2dc-efc36dfaf354")</f>
        <v>bc8d5af5-7a2f-4ca6-b2dc-efc36dfaf354</v>
      </c>
      <c r="K260" s="4">
        <f ca="1">IFERROR(__xludf.DUMMYFUNCTION("""COMPUTED_VALUE"""),950)</f>
        <v>950</v>
      </c>
      <c r="L260" s="1" t="str">
        <f ca="1">IFERROR(__xludf.DUMMYFUNCTION("""COMPUTED_VALUE"""),"Cam")</f>
        <v>Cam</v>
      </c>
      <c r="M260" s="1" t="str">
        <f ca="1">IFERROR(__xludf.DUMMYFUNCTION("""COMPUTED_VALUE"""),"")</f>
        <v/>
      </c>
      <c r="N260" s="1" t="str">
        <f ca="1">IFERROR(__xludf.DUMMYFUNCTION("""COMPUTED_VALUE"""),"")</f>
        <v/>
      </c>
      <c r="O260" s="1" t="str">
        <f ca="1">IFERROR(__xludf.DUMMYFUNCTION("""COMPUTED_VALUE"""),"Occupied")</f>
        <v>Occupied</v>
      </c>
      <c r="P260" s="1"/>
      <c r="Q260" s="1"/>
      <c r="R260" s="1"/>
      <c r="S260" s="1" t="str">
        <f ca="1">IFERROR(__xludf.DUMMYFUNCTION("""COMPUTED_VALUE"""),"NO CATS OR DOGS")</f>
        <v>NO CATS OR DOGS</v>
      </c>
      <c r="T260" s="1"/>
      <c r="U260" s="1" t="str">
        <f ca="1">IFERROR(__xludf.DUMMYFUNCTION("""COMPUTED_VALUE"""),"Y")</f>
        <v>Y</v>
      </c>
      <c r="V260" s="1" t="str">
        <f ca="1">IFERROR(__xludf.DUMMYFUNCTION("""COMPUTED_VALUE"""),"N")</f>
        <v>N</v>
      </c>
      <c r="W260" s="1"/>
      <c r="X260" s="1"/>
      <c r="Y260" s="1" t="str">
        <f ca="1">IFERROR(__xludf.DUMMYFUNCTION("""COMPUTED_VALUE"""),"Junior Andujar")</f>
        <v>Junior Andujar</v>
      </c>
      <c r="Z260" s="1" t="str">
        <f ca="1">IFERROR(__xludf.DUMMYFUNCTION("""COMPUTED_VALUE"""),"juniordominic28@outlook.com")</f>
        <v>juniordominic28@outlook.com</v>
      </c>
      <c r="AA260" s="1"/>
      <c r="AB260" s="1"/>
      <c r="AC260" s="1"/>
    </row>
    <row r="261" spans="1:29">
      <c r="A261" s="1" t="str">
        <f ca="1">IFERROR(__xludf.DUMMYFUNCTION("""COMPUTED_VALUE"""),"106 Hyde Park Avenue")</f>
        <v>106 Hyde Park Avenue</v>
      </c>
      <c r="B261" s="1">
        <f ca="1">IFERROR(__xludf.DUMMYFUNCTION("""COMPUTED_VALUE"""),106)</f>
        <v>106</v>
      </c>
      <c r="C261" s="1" t="str">
        <f ca="1">IFERROR(__xludf.DUMMYFUNCTION("""COMPUTED_VALUE"""),"#3")</f>
        <v>#3</v>
      </c>
      <c r="D261" s="1" t="str">
        <f ca="1">IFERROR(__xludf.DUMMYFUNCTION("""COMPUTED_VALUE"""),"106 Hyde Park Avenue Unit 3")</f>
        <v>106 Hyde Park Avenue Unit 3</v>
      </c>
      <c r="E261" s="1" t="str">
        <f ca="1">IFERROR(__xludf.DUMMYFUNCTION("""COMPUTED_VALUE"""),"Boston")</f>
        <v>Boston</v>
      </c>
      <c r="F261" s="1" t="str">
        <f ca="1">IFERROR(__xludf.DUMMYFUNCTION("""COMPUTED_VALUE"""),"Boston - Jamaica Plain")</f>
        <v>Boston - Jamaica Plain</v>
      </c>
      <c r="G261" s="1">
        <f ca="1">IFERROR(__xludf.DUMMYFUNCTION("""COMPUTED_VALUE"""),4)</f>
        <v>4</v>
      </c>
      <c r="H261" s="1" t="str">
        <f ca="1">IFERROR(__xludf.DUMMYFUNCTION("""COMPUTED_VALUE"""),"D")</f>
        <v>D</v>
      </c>
      <c r="I261" s="4" t="str">
        <f ca="1">IFERROR(__xludf.DUMMYFUNCTION("""COMPUTED_VALUE"""),"106 Hyde Park Avenue#3D")</f>
        <v>106 Hyde Park Avenue#3D</v>
      </c>
      <c r="J261" s="4" t="str">
        <f ca="1">IFERROR(__xludf.DUMMYFUNCTION("""COMPUTED_VALUE"""),"bc8d5af5-7a2f-4ca6-b2dc-efc36dfaf354")</f>
        <v>bc8d5af5-7a2f-4ca6-b2dc-efc36dfaf354</v>
      </c>
      <c r="K261" s="4">
        <f ca="1">IFERROR(__xludf.DUMMYFUNCTION("""COMPUTED_VALUE"""),795)</f>
        <v>795</v>
      </c>
      <c r="L261" s="1" t="str">
        <f ca="1">IFERROR(__xludf.DUMMYFUNCTION("""COMPUTED_VALUE"""),"Cam")</f>
        <v>Cam</v>
      </c>
      <c r="M261" s="1" t="str">
        <f ca="1">IFERROR(__xludf.DUMMYFUNCTION("""COMPUTED_VALUE"""),"")</f>
        <v/>
      </c>
      <c r="N261" s="1" t="str">
        <f ca="1">IFERROR(__xludf.DUMMYFUNCTION("""COMPUTED_VALUE"""),"")</f>
        <v/>
      </c>
      <c r="O261" s="1" t="str">
        <f ca="1">IFERROR(__xludf.DUMMYFUNCTION("""COMPUTED_VALUE"""),"Occupied")</f>
        <v>Occupied</v>
      </c>
      <c r="P261" s="1"/>
      <c r="Q261" s="1"/>
      <c r="R261" s="1"/>
      <c r="S261" s="1" t="str">
        <f ca="1">IFERROR(__xludf.DUMMYFUNCTION("""COMPUTED_VALUE"""),"NO CATS OR DOGS")</f>
        <v>NO CATS OR DOGS</v>
      </c>
      <c r="T261" s="1"/>
      <c r="U261" s="1" t="str">
        <f ca="1">IFERROR(__xludf.DUMMYFUNCTION("""COMPUTED_VALUE"""),"Y")</f>
        <v>Y</v>
      </c>
      <c r="V261" s="1" t="str">
        <f ca="1">IFERROR(__xludf.DUMMYFUNCTION("""COMPUTED_VALUE"""),"N")</f>
        <v>N</v>
      </c>
      <c r="W261" s="1"/>
      <c r="X261" s="1"/>
      <c r="Y261" s="1" t="str">
        <f ca="1">IFERROR(__xludf.DUMMYFUNCTION("""COMPUTED_VALUE"""),"Michael Haight")</f>
        <v>Michael Haight</v>
      </c>
      <c r="Z261" s="1" t="str">
        <f ca="1">IFERROR(__xludf.DUMMYFUNCTION("""COMPUTED_VALUE"""),"Mikehaight1@gmail.com")</f>
        <v>Mikehaight1@gmail.com</v>
      </c>
      <c r="AA261" s="1"/>
      <c r="AB261" s="1"/>
      <c r="AC261" s="1"/>
    </row>
    <row r="262" spans="1:29">
      <c r="A262" s="1" t="str">
        <f ca="1">IFERROR(__xludf.DUMMYFUNCTION("""COMPUTED_VALUE"""),"106 Hyde Park Avenue")</f>
        <v>106 Hyde Park Avenue</v>
      </c>
      <c r="B262" s="1">
        <f ca="1">IFERROR(__xludf.DUMMYFUNCTION("""COMPUTED_VALUE"""),106)</f>
        <v>106</v>
      </c>
      <c r="C262" s="1" t="str">
        <f ca="1">IFERROR(__xludf.DUMMYFUNCTION("""COMPUTED_VALUE"""),"#3")</f>
        <v>#3</v>
      </c>
      <c r="D262" s="1" t="str">
        <f ca="1">IFERROR(__xludf.DUMMYFUNCTION("""COMPUTED_VALUE"""),"106 Hyde Park Avenue Unit 3")</f>
        <v>106 Hyde Park Avenue Unit 3</v>
      </c>
      <c r="E262" s="1" t="str">
        <f ca="1">IFERROR(__xludf.DUMMYFUNCTION("""COMPUTED_VALUE"""),"Boston")</f>
        <v>Boston</v>
      </c>
      <c r="F262" s="1" t="str">
        <f ca="1">IFERROR(__xludf.DUMMYFUNCTION("""COMPUTED_VALUE"""),"Boston - Jamaica Plain")</f>
        <v>Boston - Jamaica Plain</v>
      </c>
      <c r="G262" s="1">
        <f ca="1">IFERROR(__xludf.DUMMYFUNCTION("""COMPUTED_VALUE"""),5)</f>
        <v>5</v>
      </c>
      <c r="H262" s="1" t="str">
        <f ca="1">IFERROR(__xludf.DUMMYFUNCTION("""COMPUTED_VALUE"""),"E")</f>
        <v>E</v>
      </c>
      <c r="I262" s="4" t="str">
        <f ca="1">IFERROR(__xludf.DUMMYFUNCTION("""COMPUTED_VALUE"""),"106 Hyde Park Avenue#3E")</f>
        <v>106 Hyde Park Avenue#3E</v>
      </c>
      <c r="J262" s="4" t="str">
        <f ca="1">IFERROR(__xludf.DUMMYFUNCTION("""COMPUTED_VALUE"""),"bc8d5af5-7a2f-4ca6-b2dc-efc36dfaf354")</f>
        <v>bc8d5af5-7a2f-4ca6-b2dc-efc36dfaf354</v>
      </c>
      <c r="K262" s="4">
        <f ca="1">IFERROR(__xludf.DUMMYFUNCTION("""COMPUTED_VALUE"""),650)</f>
        <v>650</v>
      </c>
      <c r="L262" s="1" t="str">
        <f ca="1">IFERROR(__xludf.DUMMYFUNCTION("""COMPUTED_VALUE"""),"Cam")</f>
        <v>Cam</v>
      </c>
      <c r="M262" s="1" t="str">
        <f ca="1">IFERROR(__xludf.DUMMYFUNCTION("""COMPUTED_VALUE"""),"")</f>
        <v/>
      </c>
      <c r="N262" s="1" t="str">
        <f ca="1">IFERROR(__xludf.DUMMYFUNCTION("""COMPUTED_VALUE"""),"")</f>
        <v/>
      </c>
      <c r="O262" s="1" t="str">
        <f ca="1">IFERROR(__xludf.DUMMYFUNCTION("""COMPUTED_VALUE"""),"Occupied")</f>
        <v>Occupied</v>
      </c>
      <c r="P262" s="1"/>
      <c r="Q262" s="1"/>
      <c r="R262" s="1"/>
      <c r="S262" s="1" t="str">
        <f ca="1">IFERROR(__xludf.DUMMYFUNCTION("""COMPUTED_VALUE"""),"NO CATS OR DOGS")</f>
        <v>NO CATS OR DOGS</v>
      </c>
      <c r="T262" s="1"/>
      <c r="U262" s="1" t="str">
        <f ca="1">IFERROR(__xludf.DUMMYFUNCTION("""COMPUTED_VALUE"""),"Y")</f>
        <v>Y</v>
      </c>
      <c r="V262" s="1" t="str">
        <f ca="1">IFERROR(__xludf.DUMMYFUNCTION("""COMPUTED_VALUE"""),"N")</f>
        <v>N</v>
      </c>
      <c r="W262" s="1"/>
      <c r="X262" s="1"/>
      <c r="Y262" s="1" t="str">
        <f ca="1">IFERROR(__xludf.DUMMYFUNCTION("""COMPUTED_VALUE"""),"Wilner Riche-jr")</f>
        <v>Wilner Riche-jr</v>
      </c>
      <c r="Z262" s="1" t="str">
        <f ca="1">IFERROR(__xludf.DUMMYFUNCTION("""COMPUTED_VALUE"""),"willcarehomecare@gmail.com")</f>
        <v>willcarehomecare@gmail.com</v>
      </c>
      <c r="AA262" s="1"/>
      <c r="AB262" s="1"/>
      <c r="AC262" s="1"/>
    </row>
    <row r="263" spans="1:29">
      <c r="A263" s="1" t="str">
        <f ca="1">IFERROR(__xludf.DUMMYFUNCTION("""COMPUTED_VALUE"""),"108 Central Street")</f>
        <v>108 Central Street</v>
      </c>
      <c r="B263" s="1">
        <f ca="1">IFERROR(__xludf.DUMMYFUNCTION("""COMPUTED_VALUE"""),108)</f>
        <v>108</v>
      </c>
      <c r="C263" s="1" t="str">
        <f ca="1">IFERROR(__xludf.DUMMYFUNCTION("""COMPUTED_VALUE"""),"#3L")</f>
        <v>#3L</v>
      </c>
      <c r="D263" s="1" t="str">
        <f ca="1">IFERROR(__xludf.DUMMYFUNCTION("""COMPUTED_VALUE"""),"108 Central Street Unit 3L")</f>
        <v>108 Central Street Unit 3L</v>
      </c>
      <c r="E263" s="1" t="str">
        <f ca="1">IFERROR(__xludf.DUMMYFUNCTION("""COMPUTED_VALUE"""),"Somerville")</f>
        <v>Somerville</v>
      </c>
      <c r="F263" s="1" t="str">
        <f ca="1">IFERROR(__xludf.DUMMYFUNCTION("""COMPUTED_VALUE"""),"Somerville - Winter Hill")</f>
        <v>Somerville - Winter Hill</v>
      </c>
      <c r="G263" s="1">
        <f ca="1">IFERROR(__xludf.DUMMYFUNCTION("""COMPUTED_VALUE"""),1)</f>
        <v>1</v>
      </c>
      <c r="H263" s="1" t="str">
        <f ca="1">IFERROR(__xludf.DUMMYFUNCTION("""COMPUTED_VALUE"""),"A")</f>
        <v>A</v>
      </c>
      <c r="I263" s="4" t="str">
        <f ca="1">IFERROR(__xludf.DUMMYFUNCTION("""COMPUTED_VALUE"""),"108 Central Street#3LA")</f>
        <v>108 Central Street#3LA</v>
      </c>
      <c r="J263" s="4" t="str">
        <f ca="1">IFERROR(__xludf.DUMMYFUNCTION("""COMPUTED_VALUE"""),"206b9ef2-7a5c-464f-8418-ee9519d34b11")</f>
        <v>206b9ef2-7a5c-464f-8418-ee9519d34b11</v>
      </c>
      <c r="K263" s="4">
        <f ca="1">IFERROR(__xludf.DUMMYFUNCTION("""COMPUTED_VALUE"""),940)</f>
        <v>940</v>
      </c>
      <c r="L263" s="1" t="str">
        <f ca="1">IFERROR(__xludf.DUMMYFUNCTION("""COMPUTED_VALUE"""),"Lizzie")</f>
        <v>Lizzie</v>
      </c>
      <c r="M263" s="1" t="str">
        <f ca="1">IFERROR(__xludf.DUMMYFUNCTION("""COMPUTED_VALUE"""),"")</f>
        <v/>
      </c>
      <c r="N263" s="1" t="str">
        <f ca="1">IFERROR(__xludf.DUMMYFUNCTION("""COMPUTED_VALUE"""),"")</f>
        <v/>
      </c>
      <c r="O263" s="1" t="str">
        <f ca="1">IFERROR(__xludf.DUMMYFUNCTION("""COMPUTED_VALUE"""),"Occupied")</f>
        <v>Occupied</v>
      </c>
      <c r="P263" s="1"/>
      <c r="Q263" s="1"/>
      <c r="R263" s="1"/>
      <c r="S263" s="1"/>
      <c r="T263" s="1"/>
      <c r="U263" s="1" t="str">
        <f ca="1">IFERROR(__xludf.DUMMYFUNCTION("""COMPUTED_VALUE"""),"N")</f>
        <v>N</v>
      </c>
      <c r="V263" s="1" t="str">
        <f ca="1">IFERROR(__xludf.DUMMYFUNCTION("""COMPUTED_VALUE"""),"N")</f>
        <v>N</v>
      </c>
      <c r="W263" s="1"/>
      <c r="X263" s="1"/>
      <c r="Y263" s="1" t="str">
        <f ca="1">IFERROR(__xludf.DUMMYFUNCTION("""COMPUTED_VALUE"""),"Hyun Jee Kim")</f>
        <v>Hyun Jee Kim</v>
      </c>
      <c r="Z263" s="1" t="str">
        <f ca="1">IFERROR(__xludf.DUMMYFUNCTION("""COMPUTED_VALUE"""),"sylviaa2@yahoo.com")</f>
        <v>sylviaa2@yahoo.com</v>
      </c>
      <c r="AA263" s="1"/>
      <c r="AB263" s="1"/>
      <c r="AC263" s="1"/>
    </row>
    <row r="264" spans="1:29">
      <c r="A264" s="1" t="str">
        <f ca="1">IFERROR(__xludf.DUMMYFUNCTION("""COMPUTED_VALUE"""),"108 Central Street")</f>
        <v>108 Central Street</v>
      </c>
      <c r="B264" s="1">
        <f ca="1">IFERROR(__xludf.DUMMYFUNCTION("""COMPUTED_VALUE"""),108)</f>
        <v>108</v>
      </c>
      <c r="C264" s="1" t="str">
        <f ca="1">IFERROR(__xludf.DUMMYFUNCTION("""COMPUTED_VALUE"""),"#3L")</f>
        <v>#3L</v>
      </c>
      <c r="D264" s="1" t="str">
        <f ca="1">IFERROR(__xludf.DUMMYFUNCTION("""COMPUTED_VALUE"""),"108 Central Street Unit 3L")</f>
        <v>108 Central Street Unit 3L</v>
      </c>
      <c r="E264" s="1" t="str">
        <f ca="1">IFERROR(__xludf.DUMMYFUNCTION("""COMPUTED_VALUE"""),"Somerville")</f>
        <v>Somerville</v>
      </c>
      <c r="F264" s="1" t="str">
        <f ca="1">IFERROR(__xludf.DUMMYFUNCTION("""COMPUTED_VALUE"""),"Somerville - Winter Hill")</f>
        <v>Somerville - Winter Hill</v>
      </c>
      <c r="G264" s="1">
        <f ca="1">IFERROR(__xludf.DUMMYFUNCTION("""COMPUTED_VALUE"""),2)</f>
        <v>2</v>
      </c>
      <c r="H264" s="1" t="str">
        <f ca="1">IFERROR(__xludf.DUMMYFUNCTION("""COMPUTED_VALUE"""),"B")</f>
        <v>B</v>
      </c>
      <c r="I264" s="4" t="str">
        <f ca="1">IFERROR(__xludf.DUMMYFUNCTION("""COMPUTED_VALUE"""),"108 Central Street#3LB")</f>
        <v>108 Central Street#3LB</v>
      </c>
      <c r="J264" s="4" t="str">
        <f ca="1">IFERROR(__xludf.DUMMYFUNCTION("""COMPUTED_VALUE"""),"206b9ef2-7a5c-464f-8418-ee9519d34b11")</f>
        <v>206b9ef2-7a5c-464f-8418-ee9519d34b11</v>
      </c>
      <c r="K264" s="4">
        <f ca="1">IFERROR(__xludf.DUMMYFUNCTION("""COMPUTED_VALUE"""),890)</f>
        <v>890</v>
      </c>
      <c r="L264" s="1" t="str">
        <f ca="1">IFERROR(__xludf.DUMMYFUNCTION("""COMPUTED_VALUE"""),"Lizzie")</f>
        <v>Lizzie</v>
      </c>
      <c r="M264" s="1" t="str">
        <f ca="1">IFERROR(__xludf.DUMMYFUNCTION("""COMPUTED_VALUE"""),"")</f>
        <v/>
      </c>
      <c r="N264" s="1" t="str">
        <f ca="1">IFERROR(__xludf.DUMMYFUNCTION("""COMPUTED_VALUE"""),"")</f>
        <v/>
      </c>
      <c r="O264" s="1" t="str">
        <f ca="1">IFERROR(__xludf.DUMMYFUNCTION("""COMPUTED_VALUE"""),"Occupied")</f>
        <v>Occupied</v>
      </c>
      <c r="P264" s="1"/>
      <c r="Q264" s="1"/>
      <c r="R264" s="1"/>
      <c r="S264" s="1"/>
      <c r="T264" s="1" t="str">
        <f ca="1">IFERROR(__xludf.DUMMYFUNCTION("""COMPUTED_VALUE"""),"Dog")</f>
        <v>Dog</v>
      </c>
      <c r="U264" s="1" t="str">
        <f ca="1">IFERROR(__xludf.DUMMYFUNCTION("""COMPUTED_VALUE"""),"N")</f>
        <v>N</v>
      </c>
      <c r="V264" s="1" t="str">
        <f ca="1">IFERROR(__xludf.DUMMYFUNCTION("""COMPUTED_VALUE"""),"N")</f>
        <v>N</v>
      </c>
      <c r="W264" s="1"/>
      <c r="X264" s="1"/>
      <c r="Y264" s="1" t="str">
        <f ca="1">IFERROR(__xludf.DUMMYFUNCTION("""COMPUTED_VALUE"""),"Mallory Underhill")</f>
        <v>Mallory Underhill</v>
      </c>
      <c r="Z264" s="1" t="str">
        <f ca="1">IFERROR(__xludf.DUMMYFUNCTION("""COMPUTED_VALUE"""),"malloryunderhill@gmail.com")</f>
        <v>malloryunderhill@gmail.com</v>
      </c>
      <c r="AA264" s="1"/>
      <c r="AB264" s="1"/>
      <c r="AC264" s="1"/>
    </row>
    <row r="265" spans="1:29">
      <c r="A265" s="1" t="str">
        <f ca="1">IFERROR(__xludf.DUMMYFUNCTION("""COMPUTED_VALUE"""),"108 Central Street")</f>
        <v>108 Central Street</v>
      </c>
      <c r="B265" s="1">
        <f ca="1">IFERROR(__xludf.DUMMYFUNCTION("""COMPUTED_VALUE"""),108)</f>
        <v>108</v>
      </c>
      <c r="C265" s="1" t="str">
        <f ca="1">IFERROR(__xludf.DUMMYFUNCTION("""COMPUTED_VALUE"""),"#3L")</f>
        <v>#3L</v>
      </c>
      <c r="D265" s="1" t="str">
        <f ca="1">IFERROR(__xludf.DUMMYFUNCTION("""COMPUTED_VALUE"""),"108 Central Street Unit 3L")</f>
        <v>108 Central Street Unit 3L</v>
      </c>
      <c r="E265" s="1" t="str">
        <f ca="1">IFERROR(__xludf.DUMMYFUNCTION("""COMPUTED_VALUE"""),"Somerville")</f>
        <v>Somerville</v>
      </c>
      <c r="F265" s="1" t="str">
        <f ca="1">IFERROR(__xludf.DUMMYFUNCTION("""COMPUTED_VALUE"""),"Somerville - Winter Hill")</f>
        <v>Somerville - Winter Hill</v>
      </c>
      <c r="G265" s="1">
        <f ca="1">IFERROR(__xludf.DUMMYFUNCTION("""COMPUTED_VALUE"""),3)</f>
        <v>3</v>
      </c>
      <c r="H265" s="1" t="str">
        <f ca="1">IFERROR(__xludf.DUMMYFUNCTION("""COMPUTED_VALUE"""),"C")</f>
        <v>C</v>
      </c>
      <c r="I265" s="4" t="str">
        <f ca="1">IFERROR(__xludf.DUMMYFUNCTION("""COMPUTED_VALUE"""),"108 Central Street#3LC")</f>
        <v>108 Central Street#3LC</v>
      </c>
      <c r="J265" s="4" t="str">
        <f ca="1">IFERROR(__xludf.DUMMYFUNCTION("""COMPUTED_VALUE"""),"206b9ef2-7a5c-464f-8418-ee9519d34b11")</f>
        <v>206b9ef2-7a5c-464f-8418-ee9519d34b11</v>
      </c>
      <c r="K265" s="4">
        <f ca="1">IFERROR(__xludf.DUMMYFUNCTION("""COMPUTED_VALUE"""),750)</f>
        <v>750</v>
      </c>
      <c r="L265" s="1" t="str">
        <f ca="1">IFERROR(__xludf.DUMMYFUNCTION("""COMPUTED_VALUE"""),"Lizzie")</f>
        <v>Lizzie</v>
      </c>
      <c r="M265" s="1" t="str">
        <f ca="1">IFERROR(__xludf.DUMMYFUNCTION("""COMPUTED_VALUE"""),"")</f>
        <v/>
      </c>
      <c r="N265" s="1" t="str">
        <f ca="1">IFERROR(__xludf.DUMMYFUNCTION("""COMPUTED_VALUE"""),"")</f>
        <v/>
      </c>
      <c r="O265" s="1" t="str">
        <f ca="1">IFERROR(__xludf.DUMMYFUNCTION("""COMPUTED_VALUE"""),"Lease Signed")</f>
        <v>Lease Signed</v>
      </c>
      <c r="P265" s="1" t="str">
        <f ca="1">IFERROR(__xludf.DUMMYFUNCTION("""COMPUTED_VALUE"""),"January")</f>
        <v>January</v>
      </c>
      <c r="Q265" s="1"/>
      <c r="R265" s="5">
        <f ca="1">IFERROR(__xludf.DUMMYFUNCTION("""COMPUTED_VALUE"""),44199)</f>
        <v>44199</v>
      </c>
      <c r="S265" s="1"/>
      <c r="T265" s="1"/>
      <c r="U265" s="1" t="str">
        <f ca="1">IFERROR(__xludf.DUMMYFUNCTION("""COMPUTED_VALUE"""),"N")</f>
        <v>N</v>
      </c>
      <c r="V265" s="1" t="str">
        <f ca="1">IFERROR(__xludf.DUMMYFUNCTION("""COMPUTED_VALUE"""),"N")</f>
        <v>N</v>
      </c>
      <c r="W265" s="1"/>
      <c r="X265" s="1"/>
      <c r="Y265" s="1" t="str">
        <f ca="1">IFERROR(__xludf.DUMMYFUNCTION("""COMPUTED_VALUE"""),"Luis Trueba")</f>
        <v>Luis Trueba</v>
      </c>
      <c r="Z265" s="1" t="str">
        <f ca="1">IFERROR(__xludf.DUMMYFUNCTION("""COMPUTED_VALUE"""),"lhtrueba@yahoo.com")</f>
        <v>lhtrueba@yahoo.com</v>
      </c>
      <c r="AA265" s="1"/>
      <c r="AB265" s="1"/>
      <c r="AC265" s="1"/>
    </row>
    <row r="266" spans="1:29">
      <c r="A266" s="1" t="str">
        <f ca="1">IFERROR(__xludf.DUMMYFUNCTION("""COMPUTED_VALUE"""),"108 Central Street")</f>
        <v>108 Central Street</v>
      </c>
      <c r="B266" s="1">
        <f ca="1">IFERROR(__xludf.DUMMYFUNCTION("""COMPUTED_VALUE"""),108)</f>
        <v>108</v>
      </c>
      <c r="C266" s="1" t="str">
        <f ca="1">IFERROR(__xludf.DUMMYFUNCTION("""COMPUTED_VALUE"""),"#3L")</f>
        <v>#3L</v>
      </c>
      <c r="D266" s="1" t="str">
        <f ca="1">IFERROR(__xludf.DUMMYFUNCTION("""COMPUTED_VALUE"""),"108 Central Street Unit 3L")</f>
        <v>108 Central Street Unit 3L</v>
      </c>
      <c r="E266" s="1" t="str">
        <f ca="1">IFERROR(__xludf.DUMMYFUNCTION("""COMPUTED_VALUE"""),"Somerville")</f>
        <v>Somerville</v>
      </c>
      <c r="F266" s="1" t="str">
        <f ca="1">IFERROR(__xludf.DUMMYFUNCTION("""COMPUTED_VALUE"""),"Somerville - Winter Hill")</f>
        <v>Somerville - Winter Hill</v>
      </c>
      <c r="G266" s="1">
        <f ca="1">IFERROR(__xludf.DUMMYFUNCTION("""COMPUTED_VALUE"""),4)</f>
        <v>4</v>
      </c>
      <c r="H266" s="1" t="str">
        <f ca="1">IFERROR(__xludf.DUMMYFUNCTION("""COMPUTED_VALUE"""),"D")</f>
        <v>D</v>
      </c>
      <c r="I266" s="4" t="str">
        <f ca="1">IFERROR(__xludf.DUMMYFUNCTION("""COMPUTED_VALUE"""),"108 Central Street#3LD")</f>
        <v>108 Central Street#3LD</v>
      </c>
      <c r="J266" s="4" t="str">
        <f ca="1">IFERROR(__xludf.DUMMYFUNCTION("""COMPUTED_VALUE"""),"206b9ef2-7a5c-464f-8418-ee9519d34b11")</f>
        <v>206b9ef2-7a5c-464f-8418-ee9519d34b11</v>
      </c>
      <c r="K266" s="4">
        <f ca="1">IFERROR(__xludf.DUMMYFUNCTION("""COMPUTED_VALUE"""),990)</f>
        <v>990</v>
      </c>
      <c r="L266" s="1" t="str">
        <f ca="1">IFERROR(__xludf.DUMMYFUNCTION("""COMPUTED_VALUE"""),"Lizzie")</f>
        <v>Lizzie</v>
      </c>
      <c r="M266" s="1" t="str">
        <f ca="1">IFERROR(__xludf.DUMMYFUNCTION("""COMPUTED_VALUE"""),"")</f>
        <v/>
      </c>
      <c r="N266" s="1" t="str">
        <f ca="1">IFERROR(__xludf.DUMMYFUNCTION("""COMPUTED_VALUE"""),"")</f>
        <v/>
      </c>
      <c r="O266" s="1" t="str">
        <f ca="1">IFERROR(__xludf.DUMMYFUNCTION("""COMPUTED_VALUE"""),"Occupied")</f>
        <v>Occupied</v>
      </c>
      <c r="P266" s="1"/>
      <c r="Q266" s="1"/>
      <c r="R266" s="1"/>
      <c r="S266" s="1"/>
      <c r="T266" s="1" t="str">
        <f ca="1">IFERROR(__xludf.DUMMYFUNCTION("""COMPUTED_VALUE"""),"Cat")</f>
        <v>Cat</v>
      </c>
      <c r="U266" s="1" t="str">
        <f ca="1">IFERROR(__xludf.DUMMYFUNCTION("""COMPUTED_VALUE"""),"N")</f>
        <v>N</v>
      </c>
      <c r="V266" s="1" t="str">
        <f ca="1">IFERROR(__xludf.DUMMYFUNCTION("""COMPUTED_VALUE"""),"N")</f>
        <v>N</v>
      </c>
      <c r="W266" s="1"/>
      <c r="X266" s="1"/>
      <c r="Y266" s="1" t="str">
        <f ca="1">IFERROR(__xludf.DUMMYFUNCTION("""COMPUTED_VALUE"""),"Andrew Daylor")</f>
        <v>Andrew Daylor</v>
      </c>
      <c r="Z266" s="1" t="str">
        <f ca="1">IFERROR(__xludf.DUMMYFUNCTION("""COMPUTED_VALUE"""),"drew.w.daylor@gmail.com")</f>
        <v>drew.w.daylor@gmail.com</v>
      </c>
      <c r="AA266" s="1"/>
      <c r="AB266" s="1"/>
      <c r="AC266" s="1"/>
    </row>
    <row r="267" spans="1:29">
      <c r="A267" s="1" t="str">
        <f ca="1">IFERROR(__xludf.DUMMYFUNCTION("""COMPUTED_VALUE"""),"108 Hyde Park Avenue")</f>
        <v>108 Hyde Park Avenue</v>
      </c>
      <c r="B267" s="1">
        <f ca="1">IFERROR(__xludf.DUMMYFUNCTION("""COMPUTED_VALUE"""),108)</f>
        <v>108</v>
      </c>
      <c r="C267" s="1" t="str">
        <f ca="1">IFERROR(__xludf.DUMMYFUNCTION("""COMPUTED_VALUE"""),"#2")</f>
        <v>#2</v>
      </c>
      <c r="D267" s="1" t="str">
        <f ca="1">IFERROR(__xludf.DUMMYFUNCTION("""COMPUTED_VALUE"""),"108 Hyde Park Avenue Unit 2")</f>
        <v>108 Hyde Park Avenue Unit 2</v>
      </c>
      <c r="E267" s="1" t="str">
        <f ca="1">IFERROR(__xludf.DUMMYFUNCTION("""COMPUTED_VALUE"""),"Boston")</f>
        <v>Boston</v>
      </c>
      <c r="F267" s="1" t="str">
        <f ca="1">IFERROR(__xludf.DUMMYFUNCTION("""COMPUTED_VALUE"""),"Boston - Jamaica Plain")</f>
        <v>Boston - Jamaica Plain</v>
      </c>
      <c r="G267" s="1">
        <f ca="1">IFERROR(__xludf.DUMMYFUNCTION("""COMPUTED_VALUE"""),1)</f>
        <v>1</v>
      </c>
      <c r="H267" s="1" t="str">
        <f ca="1">IFERROR(__xludf.DUMMYFUNCTION("""COMPUTED_VALUE"""),"A")</f>
        <v>A</v>
      </c>
      <c r="I267" s="4" t="str">
        <f ca="1">IFERROR(__xludf.DUMMYFUNCTION("""COMPUTED_VALUE"""),"108 Hyde Park Avenue#2A")</f>
        <v>108 Hyde Park Avenue#2A</v>
      </c>
      <c r="J267" s="4" t="str">
        <f ca="1">IFERROR(__xludf.DUMMYFUNCTION("""COMPUTED_VALUE"""),"baf0bf73-29d4-494d-bcaf-80b13ca977ce")</f>
        <v>baf0bf73-29d4-494d-bcaf-80b13ca977ce</v>
      </c>
      <c r="K267" s="4">
        <f ca="1">IFERROR(__xludf.DUMMYFUNCTION("""COMPUTED_VALUE"""),795)</f>
        <v>795</v>
      </c>
      <c r="L267" s="1" t="str">
        <f ca="1">IFERROR(__xludf.DUMMYFUNCTION("""COMPUTED_VALUE"""),"Cam")</f>
        <v>Cam</v>
      </c>
      <c r="M267" s="1" t="str">
        <f ca="1">IFERROR(__xludf.DUMMYFUNCTION("""COMPUTED_VALUE"""),"Cam (NOW)")</f>
        <v>Cam (NOW)</v>
      </c>
      <c r="N267" s="1" t="str">
        <f ca="1">IFERROR(__xludf.DUMMYFUNCTION("""COMPUTED_VALUE"""),"")</f>
        <v/>
      </c>
      <c r="O267" s="1" t="str">
        <f ca="1">IFERROR(__xludf.DUMMYFUNCTION("""COMPUTED_VALUE"""),"Vacant")</f>
        <v>Vacant</v>
      </c>
      <c r="P267" s="1"/>
      <c r="Q267" s="1"/>
      <c r="R267" s="1"/>
      <c r="S267" s="1" t="str">
        <f ca="1">IFERROR(__xludf.DUMMYFUNCTION("""COMPUTED_VALUE"""),"NO CATS OR DOGS")</f>
        <v>NO CATS OR DOGS</v>
      </c>
      <c r="T267" s="1"/>
      <c r="U267" s="1" t="str">
        <f ca="1">IFERROR(__xludf.DUMMYFUNCTION("""COMPUTED_VALUE"""),"Y")</f>
        <v>Y</v>
      </c>
      <c r="V267" s="1" t="str">
        <f ca="1">IFERROR(__xludf.DUMMYFUNCTION("""COMPUTED_VALUE"""),"Y")</f>
        <v>Y</v>
      </c>
      <c r="W267" s="1"/>
      <c r="X267" s="1"/>
      <c r="Y267" s="1"/>
      <c r="Z267" s="1"/>
      <c r="AA267" s="1"/>
      <c r="AB267" s="1"/>
      <c r="AC267" s="1"/>
    </row>
    <row r="268" spans="1:29">
      <c r="A268" s="1" t="str">
        <f ca="1">IFERROR(__xludf.DUMMYFUNCTION("""COMPUTED_VALUE"""),"108 Hyde Park Avenue")</f>
        <v>108 Hyde Park Avenue</v>
      </c>
      <c r="B268" s="1">
        <f ca="1">IFERROR(__xludf.DUMMYFUNCTION("""COMPUTED_VALUE"""),108)</f>
        <v>108</v>
      </c>
      <c r="C268" s="1" t="str">
        <f ca="1">IFERROR(__xludf.DUMMYFUNCTION("""COMPUTED_VALUE"""),"#2")</f>
        <v>#2</v>
      </c>
      <c r="D268" s="1" t="str">
        <f ca="1">IFERROR(__xludf.DUMMYFUNCTION("""COMPUTED_VALUE"""),"108 Hyde Park Avenue Unit 2")</f>
        <v>108 Hyde Park Avenue Unit 2</v>
      </c>
      <c r="E268" s="1" t="str">
        <f ca="1">IFERROR(__xludf.DUMMYFUNCTION("""COMPUTED_VALUE"""),"Boston")</f>
        <v>Boston</v>
      </c>
      <c r="F268" s="1" t="str">
        <f ca="1">IFERROR(__xludf.DUMMYFUNCTION("""COMPUTED_VALUE"""),"Boston - Jamaica Plain")</f>
        <v>Boston - Jamaica Plain</v>
      </c>
      <c r="G268" s="1">
        <f ca="1">IFERROR(__xludf.DUMMYFUNCTION("""COMPUTED_VALUE"""),2)</f>
        <v>2</v>
      </c>
      <c r="H268" s="1" t="str">
        <f ca="1">IFERROR(__xludf.DUMMYFUNCTION("""COMPUTED_VALUE"""),"B")</f>
        <v>B</v>
      </c>
      <c r="I268" s="4" t="str">
        <f ca="1">IFERROR(__xludf.DUMMYFUNCTION("""COMPUTED_VALUE"""),"108 Hyde Park Avenue#2B")</f>
        <v>108 Hyde Park Avenue#2B</v>
      </c>
      <c r="J268" s="4" t="str">
        <f ca="1">IFERROR(__xludf.DUMMYFUNCTION("""COMPUTED_VALUE"""),"baf0bf73-29d4-494d-bcaf-80b13ca977ce")</f>
        <v>baf0bf73-29d4-494d-bcaf-80b13ca977ce</v>
      </c>
      <c r="K268" s="4">
        <f ca="1">IFERROR(__xludf.DUMMYFUNCTION("""COMPUTED_VALUE"""),1095)</f>
        <v>1095</v>
      </c>
      <c r="L268" s="1" t="str">
        <f ca="1">IFERROR(__xludf.DUMMYFUNCTION("""COMPUTED_VALUE"""),"Cam")</f>
        <v>Cam</v>
      </c>
      <c r="M268" s="1" t="str">
        <f ca="1">IFERROR(__xludf.DUMMYFUNCTION("""COMPUTED_VALUE"""),"")</f>
        <v/>
      </c>
      <c r="N268" s="1" t="str">
        <f ca="1">IFERROR(__xludf.DUMMYFUNCTION("""COMPUTED_VALUE"""),"")</f>
        <v/>
      </c>
      <c r="O268" s="1" t="str">
        <f ca="1">IFERROR(__xludf.DUMMYFUNCTION("""COMPUTED_VALUE"""),"Occupied")</f>
        <v>Occupied</v>
      </c>
      <c r="P268" s="1"/>
      <c r="Q268" s="1"/>
      <c r="R268" s="1"/>
      <c r="S268" s="1" t="str">
        <f ca="1">IFERROR(__xludf.DUMMYFUNCTION("""COMPUTED_VALUE"""),"NO CATS OR DOGS")</f>
        <v>NO CATS OR DOGS</v>
      </c>
      <c r="T268" s="1"/>
      <c r="U268" s="1" t="str">
        <f ca="1">IFERROR(__xludf.DUMMYFUNCTION("""COMPUTED_VALUE"""),"Y")</f>
        <v>Y</v>
      </c>
      <c r="V268" s="1" t="str">
        <f ca="1">IFERROR(__xludf.DUMMYFUNCTION("""COMPUTED_VALUE"""),"Y")</f>
        <v>Y</v>
      </c>
      <c r="W268" s="1"/>
      <c r="X268" s="1"/>
      <c r="Y268" s="1" t="str">
        <f ca="1">IFERROR(__xludf.DUMMYFUNCTION("""COMPUTED_VALUE"""),"Trevor Johnson")</f>
        <v>Trevor Johnson</v>
      </c>
      <c r="Z268" s="1" t="str">
        <f ca="1">IFERROR(__xludf.DUMMYFUNCTION("""COMPUTED_VALUE"""),"Trevor.johnson2317@gmail.com")</f>
        <v>Trevor.johnson2317@gmail.com</v>
      </c>
      <c r="AA268" s="1"/>
      <c r="AB268" s="1"/>
      <c r="AC268" s="1"/>
    </row>
    <row r="269" spans="1:29">
      <c r="A269" s="1" t="str">
        <f ca="1">IFERROR(__xludf.DUMMYFUNCTION("""COMPUTED_VALUE"""),"108 Hyde Park Avenue")</f>
        <v>108 Hyde Park Avenue</v>
      </c>
      <c r="B269" s="1">
        <f ca="1">IFERROR(__xludf.DUMMYFUNCTION("""COMPUTED_VALUE"""),108)</f>
        <v>108</v>
      </c>
      <c r="C269" s="1" t="str">
        <f ca="1">IFERROR(__xludf.DUMMYFUNCTION("""COMPUTED_VALUE"""),"#2")</f>
        <v>#2</v>
      </c>
      <c r="D269" s="1" t="str">
        <f ca="1">IFERROR(__xludf.DUMMYFUNCTION("""COMPUTED_VALUE"""),"108 Hyde Park Avenue Unit 2")</f>
        <v>108 Hyde Park Avenue Unit 2</v>
      </c>
      <c r="E269" s="1" t="str">
        <f ca="1">IFERROR(__xludf.DUMMYFUNCTION("""COMPUTED_VALUE"""),"Boston")</f>
        <v>Boston</v>
      </c>
      <c r="F269" s="1" t="str">
        <f ca="1">IFERROR(__xludf.DUMMYFUNCTION("""COMPUTED_VALUE"""),"Boston - Jamaica Plain")</f>
        <v>Boston - Jamaica Plain</v>
      </c>
      <c r="G269" s="1">
        <f ca="1">IFERROR(__xludf.DUMMYFUNCTION("""COMPUTED_VALUE"""),3)</f>
        <v>3</v>
      </c>
      <c r="H269" s="1" t="str">
        <f ca="1">IFERROR(__xludf.DUMMYFUNCTION("""COMPUTED_VALUE"""),"C")</f>
        <v>C</v>
      </c>
      <c r="I269" s="4" t="str">
        <f ca="1">IFERROR(__xludf.DUMMYFUNCTION("""COMPUTED_VALUE"""),"108 Hyde Park Avenue#2C")</f>
        <v>108 Hyde Park Avenue#2C</v>
      </c>
      <c r="J269" s="4" t="str">
        <f ca="1">IFERROR(__xludf.DUMMYFUNCTION("""COMPUTED_VALUE"""),"baf0bf73-29d4-494d-bcaf-80b13ca977ce")</f>
        <v>baf0bf73-29d4-494d-bcaf-80b13ca977ce</v>
      </c>
      <c r="K269" s="4">
        <f ca="1">IFERROR(__xludf.DUMMYFUNCTION("""COMPUTED_VALUE"""),995)</f>
        <v>995</v>
      </c>
      <c r="L269" s="1" t="str">
        <f ca="1">IFERROR(__xludf.DUMMYFUNCTION("""COMPUTED_VALUE"""),"Cam")</f>
        <v>Cam</v>
      </c>
      <c r="M269" s="1" t="str">
        <f ca="1">IFERROR(__xludf.DUMMYFUNCTION("""COMPUTED_VALUE"""),"")</f>
        <v/>
      </c>
      <c r="N269" s="1" t="str">
        <f ca="1">IFERROR(__xludf.DUMMYFUNCTION("""COMPUTED_VALUE"""),"")</f>
        <v/>
      </c>
      <c r="O269" s="1" t="str">
        <f ca="1">IFERROR(__xludf.DUMMYFUNCTION("""COMPUTED_VALUE"""),"Occupied")</f>
        <v>Occupied</v>
      </c>
      <c r="P269" s="1"/>
      <c r="Q269" s="1"/>
      <c r="R269" s="1"/>
      <c r="S269" s="1" t="str">
        <f ca="1">IFERROR(__xludf.DUMMYFUNCTION("""COMPUTED_VALUE"""),"NO CATS OR DOGS")</f>
        <v>NO CATS OR DOGS</v>
      </c>
      <c r="T269" s="1"/>
      <c r="U269" s="1" t="str">
        <f ca="1">IFERROR(__xludf.DUMMYFUNCTION("""COMPUTED_VALUE"""),"Y")</f>
        <v>Y</v>
      </c>
      <c r="V269" s="1" t="str">
        <f ca="1">IFERROR(__xludf.DUMMYFUNCTION("""COMPUTED_VALUE"""),"Y")</f>
        <v>Y</v>
      </c>
      <c r="W269" s="1"/>
      <c r="X269" s="1"/>
      <c r="Y269" s="1" t="str">
        <f ca="1">IFERROR(__xludf.DUMMYFUNCTION("""COMPUTED_VALUE"""),"Timothy Tumbokon")</f>
        <v>Timothy Tumbokon</v>
      </c>
      <c r="Z269" s="1" t="str">
        <f ca="1">IFERROR(__xludf.DUMMYFUNCTION("""COMPUTED_VALUE"""),"timothyatumbokon@gmail.com")</f>
        <v>timothyatumbokon@gmail.com</v>
      </c>
      <c r="AA269" s="1"/>
      <c r="AB269" s="1"/>
      <c r="AC269" s="1"/>
    </row>
    <row r="270" spans="1:29">
      <c r="A270" s="1" t="str">
        <f ca="1">IFERROR(__xludf.DUMMYFUNCTION("""COMPUTED_VALUE"""),"108 Hyde Park Avenue")</f>
        <v>108 Hyde Park Avenue</v>
      </c>
      <c r="B270" s="1">
        <f ca="1">IFERROR(__xludf.DUMMYFUNCTION("""COMPUTED_VALUE"""),108)</f>
        <v>108</v>
      </c>
      <c r="C270" s="1" t="str">
        <f ca="1">IFERROR(__xludf.DUMMYFUNCTION("""COMPUTED_VALUE"""),"#3")</f>
        <v>#3</v>
      </c>
      <c r="D270" s="1" t="str">
        <f ca="1">IFERROR(__xludf.DUMMYFUNCTION("""COMPUTED_VALUE"""),"108 Hyde Park Avenue Unit 3")</f>
        <v>108 Hyde Park Avenue Unit 3</v>
      </c>
      <c r="E270" s="1" t="str">
        <f ca="1">IFERROR(__xludf.DUMMYFUNCTION("""COMPUTED_VALUE"""),"Boston")</f>
        <v>Boston</v>
      </c>
      <c r="F270" s="1" t="str">
        <f ca="1">IFERROR(__xludf.DUMMYFUNCTION("""COMPUTED_VALUE"""),"Boston - Jamaica Plain")</f>
        <v>Boston - Jamaica Plain</v>
      </c>
      <c r="G270" s="1">
        <f ca="1">IFERROR(__xludf.DUMMYFUNCTION("""COMPUTED_VALUE"""),1)</f>
        <v>1</v>
      </c>
      <c r="H270" s="1" t="str">
        <f ca="1">IFERROR(__xludf.DUMMYFUNCTION("""COMPUTED_VALUE"""),"A")</f>
        <v>A</v>
      </c>
      <c r="I270" s="4" t="str">
        <f ca="1">IFERROR(__xludf.DUMMYFUNCTION("""COMPUTED_VALUE"""),"108 Hyde Park Avenue#3A")</f>
        <v>108 Hyde Park Avenue#3A</v>
      </c>
      <c r="J270" s="4" t="str">
        <f ca="1">IFERROR(__xludf.DUMMYFUNCTION("""COMPUTED_VALUE"""),"3660d13d-50e2-42b5-973c-d699d17a9a9b")</f>
        <v>3660d13d-50e2-42b5-973c-d699d17a9a9b</v>
      </c>
      <c r="K270" s="4">
        <f ca="1">IFERROR(__xludf.DUMMYFUNCTION("""COMPUTED_VALUE"""),1095)</f>
        <v>1095</v>
      </c>
      <c r="L270" s="1" t="str">
        <f ca="1">IFERROR(__xludf.DUMMYFUNCTION("""COMPUTED_VALUE"""),"Cam")</f>
        <v>Cam</v>
      </c>
      <c r="M270" s="1" t="str">
        <f ca="1">IFERROR(__xludf.DUMMYFUNCTION("""COMPUTED_VALUE"""),"")</f>
        <v/>
      </c>
      <c r="N270" s="1" t="str">
        <f ca="1">IFERROR(__xludf.DUMMYFUNCTION("""COMPUTED_VALUE"""),"")</f>
        <v/>
      </c>
      <c r="O270" s="1" t="str">
        <f ca="1">IFERROR(__xludf.DUMMYFUNCTION("""COMPUTED_VALUE"""),"Upcoming Vacancy")</f>
        <v>Upcoming Vacancy</v>
      </c>
      <c r="P270" s="1" t="str">
        <f ca="1">IFERROR(__xludf.DUMMYFUNCTION("""COMPUTED_VALUE"""),"May")</f>
        <v>May</v>
      </c>
      <c r="Q270" s="3">
        <f ca="1">IFERROR(__xludf.DUMMYFUNCTION("""COMPUTED_VALUE"""),43951)</f>
        <v>43951</v>
      </c>
      <c r="R270" s="1"/>
      <c r="S270" s="1" t="str">
        <f ca="1">IFERROR(__xludf.DUMMYFUNCTION("""COMPUTED_VALUE"""),"NO CATS OR DOGS")</f>
        <v>NO CATS OR DOGS</v>
      </c>
      <c r="T270" s="1"/>
      <c r="U270" s="1" t="str">
        <f ca="1">IFERROR(__xludf.DUMMYFUNCTION("""COMPUTED_VALUE"""),"Y")</f>
        <v>Y</v>
      </c>
      <c r="V270" s="1" t="str">
        <f ca="1">IFERROR(__xludf.DUMMYFUNCTION("""COMPUTED_VALUE"""),"Y")</f>
        <v>Y</v>
      </c>
      <c r="W270" s="1"/>
      <c r="X270" s="1"/>
      <c r="Y270" s="1" t="str">
        <f ca="1">IFERROR(__xludf.DUMMYFUNCTION("""COMPUTED_VALUE"""),"Patrick Hansbury")</f>
        <v>Patrick Hansbury</v>
      </c>
      <c r="Z270" s="1" t="str">
        <f ca="1">IFERROR(__xludf.DUMMYFUNCTION("""COMPUTED_VALUE"""),"phansbury00@gmail.com")</f>
        <v>phansbury00@gmail.com</v>
      </c>
      <c r="AA270" s="1"/>
      <c r="AB270" s="1"/>
      <c r="AC270" s="1"/>
    </row>
    <row r="271" spans="1:29">
      <c r="A271" s="1" t="str">
        <f ca="1">IFERROR(__xludf.DUMMYFUNCTION("""COMPUTED_VALUE"""),"108 Hyde Park Avenue")</f>
        <v>108 Hyde Park Avenue</v>
      </c>
      <c r="B271" s="1">
        <f ca="1">IFERROR(__xludf.DUMMYFUNCTION("""COMPUTED_VALUE"""),108)</f>
        <v>108</v>
      </c>
      <c r="C271" s="1" t="str">
        <f ca="1">IFERROR(__xludf.DUMMYFUNCTION("""COMPUTED_VALUE"""),"#3")</f>
        <v>#3</v>
      </c>
      <c r="D271" s="1" t="str">
        <f ca="1">IFERROR(__xludf.DUMMYFUNCTION("""COMPUTED_VALUE"""),"108 Hyde Park Avenue Unit 3")</f>
        <v>108 Hyde Park Avenue Unit 3</v>
      </c>
      <c r="E271" s="1" t="str">
        <f ca="1">IFERROR(__xludf.DUMMYFUNCTION("""COMPUTED_VALUE"""),"Boston")</f>
        <v>Boston</v>
      </c>
      <c r="F271" s="1" t="str">
        <f ca="1">IFERROR(__xludf.DUMMYFUNCTION("""COMPUTED_VALUE"""),"Boston - Jamaica Plain")</f>
        <v>Boston - Jamaica Plain</v>
      </c>
      <c r="G271" s="1">
        <f ca="1">IFERROR(__xludf.DUMMYFUNCTION("""COMPUTED_VALUE"""),2)</f>
        <v>2</v>
      </c>
      <c r="H271" s="1" t="str">
        <f ca="1">IFERROR(__xludf.DUMMYFUNCTION("""COMPUTED_VALUE"""),"B")</f>
        <v>B</v>
      </c>
      <c r="I271" s="4" t="str">
        <f ca="1">IFERROR(__xludf.DUMMYFUNCTION("""COMPUTED_VALUE"""),"108 Hyde Park Avenue#3B")</f>
        <v>108 Hyde Park Avenue#3B</v>
      </c>
      <c r="J271" s="4" t="str">
        <f ca="1">IFERROR(__xludf.DUMMYFUNCTION("""COMPUTED_VALUE"""),"3660d13d-50e2-42b5-973c-d699d17a9a9b")</f>
        <v>3660d13d-50e2-42b5-973c-d699d17a9a9b</v>
      </c>
      <c r="K271" s="4">
        <f ca="1">IFERROR(__xludf.DUMMYFUNCTION("""COMPUTED_VALUE"""),1194)</f>
        <v>1194</v>
      </c>
      <c r="L271" s="1" t="str">
        <f ca="1">IFERROR(__xludf.DUMMYFUNCTION("""COMPUTED_VALUE"""),"Cam")</f>
        <v>Cam</v>
      </c>
      <c r="M271" s="1" t="str">
        <f ca="1">IFERROR(__xludf.DUMMYFUNCTION("""COMPUTED_VALUE"""),"")</f>
        <v/>
      </c>
      <c r="N271" s="1" t="str">
        <f ca="1">IFERROR(__xludf.DUMMYFUNCTION("""COMPUTED_VALUE"""),"")</f>
        <v/>
      </c>
      <c r="O271" s="1" t="str">
        <f ca="1">IFERROR(__xludf.DUMMYFUNCTION("""COMPUTED_VALUE"""),"Occupied")</f>
        <v>Occupied</v>
      </c>
      <c r="P271" s="1"/>
      <c r="Q271" s="1"/>
      <c r="R271" s="1"/>
      <c r="S271" s="1" t="str">
        <f ca="1">IFERROR(__xludf.DUMMYFUNCTION("""COMPUTED_VALUE"""),"NO CATS OR DOGS")</f>
        <v>NO CATS OR DOGS</v>
      </c>
      <c r="T271" s="1"/>
      <c r="U271" s="1" t="str">
        <f ca="1">IFERROR(__xludf.DUMMYFUNCTION("""COMPUTED_VALUE"""),"Y")</f>
        <v>Y</v>
      </c>
      <c r="V271" s="1" t="str">
        <f ca="1">IFERROR(__xludf.DUMMYFUNCTION("""COMPUTED_VALUE"""),"Y")</f>
        <v>Y</v>
      </c>
      <c r="W271" s="1"/>
      <c r="X271" s="1"/>
      <c r="Y271" s="1" t="str">
        <f ca="1">IFERROR(__xludf.DUMMYFUNCTION("""COMPUTED_VALUE"""),"Thomas Reed")</f>
        <v>Thomas Reed</v>
      </c>
      <c r="Z271" s="1" t="str">
        <f ca="1">IFERROR(__xludf.DUMMYFUNCTION("""COMPUTED_VALUE"""),"tomegunns18@gmail.com")</f>
        <v>tomegunns18@gmail.com</v>
      </c>
      <c r="AA271" s="1"/>
      <c r="AB271" s="1"/>
      <c r="AC271" s="1"/>
    </row>
    <row r="272" spans="1:29">
      <c r="A272" s="1" t="str">
        <f ca="1">IFERROR(__xludf.DUMMYFUNCTION("""COMPUTED_VALUE"""),"108 Hyde Park Avenue")</f>
        <v>108 Hyde Park Avenue</v>
      </c>
      <c r="B272" s="1">
        <f ca="1">IFERROR(__xludf.DUMMYFUNCTION("""COMPUTED_VALUE"""),108)</f>
        <v>108</v>
      </c>
      <c r="C272" s="1" t="str">
        <f ca="1">IFERROR(__xludf.DUMMYFUNCTION("""COMPUTED_VALUE"""),"#3")</f>
        <v>#3</v>
      </c>
      <c r="D272" s="1" t="str">
        <f ca="1">IFERROR(__xludf.DUMMYFUNCTION("""COMPUTED_VALUE"""),"108 Hyde Park Avenue Unit 3")</f>
        <v>108 Hyde Park Avenue Unit 3</v>
      </c>
      <c r="E272" s="1" t="str">
        <f ca="1">IFERROR(__xludf.DUMMYFUNCTION("""COMPUTED_VALUE"""),"Boston")</f>
        <v>Boston</v>
      </c>
      <c r="F272" s="1" t="str">
        <f ca="1">IFERROR(__xludf.DUMMYFUNCTION("""COMPUTED_VALUE"""),"Boston - Jamaica Plain")</f>
        <v>Boston - Jamaica Plain</v>
      </c>
      <c r="G272" s="1">
        <f ca="1">IFERROR(__xludf.DUMMYFUNCTION("""COMPUTED_VALUE"""),3)</f>
        <v>3</v>
      </c>
      <c r="H272" s="1" t="str">
        <f ca="1">IFERROR(__xludf.DUMMYFUNCTION("""COMPUTED_VALUE"""),"C")</f>
        <v>C</v>
      </c>
      <c r="I272" s="4" t="str">
        <f ca="1">IFERROR(__xludf.DUMMYFUNCTION("""COMPUTED_VALUE"""),"108 Hyde Park Avenue#3C")</f>
        <v>108 Hyde Park Avenue#3C</v>
      </c>
      <c r="J272" s="4" t="str">
        <f ca="1">IFERROR(__xludf.DUMMYFUNCTION("""COMPUTED_VALUE"""),"3660d13d-50e2-42b5-973c-d699d17a9a9b")</f>
        <v>3660d13d-50e2-42b5-973c-d699d17a9a9b</v>
      </c>
      <c r="K272" s="4">
        <f ca="1">IFERROR(__xludf.DUMMYFUNCTION("""COMPUTED_VALUE"""),895)</f>
        <v>895</v>
      </c>
      <c r="L272" s="1" t="str">
        <f ca="1">IFERROR(__xludf.DUMMYFUNCTION("""COMPUTED_VALUE"""),"Cam")</f>
        <v>Cam</v>
      </c>
      <c r="M272" s="1" t="str">
        <f ca="1">IFERROR(__xludf.DUMMYFUNCTION("""COMPUTED_VALUE"""),"Cam (NOW)")</f>
        <v>Cam (NOW)</v>
      </c>
      <c r="N272" s="1" t="str">
        <f ca="1">IFERROR(__xludf.DUMMYFUNCTION("""COMPUTED_VALUE"""),"")</f>
        <v/>
      </c>
      <c r="O272" s="1" t="str">
        <f ca="1">IFERROR(__xludf.DUMMYFUNCTION("""COMPUTED_VALUE"""),"Vacant")</f>
        <v>Vacant</v>
      </c>
      <c r="P272" s="1"/>
      <c r="Q272" s="1"/>
      <c r="R272" s="1"/>
      <c r="S272" s="1" t="str">
        <f ca="1">IFERROR(__xludf.DUMMYFUNCTION("""COMPUTED_VALUE"""),"NO CATS OR DOGS")</f>
        <v>NO CATS OR DOGS</v>
      </c>
      <c r="T272" s="1"/>
      <c r="U272" s="1" t="str">
        <f ca="1">IFERROR(__xludf.DUMMYFUNCTION("""COMPUTED_VALUE"""),"Y")</f>
        <v>Y</v>
      </c>
      <c r="V272" s="1" t="str">
        <f ca="1">IFERROR(__xludf.DUMMYFUNCTION("""COMPUTED_VALUE"""),"Y")</f>
        <v>Y</v>
      </c>
      <c r="W272" s="1"/>
      <c r="X272" s="1"/>
      <c r="Y272" s="1"/>
      <c r="Z272" s="1"/>
      <c r="AA272" s="1"/>
      <c r="AB272" s="1"/>
      <c r="AC272" s="1"/>
    </row>
    <row r="273" spans="1:29">
      <c r="A273" s="1" t="str">
        <f ca="1">IFERROR(__xludf.DUMMYFUNCTION("""COMPUTED_VALUE"""),"110 Hamilton Street")</f>
        <v>110 Hamilton Street</v>
      </c>
      <c r="B273" s="1">
        <f ca="1">IFERROR(__xludf.DUMMYFUNCTION("""COMPUTED_VALUE"""),110)</f>
        <v>110</v>
      </c>
      <c r="C273" s="1" t="str">
        <f ca="1">IFERROR(__xludf.DUMMYFUNCTION("""COMPUTED_VALUE"""),"#2")</f>
        <v>#2</v>
      </c>
      <c r="D273" s="1" t="str">
        <f ca="1">IFERROR(__xludf.DUMMYFUNCTION("""COMPUTED_VALUE"""),"110 Hamilton Street Unit 2")</f>
        <v>110 Hamilton Street Unit 2</v>
      </c>
      <c r="E273" s="1" t="str">
        <f ca="1">IFERROR(__xludf.DUMMYFUNCTION("""COMPUTED_VALUE"""),"Boston")</f>
        <v>Boston</v>
      </c>
      <c r="F273" s="1" t="str">
        <f ca="1">IFERROR(__xludf.DUMMYFUNCTION("""COMPUTED_VALUE"""),"Boston - Dorchester")</f>
        <v>Boston - Dorchester</v>
      </c>
      <c r="G273" s="1">
        <f ca="1">IFERROR(__xludf.DUMMYFUNCTION("""COMPUTED_VALUE"""),1)</f>
        <v>1</v>
      </c>
      <c r="H273" s="1" t="str">
        <f ca="1">IFERROR(__xludf.DUMMYFUNCTION("""COMPUTED_VALUE"""),"A")</f>
        <v>A</v>
      </c>
      <c r="I273" s="4" t="str">
        <f ca="1">IFERROR(__xludf.DUMMYFUNCTION("""COMPUTED_VALUE"""),"110 Hamilton Street#2A")</f>
        <v>110 Hamilton Street#2A</v>
      </c>
      <c r="J273" s="4" t="str">
        <f ca="1">IFERROR(__xludf.DUMMYFUNCTION("""COMPUTED_VALUE"""),"27ef8a3b-7749-42ed-a848-18c843c815f0")</f>
        <v>27ef8a3b-7749-42ed-a848-18c843c815f0</v>
      </c>
      <c r="K273" s="4">
        <f ca="1">IFERROR(__xludf.DUMMYFUNCTION("""COMPUTED_VALUE"""),600)</f>
        <v>600</v>
      </c>
      <c r="L273" s="1" t="str">
        <f ca="1">IFERROR(__xludf.DUMMYFUNCTION("""COMPUTED_VALUE"""),"Cam")</f>
        <v>Cam</v>
      </c>
      <c r="M273" s="1" t="str">
        <f ca="1">IFERROR(__xludf.DUMMYFUNCTION("""COMPUTED_VALUE"""),"")</f>
        <v/>
      </c>
      <c r="N273" s="1" t="str">
        <f ca="1">IFERROR(__xludf.DUMMYFUNCTION("""COMPUTED_VALUE"""),"")</f>
        <v/>
      </c>
      <c r="O273" s="1" t="str">
        <f ca="1">IFERROR(__xludf.DUMMYFUNCTION("""COMPUTED_VALUE"""),"Occupied")</f>
        <v>Occupied</v>
      </c>
      <c r="P273" s="1"/>
      <c r="Q273" s="1"/>
      <c r="R273" s="1"/>
      <c r="S273" s="1" t="str">
        <f ca="1">IFERROR(__xludf.DUMMYFUNCTION("""COMPUTED_VALUE"""),"NO DOGS")</f>
        <v>NO DOGS</v>
      </c>
      <c r="T273" s="1"/>
      <c r="U273" s="1" t="str">
        <f ca="1">IFERROR(__xludf.DUMMYFUNCTION("""COMPUTED_VALUE"""),"Y")</f>
        <v>Y</v>
      </c>
      <c r="V273" s="1" t="str">
        <f ca="1">IFERROR(__xludf.DUMMYFUNCTION("""COMPUTED_VALUE"""),"N")</f>
        <v>N</v>
      </c>
      <c r="W273" s="1"/>
      <c r="X273" s="1"/>
      <c r="Y273" s="1" t="str">
        <f ca="1">IFERROR(__xludf.DUMMYFUNCTION("""COMPUTED_VALUE"""),"Stephen Vaughn")</f>
        <v>Stephen Vaughn</v>
      </c>
      <c r="Z273" s="1" t="str">
        <f ca="1">IFERROR(__xludf.DUMMYFUNCTION("""COMPUTED_VALUE"""),"Stephenvaughnjr04@gmail.com")</f>
        <v>Stephenvaughnjr04@gmail.com</v>
      </c>
      <c r="AA273" s="1"/>
      <c r="AB273" s="1"/>
      <c r="AC273" s="1"/>
    </row>
    <row r="274" spans="1:29">
      <c r="A274" s="1" t="str">
        <f ca="1">IFERROR(__xludf.DUMMYFUNCTION("""COMPUTED_VALUE"""),"110 Hamilton Street")</f>
        <v>110 Hamilton Street</v>
      </c>
      <c r="B274" s="1">
        <f ca="1">IFERROR(__xludf.DUMMYFUNCTION("""COMPUTED_VALUE"""),110)</f>
        <v>110</v>
      </c>
      <c r="C274" s="1" t="str">
        <f ca="1">IFERROR(__xludf.DUMMYFUNCTION("""COMPUTED_VALUE"""),"#2")</f>
        <v>#2</v>
      </c>
      <c r="D274" s="1" t="str">
        <f ca="1">IFERROR(__xludf.DUMMYFUNCTION("""COMPUTED_VALUE"""),"110 Hamilton Street Unit 2")</f>
        <v>110 Hamilton Street Unit 2</v>
      </c>
      <c r="E274" s="1" t="str">
        <f ca="1">IFERROR(__xludf.DUMMYFUNCTION("""COMPUTED_VALUE"""),"Boston")</f>
        <v>Boston</v>
      </c>
      <c r="F274" s="1" t="str">
        <f ca="1">IFERROR(__xludf.DUMMYFUNCTION("""COMPUTED_VALUE"""),"Boston - Dorchester")</f>
        <v>Boston - Dorchester</v>
      </c>
      <c r="G274" s="1">
        <f ca="1">IFERROR(__xludf.DUMMYFUNCTION("""COMPUTED_VALUE"""),2)</f>
        <v>2</v>
      </c>
      <c r="H274" s="1" t="str">
        <f ca="1">IFERROR(__xludf.DUMMYFUNCTION("""COMPUTED_VALUE"""),"B")</f>
        <v>B</v>
      </c>
      <c r="I274" s="4" t="str">
        <f ca="1">IFERROR(__xludf.DUMMYFUNCTION("""COMPUTED_VALUE"""),"110 Hamilton Street#2B")</f>
        <v>110 Hamilton Street#2B</v>
      </c>
      <c r="J274" s="4" t="str">
        <f ca="1">IFERROR(__xludf.DUMMYFUNCTION("""COMPUTED_VALUE"""),"27ef8a3b-7749-42ed-a848-18c843c815f0")</f>
        <v>27ef8a3b-7749-42ed-a848-18c843c815f0</v>
      </c>
      <c r="K274" s="4">
        <f ca="1">IFERROR(__xludf.DUMMYFUNCTION("""COMPUTED_VALUE"""),750)</f>
        <v>750</v>
      </c>
      <c r="L274" s="1" t="str">
        <f ca="1">IFERROR(__xludf.DUMMYFUNCTION("""COMPUTED_VALUE"""),"Cam")</f>
        <v>Cam</v>
      </c>
      <c r="M274" s="1" t="str">
        <f ca="1">IFERROR(__xludf.DUMMYFUNCTION("""COMPUTED_VALUE"""),"")</f>
        <v/>
      </c>
      <c r="N274" s="1" t="str">
        <f ca="1">IFERROR(__xludf.DUMMYFUNCTION("""COMPUTED_VALUE"""),"")</f>
        <v/>
      </c>
      <c r="O274" s="1" t="str">
        <f ca="1">IFERROR(__xludf.DUMMYFUNCTION("""COMPUTED_VALUE"""),"Occupied")</f>
        <v>Occupied</v>
      </c>
      <c r="P274" s="1"/>
      <c r="Q274" s="1"/>
      <c r="R274" s="1"/>
      <c r="S274" s="1" t="str">
        <f ca="1">IFERROR(__xludf.DUMMYFUNCTION("""COMPUTED_VALUE"""),"NO DOGS")</f>
        <v>NO DOGS</v>
      </c>
      <c r="T274" s="1"/>
      <c r="U274" s="1" t="str">
        <f ca="1">IFERROR(__xludf.DUMMYFUNCTION("""COMPUTED_VALUE"""),"Y")</f>
        <v>Y</v>
      </c>
      <c r="V274" s="1" t="str">
        <f ca="1">IFERROR(__xludf.DUMMYFUNCTION("""COMPUTED_VALUE"""),"N")</f>
        <v>N</v>
      </c>
      <c r="W274" s="1"/>
      <c r="X274" s="1"/>
      <c r="Y274" s="1" t="str">
        <f ca="1">IFERROR(__xludf.DUMMYFUNCTION("""COMPUTED_VALUE"""),"Elliot Wallace")</f>
        <v>Elliot Wallace</v>
      </c>
      <c r="Z274" s="1" t="str">
        <f ca="1">IFERROR(__xludf.DUMMYFUNCTION("""COMPUTED_VALUE"""),"elliot.wallace48@gmail.com")</f>
        <v>elliot.wallace48@gmail.com</v>
      </c>
      <c r="AA274" s="1"/>
      <c r="AB274" s="1"/>
      <c r="AC274" s="1"/>
    </row>
    <row r="275" spans="1:29">
      <c r="A275" s="1" t="str">
        <f ca="1">IFERROR(__xludf.DUMMYFUNCTION("""COMPUTED_VALUE"""),"110 Hamilton Street")</f>
        <v>110 Hamilton Street</v>
      </c>
      <c r="B275" s="1">
        <f ca="1">IFERROR(__xludf.DUMMYFUNCTION("""COMPUTED_VALUE"""),110)</f>
        <v>110</v>
      </c>
      <c r="C275" s="1" t="str">
        <f ca="1">IFERROR(__xludf.DUMMYFUNCTION("""COMPUTED_VALUE"""),"#2")</f>
        <v>#2</v>
      </c>
      <c r="D275" s="1" t="str">
        <f ca="1">IFERROR(__xludf.DUMMYFUNCTION("""COMPUTED_VALUE"""),"110 Hamilton Street Unit 2")</f>
        <v>110 Hamilton Street Unit 2</v>
      </c>
      <c r="E275" s="1" t="str">
        <f ca="1">IFERROR(__xludf.DUMMYFUNCTION("""COMPUTED_VALUE"""),"Boston")</f>
        <v>Boston</v>
      </c>
      <c r="F275" s="1" t="str">
        <f ca="1">IFERROR(__xludf.DUMMYFUNCTION("""COMPUTED_VALUE"""),"Boston - Dorchester")</f>
        <v>Boston - Dorchester</v>
      </c>
      <c r="G275" s="1">
        <f ca="1">IFERROR(__xludf.DUMMYFUNCTION("""COMPUTED_VALUE"""),3)</f>
        <v>3</v>
      </c>
      <c r="H275" s="1" t="str">
        <f ca="1">IFERROR(__xludf.DUMMYFUNCTION("""COMPUTED_VALUE"""),"C")</f>
        <v>C</v>
      </c>
      <c r="I275" s="4" t="str">
        <f ca="1">IFERROR(__xludf.DUMMYFUNCTION("""COMPUTED_VALUE"""),"110 Hamilton Street#2C")</f>
        <v>110 Hamilton Street#2C</v>
      </c>
      <c r="J275" s="4" t="str">
        <f ca="1">IFERROR(__xludf.DUMMYFUNCTION("""COMPUTED_VALUE"""),"27ef8a3b-7749-42ed-a848-18c843c815f0")</f>
        <v>27ef8a3b-7749-42ed-a848-18c843c815f0</v>
      </c>
      <c r="K275" s="4">
        <f ca="1">IFERROR(__xludf.DUMMYFUNCTION("""COMPUTED_VALUE"""),700)</f>
        <v>700</v>
      </c>
      <c r="L275" s="1" t="str">
        <f ca="1">IFERROR(__xludf.DUMMYFUNCTION("""COMPUTED_VALUE"""),"Cam")</f>
        <v>Cam</v>
      </c>
      <c r="M275" s="1" t="str">
        <f ca="1">IFERROR(__xludf.DUMMYFUNCTION("""COMPUTED_VALUE"""),"")</f>
        <v/>
      </c>
      <c r="N275" s="1" t="str">
        <f ca="1">IFERROR(__xludf.DUMMYFUNCTION("""COMPUTED_VALUE"""),"")</f>
        <v/>
      </c>
      <c r="O275" s="1" t="str">
        <f ca="1">IFERROR(__xludf.DUMMYFUNCTION("""COMPUTED_VALUE"""),"Occupied")</f>
        <v>Occupied</v>
      </c>
      <c r="P275" s="1"/>
      <c r="Q275" s="1"/>
      <c r="R275" s="1"/>
      <c r="S275" s="1" t="str">
        <f ca="1">IFERROR(__xludf.DUMMYFUNCTION("""COMPUTED_VALUE"""),"NO DOGS")</f>
        <v>NO DOGS</v>
      </c>
      <c r="T275" s="1"/>
      <c r="U275" s="1" t="str">
        <f ca="1">IFERROR(__xludf.DUMMYFUNCTION("""COMPUTED_VALUE"""),"Y")</f>
        <v>Y</v>
      </c>
      <c r="V275" s="1" t="str">
        <f ca="1">IFERROR(__xludf.DUMMYFUNCTION("""COMPUTED_VALUE"""),"N")</f>
        <v>N</v>
      </c>
      <c r="W275" s="1"/>
      <c r="X275" s="1"/>
      <c r="Y275" s="1" t="str">
        <f ca="1">IFERROR(__xludf.DUMMYFUNCTION("""COMPUTED_VALUE"""),"Gabriel Sampedro")</f>
        <v>Gabriel Sampedro</v>
      </c>
      <c r="Z275" s="1" t="str">
        <f ca="1">IFERROR(__xludf.DUMMYFUNCTION("""COMPUTED_VALUE"""),"gabriel_sampedro@emerson.edu")</f>
        <v>gabriel_sampedro@emerson.edu</v>
      </c>
      <c r="AA275" s="1"/>
      <c r="AB275" s="1"/>
      <c r="AC275" s="1"/>
    </row>
    <row r="276" spans="1:29">
      <c r="A276" s="1" t="str">
        <f ca="1">IFERROR(__xludf.DUMMYFUNCTION("""COMPUTED_VALUE"""),"110 Hamilton Street")</f>
        <v>110 Hamilton Street</v>
      </c>
      <c r="B276" s="1">
        <f ca="1">IFERROR(__xludf.DUMMYFUNCTION("""COMPUTED_VALUE"""),110)</f>
        <v>110</v>
      </c>
      <c r="C276" s="1" t="str">
        <f ca="1">IFERROR(__xludf.DUMMYFUNCTION("""COMPUTED_VALUE"""),"#2")</f>
        <v>#2</v>
      </c>
      <c r="D276" s="1" t="str">
        <f ca="1">IFERROR(__xludf.DUMMYFUNCTION("""COMPUTED_VALUE"""),"110 Hamilton Street Unit 2")</f>
        <v>110 Hamilton Street Unit 2</v>
      </c>
      <c r="E276" s="1" t="str">
        <f ca="1">IFERROR(__xludf.DUMMYFUNCTION("""COMPUTED_VALUE"""),"Boston")</f>
        <v>Boston</v>
      </c>
      <c r="F276" s="1" t="str">
        <f ca="1">IFERROR(__xludf.DUMMYFUNCTION("""COMPUTED_VALUE"""),"Boston - Dorchester")</f>
        <v>Boston - Dorchester</v>
      </c>
      <c r="G276" s="1">
        <f ca="1">IFERROR(__xludf.DUMMYFUNCTION("""COMPUTED_VALUE"""),4)</f>
        <v>4</v>
      </c>
      <c r="H276" s="1" t="str">
        <f ca="1">IFERROR(__xludf.DUMMYFUNCTION("""COMPUTED_VALUE"""),"D")</f>
        <v>D</v>
      </c>
      <c r="I276" s="4" t="str">
        <f ca="1">IFERROR(__xludf.DUMMYFUNCTION("""COMPUTED_VALUE"""),"110 Hamilton Street#2D")</f>
        <v>110 Hamilton Street#2D</v>
      </c>
      <c r="J276" s="4" t="str">
        <f ca="1">IFERROR(__xludf.DUMMYFUNCTION("""COMPUTED_VALUE"""),"27ef8a3b-7749-42ed-a848-18c843c815f0")</f>
        <v>27ef8a3b-7749-42ed-a848-18c843c815f0</v>
      </c>
      <c r="K276" s="4">
        <f ca="1">IFERROR(__xludf.DUMMYFUNCTION("""COMPUTED_VALUE"""),695)</f>
        <v>695</v>
      </c>
      <c r="L276" s="1" t="str">
        <f ca="1">IFERROR(__xludf.DUMMYFUNCTION("""COMPUTED_VALUE"""),"Cam")</f>
        <v>Cam</v>
      </c>
      <c r="M276" s="1" t="str">
        <f ca="1">IFERROR(__xludf.DUMMYFUNCTION("""COMPUTED_VALUE"""),"Cam (NOW)")</f>
        <v>Cam (NOW)</v>
      </c>
      <c r="N276" s="1" t="str">
        <f ca="1">IFERROR(__xludf.DUMMYFUNCTION("""COMPUTED_VALUE"""),"")</f>
        <v/>
      </c>
      <c r="O276" s="1" t="str">
        <f ca="1">IFERROR(__xludf.DUMMYFUNCTION("""COMPUTED_VALUE"""),"Vacant")</f>
        <v>Vacant</v>
      </c>
      <c r="P276" s="1"/>
      <c r="Q276" s="1"/>
      <c r="R276" s="1"/>
      <c r="S276" s="1" t="str">
        <f ca="1">IFERROR(__xludf.DUMMYFUNCTION("""COMPUTED_VALUE"""),"NO DOGS")</f>
        <v>NO DOGS</v>
      </c>
      <c r="T276" s="1"/>
      <c r="U276" s="1" t="str">
        <f ca="1">IFERROR(__xludf.DUMMYFUNCTION("""COMPUTED_VALUE"""),"Y")</f>
        <v>Y</v>
      </c>
      <c r="V276" s="1" t="str">
        <f ca="1">IFERROR(__xludf.DUMMYFUNCTION("""COMPUTED_VALUE"""),"N")</f>
        <v>N</v>
      </c>
      <c r="W276" s="1"/>
      <c r="X276" s="1"/>
      <c r="Y276" s="1"/>
      <c r="Z276" s="1"/>
      <c r="AA276" s="1"/>
      <c r="AB276" s="1" t="str">
        <f ca="1">IFERROR(__xludf.DUMMYFUNCTION("""COMPUTED_VALUE"""),"Ana Liz Raposo")</f>
        <v>Ana Liz Raposo</v>
      </c>
      <c r="AC276" s="1"/>
    </row>
    <row r="277" spans="1:29">
      <c r="A277" s="1" t="str">
        <f ca="1">IFERROR(__xludf.DUMMYFUNCTION("""COMPUTED_VALUE"""),"110 Hamilton Street")</f>
        <v>110 Hamilton Street</v>
      </c>
      <c r="B277" s="1">
        <f ca="1">IFERROR(__xludf.DUMMYFUNCTION("""COMPUTED_VALUE"""),110)</f>
        <v>110</v>
      </c>
      <c r="C277" s="1" t="str">
        <f ca="1">IFERROR(__xludf.DUMMYFUNCTION("""COMPUTED_VALUE"""),"#3")</f>
        <v>#3</v>
      </c>
      <c r="D277" s="1" t="str">
        <f ca="1">IFERROR(__xludf.DUMMYFUNCTION("""COMPUTED_VALUE"""),"110 Hamilton Street Unit 3")</f>
        <v>110 Hamilton Street Unit 3</v>
      </c>
      <c r="E277" s="1" t="str">
        <f ca="1">IFERROR(__xludf.DUMMYFUNCTION("""COMPUTED_VALUE"""),"Boston")</f>
        <v>Boston</v>
      </c>
      <c r="F277" s="1" t="str">
        <f ca="1">IFERROR(__xludf.DUMMYFUNCTION("""COMPUTED_VALUE"""),"Boston - Dorchester")</f>
        <v>Boston - Dorchester</v>
      </c>
      <c r="G277" s="1">
        <f ca="1">IFERROR(__xludf.DUMMYFUNCTION("""COMPUTED_VALUE"""),1)</f>
        <v>1</v>
      </c>
      <c r="H277" s="1" t="str">
        <f ca="1">IFERROR(__xludf.DUMMYFUNCTION("""COMPUTED_VALUE"""),"A")</f>
        <v>A</v>
      </c>
      <c r="I277" s="4" t="str">
        <f ca="1">IFERROR(__xludf.DUMMYFUNCTION("""COMPUTED_VALUE"""),"110 Hamilton Street#3A")</f>
        <v>110 Hamilton Street#3A</v>
      </c>
      <c r="J277" s="4" t="str">
        <f ca="1">IFERROR(__xludf.DUMMYFUNCTION("""COMPUTED_VALUE"""),"416107c8-968c-4632-a9a8-6d2995534ffb")</f>
        <v>416107c8-968c-4632-a9a8-6d2995534ffb</v>
      </c>
      <c r="K277" s="4">
        <f ca="1">IFERROR(__xludf.DUMMYFUNCTION("""COMPUTED_VALUE"""),650)</f>
        <v>650</v>
      </c>
      <c r="L277" s="1" t="str">
        <f ca="1">IFERROR(__xludf.DUMMYFUNCTION("""COMPUTED_VALUE"""),"Cam")</f>
        <v>Cam</v>
      </c>
      <c r="M277" s="1" t="str">
        <f ca="1">IFERROR(__xludf.DUMMYFUNCTION("""COMPUTED_VALUE"""),"")</f>
        <v/>
      </c>
      <c r="N277" s="1" t="str">
        <f ca="1">IFERROR(__xludf.DUMMYFUNCTION("""COMPUTED_VALUE"""),"")</f>
        <v/>
      </c>
      <c r="O277" s="1" t="str">
        <f ca="1">IFERROR(__xludf.DUMMYFUNCTION("""COMPUTED_VALUE"""),"Occupied")</f>
        <v>Occupied</v>
      </c>
      <c r="P277" s="1"/>
      <c r="Q277" s="1"/>
      <c r="R277" s="1"/>
      <c r="S277" s="1" t="str">
        <f ca="1">IFERROR(__xludf.DUMMYFUNCTION("""COMPUTED_VALUE"""),"NO DOGS")</f>
        <v>NO DOGS</v>
      </c>
      <c r="T277" s="1"/>
      <c r="U277" s="1" t="str">
        <f ca="1">IFERROR(__xludf.DUMMYFUNCTION("""COMPUTED_VALUE"""),"N")</f>
        <v>N</v>
      </c>
      <c r="V277" s="1" t="str">
        <f ca="1">IFERROR(__xludf.DUMMYFUNCTION("""COMPUTED_VALUE"""),"N")</f>
        <v>N</v>
      </c>
      <c r="W277" s="1"/>
      <c r="X277" s="1"/>
      <c r="Y277" s="1" t="str">
        <f ca="1">IFERROR(__xludf.DUMMYFUNCTION("""COMPUTED_VALUE"""),"Jazmin Cole")</f>
        <v>Jazmin Cole</v>
      </c>
      <c r="Z277" s="1" t="str">
        <f ca="1">IFERROR(__xludf.DUMMYFUNCTION("""COMPUTED_VALUE"""),"jambercole@gmail.com")</f>
        <v>jambercole@gmail.com</v>
      </c>
      <c r="AA277" s="1"/>
      <c r="AB277" s="1"/>
      <c r="AC277" s="1"/>
    </row>
    <row r="278" spans="1:29">
      <c r="A278" s="1" t="str">
        <f ca="1">IFERROR(__xludf.DUMMYFUNCTION("""COMPUTED_VALUE"""),"110 Hamilton Street")</f>
        <v>110 Hamilton Street</v>
      </c>
      <c r="B278" s="1">
        <f ca="1">IFERROR(__xludf.DUMMYFUNCTION("""COMPUTED_VALUE"""),110)</f>
        <v>110</v>
      </c>
      <c r="C278" s="1" t="str">
        <f ca="1">IFERROR(__xludf.DUMMYFUNCTION("""COMPUTED_VALUE"""),"#3")</f>
        <v>#3</v>
      </c>
      <c r="D278" s="1" t="str">
        <f ca="1">IFERROR(__xludf.DUMMYFUNCTION("""COMPUTED_VALUE"""),"110 Hamilton Street Unit 3")</f>
        <v>110 Hamilton Street Unit 3</v>
      </c>
      <c r="E278" s="1" t="str">
        <f ca="1">IFERROR(__xludf.DUMMYFUNCTION("""COMPUTED_VALUE"""),"Boston")</f>
        <v>Boston</v>
      </c>
      <c r="F278" s="1" t="str">
        <f ca="1">IFERROR(__xludf.DUMMYFUNCTION("""COMPUTED_VALUE"""),"Boston - Dorchester")</f>
        <v>Boston - Dorchester</v>
      </c>
      <c r="G278" s="1">
        <f ca="1">IFERROR(__xludf.DUMMYFUNCTION("""COMPUTED_VALUE"""),2)</f>
        <v>2</v>
      </c>
      <c r="H278" s="1" t="str">
        <f ca="1">IFERROR(__xludf.DUMMYFUNCTION("""COMPUTED_VALUE"""),"B")</f>
        <v>B</v>
      </c>
      <c r="I278" s="4" t="str">
        <f ca="1">IFERROR(__xludf.DUMMYFUNCTION("""COMPUTED_VALUE"""),"110 Hamilton Street#3B")</f>
        <v>110 Hamilton Street#3B</v>
      </c>
      <c r="J278" s="4" t="str">
        <f ca="1">IFERROR(__xludf.DUMMYFUNCTION("""COMPUTED_VALUE"""),"416107c8-968c-4632-a9a8-6d2995534ffb")</f>
        <v>416107c8-968c-4632-a9a8-6d2995534ffb</v>
      </c>
      <c r="K278" s="4">
        <f ca="1">IFERROR(__xludf.DUMMYFUNCTION("""COMPUTED_VALUE"""),750)</f>
        <v>750</v>
      </c>
      <c r="L278" s="1" t="str">
        <f ca="1">IFERROR(__xludf.DUMMYFUNCTION("""COMPUTED_VALUE"""),"Cam")</f>
        <v>Cam</v>
      </c>
      <c r="M278" s="1" t="str">
        <f ca="1">IFERROR(__xludf.DUMMYFUNCTION("""COMPUTED_VALUE"""),"")</f>
        <v/>
      </c>
      <c r="N278" s="1" t="str">
        <f ca="1">IFERROR(__xludf.DUMMYFUNCTION("""COMPUTED_VALUE"""),"")</f>
        <v/>
      </c>
      <c r="O278" s="1" t="str">
        <f ca="1">IFERROR(__xludf.DUMMYFUNCTION("""COMPUTED_VALUE"""),"Occupied")</f>
        <v>Occupied</v>
      </c>
      <c r="P278" s="1"/>
      <c r="Q278" s="1"/>
      <c r="R278" s="1"/>
      <c r="S278" s="1" t="str">
        <f ca="1">IFERROR(__xludf.DUMMYFUNCTION("""COMPUTED_VALUE"""),"NO DOGS")</f>
        <v>NO DOGS</v>
      </c>
      <c r="T278" s="1"/>
      <c r="U278" s="1" t="str">
        <f ca="1">IFERROR(__xludf.DUMMYFUNCTION("""COMPUTED_VALUE"""),"N")</f>
        <v>N</v>
      </c>
      <c r="V278" s="1" t="str">
        <f ca="1">IFERROR(__xludf.DUMMYFUNCTION("""COMPUTED_VALUE"""),"N")</f>
        <v>N</v>
      </c>
      <c r="W278" s="1"/>
      <c r="X278" s="1"/>
      <c r="Y278" s="1" t="str">
        <f ca="1">IFERROR(__xludf.DUMMYFUNCTION("""COMPUTED_VALUE"""),"Heather Martell")</f>
        <v>Heather Martell</v>
      </c>
      <c r="Z278" s="1" t="str">
        <f ca="1">IFERROR(__xludf.DUMMYFUNCTION("""COMPUTED_VALUE"""),"heathermmartell@gmail.com")</f>
        <v>heathermmartell@gmail.com</v>
      </c>
      <c r="AA278" s="1"/>
      <c r="AB278" s="1"/>
      <c r="AC278" s="1"/>
    </row>
    <row r="279" spans="1:29">
      <c r="A279" s="1" t="str">
        <f ca="1">IFERROR(__xludf.DUMMYFUNCTION("""COMPUTED_VALUE"""),"110 Hamilton Street")</f>
        <v>110 Hamilton Street</v>
      </c>
      <c r="B279" s="1">
        <f ca="1">IFERROR(__xludf.DUMMYFUNCTION("""COMPUTED_VALUE"""),110)</f>
        <v>110</v>
      </c>
      <c r="C279" s="1" t="str">
        <f ca="1">IFERROR(__xludf.DUMMYFUNCTION("""COMPUTED_VALUE"""),"#3")</f>
        <v>#3</v>
      </c>
      <c r="D279" s="1" t="str">
        <f ca="1">IFERROR(__xludf.DUMMYFUNCTION("""COMPUTED_VALUE"""),"110 Hamilton Street Unit 3")</f>
        <v>110 Hamilton Street Unit 3</v>
      </c>
      <c r="E279" s="1" t="str">
        <f ca="1">IFERROR(__xludf.DUMMYFUNCTION("""COMPUTED_VALUE"""),"Boston")</f>
        <v>Boston</v>
      </c>
      <c r="F279" s="1" t="str">
        <f ca="1">IFERROR(__xludf.DUMMYFUNCTION("""COMPUTED_VALUE"""),"Boston - Dorchester")</f>
        <v>Boston - Dorchester</v>
      </c>
      <c r="G279" s="1">
        <f ca="1">IFERROR(__xludf.DUMMYFUNCTION("""COMPUTED_VALUE"""),3)</f>
        <v>3</v>
      </c>
      <c r="H279" s="1" t="str">
        <f ca="1">IFERROR(__xludf.DUMMYFUNCTION("""COMPUTED_VALUE"""),"C")</f>
        <v>C</v>
      </c>
      <c r="I279" s="4" t="str">
        <f ca="1">IFERROR(__xludf.DUMMYFUNCTION("""COMPUTED_VALUE"""),"110 Hamilton Street#3C")</f>
        <v>110 Hamilton Street#3C</v>
      </c>
      <c r="J279" s="4" t="str">
        <f ca="1">IFERROR(__xludf.DUMMYFUNCTION("""COMPUTED_VALUE"""),"416107c8-968c-4632-a9a8-6d2995534ffb")</f>
        <v>416107c8-968c-4632-a9a8-6d2995534ffb</v>
      </c>
      <c r="K279" s="4">
        <f ca="1">IFERROR(__xludf.DUMMYFUNCTION("""COMPUTED_VALUE"""),650)</f>
        <v>650</v>
      </c>
      <c r="L279" s="1" t="str">
        <f ca="1">IFERROR(__xludf.DUMMYFUNCTION("""COMPUTED_VALUE"""),"Cam")</f>
        <v>Cam</v>
      </c>
      <c r="M279" s="1" t="str">
        <f ca="1">IFERROR(__xludf.DUMMYFUNCTION("""COMPUTED_VALUE"""),"")</f>
        <v/>
      </c>
      <c r="N279" s="1" t="str">
        <f ca="1">IFERROR(__xludf.DUMMYFUNCTION("""COMPUTED_VALUE"""),"")</f>
        <v/>
      </c>
      <c r="O279" s="1" t="str">
        <f ca="1">IFERROR(__xludf.DUMMYFUNCTION("""COMPUTED_VALUE"""),"Occupied")</f>
        <v>Occupied</v>
      </c>
      <c r="P279" s="1"/>
      <c r="Q279" s="1"/>
      <c r="R279" s="1"/>
      <c r="S279" s="1" t="str">
        <f ca="1">IFERROR(__xludf.DUMMYFUNCTION("""COMPUTED_VALUE"""),"NO DOGS")</f>
        <v>NO DOGS</v>
      </c>
      <c r="T279" s="1"/>
      <c r="U279" s="1" t="str">
        <f ca="1">IFERROR(__xludf.DUMMYFUNCTION("""COMPUTED_VALUE"""),"N")</f>
        <v>N</v>
      </c>
      <c r="V279" s="1" t="str">
        <f ca="1">IFERROR(__xludf.DUMMYFUNCTION("""COMPUTED_VALUE"""),"N")</f>
        <v>N</v>
      </c>
      <c r="W279" s="1"/>
      <c r="X279" s="1"/>
      <c r="Y279" s="1" t="str">
        <f ca="1">IFERROR(__xludf.DUMMYFUNCTION("""COMPUTED_VALUE"""),"Adrian Fisher")</f>
        <v>Adrian Fisher</v>
      </c>
      <c r="Z279" s="1" t="str">
        <f ca="1">IFERROR(__xludf.DUMMYFUNCTION("""COMPUTED_VALUE"""),"adrianf2107@icloud.com")</f>
        <v>adrianf2107@icloud.com</v>
      </c>
      <c r="AA279" s="1"/>
      <c r="AB279" s="1"/>
      <c r="AC279" s="1"/>
    </row>
    <row r="280" spans="1:29">
      <c r="A280" s="1" t="str">
        <f ca="1">IFERROR(__xludf.DUMMYFUNCTION("""COMPUTED_VALUE"""),"110 Hamilton Street")</f>
        <v>110 Hamilton Street</v>
      </c>
      <c r="B280" s="1">
        <f ca="1">IFERROR(__xludf.DUMMYFUNCTION("""COMPUTED_VALUE"""),110)</f>
        <v>110</v>
      </c>
      <c r="C280" s="1" t="str">
        <f ca="1">IFERROR(__xludf.DUMMYFUNCTION("""COMPUTED_VALUE"""),"#3")</f>
        <v>#3</v>
      </c>
      <c r="D280" s="1" t="str">
        <f ca="1">IFERROR(__xludf.DUMMYFUNCTION("""COMPUTED_VALUE"""),"110 Hamilton Street Unit 3")</f>
        <v>110 Hamilton Street Unit 3</v>
      </c>
      <c r="E280" s="1" t="str">
        <f ca="1">IFERROR(__xludf.DUMMYFUNCTION("""COMPUTED_VALUE"""),"Boston")</f>
        <v>Boston</v>
      </c>
      <c r="F280" s="1" t="str">
        <f ca="1">IFERROR(__xludf.DUMMYFUNCTION("""COMPUTED_VALUE"""),"Boston - Dorchester")</f>
        <v>Boston - Dorchester</v>
      </c>
      <c r="G280" s="1">
        <f ca="1">IFERROR(__xludf.DUMMYFUNCTION("""COMPUTED_VALUE"""),4)</f>
        <v>4</v>
      </c>
      <c r="H280" s="1" t="str">
        <f ca="1">IFERROR(__xludf.DUMMYFUNCTION("""COMPUTED_VALUE"""),"D")</f>
        <v>D</v>
      </c>
      <c r="I280" s="4" t="str">
        <f ca="1">IFERROR(__xludf.DUMMYFUNCTION("""COMPUTED_VALUE"""),"110 Hamilton Street#3D")</f>
        <v>110 Hamilton Street#3D</v>
      </c>
      <c r="J280" s="4" t="str">
        <f ca="1">IFERROR(__xludf.DUMMYFUNCTION("""COMPUTED_VALUE"""),"416107c8-968c-4632-a9a8-6d2995534ffb")</f>
        <v>416107c8-968c-4632-a9a8-6d2995534ffb</v>
      </c>
      <c r="K280" s="4">
        <f ca="1">IFERROR(__xludf.DUMMYFUNCTION("""COMPUTED_VALUE"""),775)</f>
        <v>775</v>
      </c>
      <c r="L280" s="1" t="str">
        <f ca="1">IFERROR(__xludf.DUMMYFUNCTION("""COMPUTED_VALUE"""),"Cam")</f>
        <v>Cam</v>
      </c>
      <c r="M280" s="1" t="str">
        <f ca="1">IFERROR(__xludf.DUMMYFUNCTION("""COMPUTED_VALUE"""),"")</f>
        <v/>
      </c>
      <c r="N280" s="1" t="str">
        <f ca="1">IFERROR(__xludf.DUMMYFUNCTION("""COMPUTED_VALUE"""),"")</f>
        <v/>
      </c>
      <c r="O280" s="1" t="str">
        <f ca="1">IFERROR(__xludf.DUMMYFUNCTION("""COMPUTED_VALUE"""),"Occupied")</f>
        <v>Occupied</v>
      </c>
      <c r="P280" s="1"/>
      <c r="Q280" s="1"/>
      <c r="R280" s="1"/>
      <c r="S280" s="1" t="str">
        <f ca="1">IFERROR(__xludf.DUMMYFUNCTION("""COMPUTED_VALUE"""),"NO DOGS")</f>
        <v>NO DOGS</v>
      </c>
      <c r="T280" s="1"/>
      <c r="U280" s="1" t="str">
        <f ca="1">IFERROR(__xludf.DUMMYFUNCTION("""COMPUTED_VALUE"""),"N")</f>
        <v>N</v>
      </c>
      <c r="V280" s="1" t="str">
        <f ca="1">IFERROR(__xludf.DUMMYFUNCTION("""COMPUTED_VALUE"""),"N")</f>
        <v>N</v>
      </c>
      <c r="W280" s="1"/>
      <c r="X280" s="1"/>
      <c r="Y280" s="1" t="str">
        <f ca="1">IFERROR(__xludf.DUMMYFUNCTION("""COMPUTED_VALUE"""),"Bersh Marius")</f>
        <v>Bersh Marius</v>
      </c>
      <c r="Z280" s="1" t="str">
        <f ca="1">IFERROR(__xludf.DUMMYFUNCTION("""COMPUTED_VALUE"""),"bershm14@gmail.com")</f>
        <v>bershm14@gmail.com</v>
      </c>
      <c r="AA280" s="1"/>
      <c r="AB280" s="1"/>
      <c r="AC280" s="1"/>
    </row>
    <row r="281" spans="1:29">
      <c r="A281" s="1" t="str">
        <f ca="1">IFERROR(__xludf.DUMMYFUNCTION("""COMPUTED_VALUE"""),"114 Thornton Street")</f>
        <v>114 Thornton Street</v>
      </c>
      <c r="B281" s="1">
        <f ca="1">IFERROR(__xludf.DUMMYFUNCTION("""COMPUTED_VALUE"""),114)</f>
        <v>114</v>
      </c>
      <c r="C281" s="1" t="str">
        <f ca="1">IFERROR(__xludf.DUMMYFUNCTION("""COMPUTED_VALUE"""),"#1")</f>
        <v>#1</v>
      </c>
      <c r="D281" s="1" t="str">
        <f ca="1">IFERROR(__xludf.DUMMYFUNCTION("""COMPUTED_VALUE"""),"114 Thornton Street Unit 1")</f>
        <v>114 Thornton Street Unit 1</v>
      </c>
      <c r="E281" s="1" t="str">
        <f ca="1">IFERROR(__xludf.DUMMYFUNCTION("""COMPUTED_VALUE"""),"Boston")</f>
        <v>Boston</v>
      </c>
      <c r="F281" s="1" t="str">
        <f ca="1">IFERROR(__xludf.DUMMYFUNCTION("""COMPUTED_VALUE"""),"Boston - Nubian Square")</f>
        <v>Boston - Nubian Square</v>
      </c>
      <c r="G281" s="1">
        <f ca="1">IFERROR(__xludf.DUMMYFUNCTION("""COMPUTED_VALUE"""),1)</f>
        <v>1</v>
      </c>
      <c r="H281" s="1" t="str">
        <f ca="1">IFERROR(__xludf.DUMMYFUNCTION("""COMPUTED_VALUE"""),"A")</f>
        <v>A</v>
      </c>
      <c r="I281" s="4" t="str">
        <f ca="1">IFERROR(__xludf.DUMMYFUNCTION("""COMPUTED_VALUE"""),"114 Thornton Street#1A")</f>
        <v>114 Thornton Street#1A</v>
      </c>
      <c r="J281" s="4" t="str">
        <f ca="1">IFERROR(__xludf.DUMMYFUNCTION("""COMPUTED_VALUE"""),"1277068a-0482-4f9c-9d34-de183aa4baa9")</f>
        <v>1277068a-0482-4f9c-9d34-de183aa4baa9</v>
      </c>
      <c r="K281" s="4">
        <f ca="1">IFERROR(__xludf.DUMMYFUNCTION("""COMPUTED_VALUE"""),1075)</f>
        <v>1075</v>
      </c>
      <c r="L281" s="1" t="str">
        <f ca="1">IFERROR(__xludf.DUMMYFUNCTION("""COMPUTED_VALUE"""),"Cam")</f>
        <v>Cam</v>
      </c>
      <c r="M281" s="1" t="str">
        <f ca="1">IFERROR(__xludf.DUMMYFUNCTION("""COMPUTED_VALUE"""),"Cam (later)")</f>
        <v>Cam (later)</v>
      </c>
      <c r="N281" s="1" t="str">
        <f ca="1">IFERROR(__xludf.DUMMYFUNCTION("""COMPUTED_VALUE"""),"")</f>
        <v/>
      </c>
      <c r="O281" s="1" t="str">
        <f ca="1">IFERROR(__xludf.DUMMYFUNCTION("""COMPUTED_VALUE"""),"Upcoming Vacancy")</f>
        <v>Upcoming Vacancy</v>
      </c>
      <c r="P281" s="1" t="str">
        <f ca="1">IFERROR(__xludf.DUMMYFUNCTION("""COMPUTED_VALUE"""),"April")</f>
        <v>April</v>
      </c>
      <c r="Q281" s="3">
        <f ca="1">IFERROR(__xludf.DUMMYFUNCTION("""COMPUTED_VALUE"""),43921)</f>
        <v>43921</v>
      </c>
      <c r="R281" s="1"/>
      <c r="S281" s="1"/>
      <c r="T281" s="1"/>
      <c r="U281" s="1" t="str">
        <f ca="1">IFERROR(__xludf.DUMMYFUNCTION("""COMPUTED_VALUE"""),"Y")</f>
        <v>Y</v>
      </c>
      <c r="V281" s="1" t="str">
        <f ca="1">IFERROR(__xludf.DUMMYFUNCTION("""COMPUTED_VALUE"""),"N")</f>
        <v>N</v>
      </c>
      <c r="W281" s="1"/>
      <c r="X281" s="1"/>
      <c r="Y281" s="1" t="str">
        <f ca="1">IFERROR(__xludf.DUMMYFUNCTION("""COMPUTED_VALUE"""),"Lucas Vergara")</f>
        <v>Lucas Vergara</v>
      </c>
      <c r="Z281" s="1" t="str">
        <f ca="1">IFERROR(__xludf.DUMMYFUNCTION("""COMPUTED_VALUE"""),"lucasv98@gmail.com")</f>
        <v>lucasv98@gmail.com</v>
      </c>
      <c r="AA281" s="1"/>
      <c r="AB281" s="1"/>
      <c r="AC281" s="1" t="str">
        <f ca="1">IFERROR(__xludf.DUMMYFUNCTION("""COMPUTED_VALUE"""),"waiting for deposit")</f>
        <v>waiting for deposit</v>
      </c>
    </row>
    <row r="282" spans="1:29">
      <c r="A282" s="1" t="str">
        <f ca="1">IFERROR(__xludf.DUMMYFUNCTION("""COMPUTED_VALUE"""),"114 Thornton Street")</f>
        <v>114 Thornton Street</v>
      </c>
      <c r="B282" s="1">
        <f ca="1">IFERROR(__xludf.DUMMYFUNCTION("""COMPUTED_VALUE"""),114)</f>
        <v>114</v>
      </c>
      <c r="C282" s="1" t="str">
        <f ca="1">IFERROR(__xludf.DUMMYFUNCTION("""COMPUTED_VALUE"""),"#1")</f>
        <v>#1</v>
      </c>
      <c r="D282" s="1" t="str">
        <f ca="1">IFERROR(__xludf.DUMMYFUNCTION("""COMPUTED_VALUE"""),"114 Thornton Street Unit 1")</f>
        <v>114 Thornton Street Unit 1</v>
      </c>
      <c r="E282" s="1" t="str">
        <f ca="1">IFERROR(__xludf.DUMMYFUNCTION("""COMPUTED_VALUE"""),"Boston")</f>
        <v>Boston</v>
      </c>
      <c r="F282" s="1" t="str">
        <f ca="1">IFERROR(__xludf.DUMMYFUNCTION("""COMPUTED_VALUE"""),"Boston - Nubian Square")</f>
        <v>Boston - Nubian Square</v>
      </c>
      <c r="G282" s="1">
        <f ca="1">IFERROR(__xludf.DUMMYFUNCTION("""COMPUTED_VALUE"""),2)</f>
        <v>2</v>
      </c>
      <c r="H282" s="1" t="str">
        <f ca="1">IFERROR(__xludf.DUMMYFUNCTION("""COMPUTED_VALUE"""),"B")</f>
        <v>B</v>
      </c>
      <c r="I282" s="4" t="str">
        <f ca="1">IFERROR(__xludf.DUMMYFUNCTION("""COMPUTED_VALUE"""),"114 Thornton Street#1B")</f>
        <v>114 Thornton Street#1B</v>
      </c>
      <c r="J282" s="4" t="str">
        <f ca="1">IFERROR(__xludf.DUMMYFUNCTION("""COMPUTED_VALUE"""),"1277068a-0482-4f9c-9d34-de183aa4baa9")</f>
        <v>1277068a-0482-4f9c-9d34-de183aa4baa9</v>
      </c>
      <c r="K282" s="4">
        <f ca="1">IFERROR(__xludf.DUMMYFUNCTION("""COMPUTED_VALUE"""),950)</f>
        <v>950</v>
      </c>
      <c r="L282" s="1" t="str">
        <f ca="1">IFERROR(__xludf.DUMMYFUNCTION("""COMPUTED_VALUE"""),"Cam")</f>
        <v>Cam</v>
      </c>
      <c r="M282" s="1" t="str">
        <f ca="1">IFERROR(__xludf.DUMMYFUNCTION("""COMPUTED_VALUE"""),"")</f>
        <v/>
      </c>
      <c r="N282" s="1" t="str">
        <f ca="1">IFERROR(__xludf.DUMMYFUNCTION("""COMPUTED_VALUE"""),"")</f>
        <v/>
      </c>
      <c r="O282" s="1" t="str">
        <f ca="1">IFERROR(__xludf.DUMMYFUNCTION("""COMPUTED_VALUE"""),"Occupied")</f>
        <v>Occupied</v>
      </c>
      <c r="P282" s="1"/>
      <c r="Q282" s="1"/>
      <c r="R282" s="1"/>
      <c r="S282" s="1"/>
      <c r="T282" s="1"/>
      <c r="U282" s="1" t="str">
        <f ca="1">IFERROR(__xludf.DUMMYFUNCTION("""COMPUTED_VALUE"""),"Y")</f>
        <v>Y</v>
      </c>
      <c r="V282" s="1" t="str">
        <f ca="1">IFERROR(__xludf.DUMMYFUNCTION("""COMPUTED_VALUE"""),"N")</f>
        <v>N</v>
      </c>
      <c r="W282" s="1"/>
      <c r="X282" s="1"/>
      <c r="Y282" s="1" t="str">
        <f ca="1">IFERROR(__xludf.DUMMYFUNCTION("""COMPUTED_VALUE"""),"Muhammad Anadil Saeed Rao")</f>
        <v>Muhammad Anadil Saeed Rao</v>
      </c>
      <c r="Z282" s="1" t="str">
        <f ca="1">IFERROR(__xludf.DUMMYFUNCTION("""COMPUTED_VALUE"""),"rao.mu@northeastern.edu")</f>
        <v>rao.mu@northeastern.edu</v>
      </c>
      <c r="AA282" s="1"/>
      <c r="AB282" s="1"/>
      <c r="AC282" s="1"/>
    </row>
    <row r="283" spans="1:29">
      <c r="A283" s="1" t="str">
        <f ca="1">IFERROR(__xludf.DUMMYFUNCTION("""COMPUTED_VALUE"""),"114 Thornton Street")</f>
        <v>114 Thornton Street</v>
      </c>
      <c r="B283" s="1">
        <f ca="1">IFERROR(__xludf.DUMMYFUNCTION("""COMPUTED_VALUE"""),114)</f>
        <v>114</v>
      </c>
      <c r="C283" s="1" t="str">
        <f ca="1">IFERROR(__xludf.DUMMYFUNCTION("""COMPUTED_VALUE"""),"#1")</f>
        <v>#1</v>
      </c>
      <c r="D283" s="1" t="str">
        <f ca="1">IFERROR(__xludf.DUMMYFUNCTION("""COMPUTED_VALUE"""),"114 Thornton Street Unit 1")</f>
        <v>114 Thornton Street Unit 1</v>
      </c>
      <c r="E283" s="1" t="str">
        <f ca="1">IFERROR(__xludf.DUMMYFUNCTION("""COMPUTED_VALUE"""),"Boston")</f>
        <v>Boston</v>
      </c>
      <c r="F283" s="1" t="str">
        <f ca="1">IFERROR(__xludf.DUMMYFUNCTION("""COMPUTED_VALUE"""),"Boston - Nubian Square")</f>
        <v>Boston - Nubian Square</v>
      </c>
      <c r="G283" s="1">
        <f ca="1">IFERROR(__xludf.DUMMYFUNCTION("""COMPUTED_VALUE"""),3)</f>
        <v>3</v>
      </c>
      <c r="H283" s="1" t="str">
        <f ca="1">IFERROR(__xludf.DUMMYFUNCTION("""COMPUTED_VALUE"""),"C")</f>
        <v>C</v>
      </c>
      <c r="I283" s="4" t="str">
        <f ca="1">IFERROR(__xludf.DUMMYFUNCTION("""COMPUTED_VALUE"""),"114 Thornton Street#1C")</f>
        <v>114 Thornton Street#1C</v>
      </c>
      <c r="J283" s="4" t="str">
        <f ca="1">IFERROR(__xludf.DUMMYFUNCTION("""COMPUTED_VALUE"""),"1277068a-0482-4f9c-9d34-de183aa4baa9")</f>
        <v>1277068a-0482-4f9c-9d34-de183aa4baa9</v>
      </c>
      <c r="K283" s="4">
        <f ca="1">IFERROR(__xludf.DUMMYFUNCTION("""COMPUTED_VALUE"""),795)</f>
        <v>795</v>
      </c>
      <c r="L283" s="1" t="str">
        <f ca="1">IFERROR(__xludf.DUMMYFUNCTION("""COMPUTED_VALUE"""),"Cam")</f>
        <v>Cam</v>
      </c>
      <c r="M283" s="1" t="str">
        <f ca="1">IFERROR(__xludf.DUMMYFUNCTION("""COMPUTED_VALUE"""),"Cam (NOW)")</f>
        <v>Cam (NOW)</v>
      </c>
      <c r="N283" s="1" t="str">
        <f ca="1">IFERROR(__xludf.DUMMYFUNCTION("""COMPUTED_VALUE"""),"")</f>
        <v/>
      </c>
      <c r="O283" s="1" t="str">
        <f ca="1">IFERROR(__xludf.DUMMYFUNCTION("""COMPUTED_VALUE"""),"Vacant")</f>
        <v>Vacant</v>
      </c>
      <c r="P283" s="1"/>
      <c r="Q283" s="1"/>
      <c r="R283" s="1"/>
      <c r="S283" s="1"/>
      <c r="T283" s="1"/>
      <c r="U283" s="1" t="str">
        <f ca="1">IFERROR(__xludf.DUMMYFUNCTION("""COMPUTED_VALUE"""),"Y")</f>
        <v>Y</v>
      </c>
      <c r="V283" s="1" t="str">
        <f ca="1">IFERROR(__xludf.DUMMYFUNCTION("""COMPUTED_VALUE"""),"N")</f>
        <v>N</v>
      </c>
      <c r="W283" s="1"/>
      <c r="X283" s="1"/>
      <c r="Y283" s="1"/>
      <c r="Z283" s="1"/>
      <c r="AA283" s="1"/>
      <c r="AB283" s="1"/>
      <c r="AC283" s="1"/>
    </row>
    <row r="284" spans="1:29">
      <c r="A284" s="1" t="str">
        <f ca="1">IFERROR(__xludf.DUMMYFUNCTION("""COMPUTED_VALUE"""),"114 Thornton Street")</f>
        <v>114 Thornton Street</v>
      </c>
      <c r="B284" s="1">
        <f ca="1">IFERROR(__xludf.DUMMYFUNCTION("""COMPUTED_VALUE"""),114)</f>
        <v>114</v>
      </c>
      <c r="C284" s="1" t="str">
        <f ca="1">IFERROR(__xludf.DUMMYFUNCTION("""COMPUTED_VALUE"""),"#1")</f>
        <v>#1</v>
      </c>
      <c r="D284" s="1" t="str">
        <f ca="1">IFERROR(__xludf.DUMMYFUNCTION("""COMPUTED_VALUE"""),"114 Thornton Street Unit 1")</f>
        <v>114 Thornton Street Unit 1</v>
      </c>
      <c r="E284" s="1" t="str">
        <f ca="1">IFERROR(__xludf.DUMMYFUNCTION("""COMPUTED_VALUE"""),"Boston")</f>
        <v>Boston</v>
      </c>
      <c r="F284" s="1" t="str">
        <f ca="1">IFERROR(__xludf.DUMMYFUNCTION("""COMPUTED_VALUE"""),"Boston - Nubian Square")</f>
        <v>Boston - Nubian Square</v>
      </c>
      <c r="G284" s="1">
        <f ca="1">IFERROR(__xludf.DUMMYFUNCTION("""COMPUTED_VALUE"""),4)</f>
        <v>4</v>
      </c>
      <c r="H284" s="1" t="str">
        <f ca="1">IFERROR(__xludf.DUMMYFUNCTION("""COMPUTED_VALUE"""),"D")</f>
        <v>D</v>
      </c>
      <c r="I284" s="4" t="str">
        <f ca="1">IFERROR(__xludf.DUMMYFUNCTION("""COMPUTED_VALUE"""),"114 Thornton Street#1D")</f>
        <v>114 Thornton Street#1D</v>
      </c>
      <c r="J284" s="4" t="str">
        <f ca="1">IFERROR(__xludf.DUMMYFUNCTION("""COMPUTED_VALUE"""),"1277068a-0482-4f9c-9d34-de183aa4baa9")</f>
        <v>1277068a-0482-4f9c-9d34-de183aa4baa9</v>
      </c>
      <c r="K284" s="4">
        <f ca="1">IFERROR(__xludf.DUMMYFUNCTION("""COMPUTED_VALUE"""),995)</f>
        <v>995</v>
      </c>
      <c r="L284" s="1" t="str">
        <f ca="1">IFERROR(__xludf.DUMMYFUNCTION("""COMPUTED_VALUE"""),"Cam")</f>
        <v>Cam</v>
      </c>
      <c r="M284" s="1" t="str">
        <f ca="1">IFERROR(__xludf.DUMMYFUNCTION("""COMPUTED_VALUE"""),"")</f>
        <v/>
      </c>
      <c r="N284" s="1" t="str">
        <f ca="1">IFERROR(__xludf.DUMMYFUNCTION("""COMPUTED_VALUE"""),"")</f>
        <v/>
      </c>
      <c r="O284" s="1" t="str">
        <f ca="1">IFERROR(__xludf.DUMMYFUNCTION("""COMPUTED_VALUE"""),"Occupied")</f>
        <v>Occupied</v>
      </c>
      <c r="P284" s="1"/>
      <c r="Q284" s="1"/>
      <c r="R284" s="1"/>
      <c r="S284" s="1"/>
      <c r="T284" s="1"/>
      <c r="U284" s="1" t="str">
        <f ca="1">IFERROR(__xludf.DUMMYFUNCTION("""COMPUTED_VALUE"""),"Y")</f>
        <v>Y</v>
      </c>
      <c r="V284" s="1" t="str">
        <f ca="1">IFERROR(__xludf.DUMMYFUNCTION("""COMPUTED_VALUE"""),"N")</f>
        <v>N</v>
      </c>
      <c r="W284" s="1"/>
      <c r="X284" s="1"/>
      <c r="Y284" s="1" t="str">
        <f ca="1">IFERROR(__xludf.DUMMYFUNCTION("""COMPUTED_VALUE"""),"Theodore Wiklund")</f>
        <v>Theodore Wiklund</v>
      </c>
      <c r="Z284" s="1" t="str">
        <f ca="1">IFERROR(__xludf.DUMMYFUNCTION("""COMPUTED_VALUE"""),"wiklund.t@northeastern.edu")</f>
        <v>wiklund.t@northeastern.edu</v>
      </c>
      <c r="AA284" s="1"/>
      <c r="AB284" s="1"/>
      <c r="AC284" s="1"/>
    </row>
    <row r="285" spans="1:29">
      <c r="A285" s="1" t="str">
        <f ca="1">IFERROR(__xludf.DUMMYFUNCTION("""COMPUTED_VALUE"""),"116 Thornton Street")</f>
        <v>116 Thornton Street</v>
      </c>
      <c r="B285" s="1">
        <f ca="1">IFERROR(__xludf.DUMMYFUNCTION("""COMPUTED_VALUE"""),116)</f>
        <v>116</v>
      </c>
      <c r="C285" s="1" t="str">
        <f ca="1">IFERROR(__xludf.DUMMYFUNCTION("""COMPUTED_VALUE"""),"#2")</f>
        <v>#2</v>
      </c>
      <c r="D285" s="1" t="str">
        <f ca="1">IFERROR(__xludf.DUMMYFUNCTION("""COMPUTED_VALUE"""),"116 Thornton Street Unit 2")</f>
        <v>116 Thornton Street Unit 2</v>
      </c>
      <c r="E285" s="1" t="str">
        <f ca="1">IFERROR(__xludf.DUMMYFUNCTION("""COMPUTED_VALUE"""),"Boston")</f>
        <v>Boston</v>
      </c>
      <c r="F285" s="1" t="str">
        <f ca="1">IFERROR(__xludf.DUMMYFUNCTION("""COMPUTED_VALUE"""),"Boston - Nubian Square")</f>
        <v>Boston - Nubian Square</v>
      </c>
      <c r="G285" s="1">
        <f ca="1">IFERROR(__xludf.DUMMYFUNCTION("""COMPUTED_VALUE"""),1)</f>
        <v>1</v>
      </c>
      <c r="H285" s="1" t="str">
        <f ca="1">IFERROR(__xludf.DUMMYFUNCTION("""COMPUTED_VALUE"""),"A")</f>
        <v>A</v>
      </c>
      <c r="I285" s="4" t="str">
        <f ca="1">IFERROR(__xludf.DUMMYFUNCTION("""COMPUTED_VALUE"""),"116 Thornton Street#2A")</f>
        <v>116 Thornton Street#2A</v>
      </c>
      <c r="J285" s="4" t="str">
        <f ca="1">IFERROR(__xludf.DUMMYFUNCTION("""COMPUTED_VALUE"""),"0f4c4894-154f-45d0-b18e-9af4b57dca66")</f>
        <v>0f4c4894-154f-45d0-b18e-9af4b57dca66</v>
      </c>
      <c r="K285" s="4">
        <f ca="1">IFERROR(__xludf.DUMMYFUNCTION("""COMPUTED_VALUE"""),995)</f>
        <v>995</v>
      </c>
      <c r="L285" s="1" t="str">
        <f ca="1">IFERROR(__xludf.DUMMYFUNCTION("""COMPUTED_VALUE"""),"Cam")</f>
        <v>Cam</v>
      </c>
      <c r="M285" s="1" t="str">
        <f ca="1">IFERROR(__xludf.DUMMYFUNCTION("""COMPUTED_VALUE"""),"")</f>
        <v/>
      </c>
      <c r="N285" s="1" t="str">
        <f ca="1">IFERROR(__xludf.DUMMYFUNCTION("""COMPUTED_VALUE"""),"")</f>
        <v/>
      </c>
      <c r="O285" s="1" t="str">
        <f ca="1">IFERROR(__xludf.DUMMYFUNCTION("""COMPUTED_VALUE"""),"Lease Signed")</f>
        <v>Lease Signed</v>
      </c>
      <c r="P285" s="1" t="str">
        <f ca="1">IFERROR(__xludf.DUMMYFUNCTION("""COMPUTED_VALUE"""),"January")</f>
        <v>January</v>
      </c>
      <c r="Q285" s="1"/>
      <c r="R285" s="5">
        <f ca="1">IFERROR(__xludf.DUMMYFUNCTION("""COMPUTED_VALUE"""),44204)</f>
        <v>44204</v>
      </c>
      <c r="S285" s="1"/>
      <c r="T285" s="1"/>
      <c r="U285" s="1" t="str">
        <f ca="1">IFERROR(__xludf.DUMMYFUNCTION("""COMPUTED_VALUE"""),"Y")</f>
        <v>Y</v>
      </c>
      <c r="V285" s="1" t="str">
        <f ca="1">IFERROR(__xludf.DUMMYFUNCTION("""COMPUTED_VALUE"""),"N")</f>
        <v>N</v>
      </c>
      <c r="W285" s="1" t="str">
        <f ca="1">IFERROR(__xludf.DUMMYFUNCTION("""COMPUTED_VALUE"""),"Bernadette Burks")</f>
        <v>Bernadette Burks</v>
      </c>
      <c r="X285" s="1" t="str">
        <f ca="1">IFERROR(__xludf.DUMMYFUNCTION("""COMPUTED_VALUE"""),"burksbf@gmail.com")</f>
        <v>burksbf@gmail.com</v>
      </c>
      <c r="Y285" s="1"/>
      <c r="Z285" s="1"/>
      <c r="AA285" s="1"/>
      <c r="AB285" s="1"/>
      <c r="AC285" s="1"/>
    </row>
    <row r="286" spans="1:29">
      <c r="A286" s="1" t="str">
        <f ca="1">IFERROR(__xludf.DUMMYFUNCTION("""COMPUTED_VALUE"""),"116 Thornton Street")</f>
        <v>116 Thornton Street</v>
      </c>
      <c r="B286" s="1">
        <f ca="1">IFERROR(__xludf.DUMMYFUNCTION("""COMPUTED_VALUE"""),116)</f>
        <v>116</v>
      </c>
      <c r="C286" s="1" t="str">
        <f ca="1">IFERROR(__xludf.DUMMYFUNCTION("""COMPUTED_VALUE"""),"#2")</f>
        <v>#2</v>
      </c>
      <c r="D286" s="1" t="str">
        <f ca="1">IFERROR(__xludf.DUMMYFUNCTION("""COMPUTED_VALUE"""),"116 Thornton Street Unit 2")</f>
        <v>116 Thornton Street Unit 2</v>
      </c>
      <c r="E286" s="1" t="str">
        <f ca="1">IFERROR(__xludf.DUMMYFUNCTION("""COMPUTED_VALUE"""),"Boston")</f>
        <v>Boston</v>
      </c>
      <c r="F286" s="1" t="str">
        <f ca="1">IFERROR(__xludf.DUMMYFUNCTION("""COMPUTED_VALUE"""),"Boston - Nubian Square")</f>
        <v>Boston - Nubian Square</v>
      </c>
      <c r="G286" s="1">
        <f ca="1">IFERROR(__xludf.DUMMYFUNCTION("""COMPUTED_VALUE"""),2)</f>
        <v>2</v>
      </c>
      <c r="H286" s="1" t="str">
        <f ca="1">IFERROR(__xludf.DUMMYFUNCTION("""COMPUTED_VALUE"""),"B")</f>
        <v>B</v>
      </c>
      <c r="I286" s="4" t="str">
        <f ca="1">IFERROR(__xludf.DUMMYFUNCTION("""COMPUTED_VALUE"""),"116 Thornton Street#2B")</f>
        <v>116 Thornton Street#2B</v>
      </c>
      <c r="J286" s="4" t="str">
        <f ca="1">IFERROR(__xludf.DUMMYFUNCTION("""COMPUTED_VALUE"""),"0f4c4894-154f-45d0-b18e-9af4b57dca66")</f>
        <v>0f4c4894-154f-45d0-b18e-9af4b57dca66</v>
      </c>
      <c r="K286" s="4">
        <f ca="1">IFERROR(__xludf.DUMMYFUNCTION("""COMPUTED_VALUE"""),695)</f>
        <v>695</v>
      </c>
      <c r="L286" s="1" t="str">
        <f ca="1">IFERROR(__xludf.DUMMYFUNCTION("""COMPUTED_VALUE"""),"Cam")</f>
        <v>Cam</v>
      </c>
      <c r="M286" s="1" t="str">
        <f ca="1">IFERROR(__xludf.DUMMYFUNCTION("""COMPUTED_VALUE"""),"")</f>
        <v/>
      </c>
      <c r="N286" s="1" t="str">
        <f ca="1">IFERROR(__xludf.DUMMYFUNCTION("""COMPUTED_VALUE"""),"")</f>
        <v/>
      </c>
      <c r="O286" s="1" t="str">
        <f ca="1">IFERROR(__xludf.DUMMYFUNCTION("""COMPUTED_VALUE"""),"Lease Signed")</f>
        <v>Lease Signed</v>
      </c>
      <c r="P286" s="1" t="str">
        <f ca="1">IFERROR(__xludf.DUMMYFUNCTION("""COMPUTED_VALUE"""),"January")</f>
        <v>January</v>
      </c>
      <c r="Q286" s="1"/>
      <c r="R286" s="5">
        <f ca="1">IFERROR(__xludf.DUMMYFUNCTION("""COMPUTED_VALUE"""),43845)</f>
        <v>43845</v>
      </c>
      <c r="S286" s="1"/>
      <c r="T286" s="1"/>
      <c r="U286" s="1" t="str">
        <f ca="1">IFERROR(__xludf.DUMMYFUNCTION("""COMPUTED_VALUE"""),"Y")</f>
        <v>Y</v>
      </c>
      <c r="V286" s="1" t="str">
        <f ca="1">IFERROR(__xludf.DUMMYFUNCTION("""COMPUTED_VALUE"""),"N")</f>
        <v>N</v>
      </c>
      <c r="W286" s="1" t="str">
        <f ca="1">IFERROR(__xludf.DUMMYFUNCTION("""COMPUTED_VALUE"""),"Nathan Odonkor")</f>
        <v>Nathan Odonkor</v>
      </c>
      <c r="X286" s="1" t="str">
        <f ca="1">IFERROR(__xludf.DUMMYFUNCTION("""COMPUTED_VALUE"""),"nodonkor3@gatech.edu")</f>
        <v>nodonkor3@gatech.edu</v>
      </c>
      <c r="Y286" s="1"/>
      <c r="Z286" s="1"/>
      <c r="AA286" s="1"/>
      <c r="AB286" s="1"/>
      <c r="AC286" s="1"/>
    </row>
    <row r="287" spans="1:29">
      <c r="A287" s="1" t="str">
        <f ca="1">IFERROR(__xludf.DUMMYFUNCTION("""COMPUTED_VALUE"""),"116 Thornton Street")</f>
        <v>116 Thornton Street</v>
      </c>
      <c r="B287" s="1">
        <f ca="1">IFERROR(__xludf.DUMMYFUNCTION("""COMPUTED_VALUE"""),116)</f>
        <v>116</v>
      </c>
      <c r="C287" s="1" t="str">
        <f ca="1">IFERROR(__xludf.DUMMYFUNCTION("""COMPUTED_VALUE"""),"#2")</f>
        <v>#2</v>
      </c>
      <c r="D287" s="1" t="str">
        <f ca="1">IFERROR(__xludf.DUMMYFUNCTION("""COMPUTED_VALUE"""),"116 Thornton Street Unit 2")</f>
        <v>116 Thornton Street Unit 2</v>
      </c>
      <c r="E287" s="1" t="str">
        <f ca="1">IFERROR(__xludf.DUMMYFUNCTION("""COMPUTED_VALUE"""),"Boston")</f>
        <v>Boston</v>
      </c>
      <c r="F287" s="1" t="str">
        <f ca="1">IFERROR(__xludf.DUMMYFUNCTION("""COMPUTED_VALUE"""),"Boston - Nubian Square")</f>
        <v>Boston - Nubian Square</v>
      </c>
      <c r="G287" s="1">
        <f ca="1">IFERROR(__xludf.DUMMYFUNCTION("""COMPUTED_VALUE"""),3)</f>
        <v>3</v>
      </c>
      <c r="H287" s="1" t="str">
        <f ca="1">IFERROR(__xludf.DUMMYFUNCTION("""COMPUTED_VALUE"""),"C")</f>
        <v>C</v>
      </c>
      <c r="I287" s="4" t="str">
        <f ca="1">IFERROR(__xludf.DUMMYFUNCTION("""COMPUTED_VALUE"""),"116 Thornton Street#2C")</f>
        <v>116 Thornton Street#2C</v>
      </c>
      <c r="J287" s="4" t="str">
        <f ca="1">IFERROR(__xludf.DUMMYFUNCTION("""COMPUTED_VALUE"""),"0f4c4894-154f-45d0-b18e-9af4b57dca66")</f>
        <v>0f4c4894-154f-45d0-b18e-9af4b57dca66</v>
      </c>
      <c r="K287" s="4">
        <f ca="1">IFERROR(__xludf.DUMMYFUNCTION("""COMPUTED_VALUE"""),995)</f>
        <v>995</v>
      </c>
      <c r="L287" s="1" t="str">
        <f ca="1">IFERROR(__xludf.DUMMYFUNCTION("""COMPUTED_VALUE"""),"Cam")</f>
        <v>Cam</v>
      </c>
      <c r="M287" s="1" t="str">
        <f ca="1">IFERROR(__xludf.DUMMYFUNCTION("""COMPUTED_VALUE"""),"")</f>
        <v/>
      </c>
      <c r="N287" s="1" t="str">
        <f ca="1">IFERROR(__xludf.DUMMYFUNCTION("""COMPUTED_VALUE"""),"")</f>
        <v/>
      </c>
      <c r="O287" s="1" t="str">
        <f ca="1">IFERROR(__xludf.DUMMYFUNCTION("""COMPUTED_VALUE"""),"Occupied")</f>
        <v>Occupied</v>
      </c>
      <c r="P287" s="1"/>
      <c r="Q287" s="1"/>
      <c r="R287" s="1"/>
      <c r="S287" s="1"/>
      <c r="T287" s="1"/>
      <c r="U287" s="1" t="str">
        <f ca="1">IFERROR(__xludf.DUMMYFUNCTION("""COMPUTED_VALUE"""),"Y")</f>
        <v>Y</v>
      </c>
      <c r="V287" s="1" t="str">
        <f ca="1">IFERROR(__xludf.DUMMYFUNCTION("""COMPUTED_VALUE"""),"N")</f>
        <v>N</v>
      </c>
      <c r="W287" s="1"/>
      <c r="X287" s="1"/>
      <c r="Y287" s="1" t="str">
        <f ca="1">IFERROR(__xludf.DUMMYFUNCTION("""COMPUTED_VALUE"""),"Tyler Ferris")</f>
        <v>Tyler Ferris</v>
      </c>
      <c r="Z287" s="1" t="str">
        <f ca="1">IFERROR(__xludf.DUMMYFUNCTION("""COMPUTED_VALUE"""),"tferris917@gmail.com")</f>
        <v>tferris917@gmail.com</v>
      </c>
      <c r="AA287" s="1"/>
      <c r="AB287" s="1"/>
      <c r="AC287" s="1"/>
    </row>
    <row r="288" spans="1:29">
      <c r="A288" s="1" t="str">
        <f ca="1">IFERROR(__xludf.DUMMYFUNCTION("""COMPUTED_VALUE"""),"116 Thornton Street")</f>
        <v>116 Thornton Street</v>
      </c>
      <c r="B288" s="1">
        <f ca="1">IFERROR(__xludf.DUMMYFUNCTION("""COMPUTED_VALUE"""),116)</f>
        <v>116</v>
      </c>
      <c r="C288" s="1" t="str">
        <f ca="1">IFERROR(__xludf.DUMMYFUNCTION("""COMPUTED_VALUE"""),"#2")</f>
        <v>#2</v>
      </c>
      <c r="D288" s="1" t="str">
        <f ca="1">IFERROR(__xludf.DUMMYFUNCTION("""COMPUTED_VALUE"""),"116 Thornton Street Unit 2")</f>
        <v>116 Thornton Street Unit 2</v>
      </c>
      <c r="E288" s="1" t="str">
        <f ca="1">IFERROR(__xludf.DUMMYFUNCTION("""COMPUTED_VALUE"""),"Boston")</f>
        <v>Boston</v>
      </c>
      <c r="F288" s="1" t="str">
        <f ca="1">IFERROR(__xludf.DUMMYFUNCTION("""COMPUTED_VALUE"""),"Boston - Nubian Square")</f>
        <v>Boston - Nubian Square</v>
      </c>
      <c r="G288" s="1">
        <f ca="1">IFERROR(__xludf.DUMMYFUNCTION("""COMPUTED_VALUE"""),4)</f>
        <v>4</v>
      </c>
      <c r="H288" s="1" t="str">
        <f ca="1">IFERROR(__xludf.DUMMYFUNCTION("""COMPUTED_VALUE"""),"D")</f>
        <v>D</v>
      </c>
      <c r="I288" s="4" t="str">
        <f ca="1">IFERROR(__xludf.DUMMYFUNCTION("""COMPUTED_VALUE"""),"116 Thornton Street#2D")</f>
        <v>116 Thornton Street#2D</v>
      </c>
      <c r="J288" s="4" t="str">
        <f ca="1">IFERROR(__xludf.DUMMYFUNCTION("""COMPUTED_VALUE"""),"0f4c4894-154f-45d0-b18e-9af4b57dca66")</f>
        <v>0f4c4894-154f-45d0-b18e-9af4b57dca66</v>
      </c>
      <c r="K288" s="4">
        <f ca="1">IFERROR(__xludf.DUMMYFUNCTION("""COMPUTED_VALUE"""),995)</f>
        <v>995</v>
      </c>
      <c r="L288" s="1" t="str">
        <f ca="1">IFERROR(__xludf.DUMMYFUNCTION("""COMPUTED_VALUE"""),"Cam")</f>
        <v>Cam</v>
      </c>
      <c r="M288" s="1" t="str">
        <f ca="1">IFERROR(__xludf.DUMMYFUNCTION("""COMPUTED_VALUE"""),"Cam (later)")</f>
        <v>Cam (later)</v>
      </c>
      <c r="N288" s="1" t="str">
        <f ca="1">IFERROR(__xludf.DUMMYFUNCTION("""COMPUTED_VALUE"""),"")</f>
        <v/>
      </c>
      <c r="O288" s="1" t="str">
        <f ca="1">IFERROR(__xludf.DUMMYFUNCTION("""COMPUTED_VALUE"""),"Upcoming Vacancy")</f>
        <v>Upcoming Vacancy</v>
      </c>
      <c r="P288" s="1" t="str">
        <f ca="1">IFERROR(__xludf.DUMMYFUNCTION("""COMPUTED_VALUE"""),"April")</f>
        <v>April</v>
      </c>
      <c r="Q288" s="3">
        <f ca="1">IFERROR(__xludf.DUMMYFUNCTION("""COMPUTED_VALUE"""),43921)</f>
        <v>43921</v>
      </c>
      <c r="R288" s="1"/>
      <c r="S288" s="1"/>
      <c r="T288" s="1"/>
      <c r="U288" s="1" t="str">
        <f ca="1">IFERROR(__xludf.DUMMYFUNCTION("""COMPUTED_VALUE"""),"Y")</f>
        <v>Y</v>
      </c>
      <c r="V288" s="1" t="str">
        <f ca="1">IFERROR(__xludf.DUMMYFUNCTION("""COMPUTED_VALUE"""),"N")</f>
        <v>N</v>
      </c>
      <c r="W288" s="1"/>
      <c r="X288" s="1"/>
      <c r="Y288" s="1" t="str">
        <f ca="1">IFERROR(__xludf.DUMMYFUNCTION("""COMPUTED_VALUE"""),"Adedamola (Manny) Abioye")</f>
        <v>Adedamola (Manny) Abioye</v>
      </c>
      <c r="Z288" s="1" t="str">
        <f ca="1">IFERROR(__xludf.DUMMYFUNCTION("""COMPUTED_VALUE"""),"eabioye91@gmail.com")</f>
        <v>eabioye91@gmail.com</v>
      </c>
      <c r="AA288" s="1"/>
      <c r="AB288" s="1"/>
      <c r="AC288" s="1"/>
    </row>
    <row r="289" spans="1:29">
      <c r="A289" s="1" t="str">
        <f ca="1">IFERROR(__xludf.DUMMYFUNCTION("""COMPUTED_VALUE"""),"116 Thornton Street")</f>
        <v>116 Thornton Street</v>
      </c>
      <c r="B289" s="1">
        <f ca="1">IFERROR(__xludf.DUMMYFUNCTION("""COMPUTED_VALUE"""),116)</f>
        <v>116</v>
      </c>
      <c r="C289" s="1" t="str">
        <f ca="1">IFERROR(__xludf.DUMMYFUNCTION("""COMPUTED_VALUE"""),"#3")</f>
        <v>#3</v>
      </c>
      <c r="D289" s="1" t="str">
        <f ca="1">IFERROR(__xludf.DUMMYFUNCTION("""COMPUTED_VALUE"""),"116 Thornton Street Unit 3")</f>
        <v>116 Thornton Street Unit 3</v>
      </c>
      <c r="E289" s="1" t="str">
        <f ca="1">IFERROR(__xludf.DUMMYFUNCTION("""COMPUTED_VALUE"""),"Boston")</f>
        <v>Boston</v>
      </c>
      <c r="F289" s="1" t="str">
        <f ca="1">IFERROR(__xludf.DUMMYFUNCTION("""COMPUTED_VALUE"""),"Boston - Nubian Square")</f>
        <v>Boston - Nubian Square</v>
      </c>
      <c r="G289" s="1">
        <f ca="1">IFERROR(__xludf.DUMMYFUNCTION("""COMPUTED_VALUE"""),1)</f>
        <v>1</v>
      </c>
      <c r="H289" s="1" t="str">
        <f ca="1">IFERROR(__xludf.DUMMYFUNCTION("""COMPUTED_VALUE"""),"A")</f>
        <v>A</v>
      </c>
      <c r="I289" s="4" t="str">
        <f ca="1">IFERROR(__xludf.DUMMYFUNCTION("""COMPUTED_VALUE"""),"116 Thornton Street#3A")</f>
        <v>116 Thornton Street#3A</v>
      </c>
      <c r="J289" s="4" t="str">
        <f ca="1">IFERROR(__xludf.DUMMYFUNCTION("""COMPUTED_VALUE"""),"9b55b1ac-5827-436b-a468-a85696d79ca8")</f>
        <v>9b55b1ac-5827-436b-a468-a85696d79ca8</v>
      </c>
      <c r="K289" s="4">
        <f ca="1">IFERROR(__xludf.DUMMYFUNCTION("""COMPUTED_VALUE"""),995)</f>
        <v>995</v>
      </c>
      <c r="L289" s="1" t="str">
        <f ca="1">IFERROR(__xludf.DUMMYFUNCTION("""COMPUTED_VALUE"""),"Cam")</f>
        <v>Cam</v>
      </c>
      <c r="M289" s="1" t="str">
        <f ca="1">IFERROR(__xludf.DUMMYFUNCTION("""COMPUTED_VALUE"""),"Cam (NOW)")</f>
        <v>Cam (NOW)</v>
      </c>
      <c r="N289" s="1" t="str">
        <f ca="1">IFERROR(__xludf.DUMMYFUNCTION("""COMPUTED_VALUE"""),"")</f>
        <v/>
      </c>
      <c r="O289" s="1" t="str">
        <f ca="1">IFERROR(__xludf.DUMMYFUNCTION("""COMPUTED_VALUE"""),"Vacant")</f>
        <v>Vacant</v>
      </c>
      <c r="P289" s="1"/>
      <c r="Q289" s="1"/>
      <c r="R289" s="1"/>
      <c r="S289" s="1"/>
      <c r="T289" s="1"/>
      <c r="U289" s="1" t="str">
        <f ca="1">IFERROR(__xludf.DUMMYFUNCTION("""COMPUTED_VALUE"""),"Y")</f>
        <v>Y</v>
      </c>
      <c r="V289" s="1" t="str">
        <f ca="1">IFERROR(__xludf.DUMMYFUNCTION("""COMPUTED_VALUE"""),"N")</f>
        <v>N</v>
      </c>
      <c r="W289" s="1"/>
      <c r="X289" s="1"/>
      <c r="Y289" s="1"/>
      <c r="Z289" s="1"/>
      <c r="AA289" s="1"/>
      <c r="AB289" s="1"/>
      <c r="AC289" s="1"/>
    </row>
    <row r="290" spans="1:29">
      <c r="A290" s="1" t="str">
        <f ca="1">IFERROR(__xludf.DUMMYFUNCTION("""COMPUTED_VALUE"""),"116 Thornton Street")</f>
        <v>116 Thornton Street</v>
      </c>
      <c r="B290" s="1">
        <f ca="1">IFERROR(__xludf.DUMMYFUNCTION("""COMPUTED_VALUE"""),116)</f>
        <v>116</v>
      </c>
      <c r="C290" s="1" t="str">
        <f ca="1">IFERROR(__xludf.DUMMYFUNCTION("""COMPUTED_VALUE"""),"#3")</f>
        <v>#3</v>
      </c>
      <c r="D290" s="1" t="str">
        <f ca="1">IFERROR(__xludf.DUMMYFUNCTION("""COMPUTED_VALUE"""),"116 Thornton Street Unit 3")</f>
        <v>116 Thornton Street Unit 3</v>
      </c>
      <c r="E290" s="1" t="str">
        <f ca="1">IFERROR(__xludf.DUMMYFUNCTION("""COMPUTED_VALUE"""),"Boston")</f>
        <v>Boston</v>
      </c>
      <c r="F290" s="1" t="str">
        <f ca="1">IFERROR(__xludf.DUMMYFUNCTION("""COMPUTED_VALUE"""),"Boston - Nubian Square")</f>
        <v>Boston - Nubian Square</v>
      </c>
      <c r="G290" s="1">
        <f ca="1">IFERROR(__xludf.DUMMYFUNCTION("""COMPUTED_VALUE"""),2)</f>
        <v>2</v>
      </c>
      <c r="H290" s="1" t="str">
        <f ca="1">IFERROR(__xludf.DUMMYFUNCTION("""COMPUTED_VALUE"""),"B")</f>
        <v>B</v>
      </c>
      <c r="I290" s="4" t="str">
        <f ca="1">IFERROR(__xludf.DUMMYFUNCTION("""COMPUTED_VALUE"""),"116 Thornton Street#3B")</f>
        <v>116 Thornton Street#3B</v>
      </c>
      <c r="J290" s="4" t="str">
        <f ca="1">IFERROR(__xludf.DUMMYFUNCTION("""COMPUTED_VALUE"""),"9b55b1ac-5827-436b-a468-a85696d79ca8")</f>
        <v>9b55b1ac-5827-436b-a468-a85696d79ca8</v>
      </c>
      <c r="K290" s="4">
        <f ca="1">IFERROR(__xludf.DUMMYFUNCTION("""COMPUTED_VALUE"""),795)</f>
        <v>795</v>
      </c>
      <c r="L290" s="1" t="str">
        <f ca="1">IFERROR(__xludf.DUMMYFUNCTION("""COMPUTED_VALUE"""),"Cam")</f>
        <v>Cam</v>
      </c>
      <c r="M290" s="1" t="str">
        <f ca="1">IFERROR(__xludf.DUMMYFUNCTION("""COMPUTED_VALUE"""),"Cam (NOW)")</f>
        <v>Cam (NOW)</v>
      </c>
      <c r="N290" s="1" t="str">
        <f ca="1">IFERROR(__xludf.DUMMYFUNCTION("""COMPUTED_VALUE"""),"")</f>
        <v/>
      </c>
      <c r="O290" s="1" t="str">
        <f ca="1">IFERROR(__xludf.DUMMYFUNCTION("""COMPUTED_VALUE"""),"Vacant")</f>
        <v>Vacant</v>
      </c>
      <c r="P290" s="1"/>
      <c r="Q290" s="1"/>
      <c r="R290" s="1"/>
      <c r="S290" s="1"/>
      <c r="T290" s="1"/>
      <c r="U290" s="1" t="str">
        <f ca="1">IFERROR(__xludf.DUMMYFUNCTION("""COMPUTED_VALUE"""),"Y")</f>
        <v>Y</v>
      </c>
      <c r="V290" s="1" t="str">
        <f ca="1">IFERROR(__xludf.DUMMYFUNCTION("""COMPUTED_VALUE"""),"N")</f>
        <v>N</v>
      </c>
      <c r="W290" s="1"/>
      <c r="X290" s="1"/>
      <c r="Y290" s="1"/>
      <c r="Z290" s="1"/>
      <c r="AA290" s="1"/>
      <c r="AB290" s="1"/>
      <c r="AC290" s="1"/>
    </row>
    <row r="291" spans="1:29">
      <c r="A291" s="1" t="str">
        <f ca="1">IFERROR(__xludf.DUMMYFUNCTION("""COMPUTED_VALUE"""),"116 Thornton Street")</f>
        <v>116 Thornton Street</v>
      </c>
      <c r="B291" s="1">
        <f ca="1">IFERROR(__xludf.DUMMYFUNCTION("""COMPUTED_VALUE"""),116)</f>
        <v>116</v>
      </c>
      <c r="C291" s="1" t="str">
        <f ca="1">IFERROR(__xludf.DUMMYFUNCTION("""COMPUTED_VALUE"""),"#3")</f>
        <v>#3</v>
      </c>
      <c r="D291" s="1" t="str">
        <f ca="1">IFERROR(__xludf.DUMMYFUNCTION("""COMPUTED_VALUE"""),"116 Thornton Street Unit 3")</f>
        <v>116 Thornton Street Unit 3</v>
      </c>
      <c r="E291" s="1" t="str">
        <f ca="1">IFERROR(__xludf.DUMMYFUNCTION("""COMPUTED_VALUE"""),"Boston")</f>
        <v>Boston</v>
      </c>
      <c r="F291" s="1" t="str">
        <f ca="1">IFERROR(__xludf.DUMMYFUNCTION("""COMPUTED_VALUE"""),"Boston - Nubian Square")</f>
        <v>Boston - Nubian Square</v>
      </c>
      <c r="G291" s="1">
        <f ca="1">IFERROR(__xludf.DUMMYFUNCTION("""COMPUTED_VALUE"""),3)</f>
        <v>3</v>
      </c>
      <c r="H291" s="1" t="str">
        <f ca="1">IFERROR(__xludf.DUMMYFUNCTION("""COMPUTED_VALUE"""),"C")</f>
        <v>C</v>
      </c>
      <c r="I291" s="4" t="str">
        <f ca="1">IFERROR(__xludf.DUMMYFUNCTION("""COMPUTED_VALUE"""),"116 Thornton Street#3C")</f>
        <v>116 Thornton Street#3C</v>
      </c>
      <c r="J291" s="4" t="str">
        <f ca="1">IFERROR(__xludf.DUMMYFUNCTION("""COMPUTED_VALUE"""),"9b55b1ac-5827-436b-a468-a85696d79ca8")</f>
        <v>9b55b1ac-5827-436b-a468-a85696d79ca8</v>
      </c>
      <c r="K291" s="4">
        <f ca="1">IFERROR(__xludf.DUMMYFUNCTION("""COMPUTED_VALUE"""),795)</f>
        <v>795</v>
      </c>
      <c r="L291" s="1" t="str">
        <f ca="1">IFERROR(__xludf.DUMMYFUNCTION("""COMPUTED_VALUE"""),"Cam")</f>
        <v>Cam</v>
      </c>
      <c r="M291" s="1" t="str">
        <f ca="1">IFERROR(__xludf.DUMMYFUNCTION("""COMPUTED_VALUE"""),"Cam (NOW)")</f>
        <v>Cam (NOW)</v>
      </c>
      <c r="N291" s="1" t="str">
        <f ca="1">IFERROR(__xludf.DUMMYFUNCTION("""COMPUTED_VALUE"""),"")</f>
        <v/>
      </c>
      <c r="O291" s="1" t="str">
        <f ca="1">IFERROR(__xludf.DUMMYFUNCTION("""COMPUTED_VALUE"""),"Upcoming Vacancy")</f>
        <v>Upcoming Vacancy</v>
      </c>
      <c r="P291" s="1" t="str">
        <f ca="1">IFERROR(__xludf.DUMMYFUNCTION("""COMPUTED_VALUE"""),"March")</f>
        <v>March</v>
      </c>
      <c r="Q291" s="3">
        <f ca="1">IFERROR(__xludf.DUMMYFUNCTION("""COMPUTED_VALUE"""),43889)</f>
        <v>43889</v>
      </c>
      <c r="R291" s="1"/>
      <c r="S291" s="1"/>
      <c r="T291" s="1"/>
      <c r="U291" s="1" t="str">
        <f ca="1">IFERROR(__xludf.DUMMYFUNCTION("""COMPUTED_VALUE"""),"Y")</f>
        <v>Y</v>
      </c>
      <c r="V291" s="1" t="str">
        <f ca="1">IFERROR(__xludf.DUMMYFUNCTION("""COMPUTED_VALUE"""),"N")</f>
        <v>N</v>
      </c>
      <c r="W291" s="1"/>
      <c r="X291" s="1"/>
      <c r="Y291" s="1" t="str">
        <f ca="1">IFERROR(__xludf.DUMMYFUNCTION("""COMPUTED_VALUE"""),"Brandon Lumbra")</f>
        <v>Brandon Lumbra</v>
      </c>
      <c r="Z291" s="1" t="str">
        <f ca="1">IFERROR(__xludf.DUMMYFUNCTION("""COMPUTED_VALUE"""),"bblumbra@gmail.com")</f>
        <v>bblumbra@gmail.com</v>
      </c>
      <c r="AA291" s="1"/>
      <c r="AB291" s="1"/>
      <c r="AC291" s="1"/>
    </row>
    <row r="292" spans="1:29">
      <c r="A292" s="1" t="str">
        <f ca="1">IFERROR(__xludf.DUMMYFUNCTION("""COMPUTED_VALUE"""),"116 Thornton Street")</f>
        <v>116 Thornton Street</v>
      </c>
      <c r="B292" s="1">
        <f ca="1">IFERROR(__xludf.DUMMYFUNCTION("""COMPUTED_VALUE"""),116)</f>
        <v>116</v>
      </c>
      <c r="C292" s="1" t="str">
        <f ca="1">IFERROR(__xludf.DUMMYFUNCTION("""COMPUTED_VALUE"""),"#3")</f>
        <v>#3</v>
      </c>
      <c r="D292" s="1" t="str">
        <f ca="1">IFERROR(__xludf.DUMMYFUNCTION("""COMPUTED_VALUE"""),"116 Thornton Street Unit 3")</f>
        <v>116 Thornton Street Unit 3</v>
      </c>
      <c r="E292" s="1" t="str">
        <f ca="1">IFERROR(__xludf.DUMMYFUNCTION("""COMPUTED_VALUE"""),"Boston")</f>
        <v>Boston</v>
      </c>
      <c r="F292" s="1" t="str">
        <f ca="1">IFERROR(__xludf.DUMMYFUNCTION("""COMPUTED_VALUE"""),"Boston - Nubian Square")</f>
        <v>Boston - Nubian Square</v>
      </c>
      <c r="G292" s="1">
        <f ca="1">IFERROR(__xludf.DUMMYFUNCTION("""COMPUTED_VALUE"""),4)</f>
        <v>4</v>
      </c>
      <c r="H292" s="1" t="str">
        <f ca="1">IFERROR(__xludf.DUMMYFUNCTION("""COMPUTED_VALUE"""),"D")</f>
        <v>D</v>
      </c>
      <c r="I292" s="4" t="str">
        <f ca="1">IFERROR(__xludf.DUMMYFUNCTION("""COMPUTED_VALUE"""),"116 Thornton Street#3D")</f>
        <v>116 Thornton Street#3D</v>
      </c>
      <c r="J292" s="4" t="str">
        <f ca="1">IFERROR(__xludf.DUMMYFUNCTION("""COMPUTED_VALUE"""),"9b55b1ac-5827-436b-a468-a85696d79ca8")</f>
        <v>9b55b1ac-5827-436b-a468-a85696d79ca8</v>
      </c>
      <c r="K292" s="4">
        <f ca="1">IFERROR(__xludf.DUMMYFUNCTION("""COMPUTED_VALUE"""),995)</f>
        <v>995</v>
      </c>
      <c r="L292" s="1" t="str">
        <f ca="1">IFERROR(__xludf.DUMMYFUNCTION("""COMPUTED_VALUE"""),"Cam")</f>
        <v>Cam</v>
      </c>
      <c r="M292" s="1" t="str">
        <f ca="1">IFERROR(__xludf.DUMMYFUNCTION("""COMPUTED_VALUE"""),"")</f>
        <v/>
      </c>
      <c r="N292" s="1" t="str">
        <f ca="1">IFERROR(__xludf.DUMMYFUNCTION("""COMPUTED_VALUE"""),"")</f>
        <v/>
      </c>
      <c r="O292" s="1" t="str">
        <f ca="1">IFERROR(__xludf.DUMMYFUNCTION("""COMPUTED_VALUE"""),"Occupied")</f>
        <v>Occupied</v>
      </c>
      <c r="P292" s="1"/>
      <c r="Q292" s="1"/>
      <c r="R292" s="1"/>
      <c r="S292" s="1"/>
      <c r="T292" s="1" t="str">
        <f ca="1">IFERROR(__xludf.DUMMYFUNCTION("""COMPUTED_VALUE"""),"NO CATS")</f>
        <v>NO CATS</v>
      </c>
      <c r="U292" s="1" t="str">
        <f ca="1">IFERROR(__xludf.DUMMYFUNCTION("""COMPUTED_VALUE"""),"Y")</f>
        <v>Y</v>
      </c>
      <c r="V292" s="1" t="str">
        <f ca="1">IFERROR(__xludf.DUMMYFUNCTION("""COMPUTED_VALUE"""),"N")</f>
        <v>N</v>
      </c>
      <c r="W292" s="1"/>
      <c r="X292" s="1"/>
      <c r="Y292" s="1" t="str">
        <f ca="1">IFERROR(__xludf.DUMMYFUNCTION("""COMPUTED_VALUE"""),"DeAnthony Robinson")</f>
        <v>DeAnthony Robinson</v>
      </c>
      <c r="Z292" s="1" t="str">
        <f ca="1">IFERROR(__xludf.DUMMYFUNCTION("""COMPUTED_VALUE"""),"Deanthonyrobinson699@gmail.com")</f>
        <v>Deanthonyrobinson699@gmail.com</v>
      </c>
      <c r="AA292" s="1"/>
      <c r="AB292" s="1"/>
      <c r="AC292" s="1" t="str">
        <f ca="1">IFERROR(__xludf.DUMMYFUNCTION("""COMPUTED_VALUE"""),"DocuSign not working, signed on paper")</f>
        <v>DocuSign not working, signed on paper</v>
      </c>
    </row>
    <row r="293" spans="1:29">
      <c r="A293" s="1" t="str">
        <f ca="1">IFERROR(__xludf.DUMMYFUNCTION("""COMPUTED_VALUE"""),"122 Central Street")</f>
        <v>122 Central Street</v>
      </c>
      <c r="B293" s="1">
        <f ca="1">IFERROR(__xludf.DUMMYFUNCTION("""COMPUTED_VALUE"""),122)</f>
        <v>122</v>
      </c>
      <c r="C293" s="1" t="str">
        <f ca="1">IFERROR(__xludf.DUMMYFUNCTION("""COMPUTED_VALUE"""),"#2")</f>
        <v>#2</v>
      </c>
      <c r="D293" s="1" t="str">
        <f ca="1">IFERROR(__xludf.DUMMYFUNCTION("""COMPUTED_VALUE"""),"122 Central Street Unit 2")</f>
        <v>122 Central Street Unit 2</v>
      </c>
      <c r="E293" s="1" t="str">
        <f ca="1">IFERROR(__xludf.DUMMYFUNCTION("""COMPUTED_VALUE"""),"Somerville")</f>
        <v>Somerville</v>
      </c>
      <c r="F293" s="1" t="str">
        <f ca="1">IFERROR(__xludf.DUMMYFUNCTION("""COMPUTED_VALUE"""),"Somerville - Winter Hill")</f>
        <v>Somerville - Winter Hill</v>
      </c>
      <c r="G293" s="1">
        <f ca="1">IFERROR(__xludf.DUMMYFUNCTION("""COMPUTED_VALUE"""),1)</f>
        <v>1</v>
      </c>
      <c r="H293" s="1" t="str">
        <f ca="1">IFERROR(__xludf.DUMMYFUNCTION("""COMPUTED_VALUE"""),"A")</f>
        <v>A</v>
      </c>
      <c r="I293" s="4" t="str">
        <f ca="1">IFERROR(__xludf.DUMMYFUNCTION("""COMPUTED_VALUE"""),"122 Central Street#2A")</f>
        <v>122 Central Street#2A</v>
      </c>
      <c r="J293" s="4" t="str">
        <f ca="1">IFERROR(__xludf.DUMMYFUNCTION("""COMPUTED_VALUE"""),"b98ad67f-8655-4e56-982b-2d9bc0c3d43e")</f>
        <v>b98ad67f-8655-4e56-982b-2d9bc0c3d43e</v>
      </c>
      <c r="K293" s="4">
        <f ca="1">IFERROR(__xludf.DUMMYFUNCTION("""COMPUTED_VALUE"""),1100)</f>
        <v>1100</v>
      </c>
      <c r="L293" s="1" t="str">
        <f ca="1">IFERROR(__xludf.DUMMYFUNCTION("""COMPUTED_VALUE"""),"Lizzie")</f>
        <v>Lizzie</v>
      </c>
      <c r="M293" s="1" t="str">
        <f ca="1">IFERROR(__xludf.DUMMYFUNCTION("""COMPUTED_VALUE"""),"")</f>
        <v/>
      </c>
      <c r="N293" s="1" t="str">
        <f ca="1">IFERROR(__xludf.DUMMYFUNCTION("""COMPUTED_VALUE"""),"")</f>
        <v/>
      </c>
      <c r="O293" s="1" t="str">
        <f ca="1">IFERROR(__xludf.DUMMYFUNCTION("""COMPUTED_VALUE"""),"Occupied")</f>
        <v>Occupied</v>
      </c>
      <c r="P293" s="1"/>
      <c r="Q293" s="1"/>
      <c r="R293" s="1"/>
      <c r="S293" s="1" t="str">
        <f ca="1">IFERROR(__xludf.DUMMYFUNCTION("""COMPUTED_VALUE"""),"NO CATS OR DOGS")</f>
        <v>NO CATS OR DOGS</v>
      </c>
      <c r="T293" s="1"/>
      <c r="U293" s="1" t="str">
        <f ca="1">IFERROR(__xludf.DUMMYFUNCTION("""COMPUTED_VALUE"""),"N")</f>
        <v>N</v>
      </c>
      <c r="V293" s="1" t="str">
        <f ca="1">IFERROR(__xludf.DUMMYFUNCTION("""COMPUTED_VALUE"""),"N")</f>
        <v>N</v>
      </c>
      <c r="W293" s="1"/>
      <c r="X293" s="1"/>
      <c r="Y293" s="1" t="str">
        <f ca="1">IFERROR(__xludf.DUMMYFUNCTION("""COMPUTED_VALUE"""),"Lindsay Clawson")</f>
        <v>Lindsay Clawson</v>
      </c>
      <c r="Z293" s="1" t="str">
        <f ca="1">IFERROR(__xludf.DUMMYFUNCTION("""COMPUTED_VALUE"""),"laclawson93@gmail.com")</f>
        <v>laclawson93@gmail.com</v>
      </c>
      <c r="AA293" s="1"/>
      <c r="AB293" s="1"/>
      <c r="AC293" s="1"/>
    </row>
    <row r="294" spans="1:29">
      <c r="A294" s="1" t="str">
        <f ca="1">IFERROR(__xludf.DUMMYFUNCTION("""COMPUTED_VALUE"""),"122 Central Street")</f>
        <v>122 Central Street</v>
      </c>
      <c r="B294" s="1">
        <f ca="1">IFERROR(__xludf.DUMMYFUNCTION("""COMPUTED_VALUE"""),122)</f>
        <v>122</v>
      </c>
      <c r="C294" s="1" t="str">
        <f ca="1">IFERROR(__xludf.DUMMYFUNCTION("""COMPUTED_VALUE"""),"#2")</f>
        <v>#2</v>
      </c>
      <c r="D294" s="1" t="str">
        <f ca="1">IFERROR(__xludf.DUMMYFUNCTION("""COMPUTED_VALUE"""),"122 Central Street Unit 2")</f>
        <v>122 Central Street Unit 2</v>
      </c>
      <c r="E294" s="1" t="str">
        <f ca="1">IFERROR(__xludf.DUMMYFUNCTION("""COMPUTED_VALUE"""),"Somerville")</f>
        <v>Somerville</v>
      </c>
      <c r="F294" s="1" t="str">
        <f ca="1">IFERROR(__xludf.DUMMYFUNCTION("""COMPUTED_VALUE"""),"Somerville - Winter Hill")</f>
        <v>Somerville - Winter Hill</v>
      </c>
      <c r="G294" s="1">
        <f ca="1">IFERROR(__xludf.DUMMYFUNCTION("""COMPUTED_VALUE"""),2)</f>
        <v>2</v>
      </c>
      <c r="H294" s="1" t="str">
        <f ca="1">IFERROR(__xludf.DUMMYFUNCTION("""COMPUTED_VALUE"""),"B")</f>
        <v>B</v>
      </c>
      <c r="I294" s="4" t="str">
        <f ca="1">IFERROR(__xludf.DUMMYFUNCTION("""COMPUTED_VALUE"""),"122 Central Street#2B")</f>
        <v>122 Central Street#2B</v>
      </c>
      <c r="J294" s="4" t="str">
        <f ca="1">IFERROR(__xludf.DUMMYFUNCTION("""COMPUTED_VALUE"""),"b98ad67f-8655-4e56-982b-2d9bc0c3d43e")</f>
        <v>b98ad67f-8655-4e56-982b-2d9bc0c3d43e</v>
      </c>
      <c r="K294" s="4">
        <f ca="1">IFERROR(__xludf.DUMMYFUNCTION("""COMPUTED_VALUE"""),795)</f>
        <v>795</v>
      </c>
      <c r="L294" s="1" t="str">
        <f ca="1">IFERROR(__xludf.DUMMYFUNCTION("""COMPUTED_VALUE"""),"Lizzie")</f>
        <v>Lizzie</v>
      </c>
      <c r="M294" s="1" t="str">
        <f ca="1">IFERROR(__xludf.DUMMYFUNCTION("""COMPUTED_VALUE"""),"")</f>
        <v/>
      </c>
      <c r="N294" s="1" t="str">
        <f ca="1">IFERROR(__xludf.DUMMYFUNCTION("""COMPUTED_VALUE"""),"")</f>
        <v/>
      </c>
      <c r="O294" s="1" t="str">
        <f ca="1">IFERROR(__xludf.DUMMYFUNCTION("""COMPUTED_VALUE"""),"Lease Signed")</f>
        <v>Lease Signed</v>
      </c>
      <c r="P294" s="1" t="str">
        <f ca="1">IFERROR(__xludf.DUMMYFUNCTION("""COMPUTED_VALUE"""),"January")</f>
        <v>January</v>
      </c>
      <c r="Q294" s="1"/>
      <c r="R294" s="5">
        <f ca="1">IFERROR(__xludf.DUMMYFUNCTION("""COMPUTED_VALUE"""),44211)</f>
        <v>44211</v>
      </c>
      <c r="S294" s="1" t="str">
        <f ca="1">IFERROR(__xludf.DUMMYFUNCTION("""COMPUTED_VALUE"""),"NO CATS OR DOGS")</f>
        <v>NO CATS OR DOGS</v>
      </c>
      <c r="T294" s="1"/>
      <c r="U294" s="1" t="str">
        <f ca="1">IFERROR(__xludf.DUMMYFUNCTION("""COMPUTED_VALUE"""),"N")</f>
        <v>N</v>
      </c>
      <c r="V294" s="1" t="str">
        <f ca="1">IFERROR(__xludf.DUMMYFUNCTION("""COMPUTED_VALUE"""),"N")</f>
        <v>N</v>
      </c>
      <c r="W294" s="1" t="str">
        <f ca="1">IFERROR(__xludf.DUMMYFUNCTION("""COMPUTED_VALUE"""),"Elisabeth Andrews")</f>
        <v>Elisabeth Andrews</v>
      </c>
      <c r="X294" s="1" t="str">
        <f ca="1">IFERROR(__xludf.DUMMYFUNCTION("""COMPUTED_VALUE"""),"elisabethandrews@icloud.com")</f>
        <v>elisabethandrews@icloud.com</v>
      </c>
      <c r="Y294" s="1"/>
      <c r="Z294" s="1"/>
      <c r="AA294" s="1"/>
      <c r="AB294" s="1"/>
      <c r="AC294" s="1" t="str">
        <f ca="1">IFERROR(__xludf.DUMMYFUNCTION("""COMPUTED_VALUE"""),"moving to Isaac's room")</f>
        <v>moving to Isaac's room</v>
      </c>
    </row>
    <row r="295" spans="1:29">
      <c r="A295" s="1" t="str">
        <f ca="1">IFERROR(__xludf.DUMMYFUNCTION("""COMPUTED_VALUE"""),"122 Central Street")</f>
        <v>122 Central Street</v>
      </c>
      <c r="B295" s="1">
        <f ca="1">IFERROR(__xludf.DUMMYFUNCTION("""COMPUTED_VALUE"""),122)</f>
        <v>122</v>
      </c>
      <c r="C295" s="1" t="str">
        <f ca="1">IFERROR(__xludf.DUMMYFUNCTION("""COMPUTED_VALUE"""),"#2")</f>
        <v>#2</v>
      </c>
      <c r="D295" s="1" t="str">
        <f ca="1">IFERROR(__xludf.DUMMYFUNCTION("""COMPUTED_VALUE"""),"122 Central Street Unit 2")</f>
        <v>122 Central Street Unit 2</v>
      </c>
      <c r="E295" s="1" t="str">
        <f ca="1">IFERROR(__xludf.DUMMYFUNCTION("""COMPUTED_VALUE"""),"Somerville")</f>
        <v>Somerville</v>
      </c>
      <c r="F295" s="1" t="str">
        <f ca="1">IFERROR(__xludf.DUMMYFUNCTION("""COMPUTED_VALUE"""),"Somerville - Winter Hill")</f>
        <v>Somerville - Winter Hill</v>
      </c>
      <c r="G295" s="1">
        <f ca="1">IFERROR(__xludf.DUMMYFUNCTION("""COMPUTED_VALUE"""),3)</f>
        <v>3</v>
      </c>
      <c r="H295" s="1" t="str">
        <f ca="1">IFERROR(__xludf.DUMMYFUNCTION("""COMPUTED_VALUE"""),"C")</f>
        <v>C</v>
      </c>
      <c r="I295" s="4" t="str">
        <f ca="1">IFERROR(__xludf.DUMMYFUNCTION("""COMPUTED_VALUE"""),"122 Central Street#2C")</f>
        <v>122 Central Street#2C</v>
      </c>
      <c r="J295" s="4" t="str">
        <f ca="1">IFERROR(__xludf.DUMMYFUNCTION("""COMPUTED_VALUE"""),"b98ad67f-8655-4e56-982b-2d9bc0c3d43e")</f>
        <v>b98ad67f-8655-4e56-982b-2d9bc0c3d43e</v>
      </c>
      <c r="K295" s="4">
        <f ca="1">IFERROR(__xludf.DUMMYFUNCTION("""COMPUTED_VALUE"""),925)</f>
        <v>925</v>
      </c>
      <c r="L295" s="1" t="str">
        <f ca="1">IFERROR(__xludf.DUMMYFUNCTION("""COMPUTED_VALUE"""),"Lizzie")</f>
        <v>Lizzie</v>
      </c>
      <c r="M295" s="1" t="str">
        <f ca="1">IFERROR(__xludf.DUMMYFUNCTION("""COMPUTED_VALUE"""),"")</f>
        <v/>
      </c>
      <c r="N295" s="1" t="str">
        <f ca="1">IFERROR(__xludf.DUMMYFUNCTION("""COMPUTED_VALUE"""),"")</f>
        <v/>
      </c>
      <c r="O295" s="1" t="str">
        <f ca="1">IFERROR(__xludf.DUMMYFUNCTION("""COMPUTED_VALUE"""),"Occupied")</f>
        <v>Occupied</v>
      </c>
      <c r="P295" s="1"/>
      <c r="Q295" s="1"/>
      <c r="R295" s="1"/>
      <c r="S295" s="1" t="str">
        <f ca="1">IFERROR(__xludf.DUMMYFUNCTION("""COMPUTED_VALUE"""),"NO CATS OR DOGS")</f>
        <v>NO CATS OR DOGS</v>
      </c>
      <c r="T295" s="1"/>
      <c r="U295" s="1" t="str">
        <f ca="1">IFERROR(__xludf.DUMMYFUNCTION("""COMPUTED_VALUE"""),"N")</f>
        <v>N</v>
      </c>
      <c r="V295" s="1" t="str">
        <f ca="1">IFERROR(__xludf.DUMMYFUNCTION("""COMPUTED_VALUE"""),"N")</f>
        <v>N</v>
      </c>
      <c r="W295" s="1"/>
      <c r="X295" s="1"/>
      <c r="Y295" s="1" t="str">
        <f ca="1">IFERROR(__xludf.DUMMYFUNCTION("""COMPUTED_VALUE"""),"Tyler Kiener")</f>
        <v>Tyler Kiener</v>
      </c>
      <c r="Z295" s="1" t="str">
        <f ca="1">IFERROR(__xludf.DUMMYFUNCTION("""COMPUTED_VALUE"""),"tyler@labster.com")</f>
        <v>tyler@labster.com</v>
      </c>
      <c r="AA295" s="1"/>
      <c r="AB295" s="1"/>
      <c r="AC295" s="1"/>
    </row>
    <row r="296" spans="1:29">
      <c r="A296" s="1" t="str">
        <f ca="1">IFERROR(__xludf.DUMMYFUNCTION("""COMPUTED_VALUE"""),"122 Central Street")</f>
        <v>122 Central Street</v>
      </c>
      <c r="B296" s="1">
        <f ca="1">IFERROR(__xludf.DUMMYFUNCTION("""COMPUTED_VALUE"""),122)</f>
        <v>122</v>
      </c>
      <c r="C296" s="1" t="str">
        <f ca="1">IFERROR(__xludf.DUMMYFUNCTION("""COMPUTED_VALUE"""),"#2")</f>
        <v>#2</v>
      </c>
      <c r="D296" s="1" t="str">
        <f ca="1">IFERROR(__xludf.DUMMYFUNCTION("""COMPUTED_VALUE"""),"122 Central Street Unit 2")</f>
        <v>122 Central Street Unit 2</v>
      </c>
      <c r="E296" s="1" t="str">
        <f ca="1">IFERROR(__xludf.DUMMYFUNCTION("""COMPUTED_VALUE"""),"Somerville")</f>
        <v>Somerville</v>
      </c>
      <c r="F296" s="1" t="str">
        <f ca="1">IFERROR(__xludf.DUMMYFUNCTION("""COMPUTED_VALUE"""),"Somerville - Winter Hill")</f>
        <v>Somerville - Winter Hill</v>
      </c>
      <c r="G296" s="1">
        <f ca="1">IFERROR(__xludf.DUMMYFUNCTION("""COMPUTED_VALUE"""),4)</f>
        <v>4</v>
      </c>
      <c r="H296" s="1" t="str">
        <f ca="1">IFERROR(__xludf.DUMMYFUNCTION("""COMPUTED_VALUE"""),"D")</f>
        <v>D</v>
      </c>
      <c r="I296" s="4" t="str">
        <f ca="1">IFERROR(__xludf.DUMMYFUNCTION("""COMPUTED_VALUE"""),"122 Central Street#2D")</f>
        <v>122 Central Street#2D</v>
      </c>
      <c r="J296" s="4" t="str">
        <f ca="1">IFERROR(__xludf.DUMMYFUNCTION("""COMPUTED_VALUE"""),"b98ad67f-8655-4e56-982b-2d9bc0c3d43e")</f>
        <v>b98ad67f-8655-4e56-982b-2d9bc0c3d43e</v>
      </c>
      <c r="K296" s="4">
        <f ca="1">IFERROR(__xludf.DUMMYFUNCTION("""COMPUTED_VALUE"""),1050)</f>
        <v>1050</v>
      </c>
      <c r="L296" s="1" t="str">
        <f ca="1">IFERROR(__xludf.DUMMYFUNCTION("""COMPUTED_VALUE"""),"Lizzie")</f>
        <v>Lizzie</v>
      </c>
      <c r="M296" s="1" t="str">
        <f ca="1">IFERROR(__xludf.DUMMYFUNCTION("""COMPUTED_VALUE"""),"")</f>
        <v/>
      </c>
      <c r="N296" s="1" t="str">
        <f ca="1">IFERROR(__xludf.DUMMYFUNCTION("""COMPUTED_VALUE"""),"")</f>
        <v/>
      </c>
      <c r="O296" s="1" t="str">
        <f ca="1">IFERROR(__xludf.DUMMYFUNCTION("""COMPUTED_VALUE"""),"Occupied")</f>
        <v>Occupied</v>
      </c>
      <c r="P296" s="1"/>
      <c r="Q296" s="1"/>
      <c r="R296" s="1"/>
      <c r="S296" s="1" t="str">
        <f ca="1">IFERROR(__xludf.DUMMYFUNCTION("""COMPUTED_VALUE"""),"NO CATS OR DOGS")</f>
        <v>NO CATS OR DOGS</v>
      </c>
      <c r="T296" s="1"/>
      <c r="U296" s="1" t="str">
        <f ca="1">IFERROR(__xludf.DUMMYFUNCTION("""COMPUTED_VALUE"""),"N")</f>
        <v>N</v>
      </c>
      <c r="V296" s="1" t="str">
        <f ca="1">IFERROR(__xludf.DUMMYFUNCTION("""COMPUTED_VALUE"""),"N")</f>
        <v>N</v>
      </c>
      <c r="W296" s="1"/>
      <c r="X296" s="1"/>
      <c r="Y296" s="1" t="str">
        <f ca="1">IFERROR(__xludf.DUMMYFUNCTION("""COMPUTED_VALUE"""),"Dermot Adelmann")</f>
        <v>Dermot Adelmann</v>
      </c>
      <c r="Z296" s="1" t="str">
        <f ca="1">IFERROR(__xludf.DUMMYFUNCTION("""COMPUTED_VALUE"""),"dadelmann20@gmail.com")</f>
        <v>dadelmann20@gmail.com</v>
      </c>
      <c r="AA296" s="1"/>
      <c r="AB296" s="1"/>
      <c r="AC296" s="1" t="str">
        <f ca="1">IFERROR(__xludf.DUMMYFUNCTION("""COMPUTED_VALUE"""),"parking spot")</f>
        <v>parking spot</v>
      </c>
    </row>
    <row r="297" spans="1:29">
      <c r="A297" s="1" t="str">
        <f ca="1">IFERROR(__xludf.DUMMYFUNCTION("""COMPUTED_VALUE"""),"146 Hillside Street")</f>
        <v>146 Hillside Street</v>
      </c>
      <c r="B297" s="1">
        <f ca="1">IFERROR(__xludf.DUMMYFUNCTION("""COMPUTED_VALUE"""),146)</f>
        <v>146</v>
      </c>
      <c r="C297" s="1" t="str">
        <f ca="1">IFERROR(__xludf.DUMMYFUNCTION("""COMPUTED_VALUE"""),"#1")</f>
        <v>#1</v>
      </c>
      <c r="D297" s="1" t="str">
        <f ca="1">IFERROR(__xludf.DUMMYFUNCTION("""COMPUTED_VALUE"""),"146 Hillside Street Unit 1")</f>
        <v>146 Hillside Street Unit 1</v>
      </c>
      <c r="E297" s="1" t="str">
        <f ca="1">IFERROR(__xludf.DUMMYFUNCTION("""COMPUTED_VALUE"""),"Boston")</f>
        <v>Boston</v>
      </c>
      <c r="F297" s="1" t="str">
        <f ca="1">IFERROR(__xludf.DUMMYFUNCTION("""COMPUTED_VALUE"""),"Boston - Mission Hill")</f>
        <v>Boston - Mission Hill</v>
      </c>
      <c r="G297" s="1">
        <f ca="1">IFERROR(__xludf.DUMMYFUNCTION("""COMPUTED_VALUE"""),1)</f>
        <v>1</v>
      </c>
      <c r="H297" s="1" t="str">
        <f ca="1">IFERROR(__xludf.DUMMYFUNCTION("""COMPUTED_VALUE"""),"A")</f>
        <v>A</v>
      </c>
      <c r="I297" s="4" t="str">
        <f ca="1">IFERROR(__xludf.DUMMYFUNCTION("""COMPUTED_VALUE"""),"146 Hillside Street#1A")</f>
        <v>146 Hillside Street#1A</v>
      </c>
      <c r="J297" s="4" t="str">
        <f ca="1">IFERROR(__xludf.DUMMYFUNCTION("""COMPUTED_VALUE"""),"5862abf8-e6bf-4990-aa67-f609880b57f3")</f>
        <v>5862abf8-e6bf-4990-aa67-f609880b57f3</v>
      </c>
      <c r="K297" s="4">
        <f ca="1">IFERROR(__xludf.DUMMYFUNCTION("""COMPUTED_VALUE"""),1295)</f>
        <v>1295</v>
      </c>
      <c r="L297" s="1" t="str">
        <f ca="1">IFERROR(__xludf.DUMMYFUNCTION("""COMPUTED_VALUE"""),"Cam")</f>
        <v>Cam</v>
      </c>
      <c r="M297" s="1" t="str">
        <f ca="1">IFERROR(__xludf.DUMMYFUNCTION("""COMPUTED_VALUE"""),"")</f>
        <v/>
      </c>
      <c r="N297" s="1" t="str">
        <f ca="1">IFERROR(__xludf.DUMMYFUNCTION("""COMPUTED_VALUE"""),"Furnished")</f>
        <v>Furnished</v>
      </c>
      <c r="O297" s="1" t="str">
        <f ca="1">IFERROR(__xludf.DUMMYFUNCTION("""COMPUTED_VALUE"""),"Upcoming Vacancy")</f>
        <v>Upcoming Vacancy</v>
      </c>
      <c r="P297" s="1" t="str">
        <f ca="1">IFERROR(__xludf.DUMMYFUNCTION("""COMPUTED_VALUE"""),"June")</f>
        <v>June</v>
      </c>
      <c r="Q297" s="3">
        <f ca="1">IFERROR(__xludf.DUMMYFUNCTION("""COMPUTED_VALUE"""),43982)</f>
        <v>43982</v>
      </c>
      <c r="R297" s="1"/>
      <c r="S297" s="1" t="str">
        <f ca="1">IFERROR(__xludf.DUMMYFUNCTION("""COMPUTED_VALUE"""),"NO CATS OR DOGS")</f>
        <v>NO CATS OR DOGS</v>
      </c>
      <c r="T297" s="1"/>
      <c r="U297" s="1" t="str">
        <f ca="1">IFERROR(__xludf.DUMMYFUNCTION("""COMPUTED_VALUE"""),"Y")</f>
        <v>Y</v>
      </c>
      <c r="V297" s="1" t="str">
        <f ca="1">IFERROR(__xludf.DUMMYFUNCTION("""COMPUTED_VALUE"""),"N")</f>
        <v>N</v>
      </c>
      <c r="W297" s="1"/>
      <c r="X297" s="1"/>
      <c r="Y297" s="1" t="str">
        <f ca="1">IFERROR(__xludf.DUMMYFUNCTION("""COMPUTED_VALUE"""),"Evan Chan")</f>
        <v>Evan Chan</v>
      </c>
      <c r="Z297" s="1" t="str">
        <f ca="1">IFERROR(__xludf.DUMMYFUNCTION("""COMPUTED_VALUE"""),"aeolus24711@gmail.com")</f>
        <v>aeolus24711@gmail.com</v>
      </c>
      <c r="AA297" s="1"/>
      <c r="AB297" s="1"/>
      <c r="AC297" s="1"/>
    </row>
    <row r="298" spans="1:29">
      <c r="A298" s="1" t="str">
        <f ca="1">IFERROR(__xludf.DUMMYFUNCTION("""COMPUTED_VALUE"""),"146 Hillside Street")</f>
        <v>146 Hillside Street</v>
      </c>
      <c r="B298" s="1">
        <f ca="1">IFERROR(__xludf.DUMMYFUNCTION("""COMPUTED_VALUE"""),146)</f>
        <v>146</v>
      </c>
      <c r="C298" s="1" t="str">
        <f ca="1">IFERROR(__xludf.DUMMYFUNCTION("""COMPUTED_VALUE"""),"#1")</f>
        <v>#1</v>
      </c>
      <c r="D298" s="1" t="str">
        <f ca="1">IFERROR(__xludf.DUMMYFUNCTION("""COMPUTED_VALUE"""),"146 Hillside Street Unit 1")</f>
        <v>146 Hillside Street Unit 1</v>
      </c>
      <c r="E298" s="1" t="str">
        <f ca="1">IFERROR(__xludf.DUMMYFUNCTION("""COMPUTED_VALUE"""),"Boston")</f>
        <v>Boston</v>
      </c>
      <c r="F298" s="1" t="str">
        <f ca="1">IFERROR(__xludf.DUMMYFUNCTION("""COMPUTED_VALUE"""),"Boston - Mission Hill")</f>
        <v>Boston - Mission Hill</v>
      </c>
      <c r="G298" s="1">
        <f ca="1">IFERROR(__xludf.DUMMYFUNCTION("""COMPUTED_VALUE"""),2)</f>
        <v>2</v>
      </c>
      <c r="H298" s="1" t="str">
        <f ca="1">IFERROR(__xludf.DUMMYFUNCTION("""COMPUTED_VALUE"""),"B")</f>
        <v>B</v>
      </c>
      <c r="I298" s="4" t="str">
        <f ca="1">IFERROR(__xludf.DUMMYFUNCTION("""COMPUTED_VALUE"""),"146 Hillside Street#1B")</f>
        <v>146 Hillside Street#1B</v>
      </c>
      <c r="J298" s="4" t="str">
        <f ca="1">IFERROR(__xludf.DUMMYFUNCTION("""COMPUTED_VALUE"""),"5862abf8-e6bf-4990-aa67-f609880b57f3")</f>
        <v>5862abf8-e6bf-4990-aa67-f609880b57f3</v>
      </c>
      <c r="K298" s="4">
        <f ca="1">IFERROR(__xludf.DUMMYFUNCTION("""COMPUTED_VALUE"""),1195)</f>
        <v>1195</v>
      </c>
      <c r="L298" s="1" t="str">
        <f ca="1">IFERROR(__xludf.DUMMYFUNCTION("""COMPUTED_VALUE"""),"Cam")</f>
        <v>Cam</v>
      </c>
      <c r="M298" s="1" t="str">
        <f ca="1">IFERROR(__xludf.DUMMYFUNCTION("""COMPUTED_VALUE"""),"")</f>
        <v/>
      </c>
      <c r="N298" s="1" t="str">
        <f ca="1">IFERROR(__xludf.DUMMYFUNCTION("""COMPUTED_VALUE"""),"Furnished")</f>
        <v>Furnished</v>
      </c>
      <c r="O298" s="1" t="str">
        <f ca="1">IFERROR(__xludf.DUMMYFUNCTION("""COMPUTED_VALUE"""),"Upcoming Vacancy")</f>
        <v>Upcoming Vacancy</v>
      </c>
      <c r="P298" s="1" t="str">
        <f ca="1">IFERROR(__xludf.DUMMYFUNCTION("""COMPUTED_VALUE"""),"June")</f>
        <v>June</v>
      </c>
      <c r="Q298" s="3">
        <f ca="1">IFERROR(__xludf.DUMMYFUNCTION("""COMPUTED_VALUE"""),44347)</f>
        <v>44347</v>
      </c>
      <c r="R298" s="1"/>
      <c r="S298" s="1" t="str">
        <f ca="1">IFERROR(__xludf.DUMMYFUNCTION("""COMPUTED_VALUE"""),"NO CATS OR DOGS")</f>
        <v>NO CATS OR DOGS</v>
      </c>
      <c r="T298" s="1"/>
      <c r="U298" s="1" t="str">
        <f ca="1">IFERROR(__xludf.DUMMYFUNCTION("""COMPUTED_VALUE"""),"Y")</f>
        <v>Y</v>
      </c>
      <c r="V298" s="1" t="str">
        <f ca="1">IFERROR(__xludf.DUMMYFUNCTION("""COMPUTED_VALUE"""),"N")</f>
        <v>N</v>
      </c>
      <c r="W298" s="1"/>
      <c r="X298" s="1"/>
      <c r="Y298" s="1" t="str">
        <f ca="1">IFERROR(__xludf.DUMMYFUNCTION("""COMPUTED_VALUE"""),"Boonyawee Phonthanakornkul")</f>
        <v>Boonyawee Phonthanakornkul</v>
      </c>
      <c r="Z298" s="1" t="str">
        <f ca="1">IFERROR(__xludf.DUMMYFUNCTION("""COMPUTED_VALUE"""),"bowling-b@hotmail.com")</f>
        <v>bowling-b@hotmail.com</v>
      </c>
      <c r="AA298" s="1"/>
      <c r="AB298" s="1"/>
      <c r="AC298" s="1"/>
    </row>
    <row r="299" spans="1:29">
      <c r="A299" s="1" t="str">
        <f ca="1">IFERROR(__xludf.DUMMYFUNCTION("""COMPUTED_VALUE"""),"146 Hillside Street")</f>
        <v>146 Hillside Street</v>
      </c>
      <c r="B299" s="1">
        <f ca="1">IFERROR(__xludf.DUMMYFUNCTION("""COMPUTED_VALUE"""),146)</f>
        <v>146</v>
      </c>
      <c r="C299" s="1" t="str">
        <f ca="1">IFERROR(__xludf.DUMMYFUNCTION("""COMPUTED_VALUE"""),"#1")</f>
        <v>#1</v>
      </c>
      <c r="D299" s="1" t="str">
        <f ca="1">IFERROR(__xludf.DUMMYFUNCTION("""COMPUTED_VALUE"""),"146 Hillside Street Unit 1")</f>
        <v>146 Hillside Street Unit 1</v>
      </c>
      <c r="E299" s="1" t="str">
        <f ca="1">IFERROR(__xludf.DUMMYFUNCTION("""COMPUTED_VALUE"""),"Boston")</f>
        <v>Boston</v>
      </c>
      <c r="F299" s="1" t="str">
        <f ca="1">IFERROR(__xludf.DUMMYFUNCTION("""COMPUTED_VALUE"""),"Boston - Mission Hill")</f>
        <v>Boston - Mission Hill</v>
      </c>
      <c r="G299" s="1">
        <f ca="1">IFERROR(__xludf.DUMMYFUNCTION("""COMPUTED_VALUE"""),3)</f>
        <v>3</v>
      </c>
      <c r="H299" s="1" t="str">
        <f ca="1">IFERROR(__xludf.DUMMYFUNCTION("""COMPUTED_VALUE"""),"C")</f>
        <v>C</v>
      </c>
      <c r="I299" s="4" t="str">
        <f ca="1">IFERROR(__xludf.DUMMYFUNCTION("""COMPUTED_VALUE"""),"146 Hillside Street#1C")</f>
        <v>146 Hillside Street#1C</v>
      </c>
      <c r="J299" s="4" t="str">
        <f ca="1">IFERROR(__xludf.DUMMYFUNCTION("""COMPUTED_VALUE"""),"5862abf8-e6bf-4990-aa67-f609880b57f3")</f>
        <v>5862abf8-e6bf-4990-aa67-f609880b57f3</v>
      </c>
      <c r="K299" s="4">
        <f ca="1">IFERROR(__xludf.DUMMYFUNCTION("""COMPUTED_VALUE"""),1195)</f>
        <v>1195</v>
      </c>
      <c r="L299" s="1" t="str">
        <f ca="1">IFERROR(__xludf.DUMMYFUNCTION("""COMPUTED_VALUE"""),"Cam")</f>
        <v>Cam</v>
      </c>
      <c r="M299" s="1" t="str">
        <f ca="1">IFERROR(__xludf.DUMMYFUNCTION("""COMPUTED_VALUE"""),"")</f>
        <v/>
      </c>
      <c r="N299" s="1" t="str">
        <f ca="1">IFERROR(__xludf.DUMMYFUNCTION("""COMPUTED_VALUE"""),"Furnished")</f>
        <v>Furnished</v>
      </c>
      <c r="O299" s="1" t="str">
        <f ca="1">IFERROR(__xludf.DUMMYFUNCTION("""COMPUTED_VALUE"""),"Lease Signed")</f>
        <v>Lease Signed</v>
      </c>
      <c r="P299" s="1" t="str">
        <f ca="1">IFERROR(__xludf.DUMMYFUNCTION("""COMPUTED_VALUE"""),"January")</f>
        <v>January</v>
      </c>
      <c r="Q299" s="1"/>
      <c r="R299" s="5">
        <f ca="1">IFERROR(__xludf.DUMMYFUNCTION("""COMPUTED_VALUE"""),43853)</f>
        <v>43853</v>
      </c>
      <c r="S299" s="1" t="str">
        <f ca="1">IFERROR(__xludf.DUMMYFUNCTION("""COMPUTED_VALUE"""),"NO CATS OR DOGS")</f>
        <v>NO CATS OR DOGS</v>
      </c>
      <c r="T299" s="1"/>
      <c r="U299" s="1" t="str">
        <f ca="1">IFERROR(__xludf.DUMMYFUNCTION("""COMPUTED_VALUE"""),"Y")</f>
        <v>Y</v>
      </c>
      <c r="V299" s="1" t="str">
        <f ca="1">IFERROR(__xludf.DUMMYFUNCTION("""COMPUTED_VALUE"""),"N")</f>
        <v>N</v>
      </c>
      <c r="W299" s="1" t="str">
        <f ca="1">IFERROR(__xludf.DUMMYFUNCTION("""COMPUTED_VALUE"""),"Stephanie Stark")</f>
        <v>Stephanie Stark</v>
      </c>
      <c r="X299" s="1" t="str">
        <f ca="1">IFERROR(__xludf.DUMMYFUNCTION("""COMPUTED_VALUE"""),"stephstark98@gmail.com")</f>
        <v>stephstark98@gmail.com</v>
      </c>
      <c r="Y299" s="1"/>
      <c r="Z299" s="1"/>
      <c r="AA299" s="1"/>
      <c r="AB299" s="1"/>
      <c r="AC299" s="1"/>
    </row>
    <row r="300" spans="1:29">
      <c r="A300" s="1" t="str">
        <f ca="1">IFERROR(__xludf.DUMMYFUNCTION("""COMPUTED_VALUE"""),"146 Hillside Street")</f>
        <v>146 Hillside Street</v>
      </c>
      <c r="B300" s="1">
        <f ca="1">IFERROR(__xludf.DUMMYFUNCTION("""COMPUTED_VALUE"""),146)</f>
        <v>146</v>
      </c>
      <c r="C300" s="1" t="str">
        <f ca="1">IFERROR(__xludf.DUMMYFUNCTION("""COMPUTED_VALUE"""),"#1")</f>
        <v>#1</v>
      </c>
      <c r="D300" s="1" t="str">
        <f ca="1">IFERROR(__xludf.DUMMYFUNCTION("""COMPUTED_VALUE"""),"146 Hillside Street Unit 1")</f>
        <v>146 Hillside Street Unit 1</v>
      </c>
      <c r="E300" s="1" t="str">
        <f ca="1">IFERROR(__xludf.DUMMYFUNCTION("""COMPUTED_VALUE"""),"Boston")</f>
        <v>Boston</v>
      </c>
      <c r="F300" s="1" t="str">
        <f ca="1">IFERROR(__xludf.DUMMYFUNCTION("""COMPUTED_VALUE"""),"Boston - Mission Hill")</f>
        <v>Boston - Mission Hill</v>
      </c>
      <c r="G300" s="1">
        <f ca="1">IFERROR(__xludf.DUMMYFUNCTION("""COMPUTED_VALUE"""),4)</f>
        <v>4</v>
      </c>
      <c r="H300" s="1" t="str">
        <f ca="1">IFERROR(__xludf.DUMMYFUNCTION("""COMPUTED_VALUE"""),"D")</f>
        <v>D</v>
      </c>
      <c r="I300" s="4" t="str">
        <f ca="1">IFERROR(__xludf.DUMMYFUNCTION("""COMPUTED_VALUE"""),"146 Hillside Street#1D")</f>
        <v>146 Hillside Street#1D</v>
      </c>
      <c r="J300" s="4" t="str">
        <f ca="1">IFERROR(__xludf.DUMMYFUNCTION("""COMPUTED_VALUE"""),"5862abf8-e6bf-4990-aa67-f609880b57f3")</f>
        <v>5862abf8-e6bf-4990-aa67-f609880b57f3</v>
      </c>
      <c r="K300" s="4">
        <f ca="1">IFERROR(__xludf.DUMMYFUNCTION("""COMPUTED_VALUE"""),1295)</f>
        <v>1295</v>
      </c>
      <c r="L300" s="1" t="str">
        <f ca="1">IFERROR(__xludf.DUMMYFUNCTION("""COMPUTED_VALUE"""),"Cam")</f>
        <v>Cam</v>
      </c>
      <c r="M300" s="1" t="str">
        <f ca="1">IFERROR(__xludf.DUMMYFUNCTION("""COMPUTED_VALUE"""),"Cam (NOW)")</f>
        <v>Cam (NOW)</v>
      </c>
      <c r="N300" s="1" t="str">
        <f ca="1">IFERROR(__xludf.DUMMYFUNCTION("""COMPUTED_VALUE"""),"Furnished")</f>
        <v>Furnished</v>
      </c>
      <c r="O300" s="1" t="str">
        <f ca="1">IFERROR(__xludf.DUMMYFUNCTION("""COMPUTED_VALUE"""),"Upcoming Vacancy")</f>
        <v>Upcoming Vacancy</v>
      </c>
      <c r="P300" s="1" t="str">
        <f ca="1">IFERROR(__xludf.DUMMYFUNCTION("""COMPUTED_VALUE"""),"March")</f>
        <v>March</v>
      </c>
      <c r="Q300" s="3">
        <f ca="1">IFERROR(__xludf.DUMMYFUNCTION("""COMPUTED_VALUE"""),43889)</f>
        <v>43889</v>
      </c>
      <c r="R300" s="1"/>
      <c r="S300" s="1" t="str">
        <f ca="1">IFERROR(__xludf.DUMMYFUNCTION("""COMPUTED_VALUE"""),"NO CATS OR DOGS")</f>
        <v>NO CATS OR DOGS</v>
      </c>
      <c r="T300" s="1"/>
      <c r="U300" s="1" t="str">
        <f ca="1">IFERROR(__xludf.DUMMYFUNCTION("""COMPUTED_VALUE"""),"Y")</f>
        <v>Y</v>
      </c>
      <c r="V300" s="1" t="str">
        <f ca="1">IFERROR(__xludf.DUMMYFUNCTION("""COMPUTED_VALUE"""),"N")</f>
        <v>N</v>
      </c>
      <c r="W300" s="1"/>
      <c r="X300" s="1"/>
      <c r="Y300" s="1" t="str">
        <f ca="1">IFERROR(__xludf.DUMMYFUNCTION("""COMPUTED_VALUE"""),"Diana Lopez Cantu")</f>
        <v>Diana Lopez Cantu</v>
      </c>
      <c r="Z300" s="1" t="str">
        <f ca="1">IFERROR(__xludf.DUMMYFUNCTION("""COMPUTED_VALUE"""),"A01282254@itesm.mx")</f>
        <v>A01282254@itesm.mx</v>
      </c>
      <c r="AA300" s="1"/>
      <c r="AB300" s="1"/>
      <c r="AC300" s="1"/>
    </row>
    <row r="301" spans="1:29">
      <c r="A301" s="1" t="str">
        <f ca="1">IFERROR(__xludf.DUMMYFUNCTION("""COMPUTED_VALUE"""),"146 Hillside Street")</f>
        <v>146 Hillside Street</v>
      </c>
      <c r="B301" s="1">
        <f ca="1">IFERROR(__xludf.DUMMYFUNCTION("""COMPUTED_VALUE"""),146)</f>
        <v>146</v>
      </c>
      <c r="C301" s="1" t="str">
        <f ca="1">IFERROR(__xludf.DUMMYFUNCTION("""COMPUTED_VALUE"""),"#1")</f>
        <v>#1</v>
      </c>
      <c r="D301" s="1" t="str">
        <f ca="1">IFERROR(__xludf.DUMMYFUNCTION("""COMPUTED_VALUE"""),"146 Hillside Street Unit 1")</f>
        <v>146 Hillside Street Unit 1</v>
      </c>
      <c r="E301" s="1" t="str">
        <f ca="1">IFERROR(__xludf.DUMMYFUNCTION("""COMPUTED_VALUE"""),"Boston")</f>
        <v>Boston</v>
      </c>
      <c r="F301" s="1" t="str">
        <f ca="1">IFERROR(__xludf.DUMMYFUNCTION("""COMPUTED_VALUE"""),"Boston - Mission Hill")</f>
        <v>Boston - Mission Hill</v>
      </c>
      <c r="G301" s="1">
        <f ca="1">IFERROR(__xludf.DUMMYFUNCTION("""COMPUTED_VALUE"""),5)</f>
        <v>5</v>
      </c>
      <c r="H301" s="1" t="str">
        <f ca="1">IFERROR(__xludf.DUMMYFUNCTION("""COMPUTED_VALUE"""),"E")</f>
        <v>E</v>
      </c>
      <c r="I301" s="4" t="str">
        <f ca="1">IFERROR(__xludf.DUMMYFUNCTION("""COMPUTED_VALUE"""),"146 Hillside Street#1E")</f>
        <v>146 Hillside Street#1E</v>
      </c>
      <c r="J301" s="4" t="str">
        <f ca="1">IFERROR(__xludf.DUMMYFUNCTION("""COMPUTED_VALUE"""),"5862abf8-e6bf-4990-aa67-f609880b57f3")</f>
        <v>5862abf8-e6bf-4990-aa67-f609880b57f3</v>
      </c>
      <c r="K301" s="4">
        <f ca="1">IFERROR(__xludf.DUMMYFUNCTION("""COMPUTED_VALUE"""),1195)</f>
        <v>1195</v>
      </c>
      <c r="L301" s="1" t="str">
        <f ca="1">IFERROR(__xludf.DUMMYFUNCTION("""COMPUTED_VALUE"""),"Cam")</f>
        <v>Cam</v>
      </c>
      <c r="M301" s="1" t="str">
        <f ca="1">IFERROR(__xludf.DUMMYFUNCTION("""COMPUTED_VALUE"""),"")</f>
        <v/>
      </c>
      <c r="N301" s="1" t="str">
        <f ca="1">IFERROR(__xludf.DUMMYFUNCTION("""COMPUTED_VALUE"""),"Furnished")</f>
        <v>Furnished</v>
      </c>
      <c r="O301" s="1" t="str">
        <f ca="1">IFERROR(__xludf.DUMMYFUNCTION("""COMPUTED_VALUE"""),"Upcoming Vacancy")</f>
        <v>Upcoming Vacancy</v>
      </c>
      <c r="P301" s="1" t="str">
        <f ca="1">IFERROR(__xludf.DUMMYFUNCTION("""COMPUTED_VALUE"""),"May")</f>
        <v>May</v>
      </c>
      <c r="Q301" s="3">
        <f ca="1">IFERROR(__xludf.DUMMYFUNCTION("""COMPUTED_VALUE"""),43951)</f>
        <v>43951</v>
      </c>
      <c r="R301" s="1"/>
      <c r="S301" s="1" t="str">
        <f ca="1">IFERROR(__xludf.DUMMYFUNCTION("""COMPUTED_VALUE"""),"NO CATS OR DOGS")</f>
        <v>NO CATS OR DOGS</v>
      </c>
      <c r="T301" s="1"/>
      <c r="U301" s="1" t="str">
        <f ca="1">IFERROR(__xludf.DUMMYFUNCTION("""COMPUTED_VALUE"""),"Y")</f>
        <v>Y</v>
      </c>
      <c r="V301" s="1" t="str">
        <f ca="1">IFERROR(__xludf.DUMMYFUNCTION("""COMPUTED_VALUE"""),"N")</f>
        <v>N</v>
      </c>
      <c r="W301" s="1"/>
      <c r="X301" s="1"/>
      <c r="Y301" s="1" t="str">
        <f ca="1">IFERROR(__xludf.DUMMYFUNCTION("""COMPUTED_VALUE"""),"Zachary Forrest")</f>
        <v>Zachary Forrest</v>
      </c>
      <c r="Z301" s="1" t="str">
        <f ca="1">IFERROR(__xludf.DUMMYFUNCTION("""COMPUTED_VALUE"""),"zforrest1998@gmail.com")</f>
        <v>zforrest1998@gmail.com</v>
      </c>
      <c r="AA301" s="1"/>
      <c r="AB301" s="1"/>
      <c r="AC301" s="1"/>
    </row>
    <row r="302" spans="1:29">
      <c r="A302" s="1" t="str">
        <f ca="1">IFERROR(__xludf.DUMMYFUNCTION("""COMPUTED_VALUE"""),"147 Columbia Street")</f>
        <v>147 Columbia Street</v>
      </c>
      <c r="B302" s="1">
        <f ca="1">IFERROR(__xludf.DUMMYFUNCTION("""COMPUTED_VALUE"""),147)</f>
        <v>147</v>
      </c>
      <c r="C302" s="1" t="str">
        <f ca="1">IFERROR(__xludf.DUMMYFUNCTION("""COMPUTED_VALUE"""),"#3R")</f>
        <v>#3R</v>
      </c>
      <c r="D302" s="1" t="str">
        <f ca="1">IFERROR(__xludf.DUMMYFUNCTION("""COMPUTED_VALUE"""),"147 Columbia Street Unit 3R")</f>
        <v>147 Columbia Street Unit 3R</v>
      </c>
      <c r="E302" s="1" t="str">
        <f ca="1">IFERROR(__xludf.DUMMYFUNCTION("""COMPUTED_VALUE"""),"Cambridge")</f>
        <v>Cambridge</v>
      </c>
      <c r="F302" s="1" t="str">
        <f ca="1">IFERROR(__xludf.DUMMYFUNCTION("""COMPUTED_VALUE"""),"Cambridge - Cambridgeport")</f>
        <v>Cambridge - Cambridgeport</v>
      </c>
      <c r="G302" s="1">
        <f ca="1">IFERROR(__xludf.DUMMYFUNCTION("""COMPUTED_VALUE"""),1)</f>
        <v>1</v>
      </c>
      <c r="H302" s="1" t="str">
        <f ca="1">IFERROR(__xludf.DUMMYFUNCTION("""COMPUTED_VALUE"""),"A")</f>
        <v>A</v>
      </c>
      <c r="I302" s="4" t="str">
        <f ca="1">IFERROR(__xludf.DUMMYFUNCTION("""COMPUTED_VALUE"""),"147 Columbia Street#3RA")</f>
        <v>147 Columbia Street#3RA</v>
      </c>
      <c r="J302" s="4" t="str">
        <f ca="1">IFERROR(__xludf.DUMMYFUNCTION("""COMPUTED_VALUE"""),"b1a76509-e1b9-453a-9002-9b895c89391f")</f>
        <v>b1a76509-e1b9-453a-9002-9b895c89391f</v>
      </c>
      <c r="K302" s="4">
        <f ca="1">IFERROR(__xludf.DUMMYFUNCTION("""COMPUTED_VALUE"""),995)</f>
        <v>995</v>
      </c>
      <c r="L302" s="1" t="str">
        <f ca="1">IFERROR(__xludf.DUMMYFUNCTION("""COMPUTED_VALUE"""),"Daniel")</f>
        <v>Daniel</v>
      </c>
      <c r="M302" s="1" t="str">
        <f ca="1">IFERROR(__xludf.DUMMYFUNCTION("""COMPUTED_VALUE"""),"")</f>
        <v/>
      </c>
      <c r="N302" s="1" t="str">
        <f ca="1">IFERROR(__xludf.DUMMYFUNCTION("""COMPUTED_VALUE"""),"")</f>
        <v/>
      </c>
      <c r="O302" s="1" t="str">
        <f ca="1">IFERROR(__xludf.DUMMYFUNCTION("""COMPUTED_VALUE"""),"Occupied")</f>
        <v>Occupied</v>
      </c>
      <c r="P302" s="1"/>
      <c r="Q302" s="1"/>
      <c r="R302" s="1"/>
      <c r="S302" s="1"/>
      <c r="T302" s="1"/>
      <c r="U302" s="1" t="str">
        <f ca="1">IFERROR(__xludf.DUMMYFUNCTION("""COMPUTED_VALUE"""),"N")</f>
        <v>N</v>
      </c>
      <c r="V302" s="1" t="str">
        <f ca="1">IFERROR(__xludf.DUMMYFUNCTION("""COMPUTED_VALUE"""),"N")</f>
        <v>N</v>
      </c>
      <c r="W302" s="1"/>
      <c r="X302" s="1"/>
      <c r="Y302" s="1" t="str">
        <f ca="1">IFERROR(__xludf.DUMMYFUNCTION("""COMPUTED_VALUE"""),"Patrice-Morgan Ongoly")</f>
        <v>Patrice-Morgan Ongoly</v>
      </c>
      <c r="Z302" s="1" t="str">
        <f ca="1">IFERROR(__xludf.DUMMYFUNCTION("""COMPUTED_VALUE"""),"tandou.ongoly@gmail.com")</f>
        <v>tandou.ongoly@gmail.com</v>
      </c>
      <c r="AA302" s="1"/>
      <c r="AB302" s="1"/>
      <c r="AC302" s="1"/>
    </row>
    <row r="303" spans="1:29">
      <c r="A303" s="1" t="str">
        <f ca="1">IFERROR(__xludf.DUMMYFUNCTION("""COMPUTED_VALUE"""),"147 Columbia Street")</f>
        <v>147 Columbia Street</v>
      </c>
      <c r="B303" s="1">
        <f ca="1">IFERROR(__xludf.DUMMYFUNCTION("""COMPUTED_VALUE"""),147)</f>
        <v>147</v>
      </c>
      <c r="C303" s="1" t="str">
        <f ca="1">IFERROR(__xludf.DUMMYFUNCTION("""COMPUTED_VALUE"""),"#3R")</f>
        <v>#3R</v>
      </c>
      <c r="D303" s="1" t="str">
        <f ca="1">IFERROR(__xludf.DUMMYFUNCTION("""COMPUTED_VALUE"""),"147 Columbia Street Unit 3R")</f>
        <v>147 Columbia Street Unit 3R</v>
      </c>
      <c r="E303" s="1" t="str">
        <f ca="1">IFERROR(__xludf.DUMMYFUNCTION("""COMPUTED_VALUE"""),"Cambridge")</f>
        <v>Cambridge</v>
      </c>
      <c r="F303" s="1" t="str">
        <f ca="1">IFERROR(__xludf.DUMMYFUNCTION("""COMPUTED_VALUE"""),"Cambridge - Cambridgeport")</f>
        <v>Cambridge - Cambridgeport</v>
      </c>
      <c r="G303" s="1">
        <f ca="1">IFERROR(__xludf.DUMMYFUNCTION("""COMPUTED_VALUE"""),2)</f>
        <v>2</v>
      </c>
      <c r="H303" s="1" t="str">
        <f ca="1">IFERROR(__xludf.DUMMYFUNCTION("""COMPUTED_VALUE"""),"B")</f>
        <v>B</v>
      </c>
      <c r="I303" s="4" t="str">
        <f ca="1">IFERROR(__xludf.DUMMYFUNCTION("""COMPUTED_VALUE"""),"147 Columbia Street#3RB")</f>
        <v>147 Columbia Street#3RB</v>
      </c>
      <c r="J303" s="4" t="str">
        <f ca="1">IFERROR(__xludf.DUMMYFUNCTION("""COMPUTED_VALUE"""),"b1a76509-e1b9-453a-9002-9b895c89391f")</f>
        <v>b1a76509-e1b9-453a-9002-9b895c89391f</v>
      </c>
      <c r="K303" s="4">
        <f ca="1">IFERROR(__xludf.DUMMYFUNCTION("""COMPUTED_VALUE"""),1050)</f>
        <v>1050</v>
      </c>
      <c r="L303" s="1" t="str">
        <f ca="1">IFERROR(__xludf.DUMMYFUNCTION("""COMPUTED_VALUE"""),"Daniel")</f>
        <v>Daniel</v>
      </c>
      <c r="M303" s="1" t="str">
        <f ca="1">IFERROR(__xludf.DUMMYFUNCTION("""COMPUTED_VALUE"""),"")</f>
        <v/>
      </c>
      <c r="N303" s="1" t="str">
        <f ca="1">IFERROR(__xludf.DUMMYFUNCTION("""COMPUTED_VALUE"""),"")</f>
        <v/>
      </c>
      <c r="O303" s="1" t="str">
        <f ca="1">IFERROR(__xludf.DUMMYFUNCTION("""COMPUTED_VALUE"""),"Occupied")</f>
        <v>Occupied</v>
      </c>
      <c r="P303" s="1"/>
      <c r="Q303" s="1"/>
      <c r="R303" s="1"/>
      <c r="S303" s="1"/>
      <c r="T303" s="1"/>
      <c r="U303" s="1" t="str">
        <f ca="1">IFERROR(__xludf.DUMMYFUNCTION("""COMPUTED_VALUE"""),"N")</f>
        <v>N</v>
      </c>
      <c r="V303" s="1" t="str">
        <f ca="1">IFERROR(__xludf.DUMMYFUNCTION("""COMPUTED_VALUE"""),"N")</f>
        <v>N</v>
      </c>
      <c r="W303" s="1"/>
      <c r="X303" s="1"/>
      <c r="Y303" s="1" t="str">
        <f ca="1">IFERROR(__xludf.DUMMYFUNCTION("""COMPUTED_VALUE"""),"Sarah Minto-Sparks")</f>
        <v>Sarah Minto-Sparks</v>
      </c>
      <c r="Z303" s="1" t="str">
        <f ca="1">IFERROR(__xludf.DUMMYFUNCTION("""COMPUTED_VALUE"""),"sarahmintosparks@gmail.com")</f>
        <v>sarahmintosparks@gmail.com</v>
      </c>
      <c r="AA303" s="1"/>
      <c r="AB303" s="1"/>
      <c r="AC303" s="1"/>
    </row>
    <row r="304" spans="1:29">
      <c r="A304" s="1" t="str">
        <f ca="1">IFERROR(__xludf.DUMMYFUNCTION("""COMPUTED_VALUE"""),"147 Columbia Street")</f>
        <v>147 Columbia Street</v>
      </c>
      <c r="B304" s="1">
        <f ca="1">IFERROR(__xludf.DUMMYFUNCTION("""COMPUTED_VALUE"""),147)</f>
        <v>147</v>
      </c>
      <c r="C304" s="1" t="str">
        <f ca="1">IFERROR(__xludf.DUMMYFUNCTION("""COMPUTED_VALUE"""),"#3R")</f>
        <v>#3R</v>
      </c>
      <c r="D304" s="1" t="str">
        <f ca="1">IFERROR(__xludf.DUMMYFUNCTION("""COMPUTED_VALUE"""),"147 Columbia Street Unit 3R")</f>
        <v>147 Columbia Street Unit 3R</v>
      </c>
      <c r="E304" s="1" t="str">
        <f ca="1">IFERROR(__xludf.DUMMYFUNCTION("""COMPUTED_VALUE"""),"Cambridge")</f>
        <v>Cambridge</v>
      </c>
      <c r="F304" s="1" t="str">
        <f ca="1">IFERROR(__xludf.DUMMYFUNCTION("""COMPUTED_VALUE"""),"Cambridge - Cambridgeport")</f>
        <v>Cambridge - Cambridgeport</v>
      </c>
      <c r="G304" s="1">
        <f ca="1">IFERROR(__xludf.DUMMYFUNCTION("""COMPUTED_VALUE"""),3)</f>
        <v>3</v>
      </c>
      <c r="H304" s="1" t="str">
        <f ca="1">IFERROR(__xludf.DUMMYFUNCTION("""COMPUTED_VALUE"""),"C")</f>
        <v>C</v>
      </c>
      <c r="I304" s="4" t="str">
        <f ca="1">IFERROR(__xludf.DUMMYFUNCTION("""COMPUTED_VALUE"""),"147 Columbia Street#3RC")</f>
        <v>147 Columbia Street#3RC</v>
      </c>
      <c r="J304" s="4" t="str">
        <f ca="1">IFERROR(__xludf.DUMMYFUNCTION("""COMPUTED_VALUE"""),"b1a76509-e1b9-453a-9002-9b895c89391f")</f>
        <v>b1a76509-e1b9-453a-9002-9b895c89391f</v>
      </c>
      <c r="K304" s="4">
        <f ca="1">IFERROR(__xludf.DUMMYFUNCTION("""COMPUTED_VALUE"""),850)</f>
        <v>850</v>
      </c>
      <c r="L304" s="1" t="str">
        <f ca="1">IFERROR(__xludf.DUMMYFUNCTION("""COMPUTED_VALUE"""),"Daniel")</f>
        <v>Daniel</v>
      </c>
      <c r="M304" s="1" t="str">
        <f ca="1">IFERROR(__xludf.DUMMYFUNCTION("""COMPUTED_VALUE"""),"")</f>
        <v/>
      </c>
      <c r="N304" s="1" t="str">
        <f ca="1">IFERROR(__xludf.DUMMYFUNCTION("""COMPUTED_VALUE"""),"")</f>
        <v/>
      </c>
      <c r="O304" s="1" t="str">
        <f ca="1">IFERROR(__xludf.DUMMYFUNCTION("""COMPUTED_VALUE"""),"Occupied")</f>
        <v>Occupied</v>
      </c>
      <c r="P304" s="1"/>
      <c r="Q304" s="1"/>
      <c r="R304" s="1"/>
      <c r="S304" s="1"/>
      <c r="T304" s="1"/>
      <c r="U304" s="1" t="str">
        <f ca="1">IFERROR(__xludf.DUMMYFUNCTION("""COMPUTED_VALUE"""),"N")</f>
        <v>N</v>
      </c>
      <c r="V304" s="1" t="str">
        <f ca="1">IFERROR(__xludf.DUMMYFUNCTION("""COMPUTED_VALUE"""),"N")</f>
        <v>N</v>
      </c>
      <c r="W304" s="1"/>
      <c r="X304" s="1"/>
      <c r="Y304" s="1" t="str">
        <f ca="1">IFERROR(__xludf.DUMMYFUNCTION("""COMPUTED_VALUE"""),"Mohammad Eslami")</f>
        <v>Mohammad Eslami</v>
      </c>
      <c r="Z304" s="1" t="str">
        <f ca="1">IFERROR(__xludf.DUMMYFUNCTION("""COMPUTED_VALUE"""),"moha.finearts@gmail.com")</f>
        <v>moha.finearts@gmail.com</v>
      </c>
      <c r="AA304" s="1"/>
      <c r="AB304" s="1"/>
      <c r="AC304" s="1"/>
    </row>
    <row r="305" spans="1:29">
      <c r="A305" s="1" t="str">
        <f ca="1">IFERROR(__xludf.DUMMYFUNCTION("""COMPUTED_VALUE"""),"147 Columbia Street")</f>
        <v>147 Columbia Street</v>
      </c>
      <c r="B305" s="1">
        <f ca="1">IFERROR(__xludf.DUMMYFUNCTION("""COMPUTED_VALUE"""),147)</f>
        <v>147</v>
      </c>
      <c r="C305" s="1" t="str">
        <f ca="1">IFERROR(__xludf.DUMMYFUNCTION("""COMPUTED_VALUE"""),"#3R")</f>
        <v>#3R</v>
      </c>
      <c r="D305" s="1" t="str">
        <f ca="1">IFERROR(__xludf.DUMMYFUNCTION("""COMPUTED_VALUE"""),"147 Columbia Street Unit 3R")</f>
        <v>147 Columbia Street Unit 3R</v>
      </c>
      <c r="E305" s="1" t="str">
        <f ca="1">IFERROR(__xludf.DUMMYFUNCTION("""COMPUTED_VALUE"""),"Cambridge")</f>
        <v>Cambridge</v>
      </c>
      <c r="F305" s="1" t="str">
        <f ca="1">IFERROR(__xludf.DUMMYFUNCTION("""COMPUTED_VALUE"""),"Cambridge - Cambridgeport")</f>
        <v>Cambridge - Cambridgeport</v>
      </c>
      <c r="G305" s="1">
        <f ca="1">IFERROR(__xludf.DUMMYFUNCTION("""COMPUTED_VALUE"""),4)</f>
        <v>4</v>
      </c>
      <c r="H305" s="1" t="str">
        <f ca="1">IFERROR(__xludf.DUMMYFUNCTION("""COMPUTED_VALUE"""),"D")</f>
        <v>D</v>
      </c>
      <c r="I305" s="4" t="str">
        <f ca="1">IFERROR(__xludf.DUMMYFUNCTION("""COMPUTED_VALUE"""),"147 Columbia Street#3RD")</f>
        <v>147 Columbia Street#3RD</v>
      </c>
      <c r="J305" s="4" t="str">
        <f ca="1">IFERROR(__xludf.DUMMYFUNCTION("""COMPUTED_VALUE"""),"b1a76509-e1b9-453a-9002-9b895c89391f")</f>
        <v>b1a76509-e1b9-453a-9002-9b895c89391f</v>
      </c>
      <c r="K305" s="4">
        <f ca="1">IFERROR(__xludf.DUMMYFUNCTION("""COMPUTED_VALUE"""),1000)</f>
        <v>1000</v>
      </c>
      <c r="L305" s="1" t="str">
        <f ca="1">IFERROR(__xludf.DUMMYFUNCTION("""COMPUTED_VALUE"""),"Daniel")</f>
        <v>Daniel</v>
      </c>
      <c r="M305" s="1" t="str">
        <f ca="1">IFERROR(__xludf.DUMMYFUNCTION("""COMPUTED_VALUE"""),"")</f>
        <v/>
      </c>
      <c r="N305" s="1" t="str">
        <f ca="1">IFERROR(__xludf.DUMMYFUNCTION("""COMPUTED_VALUE"""),"")</f>
        <v/>
      </c>
      <c r="O305" s="1" t="str">
        <f ca="1">IFERROR(__xludf.DUMMYFUNCTION("""COMPUTED_VALUE"""),"Occupied")</f>
        <v>Occupied</v>
      </c>
      <c r="P305" s="1"/>
      <c r="Q305" s="1"/>
      <c r="R305" s="1"/>
      <c r="S305" s="1"/>
      <c r="T305" s="1"/>
      <c r="U305" s="1" t="str">
        <f ca="1">IFERROR(__xludf.DUMMYFUNCTION("""COMPUTED_VALUE"""),"N")</f>
        <v>N</v>
      </c>
      <c r="V305" s="1" t="str">
        <f ca="1">IFERROR(__xludf.DUMMYFUNCTION("""COMPUTED_VALUE"""),"N")</f>
        <v>N</v>
      </c>
      <c r="W305" s="1"/>
      <c r="X305" s="1"/>
      <c r="Y305" s="1" t="str">
        <f ca="1">IFERROR(__xludf.DUMMYFUNCTION("""COMPUTED_VALUE"""),"Vivekananda Bal")</f>
        <v>Vivekananda Bal</v>
      </c>
      <c r="Z305" s="1" t="str">
        <f ca="1">IFERROR(__xludf.DUMMYFUNCTION("""COMPUTED_VALUE"""),"vivek5840@gmail.com")</f>
        <v>vivek5840@gmail.com</v>
      </c>
      <c r="AA305" s="1"/>
      <c r="AB305" s="1"/>
      <c r="AC305" s="1"/>
    </row>
    <row r="306" spans="1:29">
      <c r="A306" s="1" t="str">
        <f ca="1">IFERROR(__xludf.DUMMYFUNCTION("""COMPUTED_VALUE"""),"154 Magazine Street")</f>
        <v>154 Magazine Street</v>
      </c>
      <c r="B306" s="1">
        <f ca="1">IFERROR(__xludf.DUMMYFUNCTION("""COMPUTED_VALUE"""),154)</f>
        <v>154</v>
      </c>
      <c r="C306" s="1" t="str">
        <f ca="1">IFERROR(__xludf.DUMMYFUNCTION("""COMPUTED_VALUE"""),"#1")</f>
        <v>#1</v>
      </c>
      <c r="D306" s="1" t="str">
        <f ca="1">IFERROR(__xludf.DUMMYFUNCTION("""COMPUTED_VALUE"""),"154 Magazine Street Unit 1")</f>
        <v>154 Magazine Street Unit 1</v>
      </c>
      <c r="E306" s="1" t="str">
        <f ca="1">IFERROR(__xludf.DUMMYFUNCTION("""COMPUTED_VALUE"""),"Cambridge")</f>
        <v>Cambridge</v>
      </c>
      <c r="F306" s="1" t="str">
        <f ca="1">IFERROR(__xludf.DUMMYFUNCTION("""COMPUTED_VALUE"""),"Cambridge - Cambridgeport")</f>
        <v>Cambridge - Cambridgeport</v>
      </c>
      <c r="G306" s="1">
        <f ca="1">IFERROR(__xludf.DUMMYFUNCTION("""COMPUTED_VALUE"""),1)</f>
        <v>1</v>
      </c>
      <c r="H306" s="1" t="str">
        <f ca="1">IFERROR(__xludf.DUMMYFUNCTION("""COMPUTED_VALUE"""),"A")</f>
        <v>A</v>
      </c>
      <c r="I306" s="4" t="str">
        <f ca="1">IFERROR(__xludf.DUMMYFUNCTION("""COMPUTED_VALUE"""),"154 Magazine Street#1A")</f>
        <v>154 Magazine Street#1A</v>
      </c>
      <c r="J306" s="4" t="str">
        <f ca="1">IFERROR(__xludf.DUMMYFUNCTION("""COMPUTED_VALUE"""),"7b94504c-b990-4bb6-91ad-acf557ebe8f9")</f>
        <v>7b94504c-b990-4bb6-91ad-acf557ebe8f9</v>
      </c>
      <c r="K306" s="4">
        <f ca="1">IFERROR(__xludf.DUMMYFUNCTION("""COMPUTED_VALUE"""),1295)</f>
        <v>1295</v>
      </c>
      <c r="L306" s="1" t="str">
        <f ca="1">IFERROR(__xludf.DUMMYFUNCTION("""COMPUTED_VALUE"""),"Daniel")</f>
        <v>Daniel</v>
      </c>
      <c r="M306" s="1" t="str">
        <f ca="1">IFERROR(__xludf.DUMMYFUNCTION("""COMPUTED_VALUE"""),"")</f>
        <v/>
      </c>
      <c r="N306" s="1" t="str">
        <f ca="1">IFERROR(__xludf.DUMMYFUNCTION("""COMPUTED_VALUE"""),"Furnished")</f>
        <v>Furnished</v>
      </c>
      <c r="O306" s="1" t="str">
        <f ca="1">IFERROR(__xludf.DUMMYFUNCTION("""COMPUTED_VALUE"""),"Deposits Complete")</f>
        <v>Deposits Complete</v>
      </c>
      <c r="P306" s="1" t="str">
        <f ca="1">IFERROR(__xludf.DUMMYFUNCTION("""COMPUTED_VALUE"""),"January")</f>
        <v>January</v>
      </c>
      <c r="Q306" s="1"/>
      <c r="R306" s="5">
        <f ca="1">IFERROR(__xludf.DUMMYFUNCTION("""COMPUTED_VALUE"""),43845)</f>
        <v>43845</v>
      </c>
      <c r="S306" s="1" t="str">
        <f ca="1">IFERROR(__xludf.DUMMYFUNCTION("""COMPUTED_VALUE"""),"NO CATS OR DOGS")</f>
        <v>NO CATS OR DOGS</v>
      </c>
      <c r="T306" s="1"/>
      <c r="U306" s="1" t="str">
        <f ca="1">IFERROR(__xludf.DUMMYFUNCTION("""COMPUTED_VALUE"""),"N")</f>
        <v>N</v>
      </c>
      <c r="V306" s="1" t="str">
        <f ca="1">IFERROR(__xludf.DUMMYFUNCTION("""COMPUTED_VALUE"""),"N")</f>
        <v>N</v>
      </c>
      <c r="W306" s="1" t="str">
        <f ca="1">IFERROR(__xludf.DUMMYFUNCTION("""COMPUTED_VALUE"""),"Vivekae Kim")</f>
        <v>Vivekae Kim</v>
      </c>
      <c r="X306" s="1" t="str">
        <f ca="1">IFERROR(__xludf.DUMMYFUNCTION("""COMPUTED_VALUE"""),"vivekaekim@college.harvard.edu")</f>
        <v>vivekaekim@college.harvard.edu</v>
      </c>
      <c r="Y306" s="1"/>
      <c r="Z306" s="1"/>
      <c r="AA306" s="1"/>
      <c r="AB306" s="1"/>
      <c r="AC306" s="1"/>
    </row>
    <row r="307" spans="1:29">
      <c r="A307" s="1" t="str">
        <f ca="1">IFERROR(__xludf.DUMMYFUNCTION("""COMPUTED_VALUE"""),"154 Magazine Street")</f>
        <v>154 Magazine Street</v>
      </c>
      <c r="B307" s="1">
        <f ca="1">IFERROR(__xludf.DUMMYFUNCTION("""COMPUTED_VALUE"""),154)</f>
        <v>154</v>
      </c>
      <c r="C307" s="1" t="str">
        <f ca="1">IFERROR(__xludf.DUMMYFUNCTION("""COMPUTED_VALUE"""),"#1")</f>
        <v>#1</v>
      </c>
      <c r="D307" s="1" t="str">
        <f ca="1">IFERROR(__xludf.DUMMYFUNCTION("""COMPUTED_VALUE"""),"154 Magazine Street Unit 1")</f>
        <v>154 Magazine Street Unit 1</v>
      </c>
      <c r="E307" s="1" t="str">
        <f ca="1">IFERROR(__xludf.DUMMYFUNCTION("""COMPUTED_VALUE"""),"Cambridge")</f>
        <v>Cambridge</v>
      </c>
      <c r="F307" s="1" t="str">
        <f ca="1">IFERROR(__xludf.DUMMYFUNCTION("""COMPUTED_VALUE"""),"Cambridge - Cambridgeport")</f>
        <v>Cambridge - Cambridgeport</v>
      </c>
      <c r="G307" s="1">
        <f ca="1">IFERROR(__xludf.DUMMYFUNCTION("""COMPUTED_VALUE"""),2)</f>
        <v>2</v>
      </c>
      <c r="H307" s="1" t="str">
        <f ca="1">IFERROR(__xludf.DUMMYFUNCTION("""COMPUTED_VALUE"""),"B")</f>
        <v>B</v>
      </c>
      <c r="I307" s="4" t="str">
        <f ca="1">IFERROR(__xludf.DUMMYFUNCTION("""COMPUTED_VALUE"""),"154 Magazine Street#1B")</f>
        <v>154 Magazine Street#1B</v>
      </c>
      <c r="J307" s="4" t="str">
        <f ca="1">IFERROR(__xludf.DUMMYFUNCTION("""COMPUTED_VALUE"""),"7b94504c-b990-4bb6-91ad-acf557ebe8f9")</f>
        <v>7b94504c-b990-4bb6-91ad-acf557ebe8f9</v>
      </c>
      <c r="K307" s="4">
        <f ca="1">IFERROR(__xludf.DUMMYFUNCTION("""COMPUTED_VALUE"""),1295)</f>
        <v>1295</v>
      </c>
      <c r="L307" s="1" t="str">
        <f ca="1">IFERROR(__xludf.DUMMYFUNCTION("""COMPUTED_VALUE"""),"Daniel")</f>
        <v>Daniel</v>
      </c>
      <c r="M307" s="1" t="str">
        <f ca="1">IFERROR(__xludf.DUMMYFUNCTION("""COMPUTED_VALUE"""),"")</f>
        <v/>
      </c>
      <c r="N307" s="1" t="str">
        <f ca="1">IFERROR(__xludf.DUMMYFUNCTION("""COMPUTED_VALUE"""),"Furnished")</f>
        <v>Furnished</v>
      </c>
      <c r="O307" s="1" t="str">
        <f ca="1">IFERROR(__xludf.DUMMYFUNCTION("""COMPUTED_VALUE"""),"Deposits Complete")</f>
        <v>Deposits Complete</v>
      </c>
      <c r="P307" s="1" t="str">
        <f ca="1">IFERROR(__xludf.DUMMYFUNCTION("""COMPUTED_VALUE"""),"January")</f>
        <v>January</v>
      </c>
      <c r="Q307" s="1"/>
      <c r="R307" s="5">
        <f ca="1">IFERROR(__xludf.DUMMYFUNCTION("""COMPUTED_VALUE"""),43845)</f>
        <v>43845</v>
      </c>
      <c r="S307" s="1" t="str">
        <f ca="1">IFERROR(__xludf.DUMMYFUNCTION("""COMPUTED_VALUE"""),"NO CATS OR DOGS")</f>
        <v>NO CATS OR DOGS</v>
      </c>
      <c r="T307" s="1"/>
      <c r="U307" s="1" t="str">
        <f ca="1">IFERROR(__xludf.DUMMYFUNCTION("""COMPUTED_VALUE"""),"N")</f>
        <v>N</v>
      </c>
      <c r="V307" s="1" t="str">
        <f ca="1">IFERROR(__xludf.DUMMYFUNCTION("""COMPUTED_VALUE"""),"N")</f>
        <v>N</v>
      </c>
      <c r="W307" s="1" t="str">
        <f ca="1">IFERROR(__xludf.DUMMYFUNCTION("""COMPUTED_VALUE"""),"Weijia (Amy) Zhang")</f>
        <v>Weijia (Amy) Zhang</v>
      </c>
      <c r="X307" s="1" t="str">
        <f ca="1">IFERROR(__xludf.DUMMYFUNCTION("""COMPUTED_VALUE"""),"weijiazhang@college.harvard.edu")</f>
        <v>weijiazhang@college.harvard.edu</v>
      </c>
      <c r="Y307" s="1"/>
      <c r="Z307" s="1"/>
      <c r="AA307" s="1"/>
      <c r="AB307" s="1"/>
      <c r="AC307" s="1"/>
    </row>
    <row r="308" spans="1:29">
      <c r="A308" s="1" t="str">
        <f ca="1">IFERROR(__xludf.DUMMYFUNCTION("""COMPUTED_VALUE"""),"154 Magazine Street")</f>
        <v>154 Magazine Street</v>
      </c>
      <c r="B308" s="1">
        <f ca="1">IFERROR(__xludf.DUMMYFUNCTION("""COMPUTED_VALUE"""),154)</f>
        <v>154</v>
      </c>
      <c r="C308" s="1" t="str">
        <f ca="1">IFERROR(__xludf.DUMMYFUNCTION("""COMPUTED_VALUE"""),"#1")</f>
        <v>#1</v>
      </c>
      <c r="D308" s="1" t="str">
        <f ca="1">IFERROR(__xludf.DUMMYFUNCTION("""COMPUTED_VALUE"""),"154 Magazine Street Unit 1")</f>
        <v>154 Magazine Street Unit 1</v>
      </c>
      <c r="E308" s="1" t="str">
        <f ca="1">IFERROR(__xludf.DUMMYFUNCTION("""COMPUTED_VALUE"""),"Cambridge")</f>
        <v>Cambridge</v>
      </c>
      <c r="F308" s="1" t="str">
        <f ca="1">IFERROR(__xludf.DUMMYFUNCTION("""COMPUTED_VALUE"""),"Cambridge - Cambridgeport")</f>
        <v>Cambridge - Cambridgeport</v>
      </c>
      <c r="G308" s="1">
        <f ca="1">IFERROR(__xludf.DUMMYFUNCTION("""COMPUTED_VALUE"""),3)</f>
        <v>3</v>
      </c>
      <c r="H308" s="1" t="str">
        <f ca="1">IFERROR(__xludf.DUMMYFUNCTION("""COMPUTED_VALUE"""),"C")</f>
        <v>C</v>
      </c>
      <c r="I308" s="4" t="str">
        <f ca="1">IFERROR(__xludf.DUMMYFUNCTION("""COMPUTED_VALUE"""),"154 Magazine Street#1C")</f>
        <v>154 Magazine Street#1C</v>
      </c>
      <c r="J308" s="4" t="str">
        <f ca="1">IFERROR(__xludf.DUMMYFUNCTION("""COMPUTED_VALUE"""),"7b94504c-b990-4bb6-91ad-acf557ebe8f9")</f>
        <v>7b94504c-b990-4bb6-91ad-acf557ebe8f9</v>
      </c>
      <c r="K308" s="4">
        <f ca="1">IFERROR(__xludf.DUMMYFUNCTION("""COMPUTED_VALUE"""),1295)</f>
        <v>1295</v>
      </c>
      <c r="L308" s="1" t="str">
        <f ca="1">IFERROR(__xludf.DUMMYFUNCTION("""COMPUTED_VALUE"""),"Daniel")</f>
        <v>Daniel</v>
      </c>
      <c r="M308" s="1" t="str">
        <f ca="1">IFERROR(__xludf.DUMMYFUNCTION("""COMPUTED_VALUE"""),"")</f>
        <v/>
      </c>
      <c r="N308" s="1" t="str">
        <f ca="1">IFERROR(__xludf.DUMMYFUNCTION("""COMPUTED_VALUE"""),"Furnished")</f>
        <v>Furnished</v>
      </c>
      <c r="O308" s="1" t="str">
        <f ca="1">IFERROR(__xludf.DUMMYFUNCTION("""COMPUTED_VALUE"""),"Deposits Complete")</f>
        <v>Deposits Complete</v>
      </c>
      <c r="P308" s="1" t="str">
        <f ca="1">IFERROR(__xludf.DUMMYFUNCTION("""COMPUTED_VALUE"""),"January")</f>
        <v>January</v>
      </c>
      <c r="Q308" s="1"/>
      <c r="R308" s="5">
        <f ca="1">IFERROR(__xludf.DUMMYFUNCTION("""COMPUTED_VALUE"""),43845)</f>
        <v>43845</v>
      </c>
      <c r="S308" s="1" t="str">
        <f ca="1">IFERROR(__xludf.DUMMYFUNCTION("""COMPUTED_VALUE"""),"NO CATS OR DOGS")</f>
        <v>NO CATS OR DOGS</v>
      </c>
      <c r="T308" s="1"/>
      <c r="U308" s="1" t="str">
        <f ca="1">IFERROR(__xludf.DUMMYFUNCTION("""COMPUTED_VALUE"""),"N")</f>
        <v>N</v>
      </c>
      <c r="V308" s="1" t="str">
        <f ca="1">IFERROR(__xludf.DUMMYFUNCTION("""COMPUTED_VALUE"""),"N")</f>
        <v>N</v>
      </c>
      <c r="W308" s="1" t="str">
        <f ca="1">IFERROR(__xludf.DUMMYFUNCTION("""COMPUTED_VALUE"""),"Trula Rael")</f>
        <v>Trula Rael</v>
      </c>
      <c r="X308" s="1" t="str">
        <f ca="1">IFERROR(__xludf.DUMMYFUNCTION("""COMPUTED_VALUE"""),"trularael@college.harvard.edu")</f>
        <v>trularael@college.harvard.edu</v>
      </c>
      <c r="Y308" s="1"/>
      <c r="Z308" s="1"/>
      <c r="AA308" s="1"/>
      <c r="AB308" s="1"/>
      <c r="AC308" s="1"/>
    </row>
    <row r="309" spans="1:29">
      <c r="A309" s="1" t="str">
        <f ca="1">IFERROR(__xludf.DUMMYFUNCTION("""COMPUTED_VALUE"""),"154 Magazine Street")</f>
        <v>154 Magazine Street</v>
      </c>
      <c r="B309" s="1">
        <f ca="1">IFERROR(__xludf.DUMMYFUNCTION("""COMPUTED_VALUE"""),154)</f>
        <v>154</v>
      </c>
      <c r="C309" s="1" t="str">
        <f ca="1">IFERROR(__xludf.DUMMYFUNCTION("""COMPUTED_VALUE"""),"#1")</f>
        <v>#1</v>
      </c>
      <c r="D309" s="1" t="str">
        <f ca="1">IFERROR(__xludf.DUMMYFUNCTION("""COMPUTED_VALUE"""),"154 Magazine Street Unit 1")</f>
        <v>154 Magazine Street Unit 1</v>
      </c>
      <c r="E309" s="1" t="str">
        <f ca="1">IFERROR(__xludf.DUMMYFUNCTION("""COMPUTED_VALUE"""),"Cambridge")</f>
        <v>Cambridge</v>
      </c>
      <c r="F309" s="1" t="str">
        <f ca="1">IFERROR(__xludf.DUMMYFUNCTION("""COMPUTED_VALUE"""),"Cambridge - Cambridgeport")</f>
        <v>Cambridge - Cambridgeport</v>
      </c>
      <c r="G309" s="1">
        <f ca="1">IFERROR(__xludf.DUMMYFUNCTION("""COMPUTED_VALUE"""),4)</f>
        <v>4</v>
      </c>
      <c r="H309" s="1" t="str">
        <f ca="1">IFERROR(__xludf.DUMMYFUNCTION("""COMPUTED_VALUE"""),"D")</f>
        <v>D</v>
      </c>
      <c r="I309" s="4" t="str">
        <f ca="1">IFERROR(__xludf.DUMMYFUNCTION("""COMPUTED_VALUE"""),"154 Magazine Street#1D")</f>
        <v>154 Magazine Street#1D</v>
      </c>
      <c r="J309" s="4" t="str">
        <f ca="1">IFERROR(__xludf.DUMMYFUNCTION("""COMPUTED_VALUE"""),"7b94504c-b990-4bb6-91ad-acf557ebe8f9")</f>
        <v>7b94504c-b990-4bb6-91ad-acf557ebe8f9</v>
      </c>
      <c r="K309" s="4">
        <f ca="1">IFERROR(__xludf.DUMMYFUNCTION("""COMPUTED_VALUE"""),1095)</f>
        <v>1095</v>
      </c>
      <c r="L309" s="1" t="str">
        <f ca="1">IFERROR(__xludf.DUMMYFUNCTION("""COMPUTED_VALUE"""),"Daniel")</f>
        <v>Daniel</v>
      </c>
      <c r="M309" s="1" t="str">
        <f ca="1">IFERROR(__xludf.DUMMYFUNCTION("""COMPUTED_VALUE"""),"")</f>
        <v/>
      </c>
      <c r="N309" s="1" t="str">
        <f ca="1">IFERROR(__xludf.DUMMYFUNCTION("""COMPUTED_VALUE"""),"Furnished")</f>
        <v>Furnished</v>
      </c>
      <c r="O309" s="1" t="str">
        <f ca="1">IFERROR(__xludf.DUMMYFUNCTION("""COMPUTED_VALUE"""),"Lease Signed")</f>
        <v>Lease Signed</v>
      </c>
      <c r="P309" s="1" t="str">
        <f ca="1">IFERROR(__xludf.DUMMYFUNCTION("""COMPUTED_VALUE"""),"January")</f>
        <v>January</v>
      </c>
      <c r="Q309" s="1"/>
      <c r="R309" s="5">
        <f ca="1">IFERROR(__xludf.DUMMYFUNCTION("""COMPUTED_VALUE"""),43845)</f>
        <v>43845</v>
      </c>
      <c r="S309" s="1" t="str">
        <f ca="1">IFERROR(__xludf.DUMMYFUNCTION("""COMPUTED_VALUE"""),"NO CATS OR DOGS")</f>
        <v>NO CATS OR DOGS</v>
      </c>
      <c r="T309" s="1"/>
      <c r="U309" s="1" t="str">
        <f ca="1">IFERROR(__xludf.DUMMYFUNCTION("""COMPUTED_VALUE"""),"N")</f>
        <v>N</v>
      </c>
      <c r="V309" s="1" t="str">
        <f ca="1">IFERROR(__xludf.DUMMYFUNCTION("""COMPUTED_VALUE"""),"N")</f>
        <v>N</v>
      </c>
      <c r="W309" s="1" t="str">
        <f ca="1">IFERROR(__xludf.DUMMYFUNCTION("""COMPUTED_VALUE"""),"Sarah Flynn")</f>
        <v>Sarah Flynn</v>
      </c>
      <c r="X309" s="1" t="str">
        <f ca="1">IFERROR(__xludf.DUMMYFUNCTION("""COMPUTED_VALUE"""),"sarahflynn@college.harvard.edu")</f>
        <v>sarahflynn@college.harvard.edu</v>
      </c>
      <c r="Y309" s="1"/>
      <c r="Z309" s="1"/>
      <c r="AA309" s="1"/>
      <c r="AB309" s="1"/>
      <c r="AC309" s="1"/>
    </row>
    <row r="310" spans="1:29">
      <c r="A310" s="1" t="str">
        <f ca="1">IFERROR(__xludf.DUMMYFUNCTION("""COMPUTED_VALUE"""),"154 Magazine Street")</f>
        <v>154 Magazine Street</v>
      </c>
      <c r="B310" s="1">
        <f ca="1">IFERROR(__xludf.DUMMYFUNCTION("""COMPUTED_VALUE"""),154)</f>
        <v>154</v>
      </c>
      <c r="C310" s="1" t="str">
        <f ca="1">IFERROR(__xludf.DUMMYFUNCTION("""COMPUTED_VALUE"""),"#1")</f>
        <v>#1</v>
      </c>
      <c r="D310" s="1" t="str">
        <f ca="1">IFERROR(__xludf.DUMMYFUNCTION("""COMPUTED_VALUE"""),"154 Magazine Street Unit 1")</f>
        <v>154 Magazine Street Unit 1</v>
      </c>
      <c r="E310" s="1" t="str">
        <f ca="1">IFERROR(__xludf.DUMMYFUNCTION("""COMPUTED_VALUE"""),"Cambridge")</f>
        <v>Cambridge</v>
      </c>
      <c r="F310" s="1" t="str">
        <f ca="1">IFERROR(__xludf.DUMMYFUNCTION("""COMPUTED_VALUE"""),"Cambridge - Cambridgeport")</f>
        <v>Cambridge - Cambridgeport</v>
      </c>
      <c r="G310" s="1">
        <f ca="1">IFERROR(__xludf.DUMMYFUNCTION("""COMPUTED_VALUE"""),5)</f>
        <v>5</v>
      </c>
      <c r="H310" s="1" t="str">
        <f ca="1">IFERROR(__xludf.DUMMYFUNCTION("""COMPUTED_VALUE"""),"E")</f>
        <v>E</v>
      </c>
      <c r="I310" s="4" t="str">
        <f ca="1">IFERROR(__xludf.DUMMYFUNCTION("""COMPUTED_VALUE"""),"154 Magazine Street#1E")</f>
        <v>154 Magazine Street#1E</v>
      </c>
      <c r="J310" s="4" t="str">
        <f ca="1">IFERROR(__xludf.DUMMYFUNCTION("""COMPUTED_VALUE"""),"7b94504c-b990-4bb6-91ad-acf557ebe8f9")</f>
        <v>7b94504c-b990-4bb6-91ad-acf557ebe8f9</v>
      </c>
      <c r="K310" s="4">
        <f ca="1">IFERROR(__xludf.DUMMYFUNCTION("""COMPUTED_VALUE"""),1195)</f>
        <v>1195</v>
      </c>
      <c r="L310" s="1" t="str">
        <f ca="1">IFERROR(__xludf.DUMMYFUNCTION("""COMPUTED_VALUE"""),"Daniel")</f>
        <v>Daniel</v>
      </c>
      <c r="M310" s="1" t="str">
        <f ca="1">IFERROR(__xludf.DUMMYFUNCTION("""COMPUTED_VALUE"""),"")</f>
        <v/>
      </c>
      <c r="N310" s="1" t="str">
        <f ca="1">IFERROR(__xludf.DUMMYFUNCTION("""COMPUTED_VALUE"""),"Furnished")</f>
        <v>Furnished</v>
      </c>
      <c r="O310" s="1" t="str">
        <f ca="1">IFERROR(__xludf.DUMMYFUNCTION("""COMPUTED_VALUE"""),"Lease Signed")</f>
        <v>Lease Signed</v>
      </c>
      <c r="P310" s="1" t="str">
        <f ca="1">IFERROR(__xludf.DUMMYFUNCTION("""COMPUTED_VALUE"""),"January")</f>
        <v>January</v>
      </c>
      <c r="Q310" s="1"/>
      <c r="R310" s="5">
        <f ca="1">IFERROR(__xludf.DUMMYFUNCTION("""COMPUTED_VALUE"""),43845)</f>
        <v>43845</v>
      </c>
      <c r="S310" s="1" t="str">
        <f ca="1">IFERROR(__xludf.DUMMYFUNCTION("""COMPUTED_VALUE"""),"NO CATS OR DOGS")</f>
        <v>NO CATS OR DOGS</v>
      </c>
      <c r="T310" s="1"/>
      <c r="U310" s="1" t="str">
        <f ca="1">IFERROR(__xludf.DUMMYFUNCTION("""COMPUTED_VALUE"""),"N")</f>
        <v>N</v>
      </c>
      <c r="V310" s="1" t="str">
        <f ca="1">IFERROR(__xludf.DUMMYFUNCTION("""COMPUTED_VALUE"""),"N")</f>
        <v>N</v>
      </c>
      <c r="W310" s="1" t="str">
        <f ca="1">IFERROR(__xludf.DUMMYFUNCTION("""COMPUTED_VALUE"""),"Sarah Chin")</f>
        <v>Sarah Chin</v>
      </c>
      <c r="X310" s="1" t="str">
        <f ca="1">IFERROR(__xludf.DUMMYFUNCTION("""COMPUTED_VALUE"""),"sarahchin@college.harvard.edu")</f>
        <v>sarahchin@college.harvard.edu</v>
      </c>
      <c r="Y310" s="1"/>
      <c r="Z310" s="1"/>
      <c r="AA310" s="1"/>
      <c r="AB310" s="1"/>
      <c r="AC310" s="1"/>
    </row>
    <row r="311" spans="1:29">
      <c r="A311" s="1" t="str">
        <f ca="1">IFERROR(__xludf.DUMMYFUNCTION("""COMPUTED_VALUE"""),"154 Magazine Street")</f>
        <v>154 Magazine Street</v>
      </c>
      <c r="B311" s="1">
        <f ca="1">IFERROR(__xludf.DUMMYFUNCTION("""COMPUTED_VALUE"""),154)</f>
        <v>154</v>
      </c>
      <c r="C311" s="1" t="str">
        <f ca="1">IFERROR(__xludf.DUMMYFUNCTION("""COMPUTED_VALUE"""),"#1")</f>
        <v>#1</v>
      </c>
      <c r="D311" s="1" t="str">
        <f ca="1">IFERROR(__xludf.DUMMYFUNCTION("""COMPUTED_VALUE"""),"154 Magazine Street Unit 1")</f>
        <v>154 Magazine Street Unit 1</v>
      </c>
      <c r="E311" s="1" t="str">
        <f ca="1">IFERROR(__xludf.DUMMYFUNCTION("""COMPUTED_VALUE"""),"Cambridge")</f>
        <v>Cambridge</v>
      </c>
      <c r="F311" s="1" t="str">
        <f ca="1">IFERROR(__xludf.DUMMYFUNCTION("""COMPUTED_VALUE"""),"Cambridge - Cambridgeport")</f>
        <v>Cambridge - Cambridgeport</v>
      </c>
      <c r="G311" s="1">
        <f ca="1">IFERROR(__xludf.DUMMYFUNCTION("""COMPUTED_VALUE"""),6)</f>
        <v>6</v>
      </c>
      <c r="H311" s="1" t="str">
        <f ca="1">IFERROR(__xludf.DUMMYFUNCTION("""COMPUTED_VALUE"""),"F")</f>
        <v>F</v>
      </c>
      <c r="I311" s="4" t="str">
        <f ca="1">IFERROR(__xludf.DUMMYFUNCTION("""COMPUTED_VALUE"""),"154 Magazine Street#1F")</f>
        <v>154 Magazine Street#1F</v>
      </c>
      <c r="J311" s="4" t="str">
        <f ca="1">IFERROR(__xludf.DUMMYFUNCTION("""COMPUTED_VALUE"""),"7b94504c-b990-4bb6-91ad-acf557ebe8f9")</f>
        <v>7b94504c-b990-4bb6-91ad-acf557ebe8f9</v>
      </c>
      <c r="K311" s="4">
        <f ca="1">IFERROR(__xludf.DUMMYFUNCTION("""COMPUTED_VALUE"""),1195)</f>
        <v>1195</v>
      </c>
      <c r="L311" s="1" t="str">
        <f ca="1">IFERROR(__xludf.DUMMYFUNCTION("""COMPUTED_VALUE"""),"Daniel")</f>
        <v>Daniel</v>
      </c>
      <c r="M311" s="1" t="str">
        <f ca="1">IFERROR(__xludf.DUMMYFUNCTION("""COMPUTED_VALUE"""),"")</f>
        <v/>
      </c>
      <c r="N311" s="1" t="str">
        <f ca="1">IFERROR(__xludf.DUMMYFUNCTION("""COMPUTED_VALUE"""),"Furnished")</f>
        <v>Furnished</v>
      </c>
      <c r="O311" s="1" t="str">
        <f ca="1">IFERROR(__xludf.DUMMYFUNCTION("""COMPUTED_VALUE"""),"Lease Signed")</f>
        <v>Lease Signed</v>
      </c>
      <c r="P311" s="1" t="str">
        <f ca="1">IFERROR(__xludf.DUMMYFUNCTION("""COMPUTED_VALUE"""),"January")</f>
        <v>January</v>
      </c>
      <c r="Q311" s="1"/>
      <c r="R311" s="5">
        <f ca="1">IFERROR(__xludf.DUMMYFUNCTION("""COMPUTED_VALUE"""),43845)</f>
        <v>43845</v>
      </c>
      <c r="S311" s="1" t="str">
        <f ca="1">IFERROR(__xludf.DUMMYFUNCTION("""COMPUTED_VALUE"""),"NO CATS OR DOGS")</f>
        <v>NO CATS OR DOGS</v>
      </c>
      <c r="T311" s="1"/>
      <c r="U311" s="1" t="str">
        <f ca="1">IFERROR(__xludf.DUMMYFUNCTION("""COMPUTED_VALUE"""),"N")</f>
        <v>N</v>
      </c>
      <c r="V311" s="1" t="str">
        <f ca="1">IFERROR(__xludf.DUMMYFUNCTION("""COMPUTED_VALUE"""),"N")</f>
        <v>N</v>
      </c>
      <c r="W311" s="1" t="str">
        <f ca="1">IFERROR(__xludf.DUMMYFUNCTION("""COMPUTED_VALUE"""),"Olivia Tai")</f>
        <v>Olivia Tai</v>
      </c>
      <c r="X311" s="1" t="str">
        <f ca="1">IFERROR(__xludf.DUMMYFUNCTION("""COMPUTED_VALUE"""),"Oliviatai100@gmail.com")</f>
        <v>Oliviatai100@gmail.com</v>
      </c>
      <c r="Y311" s="1"/>
      <c r="Z311" s="1"/>
      <c r="AA311" s="1"/>
      <c r="AB311" s="1"/>
      <c r="AC311" s="1"/>
    </row>
    <row r="312" spans="1:29">
      <c r="A312" s="1" t="str">
        <f ca="1">IFERROR(__xludf.DUMMYFUNCTION("""COMPUTED_VALUE"""),"154 Magazine Street")</f>
        <v>154 Magazine Street</v>
      </c>
      <c r="B312" s="1">
        <f ca="1">IFERROR(__xludf.DUMMYFUNCTION("""COMPUTED_VALUE"""),154)</f>
        <v>154</v>
      </c>
      <c r="C312" s="1" t="str">
        <f ca="1">IFERROR(__xludf.DUMMYFUNCTION("""COMPUTED_VALUE"""),"#2")</f>
        <v>#2</v>
      </c>
      <c r="D312" s="1" t="str">
        <f ca="1">IFERROR(__xludf.DUMMYFUNCTION("""COMPUTED_VALUE"""),"154 Magazine Street Unit 2")</f>
        <v>154 Magazine Street Unit 2</v>
      </c>
      <c r="E312" s="1" t="str">
        <f ca="1">IFERROR(__xludf.DUMMYFUNCTION("""COMPUTED_VALUE"""),"Cambridge")</f>
        <v>Cambridge</v>
      </c>
      <c r="F312" s="1" t="str">
        <f ca="1">IFERROR(__xludf.DUMMYFUNCTION("""COMPUTED_VALUE"""),"Cambridge - Cambridgeport")</f>
        <v>Cambridge - Cambridgeport</v>
      </c>
      <c r="G312" s="1">
        <f ca="1">IFERROR(__xludf.DUMMYFUNCTION("""COMPUTED_VALUE"""),1)</f>
        <v>1</v>
      </c>
      <c r="H312" s="1" t="str">
        <f ca="1">IFERROR(__xludf.DUMMYFUNCTION("""COMPUTED_VALUE"""),"A")</f>
        <v>A</v>
      </c>
      <c r="I312" s="4" t="str">
        <f ca="1">IFERROR(__xludf.DUMMYFUNCTION("""COMPUTED_VALUE"""),"154 Magazine Street#2A")</f>
        <v>154 Magazine Street#2A</v>
      </c>
      <c r="J312" s="4" t="str">
        <f ca="1">IFERROR(__xludf.DUMMYFUNCTION("""COMPUTED_VALUE"""),"fa583e0e-46bb-4f96-808e-ce989160b0ea")</f>
        <v>fa583e0e-46bb-4f96-808e-ce989160b0ea</v>
      </c>
      <c r="K312" s="4">
        <f ca="1">IFERROR(__xludf.DUMMYFUNCTION("""COMPUTED_VALUE"""),1095)</f>
        <v>1095</v>
      </c>
      <c r="L312" s="1" t="str">
        <f ca="1">IFERROR(__xludf.DUMMYFUNCTION("""COMPUTED_VALUE"""),"Daniel")</f>
        <v>Daniel</v>
      </c>
      <c r="M312" s="1" t="str">
        <f ca="1">IFERROR(__xludf.DUMMYFUNCTION("""COMPUTED_VALUE"""),"")</f>
        <v/>
      </c>
      <c r="N312" s="1" t="str">
        <f ca="1">IFERROR(__xludf.DUMMYFUNCTION("""COMPUTED_VALUE"""),"Furnished")</f>
        <v>Furnished</v>
      </c>
      <c r="O312" s="1" t="str">
        <f ca="1">IFERROR(__xludf.DUMMYFUNCTION("""COMPUTED_VALUE"""),"Occupied")</f>
        <v>Occupied</v>
      </c>
      <c r="P312" s="1"/>
      <c r="Q312" s="1"/>
      <c r="R312" s="1"/>
      <c r="S312" s="1" t="str">
        <f ca="1">IFERROR(__xludf.DUMMYFUNCTION("""COMPUTED_VALUE"""),"NO CATS OR DOGS")</f>
        <v>NO CATS OR DOGS</v>
      </c>
      <c r="T312" s="1"/>
      <c r="U312" s="1" t="str">
        <f ca="1">IFERROR(__xludf.DUMMYFUNCTION("""COMPUTED_VALUE"""),"N")</f>
        <v>N</v>
      </c>
      <c r="V312" s="1" t="str">
        <f ca="1">IFERROR(__xludf.DUMMYFUNCTION("""COMPUTED_VALUE"""),"N")</f>
        <v>N</v>
      </c>
      <c r="W312" s="1"/>
      <c r="X312" s="1"/>
      <c r="Y312" s="1" t="str">
        <f ca="1">IFERROR(__xludf.DUMMYFUNCTION("""COMPUTED_VALUE"""),"Julianne Nelson")</f>
        <v>Julianne Nelson</v>
      </c>
      <c r="Z312" s="1" t="str">
        <f ca="1">IFERROR(__xludf.DUMMYFUNCTION("""COMPUTED_VALUE"""),"julinelson98@gmail.com")</f>
        <v>julinelson98@gmail.com</v>
      </c>
      <c r="AA312" s="1"/>
      <c r="AB312" s="1"/>
      <c r="AC312" s="1" t="str">
        <f ca="1">IFERROR(__xludf.DUMMYFUNCTION("""COMPUTED_VALUE"""),"We have photos from the landlord but we don't know which rooms the pictures belong to. (And they are not complete")</f>
        <v>We have photos from the landlord but we don't know which rooms the pictures belong to. (And they are not complete</v>
      </c>
    </row>
    <row r="313" spans="1:29">
      <c r="A313" s="1" t="str">
        <f ca="1">IFERROR(__xludf.DUMMYFUNCTION("""COMPUTED_VALUE"""),"154 Magazine Street")</f>
        <v>154 Magazine Street</v>
      </c>
      <c r="B313" s="1">
        <f ca="1">IFERROR(__xludf.DUMMYFUNCTION("""COMPUTED_VALUE"""),154)</f>
        <v>154</v>
      </c>
      <c r="C313" s="1" t="str">
        <f ca="1">IFERROR(__xludf.DUMMYFUNCTION("""COMPUTED_VALUE"""),"#2")</f>
        <v>#2</v>
      </c>
      <c r="D313" s="1" t="str">
        <f ca="1">IFERROR(__xludf.DUMMYFUNCTION("""COMPUTED_VALUE"""),"154 Magazine Street Unit 2")</f>
        <v>154 Magazine Street Unit 2</v>
      </c>
      <c r="E313" s="1" t="str">
        <f ca="1">IFERROR(__xludf.DUMMYFUNCTION("""COMPUTED_VALUE"""),"Cambridge")</f>
        <v>Cambridge</v>
      </c>
      <c r="F313" s="1" t="str">
        <f ca="1">IFERROR(__xludf.DUMMYFUNCTION("""COMPUTED_VALUE"""),"Cambridge - Cambridgeport")</f>
        <v>Cambridge - Cambridgeport</v>
      </c>
      <c r="G313" s="1">
        <f ca="1">IFERROR(__xludf.DUMMYFUNCTION("""COMPUTED_VALUE"""),2)</f>
        <v>2</v>
      </c>
      <c r="H313" s="1" t="str">
        <f ca="1">IFERROR(__xludf.DUMMYFUNCTION("""COMPUTED_VALUE"""),"B")</f>
        <v>B</v>
      </c>
      <c r="I313" s="4" t="str">
        <f ca="1">IFERROR(__xludf.DUMMYFUNCTION("""COMPUTED_VALUE"""),"154 Magazine Street#2B")</f>
        <v>154 Magazine Street#2B</v>
      </c>
      <c r="J313" s="4" t="str">
        <f ca="1">IFERROR(__xludf.DUMMYFUNCTION("""COMPUTED_VALUE"""),"fa583e0e-46bb-4f96-808e-ce989160b0ea")</f>
        <v>fa583e0e-46bb-4f96-808e-ce989160b0ea</v>
      </c>
      <c r="K313" s="4">
        <f ca="1">IFERROR(__xludf.DUMMYFUNCTION("""COMPUTED_VALUE"""),1095)</f>
        <v>1095</v>
      </c>
      <c r="L313" s="1" t="str">
        <f ca="1">IFERROR(__xludf.DUMMYFUNCTION("""COMPUTED_VALUE"""),"Daniel")</f>
        <v>Daniel</v>
      </c>
      <c r="M313" s="1" t="str">
        <f ca="1">IFERROR(__xludf.DUMMYFUNCTION("""COMPUTED_VALUE"""),"")</f>
        <v/>
      </c>
      <c r="N313" s="1" t="str">
        <f ca="1">IFERROR(__xludf.DUMMYFUNCTION("""COMPUTED_VALUE"""),"Furnished")</f>
        <v>Furnished</v>
      </c>
      <c r="O313" s="1" t="str">
        <f ca="1">IFERROR(__xludf.DUMMYFUNCTION("""COMPUTED_VALUE"""),"Occupied")</f>
        <v>Occupied</v>
      </c>
      <c r="P313" s="1"/>
      <c r="Q313" s="1"/>
      <c r="R313" s="1"/>
      <c r="S313" s="1" t="str">
        <f ca="1">IFERROR(__xludf.DUMMYFUNCTION("""COMPUTED_VALUE"""),"NO CATS OR DOGS")</f>
        <v>NO CATS OR DOGS</v>
      </c>
      <c r="T313" s="1"/>
      <c r="U313" s="1" t="str">
        <f ca="1">IFERROR(__xludf.DUMMYFUNCTION("""COMPUTED_VALUE"""),"N")</f>
        <v>N</v>
      </c>
      <c r="V313" s="1" t="str">
        <f ca="1">IFERROR(__xludf.DUMMYFUNCTION("""COMPUTED_VALUE"""),"N")</f>
        <v>N</v>
      </c>
      <c r="W313" s="1"/>
      <c r="X313" s="1"/>
      <c r="Y313" s="1" t="str">
        <f ca="1">IFERROR(__xludf.DUMMYFUNCTION("""COMPUTED_VALUE"""),"Danielle Mooser")</f>
        <v>Danielle Mooser</v>
      </c>
      <c r="Z313" s="1" t="str">
        <f ca="1">IFERROR(__xludf.DUMMYFUNCTION("""COMPUTED_VALUE"""),"danielle.mooser7@gmail.com")</f>
        <v>danielle.mooser7@gmail.com</v>
      </c>
      <c r="AA313" s="1"/>
      <c r="AB313" s="1"/>
      <c r="AC313" s="1"/>
    </row>
    <row r="314" spans="1:29">
      <c r="A314" s="1" t="str">
        <f ca="1">IFERROR(__xludf.DUMMYFUNCTION("""COMPUTED_VALUE"""),"154 Magazine Street")</f>
        <v>154 Magazine Street</v>
      </c>
      <c r="B314" s="1">
        <f ca="1">IFERROR(__xludf.DUMMYFUNCTION("""COMPUTED_VALUE"""),154)</f>
        <v>154</v>
      </c>
      <c r="C314" s="1" t="str">
        <f ca="1">IFERROR(__xludf.DUMMYFUNCTION("""COMPUTED_VALUE"""),"#2")</f>
        <v>#2</v>
      </c>
      <c r="D314" s="1" t="str">
        <f ca="1">IFERROR(__xludf.DUMMYFUNCTION("""COMPUTED_VALUE"""),"154 Magazine Street Unit 2")</f>
        <v>154 Magazine Street Unit 2</v>
      </c>
      <c r="E314" s="1" t="str">
        <f ca="1">IFERROR(__xludf.DUMMYFUNCTION("""COMPUTED_VALUE"""),"Cambridge")</f>
        <v>Cambridge</v>
      </c>
      <c r="F314" s="1" t="str">
        <f ca="1">IFERROR(__xludf.DUMMYFUNCTION("""COMPUTED_VALUE"""),"Cambridge - Cambridgeport")</f>
        <v>Cambridge - Cambridgeport</v>
      </c>
      <c r="G314" s="1">
        <f ca="1">IFERROR(__xludf.DUMMYFUNCTION("""COMPUTED_VALUE"""),3)</f>
        <v>3</v>
      </c>
      <c r="H314" s="1" t="str">
        <f ca="1">IFERROR(__xludf.DUMMYFUNCTION("""COMPUTED_VALUE"""),"C")</f>
        <v>C</v>
      </c>
      <c r="I314" s="4" t="str">
        <f ca="1">IFERROR(__xludf.DUMMYFUNCTION("""COMPUTED_VALUE"""),"154 Magazine Street#2C")</f>
        <v>154 Magazine Street#2C</v>
      </c>
      <c r="J314" s="4" t="str">
        <f ca="1">IFERROR(__xludf.DUMMYFUNCTION("""COMPUTED_VALUE"""),"fa583e0e-46bb-4f96-808e-ce989160b0ea")</f>
        <v>fa583e0e-46bb-4f96-808e-ce989160b0ea</v>
      </c>
      <c r="K314" s="4">
        <f ca="1">IFERROR(__xludf.DUMMYFUNCTION("""COMPUTED_VALUE"""),995)</f>
        <v>995</v>
      </c>
      <c r="L314" s="1" t="str">
        <f ca="1">IFERROR(__xludf.DUMMYFUNCTION("""COMPUTED_VALUE"""),"Daniel")</f>
        <v>Daniel</v>
      </c>
      <c r="M314" s="1" t="str">
        <f ca="1">IFERROR(__xludf.DUMMYFUNCTION("""COMPUTED_VALUE"""),"")</f>
        <v/>
      </c>
      <c r="N314" s="1" t="str">
        <f ca="1">IFERROR(__xludf.DUMMYFUNCTION("""COMPUTED_VALUE"""),"Furnished")</f>
        <v>Furnished</v>
      </c>
      <c r="O314" s="1" t="str">
        <f ca="1">IFERROR(__xludf.DUMMYFUNCTION("""COMPUTED_VALUE"""),"Occupied")</f>
        <v>Occupied</v>
      </c>
      <c r="P314" s="1"/>
      <c r="Q314" s="1"/>
      <c r="R314" s="1"/>
      <c r="S314" s="1" t="str">
        <f ca="1">IFERROR(__xludf.DUMMYFUNCTION("""COMPUTED_VALUE"""),"NO CATS OR DOGS")</f>
        <v>NO CATS OR DOGS</v>
      </c>
      <c r="T314" s="1"/>
      <c r="U314" s="1" t="str">
        <f ca="1">IFERROR(__xludf.DUMMYFUNCTION("""COMPUTED_VALUE"""),"N")</f>
        <v>N</v>
      </c>
      <c r="V314" s="1" t="str">
        <f ca="1">IFERROR(__xludf.DUMMYFUNCTION("""COMPUTED_VALUE"""),"N")</f>
        <v>N</v>
      </c>
      <c r="W314" s="1"/>
      <c r="X314" s="1"/>
      <c r="Y314" s="1" t="str">
        <f ca="1">IFERROR(__xludf.DUMMYFUNCTION("""COMPUTED_VALUE"""),"Matthew Stewart")</f>
        <v>Matthew Stewart</v>
      </c>
      <c r="Z314" s="1" t="str">
        <f ca="1">IFERROR(__xludf.DUMMYFUNCTION("""COMPUTED_VALUE"""),"matt.stewart@oracle.com")</f>
        <v>matt.stewart@oracle.com</v>
      </c>
      <c r="AA314" s="1"/>
      <c r="AB314" s="1"/>
      <c r="AC314" s="1"/>
    </row>
    <row r="315" spans="1:29">
      <c r="A315" s="1" t="str">
        <f ca="1">IFERROR(__xludf.DUMMYFUNCTION("""COMPUTED_VALUE"""),"154 Magazine Street")</f>
        <v>154 Magazine Street</v>
      </c>
      <c r="B315" s="1">
        <f ca="1">IFERROR(__xludf.DUMMYFUNCTION("""COMPUTED_VALUE"""),154)</f>
        <v>154</v>
      </c>
      <c r="C315" s="1" t="str">
        <f ca="1">IFERROR(__xludf.DUMMYFUNCTION("""COMPUTED_VALUE"""),"#2")</f>
        <v>#2</v>
      </c>
      <c r="D315" s="1" t="str">
        <f ca="1">IFERROR(__xludf.DUMMYFUNCTION("""COMPUTED_VALUE"""),"154 Magazine Street Unit 2")</f>
        <v>154 Magazine Street Unit 2</v>
      </c>
      <c r="E315" s="1" t="str">
        <f ca="1">IFERROR(__xludf.DUMMYFUNCTION("""COMPUTED_VALUE"""),"Cambridge")</f>
        <v>Cambridge</v>
      </c>
      <c r="F315" s="1" t="str">
        <f ca="1">IFERROR(__xludf.DUMMYFUNCTION("""COMPUTED_VALUE"""),"Cambridge - Cambridgeport")</f>
        <v>Cambridge - Cambridgeport</v>
      </c>
      <c r="G315" s="1">
        <f ca="1">IFERROR(__xludf.DUMMYFUNCTION("""COMPUTED_VALUE"""),4)</f>
        <v>4</v>
      </c>
      <c r="H315" s="1" t="str">
        <f ca="1">IFERROR(__xludf.DUMMYFUNCTION("""COMPUTED_VALUE"""),"D")</f>
        <v>D</v>
      </c>
      <c r="I315" s="4" t="str">
        <f ca="1">IFERROR(__xludf.DUMMYFUNCTION("""COMPUTED_VALUE"""),"154 Magazine Street#2D")</f>
        <v>154 Magazine Street#2D</v>
      </c>
      <c r="J315" s="4" t="str">
        <f ca="1">IFERROR(__xludf.DUMMYFUNCTION("""COMPUTED_VALUE"""),"fa583e0e-46bb-4f96-808e-ce989160b0ea")</f>
        <v>fa583e0e-46bb-4f96-808e-ce989160b0ea</v>
      </c>
      <c r="K315" s="4">
        <f ca="1">IFERROR(__xludf.DUMMYFUNCTION("""COMPUTED_VALUE"""),1095)</f>
        <v>1095</v>
      </c>
      <c r="L315" s="1" t="str">
        <f ca="1">IFERROR(__xludf.DUMMYFUNCTION("""COMPUTED_VALUE"""),"Daniel")</f>
        <v>Daniel</v>
      </c>
      <c r="M315" s="1" t="str">
        <f ca="1">IFERROR(__xludf.DUMMYFUNCTION("""COMPUTED_VALUE"""),"")</f>
        <v/>
      </c>
      <c r="N315" s="1" t="str">
        <f ca="1">IFERROR(__xludf.DUMMYFUNCTION("""COMPUTED_VALUE"""),"Furnished")</f>
        <v>Furnished</v>
      </c>
      <c r="O315" s="1" t="str">
        <f ca="1">IFERROR(__xludf.DUMMYFUNCTION("""COMPUTED_VALUE"""),"Lease Signed")</f>
        <v>Lease Signed</v>
      </c>
      <c r="P315" s="1" t="str">
        <f ca="1">IFERROR(__xludf.DUMMYFUNCTION("""COMPUTED_VALUE"""),"January")</f>
        <v>January</v>
      </c>
      <c r="Q315" s="1"/>
      <c r="R315" s="5">
        <f ca="1">IFERROR(__xludf.DUMMYFUNCTION("""COMPUTED_VALUE"""),43845)</f>
        <v>43845</v>
      </c>
      <c r="S315" s="1" t="str">
        <f ca="1">IFERROR(__xludf.DUMMYFUNCTION("""COMPUTED_VALUE"""),"NO CATS OR DOGS")</f>
        <v>NO CATS OR DOGS</v>
      </c>
      <c r="T315" s="1"/>
      <c r="U315" s="1" t="str">
        <f ca="1">IFERROR(__xludf.DUMMYFUNCTION("""COMPUTED_VALUE"""),"N")</f>
        <v>N</v>
      </c>
      <c r="V315" s="1" t="str">
        <f ca="1">IFERROR(__xludf.DUMMYFUNCTION("""COMPUTED_VALUE"""),"N")</f>
        <v>N</v>
      </c>
      <c r="W315" s="1" t="str">
        <f ca="1">IFERROR(__xludf.DUMMYFUNCTION("""COMPUTED_VALUE"""),"Christopher Cafferty")</f>
        <v>Christopher Cafferty</v>
      </c>
      <c r="X315" s="1" t="str">
        <f ca="1">IFERROR(__xludf.DUMMYFUNCTION("""COMPUTED_VALUE"""),"cafferty99@gmail.com")</f>
        <v>cafferty99@gmail.com</v>
      </c>
      <c r="Y315" s="1" t="str">
        <f ca="1">IFERROR(__xludf.DUMMYFUNCTION("""COMPUTED_VALUE"""),"Christopher Cafferty")</f>
        <v>Christopher Cafferty</v>
      </c>
      <c r="Z315" s="1" t="str">
        <f ca="1">IFERROR(__xludf.DUMMYFUNCTION("""COMPUTED_VALUE"""),"cafferty99@gmail.com")</f>
        <v>cafferty99@gmail.com</v>
      </c>
      <c r="AA315" s="1"/>
      <c r="AB315" s="1"/>
      <c r="AC315" s="1"/>
    </row>
    <row r="316" spans="1:29">
      <c r="A316" s="1" t="str">
        <f ca="1">IFERROR(__xludf.DUMMYFUNCTION("""COMPUTED_VALUE"""),"158 Boston Street")</f>
        <v>158 Boston Street</v>
      </c>
      <c r="B316" s="1">
        <f ca="1">IFERROR(__xludf.DUMMYFUNCTION("""COMPUTED_VALUE"""),158)</f>
        <v>158</v>
      </c>
      <c r="C316" s="1" t="str">
        <f ca="1">IFERROR(__xludf.DUMMYFUNCTION("""COMPUTED_VALUE"""),"#2")</f>
        <v>#2</v>
      </c>
      <c r="D316" s="1" t="str">
        <f ca="1">IFERROR(__xludf.DUMMYFUNCTION("""COMPUTED_VALUE"""),"158 Boston Street Unit 2")</f>
        <v>158 Boston Street Unit 2</v>
      </c>
      <c r="E316" s="1" t="str">
        <f ca="1">IFERROR(__xludf.DUMMYFUNCTION("""COMPUTED_VALUE"""),"Boston")</f>
        <v>Boston</v>
      </c>
      <c r="F316" s="1" t="str">
        <f ca="1">IFERROR(__xludf.DUMMYFUNCTION("""COMPUTED_VALUE"""),"Boston - Dorchester")</f>
        <v>Boston - Dorchester</v>
      </c>
      <c r="G316" s="1">
        <f ca="1">IFERROR(__xludf.DUMMYFUNCTION("""COMPUTED_VALUE"""),1)</f>
        <v>1</v>
      </c>
      <c r="H316" s="1" t="str">
        <f ca="1">IFERROR(__xludf.DUMMYFUNCTION("""COMPUTED_VALUE"""),"A")</f>
        <v>A</v>
      </c>
      <c r="I316" s="4" t="str">
        <f ca="1">IFERROR(__xludf.DUMMYFUNCTION("""COMPUTED_VALUE"""),"158 Boston Street#2A")</f>
        <v>158 Boston Street#2A</v>
      </c>
      <c r="J316" s="4" t="str">
        <f ca="1">IFERROR(__xludf.DUMMYFUNCTION("""COMPUTED_VALUE"""),"afa68f42-fe07-4463-bf5e-7b0f6ddad303")</f>
        <v>afa68f42-fe07-4463-bf5e-7b0f6ddad303</v>
      </c>
      <c r="K316" s="4">
        <f ca="1">IFERROR(__xludf.DUMMYFUNCTION("""COMPUTED_VALUE"""),800)</f>
        <v>800</v>
      </c>
      <c r="L316" s="1" t="str">
        <f ca="1">IFERROR(__xludf.DUMMYFUNCTION("""COMPUTED_VALUE"""),"Cam")</f>
        <v>Cam</v>
      </c>
      <c r="M316" s="1" t="str">
        <f ca="1">IFERROR(__xludf.DUMMYFUNCTION("""COMPUTED_VALUE"""),"")</f>
        <v/>
      </c>
      <c r="N316" s="1" t="str">
        <f ca="1">IFERROR(__xludf.DUMMYFUNCTION("""COMPUTED_VALUE"""),"")</f>
        <v/>
      </c>
      <c r="O316" s="1" t="str">
        <f ca="1">IFERROR(__xludf.DUMMYFUNCTION("""COMPUTED_VALUE"""),"Occupied")</f>
        <v>Occupied</v>
      </c>
      <c r="P316" s="1"/>
      <c r="Q316" s="1"/>
      <c r="R316" s="1"/>
      <c r="S316" s="1" t="str">
        <f ca="1">IFERROR(__xludf.DUMMYFUNCTION("""COMPUTED_VALUE"""),"NO DOGS")</f>
        <v>NO DOGS</v>
      </c>
      <c r="T316" s="1" t="str">
        <f ca="1">IFERROR(__xludf.DUMMYFUNCTION("""COMPUTED_VALUE"""),"Dog")</f>
        <v>Dog</v>
      </c>
      <c r="U316" s="1" t="str">
        <f ca="1">IFERROR(__xludf.DUMMYFUNCTION("""COMPUTED_VALUE"""),"Y")</f>
        <v>Y</v>
      </c>
      <c r="V316" s="1" t="str">
        <f ca="1">IFERROR(__xludf.DUMMYFUNCTION("""COMPUTED_VALUE"""),"N")</f>
        <v>N</v>
      </c>
      <c r="W316" s="1"/>
      <c r="X316" s="1"/>
      <c r="Y316" s="1" t="str">
        <f ca="1">IFERROR(__xludf.DUMMYFUNCTION("""COMPUTED_VALUE"""),"Tracy Taylor")</f>
        <v>Tracy Taylor</v>
      </c>
      <c r="Z316" s="1" t="str">
        <f ca="1">IFERROR(__xludf.DUMMYFUNCTION("""COMPUTED_VALUE"""),"tracy.taylor.ri@gmail.com")</f>
        <v>tracy.taylor.ri@gmail.com</v>
      </c>
      <c r="AA316" s="1"/>
      <c r="AB316" s="1"/>
      <c r="AC316" s="1" t="str">
        <f ca="1">IFERROR(__xludf.DUMMYFUNCTION("""COMPUTED_VALUE"""),"service dog")</f>
        <v>service dog</v>
      </c>
    </row>
    <row r="317" spans="1:29">
      <c r="A317" s="1" t="str">
        <f ca="1">IFERROR(__xludf.DUMMYFUNCTION("""COMPUTED_VALUE"""),"158 Boston Street")</f>
        <v>158 Boston Street</v>
      </c>
      <c r="B317" s="1">
        <f ca="1">IFERROR(__xludf.DUMMYFUNCTION("""COMPUTED_VALUE"""),158)</f>
        <v>158</v>
      </c>
      <c r="C317" s="1" t="str">
        <f ca="1">IFERROR(__xludf.DUMMYFUNCTION("""COMPUTED_VALUE"""),"#2")</f>
        <v>#2</v>
      </c>
      <c r="D317" s="1" t="str">
        <f ca="1">IFERROR(__xludf.DUMMYFUNCTION("""COMPUTED_VALUE"""),"158 Boston Street Unit 2")</f>
        <v>158 Boston Street Unit 2</v>
      </c>
      <c r="E317" s="1" t="str">
        <f ca="1">IFERROR(__xludf.DUMMYFUNCTION("""COMPUTED_VALUE"""),"Boston")</f>
        <v>Boston</v>
      </c>
      <c r="F317" s="1" t="str">
        <f ca="1">IFERROR(__xludf.DUMMYFUNCTION("""COMPUTED_VALUE"""),"Boston - Dorchester")</f>
        <v>Boston - Dorchester</v>
      </c>
      <c r="G317" s="1">
        <f ca="1">IFERROR(__xludf.DUMMYFUNCTION("""COMPUTED_VALUE"""),2)</f>
        <v>2</v>
      </c>
      <c r="H317" s="1" t="str">
        <f ca="1">IFERROR(__xludf.DUMMYFUNCTION("""COMPUTED_VALUE"""),"B")</f>
        <v>B</v>
      </c>
      <c r="I317" s="4" t="str">
        <f ca="1">IFERROR(__xludf.DUMMYFUNCTION("""COMPUTED_VALUE"""),"158 Boston Street#2B")</f>
        <v>158 Boston Street#2B</v>
      </c>
      <c r="J317" s="4" t="str">
        <f ca="1">IFERROR(__xludf.DUMMYFUNCTION("""COMPUTED_VALUE"""),"afa68f42-fe07-4463-bf5e-7b0f6ddad303")</f>
        <v>afa68f42-fe07-4463-bf5e-7b0f6ddad303</v>
      </c>
      <c r="K317" s="4">
        <f ca="1">IFERROR(__xludf.DUMMYFUNCTION("""COMPUTED_VALUE"""),895)</f>
        <v>895</v>
      </c>
      <c r="L317" s="1" t="str">
        <f ca="1">IFERROR(__xludf.DUMMYFUNCTION("""COMPUTED_VALUE"""),"Cam")</f>
        <v>Cam</v>
      </c>
      <c r="M317" s="1" t="str">
        <f ca="1">IFERROR(__xludf.DUMMYFUNCTION("""COMPUTED_VALUE"""),"")</f>
        <v/>
      </c>
      <c r="N317" s="1" t="str">
        <f ca="1">IFERROR(__xludf.DUMMYFUNCTION("""COMPUTED_VALUE"""),"")</f>
        <v/>
      </c>
      <c r="O317" s="1" t="str">
        <f ca="1">IFERROR(__xludf.DUMMYFUNCTION("""COMPUTED_VALUE"""),"Occupied")</f>
        <v>Occupied</v>
      </c>
      <c r="P317" s="1"/>
      <c r="Q317" s="1"/>
      <c r="R317" s="1"/>
      <c r="S317" s="1" t="str">
        <f ca="1">IFERROR(__xludf.DUMMYFUNCTION("""COMPUTED_VALUE"""),"NO DOGS")</f>
        <v>NO DOGS</v>
      </c>
      <c r="T317" s="1"/>
      <c r="U317" s="1" t="str">
        <f ca="1">IFERROR(__xludf.DUMMYFUNCTION("""COMPUTED_VALUE"""),"Y")</f>
        <v>Y</v>
      </c>
      <c r="V317" s="1" t="str">
        <f ca="1">IFERROR(__xludf.DUMMYFUNCTION("""COMPUTED_VALUE"""),"N")</f>
        <v>N</v>
      </c>
      <c r="W317" s="1"/>
      <c r="X317" s="1"/>
      <c r="Y317" s="1" t="str">
        <f ca="1">IFERROR(__xludf.DUMMYFUNCTION("""COMPUTED_VALUE"""),"Miguel Ramos")</f>
        <v>Miguel Ramos</v>
      </c>
      <c r="Z317" s="1" t="str">
        <f ca="1">IFERROR(__xludf.DUMMYFUNCTION("""COMPUTED_VALUE"""),"miguelaramosortiz@gmail.com")</f>
        <v>miguelaramosortiz@gmail.com</v>
      </c>
      <c r="AA317" s="1"/>
      <c r="AB317" s="1"/>
      <c r="AC317" s="1"/>
    </row>
    <row r="318" spans="1:29">
      <c r="A318" s="1" t="str">
        <f ca="1">IFERROR(__xludf.DUMMYFUNCTION("""COMPUTED_VALUE"""),"158 Boston Street")</f>
        <v>158 Boston Street</v>
      </c>
      <c r="B318" s="1">
        <f ca="1">IFERROR(__xludf.DUMMYFUNCTION("""COMPUTED_VALUE"""),158)</f>
        <v>158</v>
      </c>
      <c r="C318" s="1" t="str">
        <f ca="1">IFERROR(__xludf.DUMMYFUNCTION("""COMPUTED_VALUE"""),"#2")</f>
        <v>#2</v>
      </c>
      <c r="D318" s="1" t="str">
        <f ca="1">IFERROR(__xludf.DUMMYFUNCTION("""COMPUTED_VALUE"""),"158 Boston Street Unit 2")</f>
        <v>158 Boston Street Unit 2</v>
      </c>
      <c r="E318" s="1" t="str">
        <f ca="1">IFERROR(__xludf.DUMMYFUNCTION("""COMPUTED_VALUE"""),"Boston")</f>
        <v>Boston</v>
      </c>
      <c r="F318" s="1" t="str">
        <f ca="1">IFERROR(__xludf.DUMMYFUNCTION("""COMPUTED_VALUE"""),"Boston - Dorchester")</f>
        <v>Boston - Dorchester</v>
      </c>
      <c r="G318" s="1">
        <f ca="1">IFERROR(__xludf.DUMMYFUNCTION("""COMPUTED_VALUE"""),3)</f>
        <v>3</v>
      </c>
      <c r="H318" s="1" t="str">
        <f ca="1">IFERROR(__xludf.DUMMYFUNCTION("""COMPUTED_VALUE"""),"C")</f>
        <v>C</v>
      </c>
      <c r="I318" s="4" t="str">
        <f ca="1">IFERROR(__xludf.DUMMYFUNCTION("""COMPUTED_VALUE"""),"158 Boston Street#2C")</f>
        <v>158 Boston Street#2C</v>
      </c>
      <c r="J318" s="4" t="str">
        <f ca="1">IFERROR(__xludf.DUMMYFUNCTION("""COMPUTED_VALUE"""),"afa68f42-fe07-4463-bf5e-7b0f6ddad303")</f>
        <v>afa68f42-fe07-4463-bf5e-7b0f6ddad303</v>
      </c>
      <c r="K318" s="4">
        <f ca="1">IFERROR(__xludf.DUMMYFUNCTION("""COMPUTED_VALUE"""),750)</f>
        <v>750</v>
      </c>
      <c r="L318" s="1" t="str">
        <f ca="1">IFERROR(__xludf.DUMMYFUNCTION("""COMPUTED_VALUE"""),"Cam")</f>
        <v>Cam</v>
      </c>
      <c r="M318" s="1" t="str">
        <f ca="1">IFERROR(__xludf.DUMMYFUNCTION("""COMPUTED_VALUE"""),"")</f>
        <v/>
      </c>
      <c r="N318" s="1" t="str">
        <f ca="1">IFERROR(__xludf.DUMMYFUNCTION("""COMPUTED_VALUE"""),"")</f>
        <v/>
      </c>
      <c r="O318" s="1" t="str">
        <f ca="1">IFERROR(__xludf.DUMMYFUNCTION("""COMPUTED_VALUE"""),"Occupied")</f>
        <v>Occupied</v>
      </c>
      <c r="P318" s="1"/>
      <c r="Q318" s="1"/>
      <c r="R318" s="1"/>
      <c r="S318" s="1" t="str">
        <f ca="1">IFERROR(__xludf.DUMMYFUNCTION("""COMPUTED_VALUE"""),"NO DOGS")</f>
        <v>NO DOGS</v>
      </c>
      <c r="T318" s="1"/>
      <c r="U318" s="1" t="str">
        <f ca="1">IFERROR(__xludf.DUMMYFUNCTION("""COMPUTED_VALUE"""),"Y")</f>
        <v>Y</v>
      </c>
      <c r="V318" s="1" t="str">
        <f ca="1">IFERROR(__xludf.DUMMYFUNCTION("""COMPUTED_VALUE"""),"N")</f>
        <v>N</v>
      </c>
      <c r="W318" s="1"/>
      <c r="X318" s="1"/>
      <c r="Y318" s="1" t="str">
        <f ca="1">IFERROR(__xludf.DUMMYFUNCTION("""COMPUTED_VALUE"""),"Jeffrey Zamora")</f>
        <v>Jeffrey Zamora</v>
      </c>
      <c r="Z318" s="1" t="str">
        <f ca="1">IFERROR(__xludf.DUMMYFUNCTION("""COMPUTED_VALUE"""),"hpbronze2@hotmail.com")</f>
        <v>hpbronze2@hotmail.com</v>
      </c>
      <c r="AA318" s="1"/>
      <c r="AB318" s="1"/>
      <c r="AC318" s="1"/>
    </row>
    <row r="319" spans="1:29">
      <c r="A319" s="1" t="str">
        <f ca="1">IFERROR(__xludf.DUMMYFUNCTION("""COMPUTED_VALUE"""),"158 Boston Street")</f>
        <v>158 Boston Street</v>
      </c>
      <c r="B319" s="1">
        <f ca="1">IFERROR(__xludf.DUMMYFUNCTION("""COMPUTED_VALUE"""),158)</f>
        <v>158</v>
      </c>
      <c r="C319" s="1" t="str">
        <f ca="1">IFERROR(__xludf.DUMMYFUNCTION("""COMPUTED_VALUE"""),"#2")</f>
        <v>#2</v>
      </c>
      <c r="D319" s="1" t="str">
        <f ca="1">IFERROR(__xludf.DUMMYFUNCTION("""COMPUTED_VALUE"""),"158 Boston Street Unit 2")</f>
        <v>158 Boston Street Unit 2</v>
      </c>
      <c r="E319" s="1" t="str">
        <f ca="1">IFERROR(__xludf.DUMMYFUNCTION("""COMPUTED_VALUE"""),"Boston")</f>
        <v>Boston</v>
      </c>
      <c r="F319" s="1" t="str">
        <f ca="1">IFERROR(__xludf.DUMMYFUNCTION("""COMPUTED_VALUE"""),"Boston - Dorchester")</f>
        <v>Boston - Dorchester</v>
      </c>
      <c r="G319" s="1">
        <f ca="1">IFERROR(__xludf.DUMMYFUNCTION("""COMPUTED_VALUE"""),4)</f>
        <v>4</v>
      </c>
      <c r="H319" s="1" t="str">
        <f ca="1">IFERROR(__xludf.DUMMYFUNCTION("""COMPUTED_VALUE"""),"D")</f>
        <v>D</v>
      </c>
      <c r="I319" s="4" t="str">
        <f ca="1">IFERROR(__xludf.DUMMYFUNCTION("""COMPUTED_VALUE"""),"158 Boston Street#2D")</f>
        <v>158 Boston Street#2D</v>
      </c>
      <c r="J319" s="4" t="str">
        <f ca="1">IFERROR(__xludf.DUMMYFUNCTION("""COMPUTED_VALUE"""),"afa68f42-fe07-4463-bf5e-7b0f6ddad303")</f>
        <v>afa68f42-fe07-4463-bf5e-7b0f6ddad303</v>
      </c>
      <c r="K319" s="4">
        <f ca="1">IFERROR(__xludf.DUMMYFUNCTION("""COMPUTED_VALUE"""),895)</f>
        <v>895</v>
      </c>
      <c r="L319" s="1" t="str">
        <f ca="1">IFERROR(__xludf.DUMMYFUNCTION("""COMPUTED_VALUE"""),"Cam")</f>
        <v>Cam</v>
      </c>
      <c r="M319" s="1" t="str">
        <f ca="1">IFERROR(__xludf.DUMMYFUNCTION("""COMPUTED_VALUE"""),"Cam (NOW)")</f>
        <v>Cam (NOW)</v>
      </c>
      <c r="N319" s="1" t="str">
        <f ca="1">IFERROR(__xludf.DUMMYFUNCTION("""COMPUTED_VALUE"""),"")</f>
        <v/>
      </c>
      <c r="O319" s="1" t="str">
        <f ca="1">IFERROR(__xludf.DUMMYFUNCTION("""COMPUTED_VALUE"""),"Vacant")</f>
        <v>Vacant</v>
      </c>
      <c r="P319" s="1"/>
      <c r="Q319" s="1"/>
      <c r="R319" s="1"/>
      <c r="S319" s="1" t="str">
        <f ca="1">IFERROR(__xludf.DUMMYFUNCTION("""COMPUTED_VALUE"""),"NO DOGS")</f>
        <v>NO DOGS</v>
      </c>
      <c r="T319" s="1"/>
      <c r="U319" s="1" t="str">
        <f ca="1">IFERROR(__xludf.DUMMYFUNCTION("""COMPUTED_VALUE"""),"Y")</f>
        <v>Y</v>
      </c>
      <c r="V319" s="1" t="str">
        <f ca="1">IFERROR(__xludf.DUMMYFUNCTION("""COMPUTED_VALUE"""),"N")</f>
        <v>N</v>
      </c>
      <c r="W319" s="1"/>
      <c r="X319" s="1"/>
      <c r="Y319" s="1"/>
      <c r="Z319" s="1"/>
      <c r="AA319" s="1"/>
      <c r="AB319" s="1"/>
      <c r="AC319" s="1"/>
    </row>
    <row r="320" spans="1:29">
      <c r="A320" s="1" t="str">
        <f ca="1">IFERROR(__xludf.DUMMYFUNCTION("""COMPUTED_VALUE"""),"158 Magazine Street")</f>
        <v>158 Magazine Street</v>
      </c>
      <c r="B320" s="1">
        <f ca="1">IFERROR(__xludf.DUMMYFUNCTION("""COMPUTED_VALUE"""),158)</f>
        <v>158</v>
      </c>
      <c r="C320" s="1" t="str">
        <f ca="1">IFERROR(__xludf.DUMMYFUNCTION("""COMPUTED_VALUE"""),"#6")</f>
        <v>#6</v>
      </c>
      <c r="D320" s="1" t="str">
        <f ca="1">IFERROR(__xludf.DUMMYFUNCTION("""COMPUTED_VALUE"""),"158 Magazine Street Unit 6")</f>
        <v>158 Magazine Street Unit 6</v>
      </c>
      <c r="E320" s="1" t="str">
        <f ca="1">IFERROR(__xludf.DUMMYFUNCTION("""COMPUTED_VALUE"""),"Cambridge")</f>
        <v>Cambridge</v>
      </c>
      <c r="F320" s="1" t="str">
        <f ca="1">IFERROR(__xludf.DUMMYFUNCTION("""COMPUTED_VALUE"""),"Cambridge - Cambridgeport")</f>
        <v>Cambridge - Cambridgeport</v>
      </c>
      <c r="G320" s="1">
        <f ca="1">IFERROR(__xludf.DUMMYFUNCTION("""COMPUTED_VALUE"""),1)</f>
        <v>1</v>
      </c>
      <c r="H320" s="1" t="str">
        <f ca="1">IFERROR(__xludf.DUMMYFUNCTION("""COMPUTED_VALUE"""),"A")</f>
        <v>A</v>
      </c>
      <c r="I320" s="4" t="str">
        <f ca="1">IFERROR(__xludf.DUMMYFUNCTION("""COMPUTED_VALUE"""),"158 Magazine Street#6A")</f>
        <v>158 Magazine Street#6A</v>
      </c>
      <c r="J320" s="4" t="str">
        <f ca="1">IFERROR(__xludf.DUMMYFUNCTION("""COMPUTED_VALUE"""),"121c29ec-fd77-4fa5-bee5-a344e1caae6c")</f>
        <v>121c29ec-fd77-4fa5-bee5-a344e1caae6c</v>
      </c>
      <c r="K320" s="4">
        <f ca="1">IFERROR(__xludf.DUMMYFUNCTION("""COMPUTED_VALUE"""),1395)</f>
        <v>1395</v>
      </c>
      <c r="L320" s="1" t="str">
        <f ca="1">IFERROR(__xludf.DUMMYFUNCTION("""COMPUTED_VALUE"""),"Daniel")</f>
        <v>Daniel</v>
      </c>
      <c r="M320" s="1" t="str">
        <f ca="1">IFERROR(__xludf.DUMMYFUNCTION("""COMPUTED_VALUE"""),"")</f>
        <v/>
      </c>
      <c r="N320" s="1" t="str">
        <f ca="1">IFERROR(__xludf.DUMMYFUNCTION("""COMPUTED_VALUE"""),"Furnished")</f>
        <v>Furnished</v>
      </c>
      <c r="O320" s="1" t="str">
        <f ca="1">IFERROR(__xludf.DUMMYFUNCTION("""COMPUTED_VALUE"""),"Occupied")</f>
        <v>Occupied</v>
      </c>
      <c r="P320" s="1"/>
      <c r="Q320" s="3">
        <f ca="1">IFERROR(__xludf.DUMMYFUNCTION("""COMPUTED_VALUE"""),44561)</f>
        <v>44561</v>
      </c>
      <c r="R320" s="1"/>
      <c r="S320" s="1" t="str">
        <f ca="1">IFERROR(__xludf.DUMMYFUNCTION("""COMPUTED_VALUE"""),"NO CATS OR DOGS")</f>
        <v>NO CATS OR DOGS</v>
      </c>
      <c r="T320" s="1"/>
      <c r="U320" s="1" t="str">
        <f ca="1">IFERROR(__xludf.DUMMYFUNCTION("""COMPUTED_VALUE"""),"Y")</f>
        <v>Y</v>
      </c>
      <c r="V320" s="1" t="str">
        <f ca="1">IFERROR(__xludf.DUMMYFUNCTION("""COMPUTED_VALUE"""),"N")</f>
        <v>N</v>
      </c>
      <c r="W320" s="1"/>
      <c r="X320" s="1"/>
      <c r="Y320" s="1" t="str">
        <f ca="1">IFERROR(__xludf.DUMMYFUNCTION("""COMPUTED_VALUE"""),"Zeyuan Cao")</f>
        <v>Zeyuan Cao</v>
      </c>
      <c r="Z320" s="1" t="str">
        <f ca="1">IFERROR(__xludf.DUMMYFUNCTION("""COMPUTED_VALUE"""),"caozeyuan1230@126.com")</f>
        <v>caozeyuan1230@126.com</v>
      </c>
      <c r="AA320" s="1"/>
      <c r="AB320" s="1"/>
      <c r="AC320" s="1" t="str">
        <f ca="1">IFERROR(__xludf.DUMMYFUNCTION("""COMPUTED_VALUE"""),"All Inclusive")</f>
        <v>All Inclusive</v>
      </c>
    </row>
    <row r="321" spans="1:29">
      <c r="A321" s="1" t="str">
        <f ca="1">IFERROR(__xludf.DUMMYFUNCTION("""COMPUTED_VALUE"""),"158 Magazine Street")</f>
        <v>158 Magazine Street</v>
      </c>
      <c r="B321" s="1">
        <f ca="1">IFERROR(__xludf.DUMMYFUNCTION("""COMPUTED_VALUE"""),158)</f>
        <v>158</v>
      </c>
      <c r="C321" s="1" t="str">
        <f ca="1">IFERROR(__xludf.DUMMYFUNCTION("""COMPUTED_VALUE"""),"#6")</f>
        <v>#6</v>
      </c>
      <c r="D321" s="1" t="str">
        <f ca="1">IFERROR(__xludf.DUMMYFUNCTION("""COMPUTED_VALUE"""),"158 Magazine Street Unit 6")</f>
        <v>158 Magazine Street Unit 6</v>
      </c>
      <c r="E321" s="1" t="str">
        <f ca="1">IFERROR(__xludf.DUMMYFUNCTION("""COMPUTED_VALUE"""),"Cambridge")</f>
        <v>Cambridge</v>
      </c>
      <c r="F321" s="1" t="str">
        <f ca="1">IFERROR(__xludf.DUMMYFUNCTION("""COMPUTED_VALUE"""),"Cambridge - Cambridgeport")</f>
        <v>Cambridge - Cambridgeport</v>
      </c>
      <c r="G321" s="1">
        <f ca="1">IFERROR(__xludf.DUMMYFUNCTION("""COMPUTED_VALUE"""),2)</f>
        <v>2</v>
      </c>
      <c r="H321" s="1" t="str">
        <f ca="1">IFERROR(__xludf.DUMMYFUNCTION("""COMPUTED_VALUE"""),"B")</f>
        <v>B</v>
      </c>
      <c r="I321" s="4" t="str">
        <f ca="1">IFERROR(__xludf.DUMMYFUNCTION("""COMPUTED_VALUE"""),"158 Magazine Street#6B")</f>
        <v>158 Magazine Street#6B</v>
      </c>
      <c r="J321" s="4" t="str">
        <f ca="1">IFERROR(__xludf.DUMMYFUNCTION("""COMPUTED_VALUE"""),"121c29ec-fd77-4fa5-bee5-a344e1caae6c")</f>
        <v>121c29ec-fd77-4fa5-bee5-a344e1caae6c</v>
      </c>
      <c r="K321" s="4">
        <f ca="1">IFERROR(__xludf.DUMMYFUNCTION("""COMPUTED_VALUE"""),1095)</f>
        <v>1095</v>
      </c>
      <c r="L321" s="1" t="str">
        <f ca="1">IFERROR(__xludf.DUMMYFUNCTION("""COMPUTED_VALUE"""),"Daniel")</f>
        <v>Daniel</v>
      </c>
      <c r="M321" s="1" t="str">
        <f ca="1">IFERROR(__xludf.DUMMYFUNCTION("""COMPUTED_VALUE"""),"Daniel (NOW)")</f>
        <v>Daniel (NOW)</v>
      </c>
      <c r="N321" s="1" t="str">
        <f ca="1">IFERROR(__xludf.DUMMYFUNCTION("""COMPUTED_VALUE"""),"Furnished")</f>
        <v>Furnished</v>
      </c>
      <c r="O321" s="1" t="str">
        <f ca="1">IFERROR(__xludf.DUMMYFUNCTION("""COMPUTED_VALUE"""),"Vacant")</f>
        <v>Vacant</v>
      </c>
      <c r="P321" s="1"/>
      <c r="Q321" s="1"/>
      <c r="R321" s="1"/>
      <c r="S321" s="1" t="str">
        <f ca="1">IFERROR(__xludf.DUMMYFUNCTION("""COMPUTED_VALUE"""),"NO CATS OR DOGS")</f>
        <v>NO CATS OR DOGS</v>
      </c>
      <c r="T321" s="1"/>
      <c r="U321" s="1" t="str">
        <f ca="1">IFERROR(__xludf.DUMMYFUNCTION("""COMPUTED_VALUE"""),"Y")</f>
        <v>Y</v>
      </c>
      <c r="V321" s="1" t="str">
        <f ca="1">IFERROR(__xludf.DUMMYFUNCTION("""COMPUTED_VALUE"""),"N")</f>
        <v>N</v>
      </c>
      <c r="W321" s="1"/>
      <c r="X321" s="1"/>
      <c r="Y321" s="1"/>
      <c r="Z321" s="1"/>
      <c r="AA321" s="1"/>
      <c r="AB321" s="1"/>
      <c r="AC321" s="1" t="str">
        <f ca="1">IFERROR(__xludf.DUMMYFUNCTION("""COMPUTED_VALUE"""),"All Inclusive")</f>
        <v>All Inclusive</v>
      </c>
    </row>
    <row r="322" spans="1:29">
      <c r="A322" s="1" t="str">
        <f ca="1">IFERROR(__xludf.DUMMYFUNCTION("""COMPUTED_VALUE"""),"158 Magazine Street")</f>
        <v>158 Magazine Street</v>
      </c>
      <c r="B322" s="1">
        <f ca="1">IFERROR(__xludf.DUMMYFUNCTION("""COMPUTED_VALUE"""),158)</f>
        <v>158</v>
      </c>
      <c r="C322" s="1" t="str">
        <f ca="1">IFERROR(__xludf.DUMMYFUNCTION("""COMPUTED_VALUE"""),"#6")</f>
        <v>#6</v>
      </c>
      <c r="D322" s="1" t="str">
        <f ca="1">IFERROR(__xludf.DUMMYFUNCTION("""COMPUTED_VALUE"""),"158 Magazine Street Unit 6")</f>
        <v>158 Magazine Street Unit 6</v>
      </c>
      <c r="E322" s="1" t="str">
        <f ca="1">IFERROR(__xludf.DUMMYFUNCTION("""COMPUTED_VALUE"""),"Cambridge")</f>
        <v>Cambridge</v>
      </c>
      <c r="F322" s="1" t="str">
        <f ca="1">IFERROR(__xludf.DUMMYFUNCTION("""COMPUTED_VALUE"""),"Cambridge - Cambridgeport")</f>
        <v>Cambridge - Cambridgeport</v>
      </c>
      <c r="G322" s="1">
        <f ca="1">IFERROR(__xludf.DUMMYFUNCTION("""COMPUTED_VALUE"""),3)</f>
        <v>3</v>
      </c>
      <c r="H322" s="1" t="str">
        <f ca="1">IFERROR(__xludf.DUMMYFUNCTION("""COMPUTED_VALUE"""),"C")</f>
        <v>C</v>
      </c>
      <c r="I322" s="4" t="str">
        <f ca="1">IFERROR(__xludf.DUMMYFUNCTION("""COMPUTED_VALUE"""),"158 Magazine Street#6C")</f>
        <v>158 Magazine Street#6C</v>
      </c>
      <c r="J322" s="4" t="str">
        <f ca="1">IFERROR(__xludf.DUMMYFUNCTION("""COMPUTED_VALUE"""),"121c29ec-fd77-4fa5-bee5-a344e1caae6c")</f>
        <v>121c29ec-fd77-4fa5-bee5-a344e1caae6c</v>
      </c>
      <c r="K322" s="4">
        <f ca="1">IFERROR(__xludf.DUMMYFUNCTION("""COMPUTED_VALUE"""),1295)</f>
        <v>1295</v>
      </c>
      <c r="L322" s="1" t="str">
        <f ca="1">IFERROR(__xludf.DUMMYFUNCTION("""COMPUTED_VALUE"""),"Daniel")</f>
        <v>Daniel</v>
      </c>
      <c r="M322" s="1" t="str">
        <f ca="1">IFERROR(__xludf.DUMMYFUNCTION("""COMPUTED_VALUE"""),"Daniel (NOW)")</f>
        <v>Daniel (NOW)</v>
      </c>
      <c r="N322" s="1" t="str">
        <f ca="1">IFERROR(__xludf.DUMMYFUNCTION("""COMPUTED_VALUE"""),"Furnished")</f>
        <v>Furnished</v>
      </c>
      <c r="O322" s="1" t="str">
        <f ca="1">IFERROR(__xludf.DUMMYFUNCTION("""COMPUTED_VALUE"""),"Upcoming Vacancy")</f>
        <v>Upcoming Vacancy</v>
      </c>
      <c r="P322" s="1" t="str">
        <f ca="1">IFERROR(__xludf.DUMMYFUNCTION("""COMPUTED_VALUE"""),"March")</f>
        <v>March</v>
      </c>
      <c r="Q322" s="3">
        <f ca="1">IFERROR(__xludf.DUMMYFUNCTION("""COMPUTED_VALUE"""),43889)</f>
        <v>43889</v>
      </c>
      <c r="R322" s="1"/>
      <c r="S322" s="1" t="str">
        <f ca="1">IFERROR(__xludf.DUMMYFUNCTION("""COMPUTED_VALUE"""),"NO CATS OR DOGS")</f>
        <v>NO CATS OR DOGS</v>
      </c>
      <c r="T322" s="1"/>
      <c r="U322" s="1" t="str">
        <f ca="1">IFERROR(__xludf.DUMMYFUNCTION("""COMPUTED_VALUE"""),"Y")</f>
        <v>Y</v>
      </c>
      <c r="V322" s="1" t="str">
        <f ca="1">IFERROR(__xludf.DUMMYFUNCTION("""COMPUTED_VALUE"""),"N")</f>
        <v>N</v>
      </c>
      <c r="W322" s="1"/>
      <c r="X322" s="1"/>
      <c r="Y322" s="1" t="str">
        <f ca="1">IFERROR(__xludf.DUMMYFUNCTION("""COMPUTED_VALUE"""),"Javier Izquierdo")</f>
        <v>Javier Izquierdo</v>
      </c>
      <c r="Z322" s="1" t="str">
        <f ca="1">IFERROR(__xludf.DUMMYFUNCTION("""COMPUTED_VALUE"""),"jizquierdo.reyes@tec.mx")</f>
        <v>jizquierdo.reyes@tec.mx</v>
      </c>
      <c r="AA322" s="1"/>
      <c r="AB322" s="1"/>
      <c r="AC322" s="1" t="str">
        <f ca="1">IFERROR(__xludf.DUMMYFUNCTION("""COMPUTED_VALUE"""),"All Inclusive")</f>
        <v>All Inclusive</v>
      </c>
    </row>
    <row r="323" spans="1:29">
      <c r="A323" s="1" t="str">
        <f ca="1">IFERROR(__xludf.DUMMYFUNCTION("""COMPUTED_VALUE"""),"158 Magazine Street")</f>
        <v>158 Magazine Street</v>
      </c>
      <c r="B323" s="1">
        <f ca="1">IFERROR(__xludf.DUMMYFUNCTION("""COMPUTED_VALUE"""),158)</f>
        <v>158</v>
      </c>
      <c r="C323" s="1" t="str">
        <f ca="1">IFERROR(__xludf.DUMMYFUNCTION("""COMPUTED_VALUE"""),"#6")</f>
        <v>#6</v>
      </c>
      <c r="D323" s="1" t="str">
        <f ca="1">IFERROR(__xludf.DUMMYFUNCTION("""COMPUTED_VALUE"""),"158 Magazine Street Unit 6")</f>
        <v>158 Magazine Street Unit 6</v>
      </c>
      <c r="E323" s="1" t="str">
        <f ca="1">IFERROR(__xludf.DUMMYFUNCTION("""COMPUTED_VALUE"""),"Cambridge")</f>
        <v>Cambridge</v>
      </c>
      <c r="F323" s="1" t="str">
        <f ca="1">IFERROR(__xludf.DUMMYFUNCTION("""COMPUTED_VALUE"""),"Cambridge - Cambridgeport")</f>
        <v>Cambridge - Cambridgeport</v>
      </c>
      <c r="G323" s="1">
        <f ca="1">IFERROR(__xludf.DUMMYFUNCTION("""COMPUTED_VALUE"""),4)</f>
        <v>4</v>
      </c>
      <c r="H323" s="1" t="str">
        <f ca="1">IFERROR(__xludf.DUMMYFUNCTION("""COMPUTED_VALUE"""),"D")</f>
        <v>D</v>
      </c>
      <c r="I323" s="4" t="str">
        <f ca="1">IFERROR(__xludf.DUMMYFUNCTION("""COMPUTED_VALUE"""),"158 Magazine Street#6D")</f>
        <v>158 Magazine Street#6D</v>
      </c>
      <c r="J323" s="4" t="str">
        <f ca="1">IFERROR(__xludf.DUMMYFUNCTION("""COMPUTED_VALUE"""),"121c29ec-fd77-4fa5-bee5-a344e1caae6c")</f>
        <v>121c29ec-fd77-4fa5-bee5-a344e1caae6c</v>
      </c>
      <c r="K323" s="4">
        <f ca="1">IFERROR(__xludf.DUMMYFUNCTION("""COMPUTED_VALUE"""),1295)</f>
        <v>1295</v>
      </c>
      <c r="L323" s="1" t="str">
        <f ca="1">IFERROR(__xludf.DUMMYFUNCTION("""COMPUTED_VALUE"""),"Daniel")</f>
        <v>Daniel</v>
      </c>
      <c r="M323" s="1" t="str">
        <f ca="1">IFERROR(__xludf.DUMMYFUNCTION("""COMPUTED_VALUE"""),"Daniel (NOW)")</f>
        <v>Daniel (NOW)</v>
      </c>
      <c r="N323" s="1" t="str">
        <f ca="1">IFERROR(__xludf.DUMMYFUNCTION("""COMPUTED_VALUE"""),"Furnished")</f>
        <v>Furnished</v>
      </c>
      <c r="O323" s="1" t="str">
        <f ca="1">IFERROR(__xludf.DUMMYFUNCTION("""COMPUTED_VALUE"""),"Upcoming Vacancy")</f>
        <v>Upcoming Vacancy</v>
      </c>
      <c r="P323" s="1" t="str">
        <f ca="1">IFERROR(__xludf.DUMMYFUNCTION("""COMPUTED_VALUE"""),"March")</f>
        <v>March</v>
      </c>
      <c r="Q323" s="3">
        <f ca="1">IFERROR(__xludf.DUMMYFUNCTION("""COMPUTED_VALUE"""),43889)</f>
        <v>43889</v>
      </c>
      <c r="R323" s="1"/>
      <c r="S323" s="1" t="str">
        <f ca="1">IFERROR(__xludf.DUMMYFUNCTION("""COMPUTED_VALUE"""),"NO CATS OR DOGS")</f>
        <v>NO CATS OR DOGS</v>
      </c>
      <c r="T323" s="1"/>
      <c r="U323" s="1" t="str">
        <f ca="1">IFERROR(__xludf.DUMMYFUNCTION("""COMPUTED_VALUE"""),"Y")</f>
        <v>Y</v>
      </c>
      <c r="V323" s="1" t="str">
        <f ca="1">IFERROR(__xludf.DUMMYFUNCTION("""COMPUTED_VALUE"""),"N")</f>
        <v>N</v>
      </c>
      <c r="W323" s="1"/>
      <c r="X323" s="1"/>
      <c r="Y323" s="1" t="str">
        <f ca="1">IFERROR(__xludf.DUMMYFUNCTION("""COMPUTED_VALUE"""),"Sergio Navarro Tuch")</f>
        <v>Sergio Navarro Tuch</v>
      </c>
      <c r="Z323" s="1" t="str">
        <f ca="1">IFERROR(__xludf.DUMMYFUNCTION("""COMPUTED_VALUE"""),"a01215228@itesm.mx")</f>
        <v>a01215228@itesm.mx</v>
      </c>
      <c r="AA323" s="1"/>
      <c r="AB323" s="1"/>
      <c r="AC323" s="1" t="str">
        <f ca="1">IFERROR(__xludf.DUMMYFUNCTION("""COMPUTED_VALUE"""),"All Inclusive")</f>
        <v>All Inclusive</v>
      </c>
    </row>
    <row r="324" spans="1:29">
      <c r="A324" s="1" t="str">
        <f ca="1">IFERROR(__xludf.DUMMYFUNCTION("""COMPUTED_VALUE"""),"158 Magazine Street")</f>
        <v>158 Magazine Street</v>
      </c>
      <c r="B324" s="1">
        <f ca="1">IFERROR(__xludf.DUMMYFUNCTION("""COMPUTED_VALUE"""),158)</f>
        <v>158</v>
      </c>
      <c r="C324" s="1" t="str">
        <f ca="1">IFERROR(__xludf.DUMMYFUNCTION("""COMPUTED_VALUE"""),"#7")</f>
        <v>#7</v>
      </c>
      <c r="D324" s="1" t="str">
        <f ca="1">IFERROR(__xludf.DUMMYFUNCTION("""COMPUTED_VALUE"""),"158 Magazine Street Unit 7")</f>
        <v>158 Magazine Street Unit 7</v>
      </c>
      <c r="E324" s="1" t="str">
        <f ca="1">IFERROR(__xludf.DUMMYFUNCTION("""COMPUTED_VALUE"""),"Cambridge")</f>
        <v>Cambridge</v>
      </c>
      <c r="F324" s="1" t="str">
        <f ca="1">IFERROR(__xludf.DUMMYFUNCTION("""COMPUTED_VALUE"""),"Cambridge - Cambridgeport")</f>
        <v>Cambridge - Cambridgeport</v>
      </c>
      <c r="G324" s="1">
        <f ca="1">IFERROR(__xludf.DUMMYFUNCTION("""COMPUTED_VALUE"""),1)</f>
        <v>1</v>
      </c>
      <c r="H324" s="1" t="str">
        <f ca="1">IFERROR(__xludf.DUMMYFUNCTION("""COMPUTED_VALUE"""),"A")</f>
        <v>A</v>
      </c>
      <c r="I324" s="4" t="str">
        <f ca="1">IFERROR(__xludf.DUMMYFUNCTION("""COMPUTED_VALUE"""),"158 Magazine Street#7A")</f>
        <v>158 Magazine Street#7A</v>
      </c>
      <c r="J324" s="4" t="str">
        <f ca="1">IFERROR(__xludf.DUMMYFUNCTION("""COMPUTED_VALUE"""),"788fed62-264e-4889-b16a-f59d6d062ccf")</f>
        <v>788fed62-264e-4889-b16a-f59d6d062ccf</v>
      </c>
      <c r="K324" s="4">
        <f ca="1">IFERROR(__xludf.DUMMYFUNCTION("""COMPUTED_VALUE"""),1250)</f>
        <v>1250</v>
      </c>
      <c r="L324" s="1" t="str">
        <f ca="1">IFERROR(__xludf.DUMMYFUNCTION("""COMPUTED_VALUE"""),"Daniel")</f>
        <v>Daniel</v>
      </c>
      <c r="M324" s="1" t="str">
        <f ca="1">IFERROR(__xludf.DUMMYFUNCTION("""COMPUTED_VALUE"""),"")</f>
        <v/>
      </c>
      <c r="N324" s="1" t="str">
        <f ca="1">IFERROR(__xludf.DUMMYFUNCTION("""COMPUTED_VALUE"""),"Furnished")</f>
        <v>Furnished</v>
      </c>
      <c r="O324" s="1" t="str">
        <f ca="1">IFERROR(__xludf.DUMMYFUNCTION("""COMPUTED_VALUE"""),"Deposits Complete")</f>
        <v>Deposits Complete</v>
      </c>
      <c r="P324" s="1" t="str">
        <f ca="1">IFERROR(__xludf.DUMMYFUNCTION("""COMPUTED_VALUE"""),"January")</f>
        <v>January</v>
      </c>
      <c r="Q324" s="3">
        <f ca="1">IFERROR(__xludf.DUMMYFUNCTION("""COMPUTED_VALUE"""),44196)</f>
        <v>44196</v>
      </c>
      <c r="R324" s="5">
        <f ca="1">IFERROR(__xludf.DUMMYFUNCTION("""COMPUTED_VALUE"""),43854)</f>
        <v>43854</v>
      </c>
      <c r="S324" s="1" t="str">
        <f ca="1">IFERROR(__xludf.DUMMYFUNCTION("""COMPUTED_VALUE"""),"NO CATS OR DOGS")</f>
        <v>NO CATS OR DOGS</v>
      </c>
      <c r="T324" s="1"/>
      <c r="U324" s="1" t="str">
        <f ca="1">IFERROR(__xludf.DUMMYFUNCTION("""COMPUTED_VALUE"""),"N")</f>
        <v>N</v>
      </c>
      <c r="V324" s="1" t="str">
        <f ca="1">IFERROR(__xludf.DUMMYFUNCTION("""COMPUTED_VALUE"""),"N")</f>
        <v>N</v>
      </c>
      <c r="W324" s="1" t="str">
        <f ca="1">IFERROR(__xludf.DUMMYFUNCTION("""COMPUTED_VALUE"""),"Jimmy Lin")</f>
        <v>Jimmy Lin</v>
      </c>
      <c r="X324" s="1" t="str">
        <f ca="1">IFERROR(__xludf.DUMMYFUNCTION("""COMPUTED_VALUE"""),"jimmylin@college.harvard.edu")</f>
        <v>jimmylin@college.harvard.edu</v>
      </c>
      <c r="Y324" s="1" t="str">
        <f ca="1">IFERROR(__xludf.DUMMYFUNCTION("""COMPUTED_VALUE"""),"Franklin Civantos")</f>
        <v>Franklin Civantos</v>
      </c>
      <c r="Z324" s="1" t="str">
        <f ca="1">IFERROR(__xludf.DUMMYFUNCTION("""COMPUTED_VALUE"""),"fcivantos10@gmail.com")</f>
        <v>fcivantos10@gmail.com</v>
      </c>
      <c r="AA324" s="1"/>
      <c r="AB324" s="1"/>
      <c r="AC324" s="1"/>
    </row>
    <row r="325" spans="1:29">
      <c r="A325" s="1" t="str">
        <f ca="1">IFERROR(__xludf.DUMMYFUNCTION("""COMPUTED_VALUE"""),"158 Magazine Street")</f>
        <v>158 Magazine Street</v>
      </c>
      <c r="B325" s="1">
        <f ca="1">IFERROR(__xludf.DUMMYFUNCTION("""COMPUTED_VALUE"""),158)</f>
        <v>158</v>
      </c>
      <c r="C325" s="1" t="str">
        <f ca="1">IFERROR(__xludf.DUMMYFUNCTION("""COMPUTED_VALUE"""),"#7")</f>
        <v>#7</v>
      </c>
      <c r="D325" s="1" t="str">
        <f ca="1">IFERROR(__xludf.DUMMYFUNCTION("""COMPUTED_VALUE"""),"158 Magazine Street Unit 7")</f>
        <v>158 Magazine Street Unit 7</v>
      </c>
      <c r="E325" s="1" t="str">
        <f ca="1">IFERROR(__xludf.DUMMYFUNCTION("""COMPUTED_VALUE"""),"Cambridge")</f>
        <v>Cambridge</v>
      </c>
      <c r="F325" s="1" t="str">
        <f ca="1">IFERROR(__xludf.DUMMYFUNCTION("""COMPUTED_VALUE"""),"Cambridge - Cambridgeport")</f>
        <v>Cambridge - Cambridgeport</v>
      </c>
      <c r="G325" s="1">
        <f ca="1">IFERROR(__xludf.DUMMYFUNCTION("""COMPUTED_VALUE"""),2)</f>
        <v>2</v>
      </c>
      <c r="H325" s="1" t="str">
        <f ca="1">IFERROR(__xludf.DUMMYFUNCTION("""COMPUTED_VALUE"""),"B")</f>
        <v>B</v>
      </c>
      <c r="I325" s="4" t="str">
        <f ca="1">IFERROR(__xludf.DUMMYFUNCTION("""COMPUTED_VALUE"""),"158 Magazine Street#7B")</f>
        <v>158 Magazine Street#7B</v>
      </c>
      <c r="J325" s="4" t="str">
        <f ca="1">IFERROR(__xludf.DUMMYFUNCTION("""COMPUTED_VALUE"""),"788fed62-264e-4889-b16a-f59d6d062ccf")</f>
        <v>788fed62-264e-4889-b16a-f59d6d062ccf</v>
      </c>
      <c r="K325" s="4">
        <f ca="1">IFERROR(__xludf.DUMMYFUNCTION("""COMPUTED_VALUE"""),1195)</f>
        <v>1195</v>
      </c>
      <c r="L325" s="1" t="str">
        <f ca="1">IFERROR(__xludf.DUMMYFUNCTION("""COMPUTED_VALUE"""),"Daniel")</f>
        <v>Daniel</v>
      </c>
      <c r="M325" s="1" t="str">
        <f ca="1">IFERROR(__xludf.DUMMYFUNCTION("""COMPUTED_VALUE"""),"")</f>
        <v/>
      </c>
      <c r="N325" s="1" t="str">
        <f ca="1">IFERROR(__xludf.DUMMYFUNCTION("""COMPUTED_VALUE"""),"Furnished")</f>
        <v>Furnished</v>
      </c>
      <c r="O325" s="1" t="str">
        <f ca="1">IFERROR(__xludf.DUMMYFUNCTION("""COMPUTED_VALUE"""),"Deposits Complete")</f>
        <v>Deposits Complete</v>
      </c>
      <c r="P325" s="1" t="str">
        <f ca="1">IFERROR(__xludf.DUMMYFUNCTION("""COMPUTED_VALUE"""),"January")</f>
        <v>January</v>
      </c>
      <c r="Q325" s="3">
        <f ca="1">IFERROR(__xludf.DUMMYFUNCTION("""COMPUTED_VALUE"""),44196)</f>
        <v>44196</v>
      </c>
      <c r="R325" s="5">
        <f ca="1">IFERROR(__xludf.DUMMYFUNCTION("""COMPUTED_VALUE"""),43861)</f>
        <v>43861</v>
      </c>
      <c r="S325" s="1" t="str">
        <f ca="1">IFERROR(__xludf.DUMMYFUNCTION("""COMPUTED_VALUE"""),"NO CATS OR DOGS")</f>
        <v>NO CATS OR DOGS</v>
      </c>
      <c r="T325" s="1"/>
      <c r="U325" s="1" t="str">
        <f ca="1">IFERROR(__xludf.DUMMYFUNCTION("""COMPUTED_VALUE"""),"N")</f>
        <v>N</v>
      </c>
      <c r="V325" s="1" t="str">
        <f ca="1">IFERROR(__xludf.DUMMYFUNCTION("""COMPUTED_VALUE"""),"N")</f>
        <v>N</v>
      </c>
      <c r="W325" s="1" t="str">
        <f ca="1">IFERROR(__xludf.DUMMYFUNCTION("""COMPUTED_VALUE"""),"Delaney Hurley")</f>
        <v>Delaney Hurley</v>
      </c>
      <c r="X325" s="1" t="str">
        <f ca="1">IFERROR(__xludf.DUMMYFUNCTION("""COMPUTED_VALUE"""),"delaneyhurley@college.harvard.edu")</f>
        <v>delaneyhurley@college.harvard.edu</v>
      </c>
      <c r="Y325" s="1" t="str">
        <f ca="1">IFERROR(__xludf.DUMMYFUNCTION("""COMPUTED_VALUE"""),"Henry Burnes")</f>
        <v>Henry Burnes</v>
      </c>
      <c r="Z325" s="1" t="str">
        <f ca="1">IFERROR(__xludf.DUMMYFUNCTION("""COMPUTED_VALUE"""),"henryburnes@gmail.com")</f>
        <v>henryburnes@gmail.com</v>
      </c>
      <c r="AA325" s="1"/>
      <c r="AB325" s="1"/>
      <c r="AC325" s="1"/>
    </row>
    <row r="326" spans="1:29">
      <c r="A326" s="1" t="str">
        <f ca="1">IFERROR(__xludf.DUMMYFUNCTION("""COMPUTED_VALUE"""),"158 Magazine Street")</f>
        <v>158 Magazine Street</v>
      </c>
      <c r="B326" s="1">
        <f ca="1">IFERROR(__xludf.DUMMYFUNCTION("""COMPUTED_VALUE"""),158)</f>
        <v>158</v>
      </c>
      <c r="C326" s="1" t="str">
        <f ca="1">IFERROR(__xludf.DUMMYFUNCTION("""COMPUTED_VALUE"""),"#7")</f>
        <v>#7</v>
      </c>
      <c r="D326" s="1" t="str">
        <f ca="1">IFERROR(__xludf.DUMMYFUNCTION("""COMPUTED_VALUE"""),"158 Magazine Street Unit 7")</f>
        <v>158 Magazine Street Unit 7</v>
      </c>
      <c r="E326" s="1" t="str">
        <f ca="1">IFERROR(__xludf.DUMMYFUNCTION("""COMPUTED_VALUE"""),"Cambridge")</f>
        <v>Cambridge</v>
      </c>
      <c r="F326" s="1" t="str">
        <f ca="1">IFERROR(__xludf.DUMMYFUNCTION("""COMPUTED_VALUE"""),"Cambridge - Cambridgeport")</f>
        <v>Cambridge - Cambridgeport</v>
      </c>
      <c r="G326" s="1">
        <f ca="1">IFERROR(__xludf.DUMMYFUNCTION("""COMPUTED_VALUE"""),3)</f>
        <v>3</v>
      </c>
      <c r="H326" s="1" t="str">
        <f ca="1">IFERROR(__xludf.DUMMYFUNCTION("""COMPUTED_VALUE"""),"C")</f>
        <v>C</v>
      </c>
      <c r="I326" s="4" t="str">
        <f ca="1">IFERROR(__xludf.DUMMYFUNCTION("""COMPUTED_VALUE"""),"158 Magazine Street#7C")</f>
        <v>158 Magazine Street#7C</v>
      </c>
      <c r="J326" s="4" t="str">
        <f ca="1">IFERROR(__xludf.DUMMYFUNCTION("""COMPUTED_VALUE"""),"788fed62-264e-4889-b16a-f59d6d062ccf")</f>
        <v>788fed62-264e-4889-b16a-f59d6d062ccf</v>
      </c>
      <c r="K326" s="4">
        <f ca="1">IFERROR(__xludf.DUMMYFUNCTION("""COMPUTED_VALUE"""),1195)</f>
        <v>1195</v>
      </c>
      <c r="L326" s="1" t="str">
        <f ca="1">IFERROR(__xludf.DUMMYFUNCTION("""COMPUTED_VALUE"""),"Daniel")</f>
        <v>Daniel</v>
      </c>
      <c r="M326" s="1" t="str">
        <f ca="1">IFERROR(__xludf.DUMMYFUNCTION("""COMPUTED_VALUE"""),"")</f>
        <v/>
      </c>
      <c r="N326" s="1" t="str">
        <f ca="1">IFERROR(__xludf.DUMMYFUNCTION("""COMPUTED_VALUE"""),"Furnished")</f>
        <v>Furnished</v>
      </c>
      <c r="O326" s="1" t="str">
        <f ca="1">IFERROR(__xludf.DUMMYFUNCTION("""COMPUTED_VALUE"""),"Deposits Complete")</f>
        <v>Deposits Complete</v>
      </c>
      <c r="P326" s="1" t="str">
        <f ca="1">IFERROR(__xludf.DUMMYFUNCTION("""COMPUTED_VALUE"""),"January")</f>
        <v>January</v>
      </c>
      <c r="Q326" s="3">
        <f ca="1">IFERROR(__xludf.DUMMYFUNCTION("""COMPUTED_VALUE"""),44196)</f>
        <v>44196</v>
      </c>
      <c r="R326" s="5">
        <f ca="1">IFERROR(__xludf.DUMMYFUNCTION("""COMPUTED_VALUE"""),43846)</f>
        <v>43846</v>
      </c>
      <c r="S326" s="1" t="str">
        <f ca="1">IFERROR(__xludf.DUMMYFUNCTION("""COMPUTED_VALUE"""),"NO CATS OR DOGS")</f>
        <v>NO CATS OR DOGS</v>
      </c>
      <c r="T326" s="1"/>
      <c r="U326" s="1" t="str">
        <f ca="1">IFERROR(__xludf.DUMMYFUNCTION("""COMPUTED_VALUE"""),"N")</f>
        <v>N</v>
      </c>
      <c r="V326" s="1" t="str">
        <f ca="1">IFERROR(__xludf.DUMMYFUNCTION("""COMPUTED_VALUE"""),"N")</f>
        <v>N</v>
      </c>
      <c r="W326" s="1" t="str">
        <f ca="1">IFERROR(__xludf.DUMMYFUNCTION("""COMPUTED_VALUE"""),"Justin Xie")</f>
        <v>Justin Xie</v>
      </c>
      <c r="X326" s="1" t="str">
        <f ca="1">IFERROR(__xludf.DUMMYFUNCTION("""COMPUTED_VALUE"""),"jxie@college.harvard.edu")</f>
        <v>jxie@college.harvard.edu</v>
      </c>
      <c r="Y326" s="1" t="str">
        <f ca="1">IFERROR(__xludf.DUMMYFUNCTION("""COMPUTED_VALUE"""),"Leul Dadi")</f>
        <v>Leul Dadi</v>
      </c>
      <c r="Z326" s="1" t="str">
        <f ca="1">IFERROR(__xludf.DUMMYFUNCTION("""COMPUTED_VALUE"""),"leuldadi@yahoo.com")</f>
        <v>leuldadi@yahoo.com</v>
      </c>
      <c r="AA326" s="1"/>
      <c r="AB326" s="1"/>
      <c r="AC326" s="1"/>
    </row>
    <row r="327" spans="1:29">
      <c r="A327" s="1" t="str">
        <f ca="1">IFERROR(__xludf.DUMMYFUNCTION("""COMPUTED_VALUE"""),"158 Magazine Street")</f>
        <v>158 Magazine Street</v>
      </c>
      <c r="B327" s="1">
        <f ca="1">IFERROR(__xludf.DUMMYFUNCTION("""COMPUTED_VALUE"""),158)</f>
        <v>158</v>
      </c>
      <c r="C327" s="1" t="str">
        <f ca="1">IFERROR(__xludf.DUMMYFUNCTION("""COMPUTED_VALUE"""),"#7")</f>
        <v>#7</v>
      </c>
      <c r="D327" s="1" t="str">
        <f ca="1">IFERROR(__xludf.DUMMYFUNCTION("""COMPUTED_VALUE"""),"158 Magazine Street Unit 7")</f>
        <v>158 Magazine Street Unit 7</v>
      </c>
      <c r="E327" s="1" t="str">
        <f ca="1">IFERROR(__xludf.DUMMYFUNCTION("""COMPUTED_VALUE"""),"Cambridge")</f>
        <v>Cambridge</v>
      </c>
      <c r="F327" s="1" t="str">
        <f ca="1">IFERROR(__xludf.DUMMYFUNCTION("""COMPUTED_VALUE"""),"Cambridge - Cambridgeport")</f>
        <v>Cambridge - Cambridgeport</v>
      </c>
      <c r="G327" s="1">
        <f ca="1">IFERROR(__xludf.DUMMYFUNCTION("""COMPUTED_VALUE"""),4)</f>
        <v>4</v>
      </c>
      <c r="H327" s="1" t="str">
        <f ca="1">IFERROR(__xludf.DUMMYFUNCTION("""COMPUTED_VALUE"""),"D")</f>
        <v>D</v>
      </c>
      <c r="I327" s="4" t="str">
        <f ca="1">IFERROR(__xludf.DUMMYFUNCTION("""COMPUTED_VALUE"""),"158 Magazine Street#7D")</f>
        <v>158 Magazine Street#7D</v>
      </c>
      <c r="J327" s="4" t="str">
        <f ca="1">IFERROR(__xludf.DUMMYFUNCTION("""COMPUTED_VALUE"""),"788fed62-264e-4889-b16a-f59d6d062ccf")</f>
        <v>788fed62-264e-4889-b16a-f59d6d062ccf</v>
      </c>
      <c r="K327" s="4">
        <f ca="1">IFERROR(__xludf.DUMMYFUNCTION("""COMPUTED_VALUE"""),1195)</f>
        <v>1195</v>
      </c>
      <c r="L327" s="1" t="str">
        <f ca="1">IFERROR(__xludf.DUMMYFUNCTION("""COMPUTED_VALUE"""),"Daniel")</f>
        <v>Daniel</v>
      </c>
      <c r="M327" s="1" t="str">
        <f ca="1">IFERROR(__xludf.DUMMYFUNCTION("""COMPUTED_VALUE"""),"")</f>
        <v/>
      </c>
      <c r="N327" s="1" t="str">
        <f ca="1">IFERROR(__xludf.DUMMYFUNCTION("""COMPUTED_VALUE"""),"Furnished")</f>
        <v>Furnished</v>
      </c>
      <c r="O327" s="1" t="str">
        <f ca="1">IFERROR(__xludf.DUMMYFUNCTION("""COMPUTED_VALUE"""),"Deposits Complete")</f>
        <v>Deposits Complete</v>
      </c>
      <c r="P327" s="1" t="str">
        <f ca="1">IFERROR(__xludf.DUMMYFUNCTION("""COMPUTED_VALUE"""),"January")</f>
        <v>January</v>
      </c>
      <c r="Q327" s="3">
        <f ca="1">IFERROR(__xludf.DUMMYFUNCTION("""COMPUTED_VALUE"""),44196)</f>
        <v>44196</v>
      </c>
      <c r="R327" s="5">
        <f ca="1">IFERROR(__xludf.DUMMYFUNCTION("""COMPUTED_VALUE"""),43846)</f>
        <v>43846</v>
      </c>
      <c r="S327" s="1" t="str">
        <f ca="1">IFERROR(__xludf.DUMMYFUNCTION("""COMPUTED_VALUE"""),"NO CATS OR DOGS")</f>
        <v>NO CATS OR DOGS</v>
      </c>
      <c r="T327" s="1"/>
      <c r="U327" s="1" t="str">
        <f ca="1">IFERROR(__xludf.DUMMYFUNCTION("""COMPUTED_VALUE"""),"N")</f>
        <v>N</v>
      </c>
      <c r="V327" s="1" t="str">
        <f ca="1">IFERROR(__xludf.DUMMYFUNCTION("""COMPUTED_VALUE"""),"N")</f>
        <v>N</v>
      </c>
      <c r="W327" s="1" t="str">
        <f ca="1">IFERROR(__xludf.DUMMYFUNCTION("""COMPUTED_VALUE"""),"Jun-Yong Kim")</f>
        <v>Jun-Yong Kim</v>
      </c>
      <c r="X327" s="1" t="str">
        <f ca="1">IFERROR(__xludf.DUMMYFUNCTION("""COMPUTED_VALUE"""),"junyongkim@college.harvard.edu")</f>
        <v>junyongkim@college.harvard.edu</v>
      </c>
      <c r="Y327" s="1" t="str">
        <f ca="1">IFERROR(__xludf.DUMMYFUNCTION("""COMPUTED_VALUE"""),"Owen Schafer")</f>
        <v>Owen Schafer</v>
      </c>
      <c r="Z327" s="1" t="str">
        <f ca="1">IFERROR(__xludf.DUMMYFUNCTION("""COMPUTED_VALUE"""),"Owenschafer@college.harvard.edu")</f>
        <v>Owenschafer@college.harvard.edu</v>
      </c>
      <c r="AA327" s="1"/>
      <c r="AB327" s="1"/>
      <c r="AC327" s="1"/>
    </row>
    <row r="328" spans="1:29">
      <c r="A328" s="1" t="str">
        <f ca="1">IFERROR(__xludf.DUMMYFUNCTION("""COMPUTED_VALUE"""),"158 Magazine Street")</f>
        <v>158 Magazine Street</v>
      </c>
      <c r="B328" s="1">
        <f ca="1">IFERROR(__xludf.DUMMYFUNCTION("""COMPUTED_VALUE"""),158)</f>
        <v>158</v>
      </c>
      <c r="C328" s="1" t="str">
        <f ca="1">IFERROR(__xludf.DUMMYFUNCTION("""COMPUTED_VALUE"""),"#7")</f>
        <v>#7</v>
      </c>
      <c r="D328" s="1" t="str">
        <f ca="1">IFERROR(__xludf.DUMMYFUNCTION("""COMPUTED_VALUE"""),"158 Magazine Street Unit 7")</f>
        <v>158 Magazine Street Unit 7</v>
      </c>
      <c r="E328" s="1" t="str">
        <f ca="1">IFERROR(__xludf.DUMMYFUNCTION("""COMPUTED_VALUE"""),"Cambridge")</f>
        <v>Cambridge</v>
      </c>
      <c r="F328" s="1" t="str">
        <f ca="1">IFERROR(__xludf.DUMMYFUNCTION("""COMPUTED_VALUE"""),"Cambridge - Cambridgeport")</f>
        <v>Cambridge - Cambridgeport</v>
      </c>
      <c r="G328" s="1">
        <f ca="1">IFERROR(__xludf.DUMMYFUNCTION("""COMPUTED_VALUE"""),5)</f>
        <v>5</v>
      </c>
      <c r="H328" s="1" t="str">
        <f ca="1">IFERROR(__xludf.DUMMYFUNCTION("""COMPUTED_VALUE"""),"E")</f>
        <v>E</v>
      </c>
      <c r="I328" s="4" t="str">
        <f ca="1">IFERROR(__xludf.DUMMYFUNCTION("""COMPUTED_VALUE"""),"158 Magazine Street#7E")</f>
        <v>158 Magazine Street#7E</v>
      </c>
      <c r="J328" s="4" t="str">
        <f ca="1">IFERROR(__xludf.DUMMYFUNCTION("""COMPUTED_VALUE"""),"788fed62-264e-4889-b16a-f59d6d062ccf")</f>
        <v>788fed62-264e-4889-b16a-f59d6d062ccf</v>
      </c>
      <c r="K328" s="4">
        <f ca="1">IFERROR(__xludf.DUMMYFUNCTION("""COMPUTED_VALUE"""),1195)</f>
        <v>1195</v>
      </c>
      <c r="L328" s="1" t="str">
        <f ca="1">IFERROR(__xludf.DUMMYFUNCTION("""COMPUTED_VALUE"""),"Daniel")</f>
        <v>Daniel</v>
      </c>
      <c r="M328" s="1" t="str">
        <f ca="1">IFERROR(__xludf.DUMMYFUNCTION("""COMPUTED_VALUE"""),"")</f>
        <v/>
      </c>
      <c r="N328" s="1" t="str">
        <f ca="1">IFERROR(__xludf.DUMMYFUNCTION("""COMPUTED_VALUE"""),"Furnished")</f>
        <v>Furnished</v>
      </c>
      <c r="O328" s="1" t="str">
        <f ca="1">IFERROR(__xludf.DUMMYFUNCTION("""COMPUTED_VALUE"""),"Deposits Complete")</f>
        <v>Deposits Complete</v>
      </c>
      <c r="P328" s="1" t="str">
        <f ca="1">IFERROR(__xludf.DUMMYFUNCTION("""COMPUTED_VALUE"""),"January")</f>
        <v>January</v>
      </c>
      <c r="Q328" s="3">
        <f ca="1">IFERROR(__xludf.DUMMYFUNCTION("""COMPUTED_VALUE"""),44196)</f>
        <v>44196</v>
      </c>
      <c r="R328" s="5">
        <f ca="1">IFERROR(__xludf.DUMMYFUNCTION("""COMPUTED_VALUE"""),43846)</f>
        <v>43846</v>
      </c>
      <c r="S328" s="1" t="str">
        <f ca="1">IFERROR(__xludf.DUMMYFUNCTION("""COMPUTED_VALUE"""),"NO CATS OR DOGS")</f>
        <v>NO CATS OR DOGS</v>
      </c>
      <c r="T328" s="1"/>
      <c r="U328" s="1" t="str">
        <f ca="1">IFERROR(__xludf.DUMMYFUNCTION("""COMPUTED_VALUE"""),"N")</f>
        <v>N</v>
      </c>
      <c r="V328" s="1" t="str">
        <f ca="1">IFERROR(__xludf.DUMMYFUNCTION("""COMPUTED_VALUE"""),"N")</f>
        <v>N</v>
      </c>
      <c r="W328" s="1" t="str">
        <f ca="1">IFERROR(__xludf.DUMMYFUNCTION("""COMPUTED_VALUE"""),"Mariya Shtiliyanova")</f>
        <v>Mariya Shtiliyanova</v>
      </c>
      <c r="X328" s="1" t="str">
        <f ca="1">IFERROR(__xludf.DUMMYFUNCTION("""COMPUTED_VALUE"""),"shtiliyanova@college.harvard.edu")</f>
        <v>shtiliyanova@college.harvard.edu</v>
      </c>
      <c r="Y328" s="1" t="str">
        <f ca="1">IFERROR(__xludf.DUMMYFUNCTION("""COMPUTED_VALUE"""),"Devin Sullivan")</f>
        <v>Devin Sullivan</v>
      </c>
      <c r="Z328" s="1" t="str">
        <f ca="1">IFERROR(__xludf.DUMMYFUNCTION("""COMPUTED_VALUE"""),"devinsullivan@college.harvard.edu")</f>
        <v>devinsullivan@college.harvard.edu</v>
      </c>
      <c r="AA328" s="1"/>
      <c r="AB328" s="1"/>
      <c r="AC328" s="1"/>
    </row>
    <row r="329" spans="1:29">
      <c r="A329" s="1" t="str">
        <f ca="1">IFERROR(__xludf.DUMMYFUNCTION("""COMPUTED_VALUE"""),"158 Magazine Street")</f>
        <v>158 Magazine Street</v>
      </c>
      <c r="B329" s="1">
        <f ca="1">IFERROR(__xludf.DUMMYFUNCTION("""COMPUTED_VALUE"""),158)</f>
        <v>158</v>
      </c>
      <c r="C329" s="1" t="str">
        <f ca="1">IFERROR(__xludf.DUMMYFUNCTION("""COMPUTED_VALUE"""),"#27")</f>
        <v>#27</v>
      </c>
      <c r="D329" s="1" t="str">
        <f ca="1">IFERROR(__xludf.DUMMYFUNCTION("""COMPUTED_VALUE"""),"158 Magazine Street Unit 27")</f>
        <v>158 Magazine Street Unit 27</v>
      </c>
      <c r="E329" s="1" t="str">
        <f ca="1">IFERROR(__xludf.DUMMYFUNCTION("""COMPUTED_VALUE"""),"Cambridge")</f>
        <v>Cambridge</v>
      </c>
      <c r="F329" s="1" t="str">
        <f ca="1">IFERROR(__xludf.DUMMYFUNCTION("""COMPUTED_VALUE"""),"Cambridge - Cambridgeport")</f>
        <v>Cambridge - Cambridgeport</v>
      </c>
      <c r="G329" s="1">
        <f ca="1">IFERROR(__xludf.DUMMYFUNCTION("""COMPUTED_VALUE"""),1)</f>
        <v>1</v>
      </c>
      <c r="H329" s="1" t="str">
        <f ca="1">IFERROR(__xludf.DUMMYFUNCTION("""COMPUTED_VALUE"""),"A")</f>
        <v>A</v>
      </c>
      <c r="I329" s="4" t="str">
        <f ca="1">IFERROR(__xludf.DUMMYFUNCTION("""COMPUTED_VALUE"""),"158 Magazine Street#27A")</f>
        <v>158 Magazine Street#27A</v>
      </c>
      <c r="J329" s="4" t="str">
        <f ca="1">IFERROR(__xludf.DUMMYFUNCTION("""COMPUTED_VALUE"""),"0e1a1d15-d698-4ec9-9690-a7d085003732")</f>
        <v>0e1a1d15-d698-4ec9-9690-a7d085003732</v>
      </c>
      <c r="K329" s="4">
        <f ca="1">IFERROR(__xludf.DUMMYFUNCTION("""COMPUTED_VALUE"""),1095)</f>
        <v>1095</v>
      </c>
      <c r="L329" s="1" t="str">
        <f ca="1">IFERROR(__xludf.DUMMYFUNCTION("""COMPUTED_VALUE"""),"Daniel")</f>
        <v>Daniel</v>
      </c>
      <c r="M329" s="1" t="str">
        <f ca="1">IFERROR(__xludf.DUMMYFUNCTION("""COMPUTED_VALUE"""),"")</f>
        <v/>
      </c>
      <c r="N329" s="1" t="str">
        <f ca="1">IFERROR(__xludf.DUMMYFUNCTION("""COMPUTED_VALUE"""),"Furnished")</f>
        <v>Furnished</v>
      </c>
      <c r="O329" s="1" t="str">
        <f ca="1">IFERROR(__xludf.DUMMYFUNCTION("""COMPUTED_VALUE"""),"Occupied")</f>
        <v>Occupied</v>
      </c>
      <c r="P329" s="1"/>
      <c r="Q329" s="1"/>
      <c r="R329" s="1"/>
      <c r="S329" s="1" t="str">
        <f ca="1">IFERROR(__xludf.DUMMYFUNCTION("""COMPUTED_VALUE"""),"NO CATS OR DOGS")</f>
        <v>NO CATS OR DOGS</v>
      </c>
      <c r="T329" s="1"/>
      <c r="U329" s="1" t="str">
        <f ca="1">IFERROR(__xludf.DUMMYFUNCTION("""COMPUTED_VALUE"""),"N")</f>
        <v>N</v>
      </c>
      <c r="V329" s="1" t="str">
        <f ca="1">IFERROR(__xludf.DUMMYFUNCTION("""COMPUTED_VALUE"""),"Y")</f>
        <v>Y</v>
      </c>
      <c r="W329" s="1"/>
      <c r="X329" s="1"/>
      <c r="Y329" s="1" t="str">
        <f ca="1">IFERROR(__xludf.DUMMYFUNCTION("""COMPUTED_VALUE"""),"Michael Toolan")</f>
        <v>Michael Toolan</v>
      </c>
      <c r="Z329" s="1" t="str">
        <f ca="1">IFERROR(__xludf.DUMMYFUNCTION("""COMPUTED_VALUE"""),"miketoolanb@gmail.com")</f>
        <v>miketoolanb@gmail.com</v>
      </c>
      <c r="AA329" s="1"/>
      <c r="AB329" s="1"/>
      <c r="AC329" s="1" t="str">
        <f ca="1">IFERROR(__xludf.DUMMYFUNCTION("""COMPUTED_VALUE"""),"We have photos from the landlord but we don't know which rooms the pictures belong to. (And they are not complete")</f>
        <v>We have photos from the landlord but we don't know which rooms the pictures belong to. (And they are not complete</v>
      </c>
    </row>
    <row r="330" spans="1:29">
      <c r="A330" s="1" t="str">
        <f ca="1">IFERROR(__xludf.DUMMYFUNCTION("""COMPUTED_VALUE"""),"158 Magazine Street")</f>
        <v>158 Magazine Street</v>
      </c>
      <c r="B330" s="1">
        <f ca="1">IFERROR(__xludf.DUMMYFUNCTION("""COMPUTED_VALUE"""),158)</f>
        <v>158</v>
      </c>
      <c r="C330" s="1" t="str">
        <f ca="1">IFERROR(__xludf.DUMMYFUNCTION("""COMPUTED_VALUE"""),"#27")</f>
        <v>#27</v>
      </c>
      <c r="D330" s="1" t="str">
        <f ca="1">IFERROR(__xludf.DUMMYFUNCTION("""COMPUTED_VALUE"""),"158 Magazine Street Unit 27")</f>
        <v>158 Magazine Street Unit 27</v>
      </c>
      <c r="E330" s="1" t="str">
        <f ca="1">IFERROR(__xludf.DUMMYFUNCTION("""COMPUTED_VALUE"""),"Cambridge")</f>
        <v>Cambridge</v>
      </c>
      <c r="F330" s="1" t="str">
        <f ca="1">IFERROR(__xludf.DUMMYFUNCTION("""COMPUTED_VALUE"""),"Cambridge - Cambridgeport")</f>
        <v>Cambridge - Cambridgeport</v>
      </c>
      <c r="G330" s="1">
        <f ca="1">IFERROR(__xludf.DUMMYFUNCTION("""COMPUTED_VALUE"""),2)</f>
        <v>2</v>
      </c>
      <c r="H330" s="1" t="str">
        <f ca="1">IFERROR(__xludf.DUMMYFUNCTION("""COMPUTED_VALUE"""),"B")</f>
        <v>B</v>
      </c>
      <c r="I330" s="4" t="str">
        <f ca="1">IFERROR(__xludf.DUMMYFUNCTION("""COMPUTED_VALUE"""),"158 Magazine Street#27B")</f>
        <v>158 Magazine Street#27B</v>
      </c>
      <c r="J330" s="4" t="str">
        <f ca="1">IFERROR(__xludf.DUMMYFUNCTION("""COMPUTED_VALUE"""),"0e1a1d15-d698-4ec9-9690-a7d085003732")</f>
        <v>0e1a1d15-d698-4ec9-9690-a7d085003732</v>
      </c>
      <c r="K330" s="4">
        <f ca="1">IFERROR(__xludf.DUMMYFUNCTION("""COMPUTED_VALUE"""),1095)</f>
        <v>1095</v>
      </c>
      <c r="L330" s="1" t="str">
        <f ca="1">IFERROR(__xludf.DUMMYFUNCTION("""COMPUTED_VALUE"""),"Daniel")</f>
        <v>Daniel</v>
      </c>
      <c r="M330" s="1" t="str">
        <f ca="1">IFERROR(__xludf.DUMMYFUNCTION("""COMPUTED_VALUE"""),"")</f>
        <v/>
      </c>
      <c r="N330" s="1" t="str">
        <f ca="1">IFERROR(__xludf.DUMMYFUNCTION("""COMPUTED_VALUE"""),"Furnished")</f>
        <v>Furnished</v>
      </c>
      <c r="O330" s="1" t="str">
        <f ca="1">IFERROR(__xludf.DUMMYFUNCTION("""COMPUTED_VALUE"""),"Deposits Complete")</f>
        <v>Deposits Complete</v>
      </c>
      <c r="P330" s="1" t="str">
        <f ca="1">IFERROR(__xludf.DUMMYFUNCTION("""COMPUTED_VALUE"""),"January")</f>
        <v>January</v>
      </c>
      <c r="Q330" s="1"/>
      <c r="R330" s="5">
        <f ca="1">IFERROR(__xludf.DUMMYFUNCTION("""COMPUTED_VALUE"""),43862)</f>
        <v>43862</v>
      </c>
      <c r="S330" s="1" t="str">
        <f ca="1">IFERROR(__xludf.DUMMYFUNCTION("""COMPUTED_VALUE"""),"NO CATS OR DOGS")</f>
        <v>NO CATS OR DOGS</v>
      </c>
      <c r="T330" s="1"/>
      <c r="U330" s="1" t="str">
        <f ca="1">IFERROR(__xludf.DUMMYFUNCTION("""COMPUTED_VALUE"""),"N")</f>
        <v>N</v>
      </c>
      <c r="V330" s="1" t="str">
        <f ca="1">IFERROR(__xludf.DUMMYFUNCTION("""COMPUTED_VALUE"""),"Y")</f>
        <v>Y</v>
      </c>
      <c r="W330" s="1" t="str">
        <f ca="1">IFERROR(__xludf.DUMMYFUNCTION("""COMPUTED_VALUE"""),"Alana Zakroczemski")</f>
        <v>Alana Zakroczemski</v>
      </c>
      <c r="X330" s="1" t="str">
        <f ca="1">IFERROR(__xludf.DUMMYFUNCTION("""COMPUTED_VALUE"""),"alanazak8@gmail.com")</f>
        <v>alanazak8@gmail.com</v>
      </c>
      <c r="Y330" s="1"/>
      <c r="Z330" s="1"/>
      <c r="AA330" s="1"/>
      <c r="AB330" s="1"/>
      <c r="AC330" s="1"/>
    </row>
    <row r="331" spans="1:29">
      <c r="A331" s="1" t="str">
        <f ca="1">IFERROR(__xludf.DUMMYFUNCTION("""COMPUTED_VALUE"""),"158 Magazine Street")</f>
        <v>158 Magazine Street</v>
      </c>
      <c r="B331" s="1">
        <f ca="1">IFERROR(__xludf.DUMMYFUNCTION("""COMPUTED_VALUE"""),158)</f>
        <v>158</v>
      </c>
      <c r="C331" s="1" t="str">
        <f ca="1">IFERROR(__xludf.DUMMYFUNCTION("""COMPUTED_VALUE"""),"#27")</f>
        <v>#27</v>
      </c>
      <c r="D331" s="1" t="str">
        <f ca="1">IFERROR(__xludf.DUMMYFUNCTION("""COMPUTED_VALUE"""),"158 Magazine Street Unit 27")</f>
        <v>158 Magazine Street Unit 27</v>
      </c>
      <c r="E331" s="1" t="str">
        <f ca="1">IFERROR(__xludf.DUMMYFUNCTION("""COMPUTED_VALUE"""),"Cambridge")</f>
        <v>Cambridge</v>
      </c>
      <c r="F331" s="1" t="str">
        <f ca="1">IFERROR(__xludf.DUMMYFUNCTION("""COMPUTED_VALUE"""),"Cambridge - Cambridgeport")</f>
        <v>Cambridge - Cambridgeport</v>
      </c>
      <c r="G331" s="1">
        <f ca="1">IFERROR(__xludf.DUMMYFUNCTION("""COMPUTED_VALUE"""),3)</f>
        <v>3</v>
      </c>
      <c r="H331" s="1" t="str">
        <f ca="1">IFERROR(__xludf.DUMMYFUNCTION("""COMPUTED_VALUE"""),"C")</f>
        <v>C</v>
      </c>
      <c r="I331" s="4" t="str">
        <f ca="1">IFERROR(__xludf.DUMMYFUNCTION("""COMPUTED_VALUE"""),"158 Magazine Street#27C")</f>
        <v>158 Magazine Street#27C</v>
      </c>
      <c r="J331" s="4" t="str">
        <f ca="1">IFERROR(__xludf.DUMMYFUNCTION("""COMPUTED_VALUE"""),"0e1a1d15-d698-4ec9-9690-a7d085003732")</f>
        <v>0e1a1d15-d698-4ec9-9690-a7d085003732</v>
      </c>
      <c r="K331" s="4">
        <f ca="1">IFERROR(__xludf.DUMMYFUNCTION("""COMPUTED_VALUE"""),1095)</f>
        <v>1095</v>
      </c>
      <c r="L331" s="1" t="str">
        <f ca="1">IFERROR(__xludf.DUMMYFUNCTION("""COMPUTED_VALUE"""),"Daniel")</f>
        <v>Daniel</v>
      </c>
      <c r="M331" s="1" t="str">
        <f ca="1">IFERROR(__xludf.DUMMYFUNCTION("""COMPUTED_VALUE"""),"")</f>
        <v/>
      </c>
      <c r="N331" s="1" t="str">
        <f ca="1">IFERROR(__xludf.DUMMYFUNCTION("""COMPUTED_VALUE"""),"Furnished")</f>
        <v>Furnished</v>
      </c>
      <c r="O331" s="1" t="str">
        <f ca="1">IFERROR(__xludf.DUMMYFUNCTION("""COMPUTED_VALUE"""),"Occupied")</f>
        <v>Occupied</v>
      </c>
      <c r="P331" s="1"/>
      <c r="Q331" s="1"/>
      <c r="R331" s="1"/>
      <c r="S331" s="1" t="str">
        <f ca="1">IFERROR(__xludf.DUMMYFUNCTION("""COMPUTED_VALUE"""),"NO CATS OR DOGS")</f>
        <v>NO CATS OR DOGS</v>
      </c>
      <c r="T331" s="1"/>
      <c r="U331" s="1" t="str">
        <f ca="1">IFERROR(__xludf.DUMMYFUNCTION("""COMPUTED_VALUE"""),"N")</f>
        <v>N</v>
      </c>
      <c r="V331" s="1" t="str">
        <f ca="1">IFERROR(__xludf.DUMMYFUNCTION("""COMPUTED_VALUE"""),"Y")</f>
        <v>Y</v>
      </c>
      <c r="W331" s="1"/>
      <c r="X331" s="1"/>
      <c r="Y331" s="1" t="str">
        <f ca="1">IFERROR(__xludf.DUMMYFUNCTION("""COMPUTED_VALUE"""),"Daniil Piattchanine")</f>
        <v>Daniil Piattchanine</v>
      </c>
      <c r="Z331" s="1" t="str">
        <f ca="1">IFERROR(__xludf.DUMMYFUNCTION("""COMPUTED_VALUE"""),"dpiattchanine@gmail.com")</f>
        <v>dpiattchanine@gmail.com</v>
      </c>
      <c r="AA331" s="1"/>
      <c r="AB331" s="1"/>
      <c r="AC331" s="1"/>
    </row>
    <row r="332" spans="1:29">
      <c r="A332" s="1" t="str">
        <f ca="1">IFERROR(__xludf.DUMMYFUNCTION("""COMPUTED_VALUE"""),"174 W 8th Street")</f>
        <v>174 W 8th Street</v>
      </c>
      <c r="B332" s="1">
        <f ca="1">IFERROR(__xludf.DUMMYFUNCTION("""COMPUTED_VALUE"""),174)</f>
        <v>174</v>
      </c>
      <c r="C332" s="1" t="str">
        <f ca="1">IFERROR(__xludf.DUMMYFUNCTION("""COMPUTED_VALUE"""),"#2")</f>
        <v>#2</v>
      </c>
      <c r="D332" s="1" t="str">
        <f ca="1">IFERROR(__xludf.DUMMYFUNCTION("""COMPUTED_VALUE"""),"174 W 8th Street Unit 2")</f>
        <v>174 W 8th Street Unit 2</v>
      </c>
      <c r="E332" s="1" t="str">
        <f ca="1">IFERROR(__xludf.DUMMYFUNCTION("""COMPUTED_VALUE"""),"Boston")</f>
        <v>Boston</v>
      </c>
      <c r="F332" s="1" t="str">
        <f ca="1">IFERROR(__xludf.DUMMYFUNCTION("""COMPUTED_VALUE"""),"Boston - South Boston")</f>
        <v>Boston - South Boston</v>
      </c>
      <c r="G332" s="1">
        <f ca="1">IFERROR(__xludf.DUMMYFUNCTION("""COMPUTED_VALUE"""),1)</f>
        <v>1</v>
      </c>
      <c r="H332" s="1" t="str">
        <f ca="1">IFERROR(__xludf.DUMMYFUNCTION("""COMPUTED_VALUE"""),"A")</f>
        <v>A</v>
      </c>
      <c r="I332" s="4" t="str">
        <f ca="1">IFERROR(__xludf.DUMMYFUNCTION("""COMPUTED_VALUE"""),"174 W 8th Street#2A")</f>
        <v>174 W 8th Street#2A</v>
      </c>
      <c r="J332" s="4" t="str">
        <f ca="1">IFERROR(__xludf.DUMMYFUNCTION("""COMPUTED_VALUE"""),"c7900935-3b09-40af-a41e-25ad9034db53")</f>
        <v>c7900935-3b09-40af-a41e-25ad9034db53</v>
      </c>
      <c r="K332" s="4">
        <f ca="1">IFERROR(__xludf.DUMMYFUNCTION("""COMPUTED_VALUE"""),1100)</f>
        <v>1100</v>
      </c>
      <c r="L332" s="1" t="str">
        <f ca="1">IFERROR(__xludf.DUMMYFUNCTION("""COMPUTED_VALUE"""),"Cam")</f>
        <v>Cam</v>
      </c>
      <c r="M332" s="1" t="str">
        <f ca="1">IFERROR(__xludf.DUMMYFUNCTION("""COMPUTED_VALUE"""),"")</f>
        <v/>
      </c>
      <c r="N332" s="1" t="str">
        <f ca="1">IFERROR(__xludf.DUMMYFUNCTION("""COMPUTED_VALUE"""),"")</f>
        <v/>
      </c>
      <c r="O332" s="1" t="str">
        <f ca="1">IFERROR(__xludf.DUMMYFUNCTION("""COMPUTED_VALUE"""),"Occupied")</f>
        <v>Occupied</v>
      </c>
      <c r="P332" s="1"/>
      <c r="Q332" s="1"/>
      <c r="R332" s="1"/>
      <c r="S332" s="1"/>
      <c r="T332" s="1"/>
      <c r="U332" s="1" t="str">
        <f ca="1">IFERROR(__xludf.DUMMYFUNCTION("""COMPUTED_VALUE"""),"N")</f>
        <v>N</v>
      </c>
      <c r="V332" s="1" t="str">
        <f ca="1">IFERROR(__xludf.DUMMYFUNCTION("""COMPUTED_VALUE"""),"Y")</f>
        <v>Y</v>
      </c>
      <c r="W332" s="1"/>
      <c r="X332" s="1"/>
      <c r="Y332" s="1" t="str">
        <f ca="1">IFERROR(__xludf.DUMMYFUNCTION("""COMPUTED_VALUE"""),"Mackenzie Cordova")</f>
        <v>Mackenzie Cordova</v>
      </c>
      <c r="Z332" s="1" t="str">
        <f ca="1">IFERROR(__xludf.DUMMYFUNCTION("""COMPUTED_VALUE"""),"mmcordova@cox.net")</f>
        <v>mmcordova@cox.net</v>
      </c>
      <c r="AA332" s="1"/>
      <c r="AB332" s="1"/>
      <c r="AC332" s="1"/>
    </row>
    <row r="333" spans="1:29">
      <c r="A333" s="1" t="str">
        <f ca="1">IFERROR(__xludf.DUMMYFUNCTION("""COMPUTED_VALUE"""),"174 W 8th Street")</f>
        <v>174 W 8th Street</v>
      </c>
      <c r="B333" s="1">
        <f ca="1">IFERROR(__xludf.DUMMYFUNCTION("""COMPUTED_VALUE"""),174)</f>
        <v>174</v>
      </c>
      <c r="C333" s="1" t="str">
        <f ca="1">IFERROR(__xludf.DUMMYFUNCTION("""COMPUTED_VALUE"""),"#2")</f>
        <v>#2</v>
      </c>
      <c r="D333" s="1" t="str">
        <f ca="1">IFERROR(__xludf.DUMMYFUNCTION("""COMPUTED_VALUE"""),"174 W 8th Street Unit 2")</f>
        <v>174 W 8th Street Unit 2</v>
      </c>
      <c r="E333" s="1" t="str">
        <f ca="1">IFERROR(__xludf.DUMMYFUNCTION("""COMPUTED_VALUE"""),"Boston")</f>
        <v>Boston</v>
      </c>
      <c r="F333" s="1" t="str">
        <f ca="1">IFERROR(__xludf.DUMMYFUNCTION("""COMPUTED_VALUE"""),"Boston - South Boston")</f>
        <v>Boston - South Boston</v>
      </c>
      <c r="G333" s="1">
        <f ca="1">IFERROR(__xludf.DUMMYFUNCTION("""COMPUTED_VALUE"""),2)</f>
        <v>2</v>
      </c>
      <c r="H333" s="1" t="str">
        <f ca="1">IFERROR(__xludf.DUMMYFUNCTION("""COMPUTED_VALUE"""),"B")</f>
        <v>B</v>
      </c>
      <c r="I333" s="4" t="str">
        <f ca="1">IFERROR(__xludf.DUMMYFUNCTION("""COMPUTED_VALUE"""),"174 W 8th Street#2B")</f>
        <v>174 W 8th Street#2B</v>
      </c>
      <c r="J333" s="4" t="str">
        <f ca="1">IFERROR(__xludf.DUMMYFUNCTION("""COMPUTED_VALUE"""),"c7900935-3b09-40af-a41e-25ad9034db53")</f>
        <v>c7900935-3b09-40af-a41e-25ad9034db53</v>
      </c>
      <c r="K333" s="4">
        <f ca="1">IFERROR(__xludf.DUMMYFUNCTION("""COMPUTED_VALUE"""),1250)</f>
        <v>1250</v>
      </c>
      <c r="L333" s="1" t="str">
        <f ca="1">IFERROR(__xludf.DUMMYFUNCTION("""COMPUTED_VALUE"""),"Cam")</f>
        <v>Cam</v>
      </c>
      <c r="M333" s="1" t="str">
        <f ca="1">IFERROR(__xludf.DUMMYFUNCTION("""COMPUTED_VALUE"""),"")</f>
        <v/>
      </c>
      <c r="N333" s="1" t="str">
        <f ca="1">IFERROR(__xludf.DUMMYFUNCTION("""COMPUTED_VALUE"""),"")</f>
        <v/>
      </c>
      <c r="O333" s="1" t="str">
        <f ca="1">IFERROR(__xludf.DUMMYFUNCTION("""COMPUTED_VALUE"""),"Occupied")</f>
        <v>Occupied</v>
      </c>
      <c r="P333" s="1"/>
      <c r="Q333" s="1"/>
      <c r="R333" s="1"/>
      <c r="S333" s="1"/>
      <c r="T333" s="1"/>
      <c r="U333" s="1" t="str">
        <f ca="1">IFERROR(__xludf.DUMMYFUNCTION("""COMPUTED_VALUE"""),"N")</f>
        <v>N</v>
      </c>
      <c r="V333" s="1" t="str">
        <f ca="1">IFERROR(__xludf.DUMMYFUNCTION("""COMPUTED_VALUE"""),"Y")</f>
        <v>Y</v>
      </c>
      <c r="W333" s="1"/>
      <c r="X333" s="1"/>
      <c r="Y333" s="1" t="str">
        <f ca="1">IFERROR(__xludf.DUMMYFUNCTION("""COMPUTED_VALUE"""),"Cameryn McNeillie")</f>
        <v>Cameryn McNeillie</v>
      </c>
      <c r="Z333" s="1" t="str">
        <f ca="1">IFERROR(__xludf.DUMMYFUNCTION("""COMPUTED_VALUE"""),"cammcneillie@gmail.com")</f>
        <v>cammcneillie@gmail.com</v>
      </c>
      <c r="AA333" s="1"/>
      <c r="AB333" s="1"/>
      <c r="AC333" s="1"/>
    </row>
    <row r="334" spans="1:29">
      <c r="A334" s="1" t="str">
        <f ca="1">IFERROR(__xludf.DUMMYFUNCTION("""COMPUTED_VALUE"""),"174 W 8th Street")</f>
        <v>174 W 8th Street</v>
      </c>
      <c r="B334" s="1">
        <f ca="1">IFERROR(__xludf.DUMMYFUNCTION("""COMPUTED_VALUE"""),174)</f>
        <v>174</v>
      </c>
      <c r="C334" s="1" t="str">
        <f ca="1">IFERROR(__xludf.DUMMYFUNCTION("""COMPUTED_VALUE"""),"#2")</f>
        <v>#2</v>
      </c>
      <c r="D334" s="1" t="str">
        <f ca="1">IFERROR(__xludf.DUMMYFUNCTION("""COMPUTED_VALUE"""),"174 W 8th Street Unit 2")</f>
        <v>174 W 8th Street Unit 2</v>
      </c>
      <c r="E334" s="1" t="str">
        <f ca="1">IFERROR(__xludf.DUMMYFUNCTION("""COMPUTED_VALUE"""),"Boston")</f>
        <v>Boston</v>
      </c>
      <c r="F334" s="1" t="str">
        <f ca="1">IFERROR(__xludf.DUMMYFUNCTION("""COMPUTED_VALUE"""),"Boston - South Boston")</f>
        <v>Boston - South Boston</v>
      </c>
      <c r="G334" s="1">
        <f ca="1">IFERROR(__xludf.DUMMYFUNCTION("""COMPUTED_VALUE"""),3)</f>
        <v>3</v>
      </c>
      <c r="H334" s="1" t="str">
        <f ca="1">IFERROR(__xludf.DUMMYFUNCTION("""COMPUTED_VALUE"""),"C")</f>
        <v>C</v>
      </c>
      <c r="I334" s="4" t="str">
        <f ca="1">IFERROR(__xludf.DUMMYFUNCTION("""COMPUTED_VALUE"""),"174 W 8th Street#2C")</f>
        <v>174 W 8th Street#2C</v>
      </c>
      <c r="J334" s="4" t="str">
        <f ca="1">IFERROR(__xludf.DUMMYFUNCTION("""COMPUTED_VALUE"""),"c7900935-3b09-40af-a41e-25ad9034db53")</f>
        <v>c7900935-3b09-40af-a41e-25ad9034db53</v>
      </c>
      <c r="K334" s="4">
        <f ca="1">IFERROR(__xludf.DUMMYFUNCTION("""COMPUTED_VALUE"""),1250)</f>
        <v>1250</v>
      </c>
      <c r="L334" s="1" t="str">
        <f ca="1">IFERROR(__xludf.DUMMYFUNCTION("""COMPUTED_VALUE"""),"Cam")</f>
        <v>Cam</v>
      </c>
      <c r="M334" s="1" t="str">
        <f ca="1">IFERROR(__xludf.DUMMYFUNCTION("""COMPUTED_VALUE"""),"")</f>
        <v/>
      </c>
      <c r="N334" s="1" t="str">
        <f ca="1">IFERROR(__xludf.DUMMYFUNCTION("""COMPUTED_VALUE"""),"")</f>
        <v/>
      </c>
      <c r="O334" s="1" t="str">
        <f ca="1">IFERROR(__xludf.DUMMYFUNCTION("""COMPUTED_VALUE"""),"Occupied")</f>
        <v>Occupied</v>
      </c>
      <c r="P334" s="1"/>
      <c r="Q334" s="1"/>
      <c r="R334" s="1"/>
      <c r="S334" s="1"/>
      <c r="T334" s="1"/>
      <c r="U334" s="1" t="str">
        <f ca="1">IFERROR(__xludf.DUMMYFUNCTION("""COMPUTED_VALUE"""),"N")</f>
        <v>N</v>
      </c>
      <c r="V334" s="1" t="str">
        <f ca="1">IFERROR(__xludf.DUMMYFUNCTION("""COMPUTED_VALUE"""),"Y")</f>
        <v>Y</v>
      </c>
      <c r="W334" s="1"/>
      <c r="X334" s="1"/>
      <c r="Y334" s="1" t="str">
        <f ca="1">IFERROR(__xludf.DUMMYFUNCTION("""COMPUTED_VALUE"""),"Baylee Ports")</f>
        <v>Baylee Ports</v>
      </c>
      <c r="Z334" s="1" t="str">
        <f ca="1">IFERROR(__xludf.DUMMYFUNCTION("""COMPUTED_VALUE"""),"bayleeports@yahoo.com")</f>
        <v>bayleeports@yahoo.com</v>
      </c>
      <c r="AA334" s="1"/>
      <c r="AB334" s="1"/>
      <c r="AC334" s="1"/>
    </row>
    <row r="335" spans="1:29">
      <c r="A335" s="1" t="str">
        <f ca="1">IFERROR(__xludf.DUMMYFUNCTION("""COMPUTED_VALUE"""),"179 Massachusetts Avenue")</f>
        <v>179 Massachusetts Avenue</v>
      </c>
      <c r="B335" s="1">
        <f ca="1">IFERROR(__xludf.DUMMYFUNCTION("""COMPUTED_VALUE"""),179)</f>
        <v>179</v>
      </c>
      <c r="C335" s="1" t="str">
        <f ca="1">IFERROR(__xludf.DUMMYFUNCTION("""COMPUTED_VALUE"""),"#2")</f>
        <v>#2</v>
      </c>
      <c r="D335" s="1" t="str">
        <f ca="1">IFERROR(__xludf.DUMMYFUNCTION("""COMPUTED_VALUE"""),"179 Massachusetts Avenue Unit 2")</f>
        <v>179 Massachusetts Avenue Unit 2</v>
      </c>
      <c r="E335" s="1" t="str">
        <f ca="1">IFERROR(__xludf.DUMMYFUNCTION("""COMPUTED_VALUE"""),"Boston")</f>
        <v>Boston</v>
      </c>
      <c r="F335" s="1" t="str">
        <f ca="1">IFERROR(__xludf.DUMMYFUNCTION("""COMPUTED_VALUE"""),"Boston - Back Bay")</f>
        <v>Boston - Back Bay</v>
      </c>
      <c r="G335" s="1">
        <f ca="1">IFERROR(__xludf.DUMMYFUNCTION("""COMPUTED_VALUE"""),1)</f>
        <v>1</v>
      </c>
      <c r="H335" s="1" t="str">
        <f ca="1">IFERROR(__xludf.DUMMYFUNCTION("""COMPUTED_VALUE"""),"A")</f>
        <v>A</v>
      </c>
      <c r="I335" s="4" t="str">
        <f ca="1">IFERROR(__xludf.DUMMYFUNCTION("""COMPUTED_VALUE"""),"179 Massachusetts Avenue#2A")</f>
        <v>179 Massachusetts Avenue#2A</v>
      </c>
      <c r="J335" s="4" t="str">
        <f ca="1">IFERROR(__xludf.DUMMYFUNCTION("""COMPUTED_VALUE"""),"40bbccc9-66f7-4b78-8275-bb7199330404")</f>
        <v>40bbccc9-66f7-4b78-8275-bb7199330404</v>
      </c>
      <c r="K335" s="4">
        <f ca="1">IFERROR(__xludf.DUMMYFUNCTION("""COMPUTED_VALUE"""),1450)</f>
        <v>1450</v>
      </c>
      <c r="L335" s="1" t="str">
        <f ca="1">IFERROR(__xludf.DUMMYFUNCTION("""COMPUTED_VALUE"""),"Daniel")</f>
        <v>Daniel</v>
      </c>
      <c r="M335" s="1" t="str">
        <f ca="1">IFERROR(__xludf.DUMMYFUNCTION("""COMPUTED_VALUE"""),"")</f>
        <v/>
      </c>
      <c r="N335" s="1" t="str">
        <f ca="1">IFERROR(__xludf.DUMMYFUNCTION("""COMPUTED_VALUE"""),"")</f>
        <v/>
      </c>
      <c r="O335" s="1" t="str">
        <f ca="1">IFERROR(__xludf.DUMMYFUNCTION("""COMPUTED_VALUE"""),"Occupied")</f>
        <v>Occupied</v>
      </c>
      <c r="P335" s="1"/>
      <c r="Q335" s="1"/>
      <c r="R335" s="1"/>
      <c r="S335" s="1"/>
      <c r="T335" s="1"/>
      <c r="U335" s="1" t="str">
        <f ca="1">IFERROR(__xludf.DUMMYFUNCTION("""COMPUTED_VALUE"""),"N")</f>
        <v>N</v>
      </c>
      <c r="V335" s="1" t="str">
        <f ca="1">IFERROR(__xludf.DUMMYFUNCTION("""COMPUTED_VALUE"""),"N")</f>
        <v>N</v>
      </c>
      <c r="W335" s="1"/>
      <c r="X335" s="1"/>
      <c r="Y335" s="1" t="str">
        <f ca="1">IFERROR(__xludf.DUMMYFUNCTION("""COMPUTED_VALUE"""),"Viswath Ravisankar")</f>
        <v>Viswath Ravisankar</v>
      </c>
      <c r="Z335" s="1" t="str">
        <f ca="1">IFERROR(__xludf.DUMMYFUNCTION("""COMPUTED_VALUE"""),"raviviswath@gmail.com")</f>
        <v>raviviswath@gmail.com</v>
      </c>
      <c r="AA335" s="1"/>
      <c r="AB335" s="1"/>
      <c r="AC335" s="1"/>
    </row>
    <row r="336" spans="1:29">
      <c r="A336" s="1" t="str">
        <f ca="1">IFERROR(__xludf.DUMMYFUNCTION("""COMPUTED_VALUE"""),"179 Massachusetts Avenue")</f>
        <v>179 Massachusetts Avenue</v>
      </c>
      <c r="B336" s="1">
        <f ca="1">IFERROR(__xludf.DUMMYFUNCTION("""COMPUTED_VALUE"""),179)</f>
        <v>179</v>
      </c>
      <c r="C336" s="1" t="str">
        <f ca="1">IFERROR(__xludf.DUMMYFUNCTION("""COMPUTED_VALUE"""),"#2")</f>
        <v>#2</v>
      </c>
      <c r="D336" s="1" t="str">
        <f ca="1">IFERROR(__xludf.DUMMYFUNCTION("""COMPUTED_VALUE"""),"179 Massachusetts Avenue Unit 2")</f>
        <v>179 Massachusetts Avenue Unit 2</v>
      </c>
      <c r="E336" s="1" t="str">
        <f ca="1">IFERROR(__xludf.DUMMYFUNCTION("""COMPUTED_VALUE"""),"Boston")</f>
        <v>Boston</v>
      </c>
      <c r="F336" s="1" t="str">
        <f ca="1">IFERROR(__xludf.DUMMYFUNCTION("""COMPUTED_VALUE"""),"Boston - Back Bay")</f>
        <v>Boston - Back Bay</v>
      </c>
      <c r="G336" s="1">
        <f ca="1">IFERROR(__xludf.DUMMYFUNCTION("""COMPUTED_VALUE"""),2)</f>
        <v>2</v>
      </c>
      <c r="H336" s="1" t="str">
        <f ca="1">IFERROR(__xludf.DUMMYFUNCTION("""COMPUTED_VALUE"""),"B")</f>
        <v>B</v>
      </c>
      <c r="I336" s="4" t="str">
        <f ca="1">IFERROR(__xludf.DUMMYFUNCTION("""COMPUTED_VALUE"""),"179 Massachusetts Avenue#2B")</f>
        <v>179 Massachusetts Avenue#2B</v>
      </c>
      <c r="J336" s="4" t="str">
        <f ca="1">IFERROR(__xludf.DUMMYFUNCTION("""COMPUTED_VALUE"""),"40bbccc9-66f7-4b78-8275-bb7199330404")</f>
        <v>40bbccc9-66f7-4b78-8275-bb7199330404</v>
      </c>
      <c r="K336" s="4">
        <f ca="1">IFERROR(__xludf.DUMMYFUNCTION("""COMPUTED_VALUE"""),1490)</f>
        <v>1490</v>
      </c>
      <c r="L336" s="1" t="str">
        <f ca="1">IFERROR(__xludf.DUMMYFUNCTION("""COMPUTED_VALUE"""),"Daniel")</f>
        <v>Daniel</v>
      </c>
      <c r="M336" s="1" t="str">
        <f ca="1">IFERROR(__xludf.DUMMYFUNCTION("""COMPUTED_VALUE"""),"")</f>
        <v/>
      </c>
      <c r="N336" s="1" t="str">
        <f ca="1">IFERROR(__xludf.DUMMYFUNCTION("""COMPUTED_VALUE"""),"")</f>
        <v/>
      </c>
      <c r="O336" s="1" t="str">
        <f ca="1">IFERROR(__xludf.DUMMYFUNCTION("""COMPUTED_VALUE"""),"Occupied")</f>
        <v>Occupied</v>
      </c>
      <c r="P336" s="1"/>
      <c r="Q336" s="1"/>
      <c r="R336" s="1"/>
      <c r="S336" s="1"/>
      <c r="T336" s="1"/>
      <c r="U336" s="1" t="str">
        <f ca="1">IFERROR(__xludf.DUMMYFUNCTION("""COMPUTED_VALUE"""),"N")</f>
        <v>N</v>
      </c>
      <c r="V336" s="1" t="str">
        <f ca="1">IFERROR(__xludf.DUMMYFUNCTION("""COMPUTED_VALUE"""),"N")</f>
        <v>N</v>
      </c>
      <c r="W336" s="1"/>
      <c r="X336" s="1"/>
      <c r="Y336" s="1" t="str">
        <f ca="1">IFERROR(__xludf.DUMMYFUNCTION("""COMPUTED_VALUE"""),"Marcus Lowe")</f>
        <v>Marcus Lowe</v>
      </c>
      <c r="Z336" s="1" t="str">
        <f ca="1">IFERROR(__xludf.DUMMYFUNCTION("""COMPUTED_VALUE"""),"marcus.s.lowe@gmail.com")</f>
        <v>marcus.s.lowe@gmail.com</v>
      </c>
      <c r="AA336" s="1"/>
      <c r="AB336" s="1"/>
      <c r="AC336" s="1"/>
    </row>
    <row r="337" spans="1:29">
      <c r="A337" s="1" t="str">
        <f ca="1">IFERROR(__xludf.DUMMYFUNCTION("""COMPUTED_VALUE"""),"179 Massachusetts Avenue")</f>
        <v>179 Massachusetts Avenue</v>
      </c>
      <c r="B337" s="1">
        <f ca="1">IFERROR(__xludf.DUMMYFUNCTION("""COMPUTED_VALUE"""),179)</f>
        <v>179</v>
      </c>
      <c r="C337" s="1" t="str">
        <f ca="1">IFERROR(__xludf.DUMMYFUNCTION("""COMPUTED_VALUE"""),"#2")</f>
        <v>#2</v>
      </c>
      <c r="D337" s="1" t="str">
        <f ca="1">IFERROR(__xludf.DUMMYFUNCTION("""COMPUTED_VALUE"""),"179 Massachusetts Avenue Unit 2")</f>
        <v>179 Massachusetts Avenue Unit 2</v>
      </c>
      <c r="E337" s="1" t="str">
        <f ca="1">IFERROR(__xludf.DUMMYFUNCTION("""COMPUTED_VALUE"""),"Boston")</f>
        <v>Boston</v>
      </c>
      <c r="F337" s="1" t="str">
        <f ca="1">IFERROR(__xludf.DUMMYFUNCTION("""COMPUTED_VALUE"""),"Boston - Back Bay")</f>
        <v>Boston - Back Bay</v>
      </c>
      <c r="G337" s="1">
        <f ca="1">IFERROR(__xludf.DUMMYFUNCTION("""COMPUTED_VALUE"""),3)</f>
        <v>3</v>
      </c>
      <c r="H337" s="1" t="str">
        <f ca="1">IFERROR(__xludf.DUMMYFUNCTION("""COMPUTED_VALUE"""),"C")</f>
        <v>C</v>
      </c>
      <c r="I337" s="4" t="str">
        <f ca="1">IFERROR(__xludf.DUMMYFUNCTION("""COMPUTED_VALUE"""),"179 Massachusetts Avenue#2C")</f>
        <v>179 Massachusetts Avenue#2C</v>
      </c>
      <c r="J337" s="4" t="str">
        <f ca="1">IFERROR(__xludf.DUMMYFUNCTION("""COMPUTED_VALUE"""),"40bbccc9-66f7-4b78-8275-bb7199330404")</f>
        <v>40bbccc9-66f7-4b78-8275-bb7199330404</v>
      </c>
      <c r="K337" s="4">
        <f ca="1">IFERROR(__xludf.DUMMYFUNCTION("""COMPUTED_VALUE"""),1290)</f>
        <v>1290</v>
      </c>
      <c r="L337" s="1" t="str">
        <f ca="1">IFERROR(__xludf.DUMMYFUNCTION("""COMPUTED_VALUE"""),"Daniel")</f>
        <v>Daniel</v>
      </c>
      <c r="M337" s="1" t="str">
        <f ca="1">IFERROR(__xludf.DUMMYFUNCTION("""COMPUTED_VALUE"""),"")</f>
        <v/>
      </c>
      <c r="N337" s="1" t="str">
        <f ca="1">IFERROR(__xludf.DUMMYFUNCTION("""COMPUTED_VALUE"""),"")</f>
        <v/>
      </c>
      <c r="O337" s="1" t="str">
        <f ca="1">IFERROR(__xludf.DUMMYFUNCTION("""COMPUTED_VALUE"""),"Occupied")</f>
        <v>Occupied</v>
      </c>
      <c r="P337" s="1"/>
      <c r="Q337" s="1"/>
      <c r="R337" s="1"/>
      <c r="S337" s="1"/>
      <c r="T337" s="1"/>
      <c r="U337" s="1" t="str">
        <f ca="1">IFERROR(__xludf.DUMMYFUNCTION("""COMPUTED_VALUE"""),"N")</f>
        <v>N</v>
      </c>
      <c r="V337" s="1" t="str">
        <f ca="1">IFERROR(__xludf.DUMMYFUNCTION("""COMPUTED_VALUE"""),"N")</f>
        <v>N</v>
      </c>
      <c r="W337" s="1"/>
      <c r="X337" s="1"/>
      <c r="Y337" s="1" t="str">
        <f ca="1">IFERROR(__xludf.DUMMYFUNCTION("""COMPUTED_VALUE"""),"Eric Sihite")</f>
        <v>Eric Sihite</v>
      </c>
      <c r="Z337" s="1" t="str">
        <f ca="1">IFERROR(__xludf.DUMMYFUNCTION("""COMPUTED_VALUE"""),"ericsihite@gmail.com")</f>
        <v>ericsihite@gmail.com</v>
      </c>
      <c r="AA337" s="1"/>
      <c r="AB337" s="1"/>
      <c r="AC337" s="1"/>
    </row>
    <row r="338" spans="1:29">
      <c r="A338" s="1" t="str">
        <f ca="1">IFERROR(__xludf.DUMMYFUNCTION("""COMPUTED_VALUE"""),"179 Massachusetts Avenue")</f>
        <v>179 Massachusetts Avenue</v>
      </c>
      <c r="B338" s="1">
        <f ca="1">IFERROR(__xludf.DUMMYFUNCTION("""COMPUTED_VALUE"""),179)</f>
        <v>179</v>
      </c>
      <c r="C338" s="1" t="str">
        <f ca="1">IFERROR(__xludf.DUMMYFUNCTION("""COMPUTED_VALUE"""),"#2")</f>
        <v>#2</v>
      </c>
      <c r="D338" s="1" t="str">
        <f ca="1">IFERROR(__xludf.DUMMYFUNCTION("""COMPUTED_VALUE"""),"179 Massachusetts Avenue Unit 2")</f>
        <v>179 Massachusetts Avenue Unit 2</v>
      </c>
      <c r="E338" s="1" t="str">
        <f ca="1">IFERROR(__xludf.DUMMYFUNCTION("""COMPUTED_VALUE"""),"Boston")</f>
        <v>Boston</v>
      </c>
      <c r="F338" s="1" t="str">
        <f ca="1">IFERROR(__xludf.DUMMYFUNCTION("""COMPUTED_VALUE"""),"Boston - Back Bay")</f>
        <v>Boston - Back Bay</v>
      </c>
      <c r="G338" s="1">
        <f ca="1">IFERROR(__xludf.DUMMYFUNCTION("""COMPUTED_VALUE"""),4)</f>
        <v>4</v>
      </c>
      <c r="H338" s="1" t="str">
        <f ca="1">IFERROR(__xludf.DUMMYFUNCTION("""COMPUTED_VALUE"""),"D")</f>
        <v>D</v>
      </c>
      <c r="I338" s="4" t="str">
        <f ca="1">IFERROR(__xludf.DUMMYFUNCTION("""COMPUTED_VALUE"""),"179 Massachusetts Avenue#2D")</f>
        <v>179 Massachusetts Avenue#2D</v>
      </c>
      <c r="J338" s="4" t="str">
        <f ca="1">IFERROR(__xludf.DUMMYFUNCTION("""COMPUTED_VALUE"""),"40bbccc9-66f7-4b78-8275-bb7199330404")</f>
        <v>40bbccc9-66f7-4b78-8275-bb7199330404</v>
      </c>
      <c r="K338" s="4">
        <f ca="1">IFERROR(__xludf.DUMMYFUNCTION("""COMPUTED_VALUE"""),1295)</f>
        <v>1295</v>
      </c>
      <c r="L338" s="1" t="str">
        <f ca="1">IFERROR(__xludf.DUMMYFUNCTION("""COMPUTED_VALUE"""),"Daniel")</f>
        <v>Daniel</v>
      </c>
      <c r="M338" s="1" t="str">
        <f ca="1">IFERROR(__xludf.DUMMYFUNCTION("""COMPUTED_VALUE"""),"")</f>
        <v/>
      </c>
      <c r="N338" s="1" t="str">
        <f ca="1">IFERROR(__xludf.DUMMYFUNCTION("""COMPUTED_VALUE"""),"")</f>
        <v/>
      </c>
      <c r="O338" s="1" t="str">
        <f ca="1">IFERROR(__xludf.DUMMYFUNCTION("""COMPUTED_VALUE"""),"Lease Signed")</f>
        <v>Lease Signed</v>
      </c>
      <c r="P338" s="1" t="str">
        <f ca="1">IFERROR(__xludf.DUMMYFUNCTION("""COMPUTED_VALUE"""),"January")</f>
        <v>January</v>
      </c>
      <c r="Q338" s="1"/>
      <c r="R338" s="5">
        <f ca="1">IFERROR(__xludf.DUMMYFUNCTION("""COMPUTED_VALUE"""),44211)</f>
        <v>44211</v>
      </c>
      <c r="S338" s="1"/>
      <c r="T338" s="1"/>
      <c r="U338" s="1" t="str">
        <f ca="1">IFERROR(__xludf.DUMMYFUNCTION("""COMPUTED_VALUE"""),"N")</f>
        <v>N</v>
      </c>
      <c r="V338" s="1" t="str">
        <f ca="1">IFERROR(__xludf.DUMMYFUNCTION("""COMPUTED_VALUE"""),"N")</f>
        <v>N</v>
      </c>
      <c r="W338" s="1" t="str">
        <f ca="1">IFERROR(__xludf.DUMMYFUNCTION("""COMPUTED_VALUE"""),"Blake Farfan")</f>
        <v>Blake Farfan</v>
      </c>
      <c r="X338" s="1" t="str">
        <f ca="1">IFERROR(__xludf.DUMMYFUNCTION("""COMPUTED_VALUE"""),"Blake.farfan@gmail.com")</f>
        <v>Blake.farfan@gmail.com</v>
      </c>
      <c r="Y338" s="1"/>
      <c r="Z338" s="1"/>
      <c r="AA338" s="1"/>
      <c r="AB338" s="1"/>
      <c r="AC338" s="1"/>
    </row>
    <row r="339" spans="1:29">
      <c r="A339" s="1" t="str">
        <f ca="1">IFERROR(__xludf.DUMMYFUNCTION("""COMPUTED_VALUE"""),"179 Massachusetts Avenue")</f>
        <v>179 Massachusetts Avenue</v>
      </c>
      <c r="B339" s="1">
        <f ca="1">IFERROR(__xludf.DUMMYFUNCTION("""COMPUTED_VALUE"""),179)</f>
        <v>179</v>
      </c>
      <c r="C339" s="1" t="str">
        <f ca="1">IFERROR(__xludf.DUMMYFUNCTION("""COMPUTED_VALUE"""),"#2")</f>
        <v>#2</v>
      </c>
      <c r="D339" s="1" t="str">
        <f ca="1">IFERROR(__xludf.DUMMYFUNCTION("""COMPUTED_VALUE"""),"179 Massachusetts Avenue Unit 2")</f>
        <v>179 Massachusetts Avenue Unit 2</v>
      </c>
      <c r="E339" s="1" t="str">
        <f ca="1">IFERROR(__xludf.DUMMYFUNCTION("""COMPUTED_VALUE"""),"Boston")</f>
        <v>Boston</v>
      </c>
      <c r="F339" s="1" t="str">
        <f ca="1">IFERROR(__xludf.DUMMYFUNCTION("""COMPUTED_VALUE"""),"Boston - Back Bay")</f>
        <v>Boston - Back Bay</v>
      </c>
      <c r="G339" s="1">
        <f ca="1">IFERROR(__xludf.DUMMYFUNCTION("""COMPUTED_VALUE"""),5)</f>
        <v>5</v>
      </c>
      <c r="H339" s="1" t="str">
        <f ca="1">IFERROR(__xludf.DUMMYFUNCTION("""COMPUTED_VALUE"""),"E")</f>
        <v>E</v>
      </c>
      <c r="I339" s="4" t="str">
        <f ca="1">IFERROR(__xludf.DUMMYFUNCTION("""COMPUTED_VALUE"""),"179 Massachusetts Avenue#2E")</f>
        <v>179 Massachusetts Avenue#2E</v>
      </c>
      <c r="J339" s="4" t="str">
        <f ca="1">IFERROR(__xludf.DUMMYFUNCTION("""COMPUTED_VALUE"""),"40bbccc9-66f7-4b78-8275-bb7199330404")</f>
        <v>40bbccc9-66f7-4b78-8275-bb7199330404</v>
      </c>
      <c r="K339" s="4">
        <f ca="1">IFERROR(__xludf.DUMMYFUNCTION("""COMPUTED_VALUE"""),1490)</f>
        <v>1490</v>
      </c>
      <c r="L339" s="1" t="str">
        <f ca="1">IFERROR(__xludf.DUMMYFUNCTION("""COMPUTED_VALUE"""),"Daniel")</f>
        <v>Daniel</v>
      </c>
      <c r="M339" s="1" t="str">
        <f ca="1">IFERROR(__xludf.DUMMYFUNCTION("""COMPUTED_VALUE"""),"")</f>
        <v/>
      </c>
      <c r="N339" s="1" t="str">
        <f ca="1">IFERROR(__xludf.DUMMYFUNCTION("""COMPUTED_VALUE"""),"")</f>
        <v/>
      </c>
      <c r="O339" s="1" t="str">
        <f ca="1">IFERROR(__xludf.DUMMYFUNCTION("""COMPUTED_VALUE"""),"Occupied")</f>
        <v>Occupied</v>
      </c>
      <c r="P339" s="1"/>
      <c r="Q339" s="1"/>
      <c r="R339" s="1"/>
      <c r="S339" s="1"/>
      <c r="T339" s="1"/>
      <c r="U339" s="1" t="str">
        <f ca="1">IFERROR(__xludf.DUMMYFUNCTION("""COMPUTED_VALUE"""),"N")</f>
        <v>N</v>
      </c>
      <c r="V339" s="1" t="str">
        <f ca="1">IFERROR(__xludf.DUMMYFUNCTION("""COMPUTED_VALUE"""),"N")</f>
        <v>N</v>
      </c>
      <c r="W339" s="1"/>
      <c r="X339" s="1"/>
      <c r="Y339" s="1" t="str">
        <f ca="1">IFERROR(__xludf.DUMMYFUNCTION("""COMPUTED_VALUE"""),"Aman Mankar")</f>
        <v>Aman Mankar</v>
      </c>
      <c r="Z339" s="1" t="str">
        <f ca="1">IFERROR(__xludf.DUMMYFUNCTION("""COMPUTED_VALUE"""),"mankar.a@northeastern.edu")</f>
        <v>mankar.a@northeastern.edu</v>
      </c>
      <c r="AA339" s="1"/>
      <c r="AB339" s="1"/>
      <c r="AC339" s="1"/>
    </row>
    <row r="340" spans="1:29">
      <c r="A340" s="1" t="str">
        <f ca="1">IFERROR(__xludf.DUMMYFUNCTION("""COMPUTED_VALUE"""),"179 Massachusetts Avenue")</f>
        <v>179 Massachusetts Avenue</v>
      </c>
      <c r="B340" s="1">
        <f ca="1">IFERROR(__xludf.DUMMYFUNCTION("""COMPUTED_VALUE"""),179)</f>
        <v>179</v>
      </c>
      <c r="C340" s="1" t="str">
        <f ca="1">IFERROR(__xludf.DUMMYFUNCTION("""COMPUTED_VALUE"""),"#3")</f>
        <v>#3</v>
      </c>
      <c r="D340" s="1" t="str">
        <f ca="1">IFERROR(__xludf.DUMMYFUNCTION("""COMPUTED_VALUE"""),"179 Massachusetts Avenue Unit 3")</f>
        <v>179 Massachusetts Avenue Unit 3</v>
      </c>
      <c r="E340" s="1" t="str">
        <f ca="1">IFERROR(__xludf.DUMMYFUNCTION("""COMPUTED_VALUE"""),"Boston")</f>
        <v>Boston</v>
      </c>
      <c r="F340" s="1" t="str">
        <f ca="1">IFERROR(__xludf.DUMMYFUNCTION("""COMPUTED_VALUE"""),"Boston - Back Bay")</f>
        <v>Boston - Back Bay</v>
      </c>
      <c r="G340" s="1">
        <f ca="1">IFERROR(__xludf.DUMMYFUNCTION("""COMPUTED_VALUE"""),1)</f>
        <v>1</v>
      </c>
      <c r="H340" s="1" t="str">
        <f ca="1">IFERROR(__xludf.DUMMYFUNCTION("""COMPUTED_VALUE"""),"A")</f>
        <v>A</v>
      </c>
      <c r="I340" s="4" t="str">
        <f ca="1">IFERROR(__xludf.DUMMYFUNCTION("""COMPUTED_VALUE"""),"179 Massachusetts Avenue#3A")</f>
        <v>179 Massachusetts Avenue#3A</v>
      </c>
      <c r="J340" s="4" t="str">
        <f ca="1">IFERROR(__xludf.DUMMYFUNCTION("""COMPUTED_VALUE"""),"11b905e3-39e2-428e-9f7d-1af14ce787f7")</f>
        <v>11b905e3-39e2-428e-9f7d-1af14ce787f7</v>
      </c>
      <c r="K340" s="4">
        <f ca="1">IFERROR(__xludf.DUMMYFUNCTION("""COMPUTED_VALUE"""),1470)</f>
        <v>1470</v>
      </c>
      <c r="L340" s="1" t="str">
        <f ca="1">IFERROR(__xludf.DUMMYFUNCTION("""COMPUTED_VALUE"""),"Daniel")</f>
        <v>Daniel</v>
      </c>
      <c r="M340" s="1" t="str">
        <f ca="1">IFERROR(__xludf.DUMMYFUNCTION("""COMPUTED_VALUE"""),"")</f>
        <v/>
      </c>
      <c r="N340" s="1" t="str">
        <f ca="1">IFERROR(__xludf.DUMMYFUNCTION("""COMPUTED_VALUE"""),"")</f>
        <v/>
      </c>
      <c r="O340" s="1" t="str">
        <f ca="1">IFERROR(__xludf.DUMMYFUNCTION("""COMPUTED_VALUE"""),"Occupied")</f>
        <v>Occupied</v>
      </c>
      <c r="P340" s="1"/>
      <c r="Q340" s="1"/>
      <c r="R340" s="1"/>
      <c r="S340" s="1"/>
      <c r="T340" s="1"/>
      <c r="U340" s="1" t="str">
        <f ca="1">IFERROR(__xludf.DUMMYFUNCTION("""COMPUTED_VALUE"""),"Y")</f>
        <v>Y</v>
      </c>
      <c r="V340" s="1" t="str">
        <f ca="1">IFERROR(__xludf.DUMMYFUNCTION("""COMPUTED_VALUE"""),"N")</f>
        <v>N</v>
      </c>
      <c r="W340" s="1"/>
      <c r="X340" s="1"/>
      <c r="Y340" s="1" t="str">
        <f ca="1">IFERROR(__xludf.DUMMYFUNCTION("""COMPUTED_VALUE"""),"Grace Workman  ")</f>
        <v xml:space="preserve">Grace Workman  </v>
      </c>
      <c r="Z340" s="1" t="str">
        <f ca="1">IFERROR(__xludf.DUMMYFUNCTION("""COMPUTED_VALUE"""),"pinkberry200@gmail.com")</f>
        <v>pinkberry200@gmail.com</v>
      </c>
      <c r="AA340" s="1"/>
      <c r="AB340" s="1"/>
      <c r="AC340" s="1"/>
    </row>
    <row r="341" spans="1:29">
      <c r="A341" s="1" t="str">
        <f ca="1">IFERROR(__xludf.DUMMYFUNCTION("""COMPUTED_VALUE"""),"179 Massachusetts Avenue")</f>
        <v>179 Massachusetts Avenue</v>
      </c>
      <c r="B341" s="1">
        <f ca="1">IFERROR(__xludf.DUMMYFUNCTION("""COMPUTED_VALUE"""),179)</f>
        <v>179</v>
      </c>
      <c r="C341" s="1" t="str">
        <f ca="1">IFERROR(__xludf.DUMMYFUNCTION("""COMPUTED_VALUE"""),"#3")</f>
        <v>#3</v>
      </c>
      <c r="D341" s="1" t="str">
        <f ca="1">IFERROR(__xludf.DUMMYFUNCTION("""COMPUTED_VALUE"""),"179 Massachusetts Avenue Unit 3")</f>
        <v>179 Massachusetts Avenue Unit 3</v>
      </c>
      <c r="E341" s="1" t="str">
        <f ca="1">IFERROR(__xludf.DUMMYFUNCTION("""COMPUTED_VALUE"""),"Boston")</f>
        <v>Boston</v>
      </c>
      <c r="F341" s="1" t="str">
        <f ca="1">IFERROR(__xludf.DUMMYFUNCTION("""COMPUTED_VALUE"""),"Boston - Back Bay")</f>
        <v>Boston - Back Bay</v>
      </c>
      <c r="G341" s="1">
        <f ca="1">IFERROR(__xludf.DUMMYFUNCTION("""COMPUTED_VALUE"""),2)</f>
        <v>2</v>
      </c>
      <c r="H341" s="1" t="str">
        <f ca="1">IFERROR(__xludf.DUMMYFUNCTION("""COMPUTED_VALUE"""),"B")</f>
        <v>B</v>
      </c>
      <c r="I341" s="4" t="str">
        <f ca="1">IFERROR(__xludf.DUMMYFUNCTION("""COMPUTED_VALUE"""),"179 Massachusetts Avenue#3B")</f>
        <v>179 Massachusetts Avenue#3B</v>
      </c>
      <c r="J341" s="4" t="str">
        <f ca="1">IFERROR(__xludf.DUMMYFUNCTION("""COMPUTED_VALUE"""),"11b905e3-39e2-428e-9f7d-1af14ce787f7")</f>
        <v>11b905e3-39e2-428e-9f7d-1af14ce787f7</v>
      </c>
      <c r="K341" s="4">
        <f ca="1">IFERROR(__xludf.DUMMYFUNCTION("""COMPUTED_VALUE"""),1490)</f>
        <v>1490</v>
      </c>
      <c r="L341" s="1" t="str">
        <f ca="1">IFERROR(__xludf.DUMMYFUNCTION("""COMPUTED_VALUE"""),"Daniel")</f>
        <v>Daniel</v>
      </c>
      <c r="M341" s="1" t="str">
        <f ca="1">IFERROR(__xludf.DUMMYFUNCTION("""COMPUTED_VALUE"""),"Daniel (NOW)")</f>
        <v>Daniel (NOW)</v>
      </c>
      <c r="N341" s="1" t="str">
        <f ca="1">IFERROR(__xludf.DUMMYFUNCTION("""COMPUTED_VALUE"""),"")</f>
        <v/>
      </c>
      <c r="O341" s="1" t="str">
        <f ca="1">IFERROR(__xludf.DUMMYFUNCTION("""COMPUTED_VALUE"""),"Upcoming Vacancy")</f>
        <v>Upcoming Vacancy</v>
      </c>
      <c r="P341" s="1" t="str">
        <f ca="1">IFERROR(__xludf.DUMMYFUNCTION("""COMPUTED_VALUE"""),"February")</f>
        <v>February</v>
      </c>
      <c r="Q341" s="1"/>
      <c r="R341" s="1"/>
      <c r="S341" s="1"/>
      <c r="T341" s="1"/>
      <c r="U341" s="1" t="str">
        <f ca="1">IFERROR(__xludf.DUMMYFUNCTION("""COMPUTED_VALUE"""),"Y")</f>
        <v>Y</v>
      </c>
      <c r="V341" s="1" t="str">
        <f ca="1">IFERROR(__xludf.DUMMYFUNCTION("""COMPUTED_VALUE"""),"N")</f>
        <v>N</v>
      </c>
      <c r="W341" s="1"/>
      <c r="X341" s="1"/>
      <c r="Y341" s="1" t="str">
        <f ca="1">IFERROR(__xludf.DUMMYFUNCTION("""COMPUTED_VALUE"""),"Priyanka Ballary")</f>
        <v>Priyanka Ballary</v>
      </c>
      <c r="Z341" s="1" t="str">
        <f ca="1">IFERROR(__xludf.DUMMYFUNCTION("""COMPUTED_VALUE"""),"minnu_babbi@yahoo.co.in")</f>
        <v>minnu_babbi@yahoo.co.in</v>
      </c>
      <c r="AA341" s="1"/>
      <c r="AB341" s="1"/>
      <c r="AC341" s="1" t="str">
        <f ca="1">IFERROR(__xludf.DUMMYFUNCTION("""COMPUTED_VALUE"""),"Current room a is moving here || Wants to sublet room B to Mariss ||")</f>
        <v>Current room a is moving here || Wants to sublet room B to Mariss ||</v>
      </c>
    </row>
    <row r="342" spans="1:29">
      <c r="A342" s="1" t="str">
        <f ca="1">IFERROR(__xludf.DUMMYFUNCTION("""COMPUTED_VALUE"""),"179 Massachusetts Avenue")</f>
        <v>179 Massachusetts Avenue</v>
      </c>
      <c r="B342" s="1">
        <f ca="1">IFERROR(__xludf.DUMMYFUNCTION("""COMPUTED_VALUE"""),179)</f>
        <v>179</v>
      </c>
      <c r="C342" s="1" t="str">
        <f ca="1">IFERROR(__xludf.DUMMYFUNCTION("""COMPUTED_VALUE"""),"#3")</f>
        <v>#3</v>
      </c>
      <c r="D342" s="1" t="str">
        <f ca="1">IFERROR(__xludf.DUMMYFUNCTION("""COMPUTED_VALUE"""),"179 Massachusetts Avenue Unit 3")</f>
        <v>179 Massachusetts Avenue Unit 3</v>
      </c>
      <c r="E342" s="1" t="str">
        <f ca="1">IFERROR(__xludf.DUMMYFUNCTION("""COMPUTED_VALUE"""),"Boston")</f>
        <v>Boston</v>
      </c>
      <c r="F342" s="1" t="str">
        <f ca="1">IFERROR(__xludf.DUMMYFUNCTION("""COMPUTED_VALUE"""),"Boston - Back Bay")</f>
        <v>Boston - Back Bay</v>
      </c>
      <c r="G342" s="1">
        <f ca="1">IFERROR(__xludf.DUMMYFUNCTION("""COMPUTED_VALUE"""),3)</f>
        <v>3</v>
      </c>
      <c r="H342" s="1" t="str">
        <f ca="1">IFERROR(__xludf.DUMMYFUNCTION("""COMPUTED_VALUE"""),"C")</f>
        <v>C</v>
      </c>
      <c r="I342" s="4" t="str">
        <f ca="1">IFERROR(__xludf.DUMMYFUNCTION("""COMPUTED_VALUE"""),"179 Massachusetts Avenue#3C")</f>
        <v>179 Massachusetts Avenue#3C</v>
      </c>
      <c r="J342" s="4" t="str">
        <f ca="1">IFERROR(__xludf.DUMMYFUNCTION("""COMPUTED_VALUE"""),"11b905e3-39e2-428e-9f7d-1af14ce787f7")</f>
        <v>11b905e3-39e2-428e-9f7d-1af14ce787f7</v>
      </c>
      <c r="K342" s="4">
        <f ca="1">IFERROR(__xludf.DUMMYFUNCTION("""COMPUTED_VALUE"""),1290)</f>
        <v>1290</v>
      </c>
      <c r="L342" s="1" t="str">
        <f ca="1">IFERROR(__xludf.DUMMYFUNCTION("""COMPUTED_VALUE"""),"Daniel")</f>
        <v>Daniel</v>
      </c>
      <c r="M342" s="1" t="str">
        <f ca="1">IFERROR(__xludf.DUMMYFUNCTION("""COMPUTED_VALUE"""),"")</f>
        <v/>
      </c>
      <c r="N342" s="1" t="str">
        <f ca="1">IFERROR(__xludf.DUMMYFUNCTION("""COMPUTED_VALUE"""),"")</f>
        <v/>
      </c>
      <c r="O342" s="1" t="str">
        <f ca="1">IFERROR(__xludf.DUMMYFUNCTION("""COMPUTED_VALUE"""),"Occupied")</f>
        <v>Occupied</v>
      </c>
      <c r="P342" s="1"/>
      <c r="Q342" s="1"/>
      <c r="R342" s="1"/>
      <c r="S342" s="1"/>
      <c r="T342" s="1"/>
      <c r="U342" s="1" t="str">
        <f ca="1">IFERROR(__xludf.DUMMYFUNCTION("""COMPUTED_VALUE"""),"Y")</f>
        <v>Y</v>
      </c>
      <c r="V342" s="1" t="str">
        <f ca="1">IFERROR(__xludf.DUMMYFUNCTION("""COMPUTED_VALUE"""),"N")</f>
        <v>N</v>
      </c>
      <c r="W342" s="1"/>
      <c r="X342" s="1"/>
      <c r="Y342" s="1" t="str">
        <f ca="1">IFERROR(__xludf.DUMMYFUNCTION("""COMPUTED_VALUE"""),"Krys Cox")</f>
        <v>Krys Cox</v>
      </c>
      <c r="Z342" s="1" t="str">
        <f ca="1">IFERROR(__xludf.DUMMYFUNCTION("""COMPUTED_VALUE"""),"kcoxy44@gmail.com")</f>
        <v>kcoxy44@gmail.com</v>
      </c>
      <c r="AA342" s="1"/>
      <c r="AB342" s="1"/>
      <c r="AC342" s="1"/>
    </row>
    <row r="343" spans="1:29">
      <c r="A343" s="1" t="str">
        <f ca="1">IFERROR(__xludf.DUMMYFUNCTION("""COMPUTED_VALUE"""),"179 Massachusetts Avenue")</f>
        <v>179 Massachusetts Avenue</v>
      </c>
      <c r="B343" s="1">
        <f ca="1">IFERROR(__xludf.DUMMYFUNCTION("""COMPUTED_VALUE"""),179)</f>
        <v>179</v>
      </c>
      <c r="C343" s="1" t="str">
        <f ca="1">IFERROR(__xludf.DUMMYFUNCTION("""COMPUTED_VALUE"""),"#3")</f>
        <v>#3</v>
      </c>
      <c r="D343" s="1" t="str">
        <f ca="1">IFERROR(__xludf.DUMMYFUNCTION("""COMPUTED_VALUE"""),"179 Massachusetts Avenue Unit 3")</f>
        <v>179 Massachusetts Avenue Unit 3</v>
      </c>
      <c r="E343" s="1" t="str">
        <f ca="1">IFERROR(__xludf.DUMMYFUNCTION("""COMPUTED_VALUE"""),"Boston")</f>
        <v>Boston</v>
      </c>
      <c r="F343" s="1" t="str">
        <f ca="1">IFERROR(__xludf.DUMMYFUNCTION("""COMPUTED_VALUE"""),"Boston - Back Bay")</f>
        <v>Boston - Back Bay</v>
      </c>
      <c r="G343" s="1">
        <f ca="1">IFERROR(__xludf.DUMMYFUNCTION("""COMPUTED_VALUE"""),4)</f>
        <v>4</v>
      </c>
      <c r="H343" s="1" t="str">
        <f ca="1">IFERROR(__xludf.DUMMYFUNCTION("""COMPUTED_VALUE"""),"D")</f>
        <v>D</v>
      </c>
      <c r="I343" s="4" t="str">
        <f ca="1">IFERROR(__xludf.DUMMYFUNCTION("""COMPUTED_VALUE"""),"179 Massachusetts Avenue#3D")</f>
        <v>179 Massachusetts Avenue#3D</v>
      </c>
      <c r="J343" s="4" t="str">
        <f ca="1">IFERROR(__xludf.DUMMYFUNCTION("""COMPUTED_VALUE"""),"11b905e3-39e2-428e-9f7d-1af14ce787f7")</f>
        <v>11b905e3-39e2-428e-9f7d-1af14ce787f7</v>
      </c>
      <c r="K343" s="4">
        <f ca="1">IFERROR(__xludf.DUMMYFUNCTION("""COMPUTED_VALUE"""),1795)</f>
        <v>1795</v>
      </c>
      <c r="L343" s="1" t="str">
        <f ca="1">IFERROR(__xludf.DUMMYFUNCTION("""COMPUTED_VALUE"""),"Daniel")</f>
        <v>Daniel</v>
      </c>
      <c r="M343" s="1" t="str">
        <f ca="1">IFERROR(__xludf.DUMMYFUNCTION("""COMPUTED_VALUE"""),"Daniel (later)")</f>
        <v>Daniel (later)</v>
      </c>
      <c r="N343" s="1" t="str">
        <f ca="1">IFERROR(__xludf.DUMMYFUNCTION("""COMPUTED_VALUE"""),"")</f>
        <v/>
      </c>
      <c r="O343" s="1" t="str">
        <f ca="1">IFERROR(__xludf.DUMMYFUNCTION("""COMPUTED_VALUE"""),"Lease Sent")</f>
        <v>Lease Sent</v>
      </c>
      <c r="P343" s="1"/>
      <c r="Q343" s="1"/>
      <c r="R343" s="5">
        <f ca="1">IFERROR(__xludf.DUMMYFUNCTION("""COMPUTED_VALUE"""),44209)</f>
        <v>44209</v>
      </c>
      <c r="S343" s="1"/>
      <c r="T343" s="1"/>
      <c r="U343" s="1" t="str">
        <f ca="1">IFERROR(__xludf.DUMMYFUNCTION("""COMPUTED_VALUE"""),"Y")</f>
        <v>Y</v>
      </c>
      <c r="V343" s="1" t="str">
        <f ca="1">IFERROR(__xludf.DUMMYFUNCTION("""COMPUTED_VALUE"""),"N")</f>
        <v>N</v>
      </c>
      <c r="W343" s="1" t="str">
        <f ca="1">IFERROR(__xludf.DUMMYFUNCTION("""COMPUTED_VALUE"""),"Kaya Antonelli")</f>
        <v>Kaya Antonelli</v>
      </c>
      <c r="X343" s="1" t="str">
        <f ca="1">IFERROR(__xludf.DUMMYFUNCTION("""COMPUTED_VALUE"""),"kayaantonelli@gmail.com")</f>
        <v>kayaantonelli@gmail.com</v>
      </c>
      <c r="Y343" s="1"/>
      <c r="Z343" s="1"/>
      <c r="AA343" s="1"/>
      <c r="AB343" s="1"/>
      <c r="AC343" s="1"/>
    </row>
    <row r="344" spans="1:29">
      <c r="A344" s="1" t="str">
        <f ca="1">IFERROR(__xludf.DUMMYFUNCTION("""COMPUTED_VALUE"""),"192 Alleghany Street")</f>
        <v>192 Alleghany Street</v>
      </c>
      <c r="B344" s="1">
        <f ca="1">IFERROR(__xludf.DUMMYFUNCTION("""COMPUTED_VALUE"""),192)</f>
        <v>192</v>
      </c>
      <c r="C344" s="1" t="str">
        <f ca="1">IFERROR(__xludf.DUMMYFUNCTION("""COMPUTED_VALUE"""),"#2")</f>
        <v>#2</v>
      </c>
      <c r="D344" s="1" t="str">
        <f ca="1">IFERROR(__xludf.DUMMYFUNCTION("""COMPUTED_VALUE"""),"192 Alleghany Street Unit 2")</f>
        <v>192 Alleghany Street Unit 2</v>
      </c>
      <c r="E344" s="1" t="str">
        <f ca="1">IFERROR(__xludf.DUMMYFUNCTION("""COMPUTED_VALUE"""),"Boston")</f>
        <v>Boston</v>
      </c>
      <c r="F344" s="1" t="str">
        <f ca="1">IFERROR(__xludf.DUMMYFUNCTION("""COMPUTED_VALUE"""),"Boston - Mission Hill")</f>
        <v>Boston - Mission Hill</v>
      </c>
      <c r="G344" s="1">
        <f ca="1">IFERROR(__xludf.DUMMYFUNCTION("""COMPUTED_VALUE"""),1)</f>
        <v>1</v>
      </c>
      <c r="H344" s="1" t="str">
        <f ca="1">IFERROR(__xludf.DUMMYFUNCTION("""COMPUTED_VALUE"""),"A")</f>
        <v>A</v>
      </c>
      <c r="I344" s="4" t="str">
        <f ca="1">IFERROR(__xludf.DUMMYFUNCTION("""COMPUTED_VALUE"""),"192 Alleghany Street#2A")</f>
        <v>192 Alleghany Street#2A</v>
      </c>
      <c r="J344" s="4" t="str">
        <f ca="1">IFERROR(__xludf.DUMMYFUNCTION("""COMPUTED_VALUE"""),"cfd76857-ab7b-4652-8f00-0c0df459ae8f")</f>
        <v>cfd76857-ab7b-4652-8f00-0c0df459ae8f</v>
      </c>
      <c r="K344" s="4">
        <f ca="1">IFERROR(__xludf.DUMMYFUNCTION("""COMPUTED_VALUE"""),1150)</f>
        <v>1150</v>
      </c>
      <c r="L344" s="1" t="str">
        <f ca="1">IFERROR(__xludf.DUMMYFUNCTION("""COMPUTED_VALUE"""),"Cam")</f>
        <v>Cam</v>
      </c>
      <c r="M344" s="1" t="str">
        <f ca="1">IFERROR(__xludf.DUMMYFUNCTION("""COMPUTED_VALUE"""),"")</f>
        <v/>
      </c>
      <c r="N344" s="1" t="str">
        <f ca="1">IFERROR(__xludf.DUMMYFUNCTION("""COMPUTED_VALUE"""),"")</f>
        <v/>
      </c>
      <c r="O344" s="1" t="str">
        <f ca="1">IFERROR(__xludf.DUMMYFUNCTION("""COMPUTED_VALUE"""),"Occupied")</f>
        <v>Occupied</v>
      </c>
      <c r="P344" s="1"/>
      <c r="Q344" s="1"/>
      <c r="R344" s="1"/>
      <c r="S344" s="1" t="str">
        <f ca="1">IFERROR(__xludf.DUMMYFUNCTION("""COMPUTED_VALUE"""),"NO CATS OR DOGS")</f>
        <v>NO CATS OR DOGS</v>
      </c>
      <c r="T344" s="1"/>
      <c r="U344" s="1" t="str">
        <f ca="1">IFERROR(__xludf.DUMMYFUNCTION("""COMPUTED_VALUE"""),"N")</f>
        <v>N</v>
      </c>
      <c r="V344" s="1" t="str">
        <f ca="1">IFERROR(__xludf.DUMMYFUNCTION("""COMPUTED_VALUE"""),"N")</f>
        <v>N</v>
      </c>
      <c r="W344" s="1"/>
      <c r="X344" s="1"/>
      <c r="Y344" s="1" t="str">
        <f ca="1">IFERROR(__xludf.DUMMYFUNCTION("""COMPUTED_VALUE"""),"Audrey Renee Stewart")</f>
        <v>Audrey Renee Stewart</v>
      </c>
      <c r="Z344" s="1" t="str">
        <f ca="1">IFERROR(__xludf.DUMMYFUNCTION("""COMPUTED_VALUE"""),"audrey121renee@gmail.com")</f>
        <v>audrey121renee@gmail.com</v>
      </c>
      <c r="AA344" s="1"/>
      <c r="AB344" s="1"/>
      <c r="AC344" s="1"/>
    </row>
    <row r="345" spans="1:29">
      <c r="A345" s="1" t="str">
        <f ca="1">IFERROR(__xludf.DUMMYFUNCTION("""COMPUTED_VALUE"""),"192 Alleghany Street")</f>
        <v>192 Alleghany Street</v>
      </c>
      <c r="B345" s="1">
        <f ca="1">IFERROR(__xludf.DUMMYFUNCTION("""COMPUTED_VALUE"""),192)</f>
        <v>192</v>
      </c>
      <c r="C345" s="1" t="str">
        <f ca="1">IFERROR(__xludf.DUMMYFUNCTION("""COMPUTED_VALUE"""),"#2")</f>
        <v>#2</v>
      </c>
      <c r="D345" s="1" t="str">
        <f ca="1">IFERROR(__xludf.DUMMYFUNCTION("""COMPUTED_VALUE"""),"192 Alleghany Street Unit 2")</f>
        <v>192 Alleghany Street Unit 2</v>
      </c>
      <c r="E345" s="1" t="str">
        <f ca="1">IFERROR(__xludf.DUMMYFUNCTION("""COMPUTED_VALUE"""),"Boston")</f>
        <v>Boston</v>
      </c>
      <c r="F345" s="1" t="str">
        <f ca="1">IFERROR(__xludf.DUMMYFUNCTION("""COMPUTED_VALUE"""),"Boston - Mission Hill")</f>
        <v>Boston - Mission Hill</v>
      </c>
      <c r="G345" s="1">
        <f ca="1">IFERROR(__xludf.DUMMYFUNCTION("""COMPUTED_VALUE"""),2)</f>
        <v>2</v>
      </c>
      <c r="H345" s="1" t="str">
        <f ca="1">IFERROR(__xludf.DUMMYFUNCTION("""COMPUTED_VALUE"""),"B")</f>
        <v>B</v>
      </c>
      <c r="I345" s="4" t="str">
        <f ca="1">IFERROR(__xludf.DUMMYFUNCTION("""COMPUTED_VALUE"""),"192 Alleghany Street#2B")</f>
        <v>192 Alleghany Street#2B</v>
      </c>
      <c r="J345" s="4" t="str">
        <f ca="1">IFERROR(__xludf.DUMMYFUNCTION("""COMPUTED_VALUE"""),"cfd76857-ab7b-4652-8f00-0c0df459ae8f")</f>
        <v>cfd76857-ab7b-4652-8f00-0c0df459ae8f</v>
      </c>
      <c r="K345" s="4">
        <f ca="1">IFERROR(__xludf.DUMMYFUNCTION("""COMPUTED_VALUE"""),1000)</f>
        <v>1000</v>
      </c>
      <c r="L345" s="1" t="str">
        <f ca="1">IFERROR(__xludf.DUMMYFUNCTION("""COMPUTED_VALUE"""),"Cam")</f>
        <v>Cam</v>
      </c>
      <c r="M345" s="1" t="str">
        <f ca="1">IFERROR(__xludf.DUMMYFUNCTION("""COMPUTED_VALUE"""),"")</f>
        <v/>
      </c>
      <c r="N345" s="1" t="str">
        <f ca="1">IFERROR(__xludf.DUMMYFUNCTION("""COMPUTED_VALUE"""),"")</f>
        <v/>
      </c>
      <c r="O345" s="1" t="str">
        <f ca="1">IFERROR(__xludf.DUMMYFUNCTION("""COMPUTED_VALUE"""),"Occupied")</f>
        <v>Occupied</v>
      </c>
      <c r="P345" s="1"/>
      <c r="Q345" s="1"/>
      <c r="R345" s="1"/>
      <c r="S345" s="1" t="str">
        <f ca="1">IFERROR(__xludf.DUMMYFUNCTION("""COMPUTED_VALUE"""),"NO CATS OR DOGS")</f>
        <v>NO CATS OR DOGS</v>
      </c>
      <c r="T345" s="1"/>
      <c r="U345" s="1" t="str">
        <f ca="1">IFERROR(__xludf.DUMMYFUNCTION("""COMPUTED_VALUE"""),"N")</f>
        <v>N</v>
      </c>
      <c r="V345" s="1" t="str">
        <f ca="1">IFERROR(__xludf.DUMMYFUNCTION("""COMPUTED_VALUE"""),"N")</f>
        <v>N</v>
      </c>
      <c r="W345" s="1"/>
      <c r="X345" s="1"/>
      <c r="Y345" s="1" t="str">
        <f ca="1">IFERROR(__xludf.DUMMYFUNCTION("""COMPUTED_VALUE"""),"James McMann")</f>
        <v>James McMann</v>
      </c>
      <c r="Z345" s="1" t="str">
        <f ca="1">IFERROR(__xludf.DUMMYFUNCTION("""COMPUTED_VALUE"""),"jpmcmann1994@gmail.com")</f>
        <v>jpmcmann1994@gmail.com</v>
      </c>
      <c r="AA345" s="1"/>
      <c r="AB345" s="1"/>
      <c r="AC345" s="1"/>
    </row>
    <row r="346" spans="1:29">
      <c r="A346" s="1" t="str">
        <f ca="1">IFERROR(__xludf.DUMMYFUNCTION("""COMPUTED_VALUE"""),"192 Alleghany Street")</f>
        <v>192 Alleghany Street</v>
      </c>
      <c r="B346" s="1">
        <f ca="1">IFERROR(__xludf.DUMMYFUNCTION("""COMPUTED_VALUE"""),192)</f>
        <v>192</v>
      </c>
      <c r="C346" s="1" t="str">
        <f ca="1">IFERROR(__xludf.DUMMYFUNCTION("""COMPUTED_VALUE"""),"#2")</f>
        <v>#2</v>
      </c>
      <c r="D346" s="1" t="str">
        <f ca="1">IFERROR(__xludf.DUMMYFUNCTION("""COMPUTED_VALUE"""),"192 Alleghany Street Unit 2")</f>
        <v>192 Alleghany Street Unit 2</v>
      </c>
      <c r="E346" s="1" t="str">
        <f ca="1">IFERROR(__xludf.DUMMYFUNCTION("""COMPUTED_VALUE"""),"Boston")</f>
        <v>Boston</v>
      </c>
      <c r="F346" s="1" t="str">
        <f ca="1">IFERROR(__xludf.DUMMYFUNCTION("""COMPUTED_VALUE"""),"Boston - Mission Hill")</f>
        <v>Boston - Mission Hill</v>
      </c>
      <c r="G346" s="1">
        <f ca="1">IFERROR(__xludf.DUMMYFUNCTION("""COMPUTED_VALUE"""),3)</f>
        <v>3</v>
      </c>
      <c r="H346" s="1" t="str">
        <f ca="1">IFERROR(__xludf.DUMMYFUNCTION("""COMPUTED_VALUE"""),"C")</f>
        <v>C</v>
      </c>
      <c r="I346" s="4" t="str">
        <f ca="1">IFERROR(__xludf.DUMMYFUNCTION("""COMPUTED_VALUE"""),"192 Alleghany Street#2C")</f>
        <v>192 Alleghany Street#2C</v>
      </c>
      <c r="J346" s="4" t="str">
        <f ca="1">IFERROR(__xludf.DUMMYFUNCTION("""COMPUTED_VALUE"""),"cfd76857-ab7b-4652-8f00-0c0df459ae8f")</f>
        <v>cfd76857-ab7b-4652-8f00-0c0df459ae8f</v>
      </c>
      <c r="K346" s="4">
        <f ca="1">IFERROR(__xludf.DUMMYFUNCTION("""COMPUTED_VALUE"""),1225)</f>
        <v>1225</v>
      </c>
      <c r="L346" s="1" t="str">
        <f ca="1">IFERROR(__xludf.DUMMYFUNCTION("""COMPUTED_VALUE"""),"Cam")</f>
        <v>Cam</v>
      </c>
      <c r="M346" s="1" t="str">
        <f ca="1">IFERROR(__xludf.DUMMYFUNCTION("""COMPUTED_VALUE"""),"")</f>
        <v/>
      </c>
      <c r="N346" s="1" t="str">
        <f ca="1">IFERROR(__xludf.DUMMYFUNCTION("""COMPUTED_VALUE"""),"")</f>
        <v/>
      </c>
      <c r="O346" s="1" t="str">
        <f ca="1">IFERROR(__xludf.DUMMYFUNCTION("""COMPUTED_VALUE"""),"Occupied")</f>
        <v>Occupied</v>
      </c>
      <c r="P346" s="1"/>
      <c r="Q346" s="1"/>
      <c r="R346" s="1"/>
      <c r="S346" s="1" t="str">
        <f ca="1">IFERROR(__xludf.DUMMYFUNCTION("""COMPUTED_VALUE"""),"NO CATS OR DOGS")</f>
        <v>NO CATS OR DOGS</v>
      </c>
      <c r="T346" s="1"/>
      <c r="U346" s="1" t="str">
        <f ca="1">IFERROR(__xludf.DUMMYFUNCTION("""COMPUTED_VALUE"""),"N")</f>
        <v>N</v>
      </c>
      <c r="V346" s="1" t="str">
        <f ca="1">IFERROR(__xludf.DUMMYFUNCTION("""COMPUTED_VALUE"""),"N")</f>
        <v>N</v>
      </c>
      <c r="W346" s="1"/>
      <c r="X346" s="1"/>
      <c r="Y346" s="1" t="str">
        <f ca="1">IFERROR(__xludf.DUMMYFUNCTION("""COMPUTED_VALUE"""),"Olivia Trofimuk")</f>
        <v>Olivia Trofimuk</v>
      </c>
      <c r="Z346" s="1" t="str">
        <f ca="1">IFERROR(__xludf.DUMMYFUNCTION("""COMPUTED_VALUE"""),"oltrofimuk@gmail.com")</f>
        <v>oltrofimuk@gmail.com</v>
      </c>
      <c r="AA346" s="1"/>
      <c r="AB346" s="1"/>
      <c r="AC346" s="1"/>
    </row>
    <row r="347" spans="1:29">
      <c r="A347" s="1" t="str">
        <f ca="1">IFERROR(__xludf.DUMMYFUNCTION("""COMPUTED_VALUE"""),"192 Alleghany Street")</f>
        <v>192 Alleghany Street</v>
      </c>
      <c r="B347" s="1">
        <f ca="1">IFERROR(__xludf.DUMMYFUNCTION("""COMPUTED_VALUE"""),192)</f>
        <v>192</v>
      </c>
      <c r="C347" s="1" t="str">
        <f ca="1">IFERROR(__xludf.DUMMYFUNCTION("""COMPUTED_VALUE"""),"#2")</f>
        <v>#2</v>
      </c>
      <c r="D347" s="1" t="str">
        <f ca="1">IFERROR(__xludf.DUMMYFUNCTION("""COMPUTED_VALUE"""),"192 Alleghany Street Unit 2")</f>
        <v>192 Alleghany Street Unit 2</v>
      </c>
      <c r="E347" s="1" t="str">
        <f ca="1">IFERROR(__xludf.DUMMYFUNCTION("""COMPUTED_VALUE"""),"Boston")</f>
        <v>Boston</v>
      </c>
      <c r="F347" s="1" t="str">
        <f ca="1">IFERROR(__xludf.DUMMYFUNCTION("""COMPUTED_VALUE"""),"Boston - Mission Hill")</f>
        <v>Boston - Mission Hill</v>
      </c>
      <c r="G347" s="1">
        <f ca="1">IFERROR(__xludf.DUMMYFUNCTION("""COMPUTED_VALUE"""),4)</f>
        <v>4</v>
      </c>
      <c r="H347" s="1" t="str">
        <f ca="1">IFERROR(__xludf.DUMMYFUNCTION("""COMPUTED_VALUE"""),"D")</f>
        <v>D</v>
      </c>
      <c r="I347" s="4" t="str">
        <f ca="1">IFERROR(__xludf.DUMMYFUNCTION("""COMPUTED_VALUE"""),"192 Alleghany Street#2D")</f>
        <v>192 Alleghany Street#2D</v>
      </c>
      <c r="J347" s="4" t="str">
        <f ca="1">IFERROR(__xludf.DUMMYFUNCTION("""COMPUTED_VALUE"""),"cfd76857-ab7b-4652-8f00-0c0df459ae8f")</f>
        <v>cfd76857-ab7b-4652-8f00-0c0df459ae8f</v>
      </c>
      <c r="K347" s="4">
        <f ca="1">IFERROR(__xludf.DUMMYFUNCTION("""COMPUTED_VALUE"""),995)</f>
        <v>995</v>
      </c>
      <c r="L347" s="1" t="str">
        <f ca="1">IFERROR(__xludf.DUMMYFUNCTION("""COMPUTED_VALUE"""),"Cam")</f>
        <v>Cam</v>
      </c>
      <c r="M347" s="1" t="str">
        <f ca="1">IFERROR(__xludf.DUMMYFUNCTION("""COMPUTED_VALUE"""),"")</f>
        <v/>
      </c>
      <c r="N347" s="1" t="str">
        <f ca="1">IFERROR(__xludf.DUMMYFUNCTION("""COMPUTED_VALUE"""),"")</f>
        <v/>
      </c>
      <c r="O347" s="1" t="str">
        <f ca="1">IFERROR(__xludf.DUMMYFUNCTION("""COMPUTED_VALUE"""),"Occupied")</f>
        <v>Occupied</v>
      </c>
      <c r="P347" s="1"/>
      <c r="Q347" s="1"/>
      <c r="R347" s="1"/>
      <c r="S347" s="1" t="str">
        <f ca="1">IFERROR(__xludf.DUMMYFUNCTION("""COMPUTED_VALUE"""),"NO CATS OR DOGS")</f>
        <v>NO CATS OR DOGS</v>
      </c>
      <c r="T347" s="1"/>
      <c r="U347" s="1" t="str">
        <f ca="1">IFERROR(__xludf.DUMMYFUNCTION("""COMPUTED_VALUE"""),"N")</f>
        <v>N</v>
      </c>
      <c r="V347" s="1" t="str">
        <f ca="1">IFERROR(__xludf.DUMMYFUNCTION("""COMPUTED_VALUE"""),"N")</f>
        <v>N</v>
      </c>
      <c r="W347" s="1"/>
      <c r="X347" s="1"/>
      <c r="Y347" s="1" t="str">
        <f ca="1">IFERROR(__xludf.DUMMYFUNCTION("""COMPUTED_VALUE"""),"George Liang")</f>
        <v>George Liang</v>
      </c>
      <c r="Z347" s="1" t="str">
        <f ca="1">IFERROR(__xludf.DUMMYFUNCTION("""COMPUTED_VALUE"""),"liang.ge@northeastern.edu")</f>
        <v>liang.ge@northeastern.edu</v>
      </c>
      <c r="AA347" s="1"/>
      <c r="AB347" s="1"/>
      <c r="AC347" s="1"/>
    </row>
    <row r="348" spans="1:29">
      <c r="A348" s="1" t="str">
        <f ca="1">IFERROR(__xludf.DUMMYFUNCTION("""COMPUTED_VALUE"""),"192 Alleghany Street")</f>
        <v>192 Alleghany Street</v>
      </c>
      <c r="B348" s="1">
        <f ca="1">IFERROR(__xludf.DUMMYFUNCTION("""COMPUTED_VALUE"""),192)</f>
        <v>192</v>
      </c>
      <c r="C348" s="1" t="str">
        <f ca="1">IFERROR(__xludf.DUMMYFUNCTION("""COMPUTED_VALUE"""),"#2")</f>
        <v>#2</v>
      </c>
      <c r="D348" s="1" t="str">
        <f ca="1">IFERROR(__xludf.DUMMYFUNCTION("""COMPUTED_VALUE"""),"192 Alleghany Street Unit 2")</f>
        <v>192 Alleghany Street Unit 2</v>
      </c>
      <c r="E348" s="1" t="str">
        <f ca="1">IFERROR(__xludf.DUMMYFUNCTION("""COMPUTED_VALUE"""),"Boston")</f>
        <v>Boston</v>
      </c>
      <c r="F348" s="1" t="str">
        <f ca="1">IFERROR(__xludf.DUMMYFUNCTION("""COMPUTED_VALUE"""),"Boston - Mission Hill")</f>
        <v>Boston - Mission Hill</v>
      </c>
      <c r="G348" s="1">
        <f ca="1">IFERROR(__xludf.DUMMYFUNCTION("""COMPUTED_VALUE"""),5)</f>
        <v>5</v>
      </c>
      <c r="H348" s="1" t="str">
        <f ca="1">IFERROR(__xludf.DUMMYFUNCTION("""COMPUTED_VALUE"""),"E")</f>
        <v>E</v>
      </c>
      <c r="I348" s="4" t="str">
        <f ca="1">IFERROR(__xludf.DUMMYFUNCTION("""COMPUTED_VALUE"""),"192 Alleghany Street#2E")</f>
        <v>192 Alleghany Street#2E</v>
      </c>
      <c r="J348" s="4" t="str">
        <f ca="1">IFERROR(__xludf.DUMMYFUNCTION("""COMPUTED_VALUE"""),"cfd76857-ab7b-4652-8f00-0c0df459ae8f")</f>
        <v>cfd76857-ab7b-4652-8f00-0c0df459ae8f</v>
      </c>
      <c r="K348" s="4">
        <f ca="1">IFERROR(__xludf.DUMMYFUNCTION("""COMPUTED_VALUE"""),1100)</f>
        <v>1100</v>
      </c>
      <c r="L348" s="1" t="str">
        <f ca="1">IFERROR(__xludf.DUMMYFUNCTION("""COMPUTED_VALUE"""),"Cam")</f>
        <v>Cam</v>
      </c>
      <c r="M348" s="1" t="str">
        <f ca="1">IFERROR(__xludf.DUMMYFUNCTION("""COMPUTED_VALUE"""),"")</f>
        <v/>
      </c>
      <c r="N348" s="1" t="str">
        <f ca="1">IFERROR(__xludf.DUMMYFUNCTION("""COMPUTED_VALUE"""),"")</f>
        <v/>
      </c>
      <c r="O348" s="1" t="str">
        <f ca="1">IFERROR(__xludf.DUMMYFUNCTION("""COMPUTED_VALUE"""),"Occupied")</f>
        <v>Occupied</v>
      </c>
      <c r="P348" s="1"/>
      <c r="Q348" s="1"/>
      <c r="R348" s="1"/>
      <c r="S348" s="1" t="str">
        <f ca="1">IFERROR(__xludf.DUMMYFUNCTION("""COMPUTED_VALUE"""),"NO CATS OR DOGS")</f>
        <v>NO CATS OR DOGS</v>
      </c>
      <c r="T348" s="1"/>
      <c r="U348" s="1" t="str">
        <f ca="1">IFERROR(__xludf.DUMMYFUNCTION("""COMPUTED_VALUE"""),"N")</f>
        <v>N</v>
      </c>
      <c r="V348" s="1" t="str">
        <f ca="1">IFERROR(__xludf.DUMMYFUNCTION("""COMPUTED_VALUE"""),"N")</f>
        <v>N</v>
      </c>
      <c r="W348" s="1"/>
      <c r="X348" s="1"/>
      <c r="Y348" s="1" t="str">
        <f ca="1">IFERROR(__xludf.DUMMYFUNCTION("""COMPUTED_VALUE"""),"Stephen Grunawalt")</f>
        <v>Stephen Grunawalt</v>
      </c>
      <c r="Z348" s="1" t="str">
        <f ca="1">IFERROR(__xludf.DUMMYFUNCTION("""COMPUTED_VALUE"""),"stgrunawalt@gmail.com")</f>
        <v>stgrunawalt@gmail.com</v>
      </c>
      <c r="AA348" s="1"/>
      <c r="AB348" s="1"/>
      <c r="AC348" s="1" t="str">
        <f ca="1">IFERROR(__xludf.DUMMYFUNCTION("""COMPUTED_VALUE"""),"waiting for deposit, rent was reversed last time")</f>
        <v>waiting for deposit, rent was reversed last time</v>
      </c>
    </row>
    <row r="349" spans="1:29">
      <c r="A349" s="1" t="str">
        <f ca="1">IFERROR(__xludf.DUMMYFUNCTION("""COMPUTED_VALUE"""),"192 Third Street")</f>
        <v>192 Third Street</v>
      </c>
      <c r="B349" s="1">
        <f ca="1">IFERROR(__xludf.DUMMYFUNCTION("""COMPUTED_VALUE"""),192)</f>
        <v>192</v>
      </c>
      <c r="C349" s="1" t="str">
        <f ca="1">IFERROR(__xludf.DUMMYFUNCTION("""COMPUTED_VALUE"""),"#1")</f>
        <v>#1</v>
      </c>
      <c r="D349" s="1" t="str">
        <f ca="1">IFERROR(__xludf.DUMMYFUNCTION("""COMPUTED_VALUE"""),"192 Third Street Unit 1")</f>
        <v>192 Third Street Unit 1</v>
      </c>
      <c r="E349" s="1" t="str">
        <f ca="1">IFERROR(__xludf.DUMMYFUNCTION("""COMPUTED_VALUE"""),"Cambridge")</f>
        <v>Cambridge</v>
      </c>
      <c r="F349" s="1" t="str">
        <f ca="1">IFERROR(__xludf.DUMMYFUNCTION("""COMPUTED_VALUE"""),"Cambridge - East Cambridge")</f>
        <v>Cambridge - East Cambridge</v>
      </c>
      <c r="G349" s="1">
        <f ca="1">IFERROR(__xludf.DUMMYFUNCTION("""COMPUTED_VALUE"""),1)</f>
        <v>1</v>
      </c>
      <c r="H349" s="1" t="str">
        <f ca="1">IFERROR(__xludf.DUMMYFUNCTION("""COMPUTED_VALUE"""),"A")</f>
        <v>A</v>
      </c>
      <c r="I349" s="4" t="str">
        <f ca="1">IFERROR(__xludf.DUMMYFUNCTION("""COMPUTED_VALUE"""),"192 Third Street#1A")</f>
        <v>192 Third Street#1A</v>
      </c>
      <c r="J349" s="4" t="str">
        <f ca="1">IFERROR(__xludf.DUMMYFUNCTION("""COMPUTED_VALUE"""),"08b2e4e2-7048-4de3-9f76-e547943cf828")</f>
        <v>08b2e4e2-7048-4de3-9f76-e547943cf828</v>
      </c>
      <c r="K349" s="4">
        <f ca="1">IFERROR(__xludf.DUMMYFUNCTION("""COMPUTED_VALUE"""),1395)</f>
        <v>1395</v>
      </c>
      <c r="L349" s="1" t="str">
        <f ca="1">IFERROR(__xludf.DUMMYFUNCTION("""COMPUTED_VALUE"""),"Self")</f>
        <v>Self</v>
      </c>
      <c r="M349" s="1" t="str">
        <f ca="1">IFERROR(__xludf.DUMMYFUNCTION("""COMPUTED_VALUE"""),"")</f>
        <v/>
      </c>
      <c r="N349" s="1" t="str">
        <f ca="1">IFERROR(__xludf.DUMMYFUNCTION("""COMPUTED_VALUE"""),"Furnished")</f>
        <v>Furnished</v>
      </c>
      <c r="O349" s="1" t="str">
        <f ca="1">IFERROR(__xludf.DUMMYFUNCTION("""COMPUTED_VALUE"""),"Upcoming Vacancy")</f>
        <v>Upcoming Vacancy</v>
      </c>
      <c r="P349" s="1" t="str">
        <f ca="1">IFERROR(__xludf.DUMMYFUNCTION("""COMPUTED_VALUE"""),"September")</f>
        <v>September</v>
      </c>
      <c r="Q349" s="1"/>
      <c r="R349" s="1"/>
      <c r="S349" s="1" t="str">
        <f ca="1">IFERROR(__xludf.DUMMYFUNCTION("""COMPUTED_VALUE"""),"NO CATS OR DOGS")</f>
        <v>NO CATS OR DOGS</v>
      </c>
      <c r="T349" s="1"/>
      <c r="U349" s="1" t="str">
        <f ca="1">IFERROR(__xludf.DUMMYFUNCTION("""COMPUTED_VALUE"""),"N")</f>
        <v>N</v>
      </c>
      <c r="V349" s="1" t="str">
        <f ca="1">IFERROR(__xludf.DUMMYFUNCTION("""COMPUTED_VALUE"""),"Y")</f>
        <v>Y</v>
      </c>
      <c r="W349" s="1"/>
      <c r="X349" s="1"/>
      <c r="Y349" s="1" t="str">
        <f ca="1">IFERROR(__xludf.DUMMYFUNCTION("""COMPUTED_VALUE"""),"Jonathan Williams")</f>
        <v>Jonathan Williams</v>
      </c>
      <c r="Z349" s="1" t="str">
        <f ca="1">IFERROR(__xludf.DUMMYFUNCTION("""COMPUTED_VALUE"""),"jonathanwms98@gmail.com")</f>
        <v>jonathanwms98@gmail.com</v>
      </c>
      <c r="AA349" s="1"/>
      <c r="AB349" s="1"/>
      <c r="AC349" s="1" t="str">
        <f ca="1">IFERROR(__xludf.DUMMYFUNCTION("""COMPUTED_VALUE"""),"Leaving Offline for now")</f>
        <v>Leaving Offline for now</v>
      </c>
    </row>
    <row r="350" spans="1:29">
      <c r="A350" s="1" t="str">
        <f ca="1">IFERROR(__xludf.DUMMYFUNCTION("""COMPUTED_VALUE"""),"192 Third Street")</f>
        <v>192 Third Street</v>
      </c>
      <c r="B350" s="1">
        <f ca="1">IFERROR(__xludf.DUMMYFUNCTION("""COMPUTED_VALUE"""),192)</f>
        <v>192</v>
      </c>
      <c r="C350" s="1" t="str">
        <f ca="1">IFERROR(__xludf.DUMMYFUNCTION("""COMPUTED_VALUE"""),"#1")</f>
        <v>#1</v>
      </c>
      <c r="D350" s="1" t="str">
        <f ca="1">IFERROR(__xludf.DUMMYFUNCTION("""COMPUTED_VALUE"""),"192 Third Street Unit 1")</f>
        <v>192 Third Street Unit 1</v>
      </c>
      <c r="E350" s="1" t="str">
        <f ca="1">IFERROR(__xludf.DUMMYFUNCTION("""COMPUTED_VALUE"""),"Cambridge")</f>
        <v>Cambridge</v>
      </c>
      <c r="F350" s="1" t="str">
        <f ca="1">IFERROR(__xludf.DUMMYFUNCTION("""COMPUTED_VALUE"""),"Cambridge - East Cambridge")</f>
        <v>Cambridge - East Cambridge</v>
      </c>
      <c r="G350" s="1">
        <f ca="1">IFERROR(__xludf.DUMMYFUNCTION("""COMPUTED_VALUE"""),2)</f>
        <v>2</v>
      </c>
      <c r="H350" s="1" t="str">
        <f ca="1">IFERROR(__xludf.DUMMYFUNCTION("""COMPUTED_VALUE"""),"B")</f>
        <v>B</v>
      </c>
      <c r="I350" s="4" t="str">
        <f ca="1">IFERROR(__xludf.DUMMYFUNCTION("""COMPUTED_VALUE"""),"192 Third Street#1B")</f>
        <v>192 Third Street#1B</v>
      </c>
      <c r="J350" s="4" t="str">
        <f ca="1">IFERROR(__xludf.DUMMYFUNCTION("""COMPUTED_VALUE"""),"08b2e4e2-7048-4de3-9f76-e547943cf828")</f>
        <v>08b2e4e2-7048-4de3-9f76-e547943cf828</v>
      </c>
      <c r="K350" s="4">
        <f ca="1">IFERROR(__xludf.DUMMYFUNCTION("""COMPUTED_VALUE"""),1395)</f>
        <v>1395</v>
      </c>
      <c r="L350" s="1" t="str">
        <f ca="1">IFERROR(__xludf.DUMMYFUNCTION("""COMPUTED_VALUE"""),"Self")</f>
        <v>Self</v>
      </c>
      <c r="M350" s="1" t="str">
        <f ca="1">IFERROR(__xludf.DUMMYFUNCTION("""COMPUTED_VALUE"""),"")</f>
        <v/>
      </c>
      <c r="N350" s="1" t="str">
        <f ca="1">IFERROR(__xludf.DUMMYFUNCTION("""COMPUTED_VALUE"""),"Furnished")</f>
        <v>Furnished</v>
      </c>
      <c r="O350" s="1" t="str">
        <f ca="1">IFERROR(__xludf.DUMMYFUNCTION("""COMPUTED_VALUE"""),"Upcoming Vacancy")</f>
        <v>Upcoming Vacancy</v>
      </c>
      <c r="P350" s="1" t="str">
        <f ca="1">IFERROR(__xludf.DUMMYFUNCTION("""COMPUTED_VALUE"""),"June")</f>
        <v>June</v>
      </c>
      <c r="Q350" s="1"/>
      <c r="R350" s="1"/>
      <c r="S350" s="1" t="str">
        <f ca="1">IFERROR(__xludf.DUMMYFUNCTION("""COMPUTED_VALUE"""),"NO CATS OR DOGS")</f>
        <v>NO CATS OR DOGS</v>
      </c>
      <c r="T350" s="1"/>
      <c r="U350" s="1" t="str">
        <f ca="1">IFERROR(__xludf.DUMMYFUNCTION("""COMPUTED_VALUE"""),"N")</f>
        <v>N</v>
      </c>
      <c r="V350" s="1" t="str">
        <f ca="1">IFERROR(__xludf.DUMMYFUNCTION("""COMPUTED_VALUE"""),"Y")</f>
        <v>Y</v>
      </c>
      <c r="W350" s="1"/>
      <c r="X350" s="1"/>
      <c r="Y350" s="1" t="str">
        <f ca="1">IFERROR(__xludf.DUMMYFUNCTION("""COMPUTED_VALUE"""),"Alejandro Sevilla")</f>
        <v>Alejandro Sevilla</v>
      </c>
      <c r="Z350" s="1" t="str">
        <f ca="1">IFERROR(__xludf.DUMMYFUNCTION("""COMPUTED_VALUE"""),"asevilla@mit.edu")</f>
        <v>asevilla@mit.edu</v>
      </c>
      <c r="AA350" s="1"/>
      <c r="AB350" s="1"/>
      <c r="AC350" s="1" t="str">
        <f ca="1">IFERROR(__xludf.DUMMYFUNCTION("""COMPUTED_VALUE"""),"Leaving Offline for now")</f>
        <v>Leaving Offline for now</v>
      </c>
    </row>
    <row r="351" spans="1:29">
      <c r="A351" s="1" t="str">
        <f ca="1">IFERROR(__xludf.DUMMYFUNCTION("""COMPUTED_VALUE"""),"192 Third Street")</f>
        <v>192 Third Street</v>
      </c>
      <c r="B351" s="1">
        <f ca="1">IFERROR(__xludf.DUMMYFUNCTION("""COMPUTED_VALUE"""),192)</f>
        <v>192</v>
      </c>
      <c r="C351" s="1" t="str">
        <f ca="1">IFERROR(__xludf.DUMMYFUNCTION("""COMPUTED_VALUE"""),"#1")</f>
        <v>#1</v>
      </c>
      <c r="D351" s="1" t="str">
        <f ca="1">IFERROR(__xludf.DUMMYFUNCTION("""COMPUTED_VALUE"""),"192 Third Street Unit 1")</f>
        <v>192 Third Street Unit 1</v>
      </c>
      <c r="E351" s="1" t="str">
        <f ca="1">IFERROR(__xludf.DUMMYFUNCTION("""COMPUTED_VALUE"""),"Cambridge")</f>
        <v>Cambridge</v>
      </c>
      <c r="F351" s="1" t="str">
        <f ca="1">IFERROR(__xludf.DUMMYFUNCTION("""COMPUTED_VALUE"""),"Cambridge - East Cambridge")</f>
        <v>Cambridge - East Cambridge</v>
      </c>
      <c r="G351" s="1">
        <f ca="1">IFERROR(__xludf.DUMMYFUNCTION("""COMPUTED_VALUE"""),3)</f>
        <v>3</v>
      </c>
      <c r="H351" s="1" t="str">
        <f ca="1">IFERROR(__xludf.DUMMYFUNCTION("""COMPUTED_VALUE"""),"C")</f>
        <v>C</v>
      </c>
      <c r="I351" s="4" t="str">
        <f ca="1">IFERROR(__xludf.DUMMYFUNCTION("""COMPUTED_VALUE"""),"192 Third Street#1C")</f>
        <v>192 Third Street#1C</v>
      </c>
      <c r="J351" s="4" t="str">
        <f ca="1">IFERROR(__xludf.DUMMYFUNCTION("""COMPUTED_VALUE"""),"08b2e4e2-7048-4de3-9f76-e547943cf828")</f>
        <v>08b2e4e2-7048-4de3-9f76-e547943cf828</v>
      </c>
      <c r="K351" s="4">
        <f ca="1">IFERROR(__xludf.DUMMYFUNCTION("""COMPUTED_VALUE"""),1195)</f>
        <v>1195</v>
      </c>
      <c r="L351" s="1" t="str">
        <f ca="1">IFERROR(__xludf.DUMMYFUNCTION("""COMPUTED_VALUE"""),"Self")</f>
        <v>Self</v>
      </c>
      <c r="M351" s="1" t="str">
        <f ca="1">IFERROR(__xludf.DUMMYFUNCTION("""COMPUTED_VALUE"""),"")</f>
        <v/>
      </c>
      <c r="N351" s="1" t="str">
        <f ca="1">IFERROR(__xludf.DUMMYFUNCTION("""COMPUTED_VALUE"""),"Furnished")</f>
        <v>Furnished</v>
      </c>
      <c r="O351" s="1" t="str">
        <f ca="1">IFERROR(__xludf.DUMMYFUNCTION("""COMPUTED_VALUE"""),"Upcoming Vacancy")</f>
        <v>Upcoming Vacancy</v>
      </c>
      <c r="P351" s="1" t="str">
        <f ca="1">IFERROR(__xludf.DUMMYFUNCTION("""COMPUTED_VALUE"""),"August")</f>
        <v>August</v>
      </c>
      <c r="Q351" s="1"/>
      <c r="R351" s="1"/>
      <c r="S351" s="1" t="str">
        <f ca="1">IFERROR(__xludf.DUMMYFUNCTION("""COMPUTED_VALUE"""),"NO CATS OR DOGS")</f>
        <v>NO CATS OR DOGS</v>
      </c>
      <c r="T351" s="1"/>
      <c r="U351" s="1" t="str">
        <f ca="1">IFERROR(__xludf.DUMMYFUNCTION("""COMPUTED_VALUE"""),"N")</f>
        <v>N</v>
      </c>
      <c r="V351" s="1" t="str">
        <f ca="1">IFERROR(__xludf.DUMMYFUNCTION("""COMPUTED_VALUE"""),"Y")</f>
        <v>Y</v>
      </c>
      <c r="W351" s="1"/>
      <c r="X351" s="1"/>
      <c r="Y351" s="1" t="str">
        <f ca="1">IFERROR(__xludf.DUMMYFUNCTION("""COMPUTED_VALUE"""),"Andre Eckhardt")</f>
        <v>Andre Eckhardt</v>
      </c>
      <c r="Z351" s="1" t="str">
        <f ca="1">IFERROR(__xludf.DUMMYFUNCTION("""COMPUTED_VALUE"""),"andre.eckhardt@outlook.de")</f>
        <v>andre.eckhardt@outlook.de</v>
      </c>
      <c r="AA351" s="1"/>
      <c r="AB351" s="1"/>
      <c r="AC351" s="1" t="str">
        <f ca="1">IFERROR(__xludf.DUMMYFUNCTION("""COMPUTED_VALUE"""),"Photos Organized in Drive")</f>
        <v>Photos Organized in Drive</v>
      </c>
    </row>
    <row r="352" spans="1:29">
      <c r="A352" s="1" t="str">
        <f ca="1">IFERROR(__xludf.DUMMYFUNCTION("""COMPUTED_VALUE"""),"192 Third Street")</f>
        <v>192 Third Street</v>
      </c>
      <c r="B352" s="1">
        <f ca="1">IFERROR(__xludf.DUMMYFUNCTION("""COMPUTED_VALUE"""),192)</f>
        <v>192</v>
      </c>
      <c r="C352" s="1" t="str">
        <f ca="1">IFERROR(__xludf.DUMMYFUNCTION("""COMPUTED_VALUE"""),"#2")</f>
        <v>#2</v>
      </c>
      <c r="D352" s="1" t="str">
        <f ca="1">IFERROR(__xludf.DUMMYFUNCTION("""COMPUTED_VALUE"""),"192 Third Street Unit 2")</f>
        <v>192 Third Street Unit 2</v>
      </c>
      <c r="E352" s="1" t="str">
        <f ca="1">IFERROR(__xludf.DUMMYFUNCTION("""COMPUTED_VALUE"""),"Cambridge")</f>
        <v>Cambridge</v>
      </c>
      <c r="F352" s="1" t="str">
        <f ca="1">IFERROR(__xludf.DUMMYFUNCTION("""COMPUTED_VALUE"""),"Cambridge - East Cambridge")</f>
        <v>Cambridge - East Cambridge</v>
      </c>
      <c r="G352" s="1">
        <f ca="1">IFERROR(__xludf.DUMMYFUNCTION("""COMPUTED_VALUE"""),1)</f>
        <v>1</v>
      </c>
      <c r="H352" s="1" t="str">
        <f ca="1">IFERROR(__xludf.DUMMYFUNCTION("""COMPUTED_VALUE"""),"A")</f>
        <v>A</v>
      </c>
      <c r="I352" s="4" t="str">
        <f ca="1">IFERROR(__xludf.DUMMYFUNCTION("""COMPUTED_VALUE"""),"192 Third Street#2A")</f>
        <v>192 Third Street#2A</v>
      </c>
      <c r="J352" s="4" t="str">
        <f ca="1">IFERROR(__xludf.DUMMYFUNCTION("""COMPUTED_VALUE"""),"560eedd8-1966-4582-b7b3-42b8a9966769")</f>
        <v>560eedd8-1966-4582-b7b3-42b8a9966769</v>
      </c>
      <c r="K352" s="4">
        <f ca="1">IFERROR(__xludf.DUMMYFUNCTION("""COMPUTED_VALUE"""),995)</f>
        <v>995</v>
      </c>
      <c r="L352" s="1" t="str">
        <f ca="1">IFERROR(__xludf.DUMMYFUNCTION("""COMPUTED_VALUE"""),"Self")</f>
        <v>Self</v>
      </c>
      <c r="M352" s="1" t="str">
        <f ca="1">IFERROR(__xludf.DUMMYFUNCTION("""COMPUTED_VALUE"""),"Self (NOW)")</f>
        <v>Self (NOW)</v>
      </c>
      <c r="N352" s="1" t="str">
        <f ca="1">IFERROR(__xludf.DUMMYFUNCTION("""COMPUTED_VALUE"""),"Furnished")</f>
        <v>Furnished</v>
      </c>
      <c r="O352" s="1" t="str">
        <f ca="1">IFERROR(__xludf.DUMMYFUNCTION("""COMPUTED_VALUE"""),"Upcoming Vacancy")</f>
        <v>Upcoming Vacancy</v>
      </c>
      <c r="P352" s="1" t="str">
        <f ca="1">IFERROR(__xludf.DUMMYFUNCTION("""COMPUTED_VALUE"""),"March")</f>
        <v>March</v>
      </c>
      <c r="Q352" s="3">
        <f ca="1">IFERROR(__xludf.DUMMYFUNCTION("""COMPUTED_VALUE"""),43889)</f>
        <v>43889</v>
      </c>
      <c r="R352" s="1"/>
      <c r="S352" s="1" t="str">
        <f ca="1">IFERROR(__xludf.DUMMYFUNCTION("""COMPUTED_VALUE"""),"NO CATS OR DOGS")</f>
        <v>NO CATS OR DOGS</v>
      </c>
      <c r="T352" s="1"/>
      <c r="U352" s="1" t="str">
        <f ca="1">IFERROR(__xludf.DUMMYFUNCTION("""COMPUTED_VALUE"""),"Y")</f>
        <v>Y</v>
      </c>
      <c r="V352" s="1" t="str">
        <f ca="1">IFERROR(__xludf.DUMMYFUNCTION("""COMPUTED_VALUE"""),"Y")</f>
        <v>Y</v>
      </c>
      <c r="W352" s="1"/>
      <c r="X352" s="1"/>
      <c r="Y352" s="1" t="str">
        <f ca="1">IFERROR(__xludf.DUMMYFUNCTION("""COMPUTED_VALUE"""),"May Underhill-Proulx")</f>
        <v>May Underhill-Proulx</v>
      </c>
      <c r="Z352" s="1" t="str">
        <f ca="1">IFERROR(__xludf.DUMMYFUNCTION("""COMPUTED_VALUE"""),"may.proulx@gmail.com")</f>
        <v>may.proulx@gmail.com</v>
      </c>
      <c r="AA352" s="1"/>
      <c r="AB352" s="1"/>
      <c r="AC352" s="1" t="str">
        <f ca="1">IFERROR(__xludf.DUMMYFUNCTION("""COMPUTED_VALUE"""),"Photos are organized in Drive")</f>
        <v>Photos are organized in Drive</v>
      </c>
    </row>
    <row r="353" spans="1:29">
      <c r="A353" s="1" t="str">
        <f ca="1">IFERROR(__xludf.DUMMYFUNCTION("""COMPUTED_VALUE"""),"192 Third Street")</f>
        <v>192 Third Street</v>
      </c>
      <c r="B353" s="1">
        <f ca="1">IFERROR(__xludf.DUMMYFUNCTION("""COMPUTED_VALUE"""),192)</f>
        <v>192</v>
      </c>
      <c r="C353" s="1" t="str">
        <f ca="1">IFERROR(__xludf.DUMMYFUNCTION("""COMPUTED_VALUE"""),"#2")</f>
        <v>#2</v>
      </c>
      <c r="D353" s="1" t="str">
        <f ca="1">IFERROR(__xludf.DUMMYFUNCTION("""COMPUTED_VALUE"""),"192 Third Street Unit 2")</f>
        <v>192 Third Street Unit 2</v>
      </c>
      <c r="E353" s="1" t="str">
        <f ca="1">IFERROR(__xludf.DUMMYFUNCTION("""COMPUTED_VALUE"""),"Cambridge")</f>
        <v>Cambridge</v>
      </c>
      <c r="F353" s="1" t="str">
        <f ca="1">IFERROR(__xludf.DUMMYFUNCTION("""COMPUTED_VALUE"""),"Cambridge - East Cambridge")</f>
        <v>Cambridge - East Cambridge</v>
      </c>
      <c r="G353" s="1">
        <f ca="1">IFERROR(__xludf.DUMMYFUNCTION("""COMPUTED_VALUE"""),2)</f>
        <v>2</v>
      </c>
      <c r="H353" s="1" t="str">
        <f ca="1">IFERROR(__xludf.DUMMYFUNCTION("""COMPUTED_VALUE"""),"B")</f>
        <v>B</v>
      </c>
      <c r="I353" s="4" t="str">
        <f ca="1">IFERROR(__xludf.DUMMYFUNCTION("""COMPUTED_VALUE"""),"192 Third Street#2B")</f>
        <v>192 Third Street#2B</v>
      </c>
      <c r="J353" s="4" t="str">
        <f ca="1">IFERROR(__xludf.DUMMYFUNCTION("""COMPUTED_VALUE"""),"560eedd8-1966-4582-b7b3-42b8a9966769")</f>
        <v>560eedd8-1966-4582-b7b3-42b8a9966769</v>
      </c>
      <c r="K353" s="4">
        <f ca="1">IFERROR(__xludf.DUMMYFUNCTION("""COMPUTED_VALUE"""),1195)</f>
        <v>1195</v>
      </c>
      <c r="L353" s="1" t="str">
        <f ca="1">IFERROR(__xludf.DUMMYFUNCTION("""COMPUTED_VALUE"""),"Self")</f>
        <v>Self</v>
      </c>
      <c r="M353" s="1" t="str">
        <f ca="1">IFERROR(__xludf.DUMMYFUNCTION("""COMPUTED_VALUE"""),"")</f>
        <v/>
      </c>
      <c r="N353" s="1" t="str">
        <f ca="1">IFERROR(__xludf.DUMMYFUNCTION("""COMPUTED_VALUE"""),"Furnished")</f>
        <v>Furnished</v>
      </c>
      <c r="O353" s="1" t="str">
        <f ca="1">IFERROR(__xludf.DUMMYFUNCTION("""COMPUTED_VALUE"""),"Lease Signed")</f>
        <v>Lease Signed</v>
      </c>
      <c r="P353" s="1" t="str">
        <f ca="1">IFERROR(__xludf.DUMMYFUNCTION("""COMPUTED_VALUE"""),"February")</f>
        <v>February</v>
      </c>
      <c r="Q353" s="1"/>
      <c r="R353" s="5">
        <f ca="1">IFERROR(__xludf.DUMMYFUNCTION("""COMPUTED_VALUE"""),43862)</f>
        <v>43862</v>
      </c>
      <c r="S353" s="1" t="str">
        <f ca="1">IFERROR(__xludf.DUMMYFUNCTION("""COMPUTED_VALUE"""),"NO CATS OR DOGS")</f>
        <v>NO CATS OR DOGS</v>
      </c>
      <c r="T353" s="1"/>
      <c r="U353" s="1" t="str">
        <f ca="1">IFERROR(__xludf.DUMMYFUNCTION("""COMPUTED_VALUE"""),"Y")</f>
        <v>Y</v>
      </c>
      <c r="V353" s="1" t="str">
        <f ca="1">IFERROR(__xludf.DUMMYFUNCTION("""COMPUTED_VALUE"""),"Y")</f>
        <v>Y</v>
      </c>
      <c r="W353" s="1" t="str">
        <f ca="1">IFERROR(__xludf.DUMMYFUNCTION("""COMPUTED_VALUE"""),"Adriana Lembcke")</f>
        <v>Adriana Lembcke</v>
      </c>
      <c r="X353" s="1" t="str">
        <f ca="1">IFERROR(__xludf.DUMMYFUNCTION("""COMPUTED_VALUE"""),"alembcke@mit.edu")</f>
        <v>alembcke@mit.edu</v>
      </c>
      <c r="Y353" s="1"/>
      <c r="Z353" s="1"/>
      <c r="AA353" s="1"/>
      <c r="AB353" s="1"/>
      <c r="AC353" s="1" t="str">
        <f ca="1">IFERROR(__xludf.DUMMYFUNCTION("""COMPUTED_VALUE"""),"Photos are organized in Drive")</f>
        <v>Photos are organized in Drive</v>
      </c>
    </row>
    <row r="354" spans="1:29">
      <c r="A354" s="1" t="str">
        <f ca="1">IFERROR(__xludf.DUMMYFUNCTION("""COMPUTED_VALUE"""),"192 Third Street")</f>
        <v>192 Third Street</v>
      </c>
      <c r="B354" s="1">
        <f ca="1">IFERROR(__xludf.DUMMYFUNCTION("""COMPUTED_VALUE"""),192)</f>
        <v>192</v>
      </c>
      <c r="C354" s="1" t="str">
        <f ca="1">IFERROR(__xludf.DUMMYFUNCTION("""COMPUTED_VALUE"""),"#2")</f>
        <v>#2</v>
      </c>
      <c r="D354" s="1" t="str">
        <f ca="1">IFERROR(__xludf.DUMMYFUNCTION("""COMPUTED_VALUE"""),"192 Third Street Unit 2")</f>
        <v>192 Third Street Unit 2</v>
      </c>
      <c r="E354" s="1" t="str">
        <f ca="1">IFERROR(__xludf.DUMMYFUNCTION("""COMPUTED_VALUE"""),"Cambridge")</f>
        <v>Cambridge</v>
      </c>
      <c r="F354" s="1" t="str">
        <f ca="1">IFERROR(__xludf.DUMMYFUNCTION("""COMPUTED_VALUE"""),"Cambridge - East Cambridge")</f>
        <v>Cambridge - East Cambridge</v>
      </c>
      <c r="G354" s="1">
        <f ca="1">IFERROR(__xludf.DUMMYFUNCTION("""COMPUTED_VALUE"""),3)</f>
        <v>3</v>
      </c>
      <c r="H354" s="1" t="str">
        <f ca="1">IFERROR(__xludf.DUMMYFUNCTION("""COMPUTED_VALUE"""),"C")</f>
        <v>C</v>
      </c>
      <c r="I354" s="4" t="str">
        <f ca="1">IFERROR(__xludf.DUMMYFUNCTION("""COMPUTED_VALUE"""),"192 Third Street#2C")</f>
        <v>192 Third Street#2C</v>
      </c>
      <c r="J354" s="4" t="str">
        <f ca="1">IFERROR(__xludf.DUMMYFUNCTION("""COMPUTED_VALUE"""),"560eedd8-1966-4582-b7b3-42b8a9966769")</f>
        <v>560eedd8-1966-4582-b7b3-42b8a9966769</v>
      </c>
      <c r="K354" s="4">
        <f ca="1">IFERROR(__xludf.DUMMYFUNCTION("""COMPUTED_VALUE"""),1295)</f>
        <v>1295</v>
      </c>
      <c r="L354" s="1" t="str">
        <f ca="1">IFERROR(__xludf.DUMMYFUNCTION("""COMPUTED_VALUE"""),"Self")</f>
        <v>Self</v>
      </c>
      <c r="M354" s="1" t="str">
        <f ca="1">IFERROR(__xludf.DUMMYFUNCTION("""COMPUTED_VALUE"""),"Self (NOW)")</f>
        <v>Self (NOW)</v>
      </c>
      <c r="N354" s="1" t="str">
        <f ca="1">IFERROR(__xludf.DUMMYFUNCTION("""COMPUTED_VALUE"""),"Furnished")</f>
        <v>Furnished</v>
      </c>
      <c r="O354" s="1" t="str">
        <f ca="1">IFERROR(__xludf.DUMMYFUNCTION("""COMPUTED_VALUE"""),"Vacant")</f>
        <v>Vacant</v>
      </c>
      <c r="P354" s="1"/>
      <c r="Q354" s="1"/>
      <c r="R354" s="1"/>
      <c r="S354" s="1" t="str">
        <f ca="1">IFERROR(__xludf.DUMMYFUNCTION("""COMPUTED_VALUE"""),"NO CATS OR DOGS")</f>
        <v>NO CATS OR DOGS</v>
      </c>
      <c r="T354" s="1"/>
      <c r="U354" s="1" t="str">
        <f ca="1">IFERROR(__xludf.DUMMYFUNCTION("""COMPUTED_VALUE"""),"Y")</f>
        <v>Y</v>
      </c>
      <c r="V354" s="1" t="str">
        <f ca="1">IFERROR(__xludf.DUMMYFUNCTION("""COMPUTED_VALUE"""),"Y")</f>
        <v>Y</v>
      </c>
      <c r="W354" s="1"/>
      <c r="X354" s="1"/>
      <c r="Y354" s="1" t="str">
        <f ca="1">IFERROR(__xludf.DUMMYFUNCTION("""COMPUTED_VALUE"""),"Karen Kanazawa")</f>
        <v>Karen Kanazawa</v>
      </c>
      <c r="Z354" s="1" t="str">
        <f ca="1">IFERROR(__xludf.DUMMYFUNCTION("""COMPUTED_VALUE"""),"karenkay1019@gmail.com")</f>
        <v>karenkay1019@gmail.com</v>
      </c>
      <c r="AA354" s="1"/>
      <c r="AB354" s="1"/>
      <c r="AC354" s="1" t="str">
        <f ca="1">IFERROR(__xludf.DUMMYFUNCTION("""COMPUTED_VALUE"""),"Photos are organized in Drive")</f>
        <v>Photos are organized in Drive</v>
      </c>
    </row>
    <row r="355" spans="1:29">
      <c r="A355" s="1" t="str">
        <f ca="1">IFERROR(__xludf.DUMMYFUNCTION("""COMPUTED_VALUE"""),"208 Cedar Street")</f>
        <v>208 Cedar Street</v>
      </c>
      <c r="B355" s="1">
        <f ca="1">IFERROR(__xludf.DUMMYFUNCTION("""COMPUTED_VALUE"""),208)</f>
        <v>208</v>
      </c>
      <c r="C355" s="1" t="str">
        <f ca="1">IFERROR(__xludf.DUMMYFUNCTION("""COMPUTED_VALUE"""),"#2")</f>
        <v>#2</v>
      </c>
      <c r="D355" s="1" t="str">
        <f ca="1">IFERROR(__xludf.DUMMYFUNCTION("""COMPUTED_VALUE"""),"208 Cedar Street Unit 2")</f>
        <v>208 Cedar Street Unit 2</v>
      </c>
      <c r="E355" s="1" t="str">
        <f ca="1">IFERROR(__xludf.DUMMYFUNCTION("""COMPUTED_VALUE"""),"Somerville")</f>
        <v>Somerville</v>
      </c>
      <c r="F355" s="1" t="str">
        <f ca="1">IFERROR(__xludf.DUMMYFUNCTION("""COMPUTED_VALUE"""),"Somerville - Powder House Square")</f>
        <v>Somerville - Powder House Square</v>
      </c>
      <c r="G355" s="1">
        <f ca="1">IFERROR(__xludf.DUMMYFUNCTION("""COMPUTED_VALUE"""),1)</f>
        <v>1</v>
      </c>
      <c r="H355" s="1" t="str">
        <f ca="1">IFERROR(__xludf.DUMMYFUNCTION("""COMPUTED_VALUE"""),"A")</f>
        <v>A</v>
      </c>
      <c r="I355" s="4" t="str">
        <f ca="1">IFERROR(__xludf.DUMMYFUNCTION("""COMPUTED_VALUE"""),"208 Cedar Street#2A")</f>
        <v>208 Cedar Street#2A</v>
      </c>
      <c r="J355" s="4" t="str">
        <f ca="1">IFERROR(__xludf.DUMMYFUNCTION("""COMPUTED_VALUE"""),"831b7929-20e0-4ed0-9bff-75c87a99b566")</f>
        <v>831b7929-20e0-4ed0-9bff-75c87a99b566</v>
      </c>
      <c r="K355" s="4">
        <f ca="1">IFERROR(__xludf.DUMMYFUNCTION("""COMPUTED_VALUE"""),1550)</f>
        <v>1550</v>
      </c>
      <c r="L355" s="1" t="str">
        <f ca="1">IFERROR(__xludf.DUMMYFUNCTION("""COMPUTED_VALUE"""),"Lizzie")</f>
        <v>Lizzie</v>
      </c>
      <c r="M355" s="1" t="str">
        <f ca="1">IFERROR(__xludf.DUMMYFUNCTION("""COMPUTED_VALUE"""),"")</f>
        <v/>
      </c>
      <c r="N355" s="1" t="str">
        <f ca="1">IFERROR(__xludf.DUMMYFUNCTION("""COMPUTED_VALUE"""),"")</f>
        <v/>
      </c>
      <c r="O355" s="1" t="str">
        <f ca="1">IFERROR(__xludf.DUMMYFUNCTION("""COMPUTED_VALUE"""),"Occupied")</f>
        <v>Occupied</v>
      </c>
      <c r="P355" s="1"/>
      <c r="Q355" s="1"/>
      <c r="R355" s="1"/>
      <c r="S355" s="1"/>
      <c r="T355" s="1"/>
      <c r="U355" s="1" t="str">
        <f ca="1">IFERROR(__xludf.DUMMYFUNCTION("""COMPUTED_VALUE"""),"N")</f>
        <v>N</v>
      </c>
      <c r="V355" s="1" t="str">
        <f ca="1">IFERROR(__xludf.DUMMYFUNCTION("""COMPUTED_VALUE"""),"Y")</f>
        <v>Y</v>
      </c>
      <c r="W355" s="1"/>
      <c r="X355" s="1"/>
      <c r="Y355" s="1" t="str">
        <f ca="1">IFERROR(__xludf.DUMMYFUNCTION("""COMPUTED_VALUE"""),"Michael Skeehan")</f>
        <v>Michael Skeehan</v>
      </c>
      <c r="Z355" s="1" t="str">
        <f ca="1">IFERROR(__xludf.DUMMYFUNCTION("""COMPUTED_VALUE"""),"skeehanm@gmail.com")</f>
        <v>skeehanm@gmail.com</v>
      </c>
      <c r="AA355" s="1"/>
      <c r="AB355" s="1"/>
      <c r="AC355" s="1"/>
    </row>
    <row r="356" spans="1:29">
      <c r="A356" s="1" t="str">
        <f ca="1">IFERROR(__xludf.DUMMYFUNCTION("""COMPUTED_VALUE"""),"208 Cedar Street")</f>
        <v>208 Cedar Street</v>
      </c>
      <c r="B356" s="1">
        <f ca="1">IFERROR(__xludf.DUMMYFUNCTION("""COMPUTED_VALUE"""),208)</f>
        <v>208</v>
      </c>
      <c r="C356" s="1" t="str">
        <f ca="1">IFERROR(__xludf.DUMMYFUNCTION("""COMPUTED_VALUE"""),"#2")</f>
        <v>#2</v>
      </c>
      <c r="D356" s="1" t="str">
        <f ca="1">IFERROR(__xludf.DUMMYFUNCTION("""COMPUTED_VALUE"""),"208 Cedar Street Unit 2")</f>
        <v>208 Cedar Street Unit 2</v>
      </c>
      <c r="E356" s="1" t="str">
        <f ca="1">IFERROR(__xludf.DUMMYFUNCTION("""COMPUTED_VALUE"""),"Somerville")</f>
        <v>Somerville</v>
      </c>
      <c r="F356" s="1" t="str">
        <f ca="1">IFERROR(__xludf.DUMMYFUNCTION("""COMPUTED_VALUE"""),"Somerville - Powder House Square")</f>
        <v>Somerville - Powder House Square</v>
      </c>
      <c r="G356" s="1">
        <f ca="1">IFERROR(__xludf.DUMMYFUNCTION("""COMPUTED_VALUE"""),2)</f>
        <v>2</v>
      </c>
      <c r="H356" s="1" t="str">
        <f ca="1">IFERROR(__xludf.DUMMYFUNCTION("""COMPUTED_VALUE"""),"B")</f>
        <v>B</v>
      </c>
      <c r="I356" s="4" t="str">
        <f ca="1">IFERROR(__xludf.DUMMYFUNCTION("""COMPUTED_VALUE"""),"208 Cedar Street#2B")</f>
        <v>208 Cedar Street#2B</v>
      </c>
      <c r="J356" s="4" t="str">
        <f ca="1">IFERROR(__xludf.DUMMYFUNCTION("""COMPUTED_VALUE"""),"831b7929-20e0-4ed0-9bff-75c87a99b566")</f>
        <v>831b7929-20e0-4ed0-9bff-75c87a99b566</v>
      </c>
      <c r="K356" s="4">
        <f ca="1">IFERROR(__xludf.DUMMYFUNCTION("""COMPUTED_VALUE"""),1495)</f>
        <v>1495</v>
      </c>
      <c r="L356" s="1" t="str">
        <f ca="1">IFERROR(__xludf.DUMMYFUNCTION("""COMPUTED_VALUE"""),"Lizzie")</f>
        <v>Lizzie</v>
      </c>
      <c r="M356" s="1" t="str">
        <f ca="1">IFERROR(__xludf.DUMMYFUNCTION("""COMPUTED_VALUE"""),"")</f>
        <v/>
      </c>
      <c r="N356" s="1" t="str">
        <f ca="1">IFERROR(__xludf.DUMMYFUNCTION("""COMPUTED_VALUE"""),"")</f>
        <v/>
      </c>
      <c r="O356" s="1" t="str">
        <f ca="1">IFERROR(__xludf.DUMMYFUNCTION("""COMPUTED_VALUE"""),"Occupied")</f>
        <v>Occupied</v>
      </c>
      <c r="P356" s="1"/>
      <c r="Q356" s="1"/>
      <c r="R356" s="1"/>
      <c r="S356" s="1"/>
      <c r="T356" s="1"/>
      <c r="U356" s="1" t="str">
        <f ca="1">IFERROR(__xludf.DUMMYFUNCTION("""COMPUTED_VALUE"""),"N")</f>
        <v>N</v>
      </c>
      <c r="V356" s="1" t="str">
        <f ca="1">IFERROR(__xludf.DUMMYFUNCTION("""COMPUTED_VALUE"""),"Y")</f>
        <v>Y</v>
      </c>
      <c r="W356" s="1"/>
      <c r="X356" s="1"/>
      <c r="Y356" s="1" t="str">
        <f ca="1">IFERROR(__xludf.DUMMYFUNCTION("""COMPUTED_VALUE"""),"Ben Niuatoa")</f>
        <v>Ben Niuatoa</v>
      </c>
      <c r="Z356" s="1" t="str">
        <f ca="1">IFERROR(__xludf.DUMMYFUNCTION("""COMPUTED_VALUE"""),"benniuatoa@gmail.com")</f>
        <v>benniuatoa@gmail.com</v>
      </c>
      <c r="AA356" s="1"/>
      <c r="AB356" s="1"/>
      <c r="AC356" s="1"/>
    </row>
    <row r="357" spans="1:29">
      <c r="A357" s="1" t="str">
        <f ca="1">IFERROR(__xludf.DUMMYFUNCTION("""COMPUTED_VALUE"""),"231 Norfolk Street")</f>
        <v>231 Norfolk Street</v>
      </c>
      <c r="B357" s="1">
        <f ca="1">IFERROR(__xludf.DUMMYFUNCTION("""COMPUTED_VALUE"""),231)</f>
        <v>231</v>
      </c>
      <c r="C357" s="1" t="str">
        <f ca="1">IFERROR(__xludf.DUMMYFUNCTION("""COMPUTED_VALUE"""),"#1")</f>
        <v>#1</v>
      </c>
      <c r="D357" s="1" t="str">
        <f ca="1">IFERROR(__xludf.DUMMYFUNCTION("""COMPUTED_VALUE"""),"231 Norfolk Street Unit 1")</f>
        <v>231 Norfolk Street Unit 1</v>
      </c>
      <c r="E357" s="1" t="str">
        <f ca="1">IFERROR(__xludf.DUMMYFUNCTION("""COMPUTED_VALUE"""),"Cambridge")</f>
        <v>Cambridge</v>
      </c>
      <c r="F357" s="1" t="str">
        <f ca="1">IFERROR(__xludf.DUMMYFUNCTION("""COMPUTED_VALUE"""),"Cambridge - Inman Square")</f>
        <v>Cambridge - Inman Square</v>
      </c>
      <c r="G357" s="1">
        <f ca="1">IFERROR(__xludf.DUMMYFUNCTION("""COMPUTED_VALUE"""),1)</f>
        <v>1</v>
      </c>
      <c r="H357" s="1" t="str">
        <f ca="1">IFERROR(__xludf.DUMMYFUNCTION("""COMPUTED_VALUE"""),"A")</f>
        <v>A</v>
      </c>
      <c r="I357" s="4" t="str">
        <f ca="1">IFERROR(__xludf.DUMMYFUNCTION("""COMPUTED_VALUE"""),"231 Norfolk Street#1A")</f>
        <v>231 Norfolk Street#1A</v>
      </c>
      <c r="J357" s="4" t="str">
        <f ca="1">IFERROR(__xludf.DUMMYFUNCTION("""COMPUTED_VALUE"""),"f4ab3a2b-6001-4a30-a316-68992549c59d")</f>
        <v>f4ab3a2b-6001-4a30-a316-68992549c59d</v>
      </c>
      <c r="K357" s="4">
        <f ca="1">IFERROR(__xludf.DUMMYFUNCTION("""COMPUTED_VALUE"""),1100)</f>
        <v>1100</v>
      </c>
      <c r="L357" s="1" t="str">
        <f ca="1">IFERROR(__xludf.DUMMYFUNCTION("""COMPUTED_VALUE"""),"Daniel")</f>
        <v>Daniel</v>
      </c>
      <c r="M357" s="1" t="str">
        <f ca="1">IFERROR(__xludf.DUMMYFUNCTION("""COMPUTED_VALUE"""),"")</f>
        <v/>
      </c>
      <c r="N357" s="1" t="str">
        <f ca="1">IFERROR(__xludf.DUMMYFUNCTION("""COMPUTED_VALUE"""),"")</f>
        <v/>
      </c>
      <c r="O357" s="1" t="str">
        <f ca="1">IFERROR(__xludf.DUMMYFUNCTION("""COMPUTED_VALUE"""),"Occupied")</f>
        <v>Occupied</v>
      </c>
      <c r="P357" s="1"/>
      <c r="Q357" s="1"/>
      <c r="R357" s="1"/>
      <c r="S357" s="1"/>
      <c r="T357" s="1"/>
      <c r="U357" s="1" t="str">
        <f ca="1">IFERROR(__xludf.DUMMYFUNCTION("""COMPUTED_VALUE"""),"Y")</f>
        <v>Y</v>
      </c>
      <c r="V357" s="1" t="str">
        <f ca="1">IFERROR(__xludf.DUMMYFUNCTION("""COMPUTED_VALUE"""),"N")</f>
        <v>N</v>
      </c>
      <c r="W357" s="1"/>
      <c r="X357" s="1"/>
      <c r="Y357" s="1" t="str">
        <f ca="1">IFERROR(__xludf.DUMMYFUNCTION("""COMPUTED_VALUE"""),"Kevin Rodriguez")</f>
        <v>Kevin Rodriguez</v>
      </c>
      <c r="Z357" s="1" t="str">
        <f ca="1">IFERROR(__xludf.DUMMYFUNCTION("""COMPUTED_VALUE"""),"kevin_darthvader@hotmail.com")</f>
        <v>kevin_darthvader@hotmail.com</v>
      </c>
      <c r="AA357" s="1"/>
      <c r="AB357" s="1"/>
      <c r="AC357" s="1" t="str">
        <f ca="1">IFERROR(__xludf.DUMMYFUNCTION("""COMPUTED_VALUE"""),"getting settled offline (current resident)")</f>
        <v>getting settled offline (current resident)</v>
      </c>
    </row>
    <row r="358" spans="1:29">
      <c r="A358" s="1" t="str">
        <f ca="1">IFERROR(__xludf.DUMMYFUNCTION("""COMPUTED_VALUE"""),"231 Norfolk Street")</f>
        <v>231 Norfolk Street</v>
      </c>
      <c r="B358" s="1">
        <f ca="1">IFERROR(__xludf.DUMMYFUNCTION("""COMPUTED_VALUE"""),231)</f>
        <v>231</v>
      </c>
      <c r="C358" s="1" t="str">
        <f ca="1">IFERROR(__xludf.DUMMYFUNCTION("""COMPUTED_VALUE"""),"#1")</f>
        <v>#1</v>
      </c>
      <c r="D358" s="1" t="str">
        <f ca="1">IFERROR(__xludf.DUMMYFUNCTION("""COMPUTED_VALUE"""),"231 Norfolk Street Unit 1")</f>
        <v>231 Norfolk Street Unit 1</v>
      </c>
      <c r="E358" s="1" t="str">
        <f ca="1">IFERROR(__xludf.DUMMYFUNCTION("""COMPUTED_VALUE"""),"Cambridge")</f>
        <v>Cambridge</v>
      </c>
      <c r="F358" s="1" t="str">
        <f ca="1">IFERROR(__xludf.DUMMYFUNCTION("""COMPUTED_VALUE"""),"Cambridge - Inman Square")</f>
        <v>Cambridge - Inman Square</v>
      </c>
      <c r="G358" s="1">
        <f ca="1">IFERROR(__xludf.DUMMYFUNCTION("""COMPUTED_VALUE"""),2)</f>
        <v>2</v>
      </c>
      <c r="H358" s="1" t="str">
        <f ca="1">IFERROR(__xludf.DUMMYFUNCTION("""COMPUTED_VALUE"""),"B")</f>
        <v>B</v>
      </c>
      <c r="I358" s="4" t="str">
        <f ca="1">IFERROR(__xludf.DUMMYFUNCTION("""COMPUTED_VALUE"""),"231 Norfolk Street#1B")</f>
        <v>231 Norfolk Street#1B</v>
      </c>
      <c r="J358" s="4" t="str">
        <f ca="1">IFERROR(__xludf.DUMMYFUNCTION("""COMPUTED_VALUE"""),"f4ab3a2b-6001-4a30-a316-68992549c59d")</f>
        <v>f4ab3a2b-6001-4a30-a316-68992549c59d</v>
      </c>
      <c r="K358" s="4">
        <f ca="1">IFERROR(__xludf.DUMMYFUNCTION("""COMPUTED_VALUE"""),895)</f>
        <v>895</v>
      </c>
      <c r="L358" s="1" t="str">
        <f ca="1">IFERROR(__xludf.DUMMYFUNCTION("""COMPUTED_VALUE"""),"Daniel")</f>
        <v>Daniel</v>
      </c>
      <c r="M358" s="1" t="str">
        <f ca="1">IFERROR(__xludf.DUMMYFUNCTION("""COMPUTED_VALUE"""),"Daniel (NOW)")</f>
        <v>Daniel (NOW)</v>
      </c>
      <c r="N358" s="1" t="str">
        <f ca="1">IFERROR(__xludf.DUMMYFUNCTION("""COMPUTED_VALUE"""),"")</f>
        <v/>
      </c>
      <c r="O358" s="1" t="str">
        <f ca="1">IFERROR(__xludf.DUMMYFUNCTION("""COMPUTED_VALUE"""),"Vacant")</f>
        <v>Vacant</v>
      </c>
      <c r="P358" s="1"/>
      <c r="Q358" s="1"/>
      <c r="R358" s="1"/>
      <c r="S358" s="1"/>
      <c r="T358" s="1"/>
      <c r="U358" s="1" t="str">
        <f ca="1">IFERROR(__xludf.DUMMYFUNCTION("""COMPUTED_VALUE"""),"Y")</f>
        <v>Y</v>
      </c>
      <c r="V358" s="1" t="str">
        <f ca="1">IFERROR(__xludf.DUMMYFUNCTION("""COMPUTED_VALUE"""),"N")</f>
        <v>N</v>
      </c>
      <c r="W358" s="1"/>
      <c r="X358" s="1"/>
      <c r="Y358" s="1"/>
      <c r="Z358" s="1"/>
      <c r="AA358" s="1"/>
      <c r="AB358" s="1"/>
      <c r="AC358" s="1"/>
    </row>
    <row r="359" spans="1:29">
      <c r="A359" s="1" t="str">
        <f ca="1">IFERROR(__xludf.DUMMYFUNCTION("""COMPUTED_VALUE"""),"231 Norfolk Street")</f>
        <v>231 Norfolk Street</v>
      </c>
      <c r="B359" s="1">
        <f ca="1">IFERROR(__xludf.DUMMYFUNCTION("""COMPUTED_VALUE"""),231)</f>
        <v>231</v>
      </c>
      <c r="C359" s="1" t="str">
        <f ca="1">IFERROR(__xludf.DUMMYFUNCTION("""COMPUTED_VALUE"""),"#1")</f>
        <v>#1</v>
      </c>
      <c r="D359" s="1" t="str">
        <f ca="1">IFERROR(__xludf.DUMMYFUNCTION("""COMPUTED_VALUE"""),"231 Norfolk Street Unit 1")</f>
        <v>231 Norfolk Street Unit 1</v>
      </c>
      <c r="E359" s="1" t="str">
        <f ca="1">IFERROR(__xludf.DUMMYFUNCTION("""COMPUTED_VALUE"""),"Cambridge")</f>
        <v>Cambridge</v>
      </c>
      <c r="F359" s="1" t="str">
        <f ca="1">IFERROR(__xludf.DUMMYFUNCTION("""COMPUTED_VALUE"""),"Cambridge - Inman Square")</f>
        <v>Cambridge - Inman Square</v>
      </c>
      <c r="G359" s="1">
        <f ca="1">IFERROR(__xludf.DUMMYFUNCTION("""COMPUTED_VALUE"""),3)</f>
        <v>3</v>
      </c>
      <c r="H359" s="1" t="str">
        <f ca="1">IFERROR(__xludf.DUMMYFUNCTION("""COMPUTED_VALUE"""),"C")</f>
        <v>C</v>
      </c>
      <c r="I359" s="4" t="str">
        <f ca="1">IFERROR(__xludf.DUMMYFUNCTION("""COMPUTED_VALUE"""),"231 Norfolk Street#1C")</f>
        <v>231 Norfolk Street#1C</v>
      </c>
      <c r="J359" s="4" t="str">
        <f ca="1">IFERROR(__xludf.DUMMYFUNCTION("""COMPUTED_VALUE"""),"f4ab3a2b-6001-4a30-a316-68992549c59d")</f>
        <v>f4ab3a2b-6001-4a30-a316-68992549c59d</v>
      </c>
      <c r="K359" s="4">
        <f ca="1">IFERROR(__xludf.DUMMYFUNCTION("""COMPUTED_VALUE"""),1195)</f>
        <v>1195</v>
      </c>
      <c r="L359" s="1" t="str">
        <f ca="1">IFERROR(__xludf.DUMMYFUNCTION("""COMPUTED_VALUE"""),"Daniel")</f>
        <v>Daniel</v>
      </c>
      <c r="M359" s="1" t="str">
        <f ca="1">IFERROR(__xludf.DUMMYFUNCTION("""COMPUTED_VALUE"""),"")</f>
        <v/>
      </c>
      <c r="N359" s="1" t="str">
        <f ca="1">IFERROR(__xludf.DUMMYFUNCTION("""COMPUTED_VALUE"""),"")</f>
        <v/>
      </c>
      <c r="O359" s="1" t="str">
        <f ca="1">IFERROR(__xludf.DUMMYFUNCTION("""COMPUTED_VALUE"""),"Occupied")</f>
        <v>Occupied</v>
      </c>
      <c r="P359" s="1"/>
      <c r="Q359" s="1"/>
      <c r="R359" s="1"/>
      <c r="S359" s="1"/>
      <c r="T359" s="1" t="str">
        <f ca="1">IFERROR(__xludf.DUMMYFUNCTION("""COMPUTED_VALUE"""),"NO CATS OR DOGS")</f>
        <v>NO CATS OR DOGS</v>
      </c>
      <c r="U359" s="1" t="str">
        <f ca="1">IFERROR(__xludf.DUMMYFUNCTION("""COMPUTED_VALUE"""),"Y")</f>
        <v>Y</v>
      </c>
      <c r="V359" s="1" t="str">
        <f ca="1">IFERROR(__xludf.DUMMYFUNCTION("""COMPUTED_VALUE"""),"N")</f>
        <v>N</v>
      </c>
      <c r="W359" s="1"/>
      <c r="X359" s="1"/>
      <c r="Y359" s="1" t="str">
        <f ca="1">IFERROR(__xludf.DUMMYFUNCTION("""COMPUTED_VALUE"""),"Hunter Fingado")</f>
        <v>Hunter Fingado</v>
      </c>
      <c r="Z359" s="1" t="str">
        <f ca="1">IFERROR(__xludf.DUMMYFUNCTION("""COMPUTED_VALUE"""),"hfingado@tutanota.com")</f>
        <v>hfingado@tutanota.com</v>
      </c>
      <c r="AA359" s="1"/>
      <c r="AB359" s="1"/>
      <c r="AC359" s="1"/>
    </row>
    <row r="360" spans="1:29">
      <c r="A360" s="1" t="str">
        <f ca="1">IFERROR(__xludf.DUMMYFUNCTION("""COMPUTED_VALUE"""),"231 Norfolk Street")</f>
        <v>231 Norfolk Street</v>
      </c>
      <c r="B360" s="1">
        <f ca="1">IFERROR(__xludf.DUMMYFUNCTION("""COMPUTED_VALUE"""),231)</f>
        <v>231</v>
      </c>
      <c r="C360" s="1" t="str">
        <f ca="1">IFERROR(__xludf.DUMMYFUNCTION("""COMPUTED_VALUE"""),"#1")</f>
        <v>#1</v>
      </c>
      <c r="D360" s="1" t="str">
        <f ca="1">IFERROR(__xludf.DUMMYFUNCTION("""COMPUTED_VALUE"""),"231 Norfolk Street Unit 1")</f>
        <v>231 Norfolk Street Unit 1</v>
      </c>
      <c r="E360" s="1" t="str">
        <f ca="1">IFERROR(__xludf.DUMMYFUNCTION("""COMPUTED_VALUE"""),"Cambridge")</f>
        <v>Cambridge</v>
      </c>
      <c r="F360" s="1" t="str">
        <f ca="1">IFERROR(__xludf.DUMMYFUNCTION("""COMPUTED_VALUE"""),"Cambridge - Inman Square")</f>
        <v>Cambridge - Inman Square</v>
      </c>
      <c r="G360" s="1">
        <f ca="1">IFERROR(__xludf.DUMMYFUNCTION("""COMPUTED_VALUE"""),4)</f>
        <v>4</v>
      </c>
      <c r="H360" s="1" t="str">
        <f ca="1">IFERROR(__xludf.DUMMYFUNCTION("""COMPUTED_VALUE"""),"D")</f>
        <v>D</v>
      </c>
      <c r="I360" s="4" t="str">
        <f ca="1">IFERROR(__xludf.DUMMYFUNCTION("""COMPUTED_VALUE"""),"231 Norfolk Street#1D")</f>
        <v>231 Norfolk Street#1D</v>
      </c>
      <c r="J360" s="4" t="str">
        <f ca="1">IFERROR(__xludf.DUMMYFUNCTION("""COMPUTED_VALUE"""),"f4ab3a2b-6001-4a30-a316-68992549c59d")</f>
        <v>f4ab3a2b-6001-4a30-a316-68992549c59d</v>
      </c>
      <c r="K360" s="4">
        <f ca="1">IFERROR(__xludf.DUMMYFUNCTION("""COMPUTED_VALUE"""),1225)</f>
        <v>1225</v>
      </c>
      <c r="L360" s="1" t="str">
        <f ca="1">IFERROR(__xludf.DUMMYFUNCTION("""COMPUTED_VALUE"""),"Daniel")</f>
        <v>Daniel</v>
      </c>
      <c r="M360" s="1" t="str">
        <f ca="1">IFERROR(__xludf.DUMMYFUNCTION("""COMPUTED_VALUE"""),"")</f>
        <v/>
      </c>
      <c r="N360" s="1" t="str">
        <f ca="1">IFERROR(__xludf.DUMMYFUNCTION("""COMPUTED_VALUE"""),"")</f>
        <v/>
      </c>
      <c r="O360" s="1" t="str">
        <f ca="1">IFERROR(__xludf.DUMMYFUNCTION("""COMPUTED_VALUE"""),"Occupied")</f>
        <v>Occupied</v>
      </c>
      <c r="P360" s="1"/>
      <c r="Q360" s="1"/>
      <c r="R360" s="1"/>
      <c r="S360" s="1"/>
      <c r="T360" s="1"/>
      <c r="U360" s="1" t="str">
        <f ca="1">IFERROR(__xludf.DUMMYFUNCTION("""COMPUTED_VALUE"""),"Y")</f>
        <v>Y</v>
      </c>
      <c r="V360" s="1" t="str">
        <f ca="1">IFERROR(__xludf.DUMMYFUNCTION("""COMPUTED_VALUE"""),"N")</f>
        <v>N</v>
      </c>
      <c r="W360" s="1"/>
      <c r="X360" s="1"/>
      <c r="Y360" s="1" t="str">
        <f ca="1">IFERROR(__xludf.DUMMYFUNCTION("""COMPUTED_VALUE"""),"James Cole")</f>
        <v>James Cole</v>
      </c>
      <c r="Z360" s="1" t="str">
        <f ca="1">IFERROR(__xludf.DUMMYFUNCTION("""COMPUTED_VALUE"""),"afinati@yahoo.com")</f>
        <v>afinati@yahoo.com</v>
      </c>
      <c r="AA360" s="1"/>
      <c r="AB360" s="1"/>
      <c r="AC360" s="1" t="str">
        <f ca="1">IFERROR(__xludf.DUMMYFUNCTION("""COMPUTED_VALUE"""),"waiting for both. Wants room furnished, bed, dresser and desk")</f>
        <v>waiting for both. Wants room furnished, bed, dresser and desk</v>
      </c>
    </row>
    <row r="361" spans="1:29">
      <c r="A361" s="1" t="str">
        <f ca="1">IFERROR(__xludf.DUMMYFUNCTION("""COMPUTED_VALUE"""),"231 Norfolk Street")</f>
        <v>231 Norfolk Street</v>
      </c>
      <c r="B361" s="1">
        <f ca="1">IFERROR(__xludf.DUMMYFUNCTION("""COMPUTED_VALUE"""),231)</f>
        <v>231</v>
      </c>
      <c r="C361" s="1" t="str">
        <f ca="1">IFERROR(__xludf.DUMMYFUNCTION("""COMPUTED_VALUE"""),"#1")</f>
        <v>#1</v>
      </c>
      <c r="D361" s="1" t="str">
        <f ca="1">IFERROR(__xludf.DUMMYFUNCTION("""COMPUTED_VALUE"""),"231 Norfolk Street Unit 1")</f>
        <v>231 Norfolk Street Unit 1</v>
      </c>
      <c r="E361" s="1" t="str">
        <f ca="1">IFERROR(__xludf.DUMMYFUNCTION("""COMPUTED_VALUE"""),"Cambridge")</f>
        <v>Cambridge</v>
      </c>
      <c r="F361" s="1" t="str">
        <f ca="1">IFERROR(__xludf.DUMMYFUNCTION("""COMPUTED_VALUE"""),"Cambridge - Inman Square")</f>
        <v>Cambridge - Inman Square</v>
      </c>
      <c r="G361" s="1">
        <f ca="1">IFERROR(__xludf.DUMMYFUNCTION("""COMPUTED_VALUE"""),5)</f>
        <v>5</v>
      </c>
      <c r="H361" s="1" t="str">
        <f ca="1">IFERROR(__xludf.DUMMYFUNCTION("""COMPUTED_VALUE"""),"E")</f>
        <v>E</v>
      </c>
      <c r="I361" s="4" t="str">
        <f ca="1">IFERROR(__xludf.DUMMYFUNCTION("""COMPUTED_VALUE"""),"231 Norfolk Street#1E")</f>
        <v>231 Norfolk Street#1E</v>
      </c>
      <c r="J361" s="4" t="str">
        <f ca="1">IFERROR(__xludf.DUMMYFUNCTION("""COMPUTED_VALUE"""),"f4ab3a2b-6001-4a30-a316-68992549c59d")</f>
        <v>f4ab3a2b-6001-4a30-a316-68992549c59d</v>
      </c>
      <c r="K361" s="4">
        <f ca="1">IFERROR(__xludf.DUMMYFUNCTION("""COMPUTED_VALUE"""),1225)</f>
        <v>1225</v>
      </c>
      <c r="L361" s="1" t="str">
        <f ca="1">IFERROR(__xludf.DUMMYFUNCTION("""COMPUTED_VALUE"""),"Daniel")</f>
        <v>Daniel</v>
      </c>
      <c r="M361" s="1" t="str">
        <f ca="1">IFERROR(__xludf.DUMMYFUNCTION("""COMPUTED_VALUE"""),"")</f>
        <v/>
      </c>
      <c r="N361" s="1" t="str">
        <f ca="1">IFERROR(__xludf.DUMMYFUNCTION("""COMPUTED_VALUE"""),"")</f>
        <v/>
      </c>
      <c r="O361" s="1" t="str">
        <f ca="1">IFERROR(__xludf.DUMMYFUNCTION("""COMPUTED_VALUE"""),"Occupied")</f>
        <v>Occupied</v>
      </c>
      <c r="P361" s="1"/>
      <c r="Q361" s="1"/>
      <c r="R361" s="1"/>
      <c r="S361" s="1"/>
      <c r="T361" s="1"/>
      <c r="U361" s="1" t="str">
        <f ca="1">IFERROR(__xludf.DUMMYFUNCTION("""COMPUTED_VALUE"""),"Y")</f>
        <v>Y</v>
      </c>
      <c r="V361" s="1" t="str">
        <f ca="1">IFERROR(__xludf.DUMMYFUNCTION("""COMPUTED_VALUE"""),"N")</f>
        <v>N</v>
      </c>
      <c r="W361" s="1"/>
      <c r="X361" s="1"/>
      <c r="Y361" s="1" t="str">
        <f ca="1">IFERROR(__xludf.DUMMYFUNCTION("""COMPUTED_VALUE"""),"James Ouk")</f>
        <v>James Ouk</v>
      </c>
      <c r="Z361" s="1" t="str">
        <f ca="1">IFERROR(__xludf.DUMMYFUNCTION("""COMPUTED_VALUE"""),"james2018apartmentsearch@gmail.com")</f>
        <v>james2018apartmentsearch@gmail.com</v>
      </c>
      <c r="AA361" s="1"/>
      <c r="AB361" s="1"/>
      <c r="AC361" s="1"/>
    </row>
    <row r="362" spans="1:29">
      <c r="A362" s="1" t="str">
        <f ca="1">IFERROR(__xludf.DUMMYFUNCTION("""COMPUTED_VALUE"""),"231 Norfolk Street")</f>
        <v>231 Norfolk Street</v>
      </c>
      <c r="B362" s="1">
        <f ca="1">IFERROR(__xludf.DUMMYFUNCTION("""COMPUTED_VALUE"""),231)</f>
        <v>231</v>
      </c>
      <c r="C362" s="1" t="str">
        <f ca="1">IFERROR(__xludf.DUMMYFUNCTION("""COMPUTED_VALUE"""),"#1")</f>
        <v>#1</v>
      </c>
      <c r="D362" s="1" t="str">
        <f ca="1">IFERROR(__xludf.DUMMYFUNCTION("""COMPUTED_VALUE"""),"231 Norfolk Street Unit 1")</f>
        <v>231 Norfolk Street Unit 1</v>
      </c>
      <c r="E362" s="1" t="str">
        <f ca="1">IFERROR(__xludf.DUMMYFUNCTION("""COMPUTED_VALUE"""),"Cambridge")</f>
        <v>Cambridge</v>
      </c>
      <c r="F362" s="1" t="str">
        <f ca="1">IFERROR(__xludf.DUMMYFUNCTION("""COMPUTED_VALUE"""),"Cambridge - Inman Square")</f>
        <v>Cambridge - Inman Square</v>
      </c>
      <c r="G362" s="1">
        <f ca="1">IFERROR(__xludf.DUMMYFUNCTION("""COMPUTED_VALUE"""),6)</f>
        <v>6</v>
      </c>
      <c r="H362" s="1" t="str">
        <f ca="1">IFERROR(__xludf.DUMMYFUNCTION("""COMPUTED_VALUE"""),"F")</f>
        <v>F</v>
      </c>
      <c r="I362" s="4" t="str">
        <f ca="1">IFERROR(__xludf.DUMMYFUNCTION("""COMPUTED_VALUE"""),"231 Norfolk Street#1F")</f>
        <v>231 Norfolk Street#1F</v>
      </c>
      <c r="J362" s="4" t="str">
        <f ca="1">IFERROR(__xludf.DUMMYFUNCTION("""COMPUTED_VALUE"""),"f4ab3a2b-6001-4a30-a316-68992549c59d")</f>
        <v>f4ab3a2b-6001-4a30-a316-68992549c59d</v>
      </c>
      <c r="K362" s="4">
        <f ca="1">IFERROR(__xludf.DUMMYFUNCTION("""COMPUTED_VALUE"""),795)</f>
        <v>795</v>
      </c>
      <c r="L362" s="1" t="str">
        <f ca="1">IFERROR(__xludf.DUMMYFUNCTION("""COMPUTED_VALUE"""),"Daniel")</f>
        <v>Daniel</v>
      </c>
      <c r="M362" s="1" t="str">
        <f ca="1">IFERROR(__xludf.DUMMYFUNCTION("""COMPUTED_VALUE"""),"")</f>
        <v/>
      </c>
      <c r="N362" s="1" t="str">
        <f ca="1">IFERROR(__xludf.DUMMYFUNCTION("""COMPUTED_VALUE"""),"")</f>
        <v/>
      </c>
      <c r="O362" s="1" t="str">
        <f ca="1">IFERROR(__xludf.DUMMYFUNCTION("""COMPUTED_VALUE"""),"Occupied")</f>
        <v>Occupied</v>
      </c>
      <c r="P362" s="1"/>
      <c r="Q362" s="1"/>
      <c r="R362" s="1"/>
      <c r="S362" s="1"/>
      <c r="T362" s="1"/>
      <c r="U362" s="1" t="str">
        <f ca="1">IFERROR(__xludf.DUMMYFUNCTION("""COMPUTED_VALUE"""),"Y")</f>
        <v>Y</v>
      </c>
      <c r="V362" s="1" t="str">
        <f ca="1">IFERROR(__xludf.DUMMYFUNCTION("""COMPUTED_VALUE"""),"N")</f>
        <v>N</v>
      </c>
      <c r="W362" s="1"/>
      <c r="X362" s="1"/>
      <c r="Y362" s="1" t="str">
        <f ca="1">IFERROR(__xludf.DUMMYFUNCTION("""COMPUTED_VALUE"""),"Akshay Gidh")</f>
        <v>Akshay Gidh</v>
      </c>
      <c r="Z362" s="1" t="str">
        <f ca="1">IFERROR(__xludf.DUMMYFUNCTION("""COMPUTED_VALUE"""),"gidhakshay15@gmail.com")</f>
        <v>gidhakshay15@gmail.com</v>
      </c>
      <c r="AA362" s="1"/>
      <c r="AB362" s="1"/>
      <c r="AC362" s="1"/>
    </row>
    <row r="363" spans="1:29">
      <c r="A363" s="1" t="str">
        <f ca="1">IFERROR(__xludf.DUMMYFUNCTION("""COMPUTED_VALUE"""),"231 Norfolk Street")</f>
        <v>231 Norfolk Street</v>
      </c>
      <c r="B363" s="1">
        <f ca="1">IFERROR(__xludf.DUMMYFUNCTION("""COMPUTED_VALUE"""),231)</f>
        <v>231</v>
      </c>
      <c r="C363" s="1" t="str">
        <f ca="1">IFERROR(__xludf.DUMMYFUNCTION("""COMPUTED_VALUE"""),"#1")</f>
        <v>#1</v>
      </c>
      <c r="D363" s="1" t="str">
        <f ca="1">IFERROR(__xludf.DUMMYFUNCTION("""COMPUTED_VALUE"""),"231 Norfolk Street Unit 1")</f>
        <v>231 Norfolk Street Unit 1</v>
      </c>
      <c r="E363" s="1" t="str">
        <f ca="1">IFERROR(__xludf.DUMMYFUNCTION("""COMPUTED_VALUE"""),"Cambridge")</f>
        <v>Cambridge</v>
      </c>
      <c r="F363" s="1" t="str">
        <f ca="1">IFERROR(__xludf.DUMMYFUNCTION("""COMPUTED_VALUE"""),"Cambridge - Inman Square")</f>
        <v>Cambridge - Inman Square</v>
      </c>
      <c r="G363" s="1">
        <f ca="1">IFERROR(__xludf.DUMMYFUNCTION("""COMPUTED_VALUE"""),7)</f>
        <v>7</v>
      </c>
      <c r="H363" s="1" t="str">
        <f ca="1">IFERROR(__xludf.DUMMYFUNCTION("""COMPUTED_VALUE"""),"G")</f>
        <v>G</v>
      </c>
      <c r="I363" s="4" t="str">
        <f ca="1">IFERROR(__xludf.DUMMYFUNCTION("""COMPUTED_VALUE"""),"231 Norfolk Street#1G")</f>
        <v>231 Norfolk Street#1G</v>
      </c>
      <c r="J363" s="4" t="str">
        <f ca="1">IFERROR(__xludf.DUMMYFUNCTION("""COMPUTED_VALUE"""),"f4ab3a2b-6001-4a30-a316-68992549c59d")</f>
        <v>f4ab3a2b-6001-4a30-a316-68992549c59d</v>
      </c>
      <c r="K363" s="4">
        <f ca="1">IFERROR(__xludf.DUMMYFUNCTION("""COMPUTED_VALUE"""),1150)</f>
        <v>1150</v>
      </c>
      <c r="L363" s="1" t="str">
        <f ca="1">IFERROR(__xludf.DUMMYFUNCTION("""COMPUTED_VALUE"""),"Daniel")</f>
        <v>Daniel</v>
      </c>
      <c r="M363" s="1" t="str">
        <f ca="1">IFERROR(__xludf.DUMMYFUNCTION("""COMPUTED_VALUE"""),"")</f>
        <v/>
      </c>
      <c r="N363" s="1" t="str">
        <f ca="1">IFERROR(__xludf.DUMMYFUNCTION("""COMPUTED_VALUE"""),"")</f>
        <v/>
      </c>
      <c r="O363" s="1" t="str">
        <f ca="1">IFERROR(__xludf.DUMMYFUNCTION("""COMPUTED_VALUE"""),"Occupied")</f>
        <v>Occupied</v>
      </c>
      <c r="P363" s="1"/>
      <c r="Q363" s="1"/>
      <c r="R363" s="1"/>
      <c r="S363" s="1"/>
      <c r="T363" s="1"/>
      <c r="U363" s="1" t="str">
        <f ca="1">IFERROR(__xludf.DUMMYFUNCTION("""COMPUTED_VALUE"""),"Y")</f>
        <v>Y</v>
      </c>
      <c r="V363" s="1" t="str">
        <f ca="1">IFERROR(__xludf.DUMMYFUNCTION("""COMPUTED_VALUE"""),"N")</f>
        <v>N</v>
      </c>
      <c r="W363" s="1"/>
      <c r="X363" s="1"/>
      <c r="Y363" s="1" t="str">
        <f ca="1">IFERROR(__xludf.DUMMYFUNCTION("""COMPUTED_VALUE"""),"Ben Provost")</f>
        <v>Ben Provost</v>
      </c>
      <c r="Z363" s="1" t="str">
        <f ca="1">IFERROR(__xludf.DUMMYFUNCTION("""COMPUTED_VALUE"""),"bprovost@outlook.com")</f>
        <v>bprovost@outlook.com</v>
      </c>
      <c r="AA363" s="1"/>
      <c r="AB363" s="1"/>
      <c r="AC363" s="1"/>
    </row>
    <row r="364" spans="1:29">
      <c r="A364" s="1" t="str">
        <f ca="1">IFERROR(__xludf.DUMMYFUNCTION("""COMPUTED_VALUE"""),"231 Norfolk Street")</f>
        <v>231 Norfolk Street</v>
      </c>
      <c r="B364" s="1">
        <f ca="1">IFERROR(__xludf.DUMMYFUNCTION("""COMPUTED_VALUE"""),231)</f>
        <v>231</v>
      </c>
      <c r="C364" s="1" t="str">
        <f ca="1">IFERROR(__xludf.DUMMYFUNCTION("""COMPUTED_VALUE"""),"#4")</f>
        <v>#4</v>
      </c>
      <c r="D364" s="1" t="str">
        <f ca="1">IFERROR(__xludf.DUMMYFUNCTION("""COMPUTED_VALUE"""),"231 Norfolk Street Unit 4")</f>
        <v>231 Norfolk Street Unit 4</v>
      </c>
      <c r="E364" s="1" t="str">
        <f ca="1">IFERROR(__xludf.DUMMYFUNCTION("""COMPUTED_VALUE"""),"Cambridge")</f>
        <v>Cambridge</v>
      </c>
      <c r="F364" s="1" t="str">
        <f ca="1">IFERROR(__xludf.DUMMYFUNCTION("""COMPUTED_VALUE"""),"Cambridge - Inman Square")</f>
        <v>Cambridge - Inman Square</v>
      </c>
      <c r="G364" s="1">
        <f ca="1">IFERROR(__xludf.DUMMYFUNCTION("""COMPUTED_VALUE"""),1)</f>
        <v>1</v>
      </c>
      <c r="H364" s="1" t="str">
        <f ca="1">IFERROR(__xludf.DUMMYFUNCTION("""COMPUTED_VALUE"""),"A")</f>
        <v>A</v>
      </c>
      <c r="I364" s="4" t="str">
        <f ca="1">IFERROR(__xludf.DUMMYFUNCTION("""COMPUTED_VALUE"""),"231 Norfolk Street#4A")</f>
        <v>231 Norfolk Street#4A</v>
      </c>
      <c r="J364" s="4" t="str">
        <f ca="1">IFERROR(__xludf.DUMMYFUNCTION("""COMPUTED_VALUE"""),"072d7c57-94eb-4f5c-8ce0-b83aa03e26f2")</f>
        <v>072d7c57-94eb-4f5c-8ce0-b83aa03e26f2</v>
      </c>
      <c r="K364" s="4">
        <f ca="1">IFERROR(__xludf.DUMMYFUNCTION("""COMPUTED_VALUE"""),1100)</f>
        <v>1100</v>
      </c>
      <c r="L364" s="1" t="str">
        <f ca="1">IFERROR(__xludf.DUMMYFUNCTION("""COMPUTED_VALUE"""),"Daniel")</f>
        <v>Daniel</v>
      </c>
      <c r="M364" s="1" t="str">
        <f ca="1">IFERROR(__xludf.DUMMYFUNCTION("""COMPUTED_VALUE"""),"")</f>
        <v/>
      </c>
      <c r="N364" s="1" t="str">
        <f ca="1">IFERROR(__xludf.DUMMYFUNCTION("""COMPUTED_VALUE"""),"")</f>
        <v/>
      </c>
      <c r="O364" s="1" t="str">
        <f ca="1">IFERROR(__xludf.DUMMYFUNCTION("""COMPUTED_VALUE"""),"Occupied")</f>
        <v>Occupied</v>
      </c>
      <c r="P364" s="1"/>
      <c r="Q364" s="1"/>
      <c r="R364" s="1"/>
      <c r="S364" s="1"/>
      <c r="T364" s="1"/>
      <c r="U364" s="1" t="str">
        <f ca="1">IFERROR(__xludf.DUMMYFUNCTION("""COMPUTED_VALUE"""),"Y")</f>
        <v>Y</v>
      </c>
      <c r="V364" s="1" t="str">
        <f ca="1">IFERROR(__xludf.DUMMYFUNCTION("""COMPUTED_VALUE"""),"N")</f>
        <v>N</v>
      </c>
      <c r="W364" s="1"/>
      <c r="X364" s="1"/>
      <c r="Y364" s="1" t="str">
        <f ca="1">IFERROR(__xludf.DUMMYFUNCTION("""COMPUTED_VALUE"""),"Evan Winslow")</f>
        <v>Evan Winslow</v>
      </c>
      <c r="Z364" s="1" t="str">
        <f ca="1">IFERROR(__xludf.DUMMYFUNCTION("""COMPUTED_VALUE"""),"evan.winslow@outlook.com")</f>
        <v>evan.winslow@outlook.com</v>
      </c>
      <c r="AA364" s="1"/>
      <c r="AB364" s="1"/>
      <c r="AC364" s="1"/>
    </row>
    <row r="365" spans="1:29">
      <c r="A365" s="1" t="str">
        <f ca="1">IFERROR(__xludf.DUMMYFUNCTION("""COMPUTED_VALUE"""),"231 Norfolk Street")</f>
        <v>231 Norfolk Street</v>
      </c>
      <c r="B365" s="1">
        <f ca="1">IFERROR(__xludf.DUMMYFUNCTION("""COMPUTED_VALUE"""),231)</f>
        <v>231</v>
      </c>
      <c r="C365" s="1" t="str">
        <f ca="1">IFERROR(__xludf.DUMMYFUNCTION("""COMPUTED_VALUE"""),"#4")</f>
        <v>#4</v>
      </c>
      <c r="D365" s="1" t="str">
        <f ca="1">IFERROR(__xludf.DUMMYFUNCTION("""COMPUTED_VALUE"""),"231 Norfolk Street Unit 4")</f>
        <v>231 Norfolk Street Unit 4</v>
      </c>
      <c r="E365" s="1" t="str">
        <f ca="1">IFERROR(__xludf.DUMMYFUNCTION("""COMPUTED_VALUE"""),"Cambridge")</f>
        <v>Cambridge</v>
      </c>
      <c r="F365" s="1" t="str">
        <f ca="1">IFERROR(__xludf.DUMMYFUNCTION("""COMPUTED_VALUE"""),"Cambridge - Inman Square")</f>
        <v>Cambridge - Inman Square</v>
      </c>
      <c r="G365" s="1">
        <f ca="1">IFERROR(__xludf.DUMMYFUNCTION("""COMPUTED_VALUE"""),2)</f>
        <v>2</v>
      </c>
      <c r="H365" s="1" t="str">
        <f ca="1">IFERROR(__xludf.DUMMYFUNCTION("""COMPUTED_VALUE"""),"B")</f>
        <v>B</v>
      </c>
      <c r="I365" s="4" t="str">
        <f ca="1">IFERROR(__xludf.DUMMYFUNCTION("""COMPUTED_VALUE"""),"231 Norfolk Street#4B")</f>
        <v>231 Norfolk Street#4B</v>
      </c>
      <c r="J365" s="4" t="str">
        <f ca="1">IFERROR(__xludf.DUMMYFUNCTION("""COMPUTED_VALUE"""),"072d7c57-94eb-4f5c-8ce0-b83aa03e26f2")</f>
        <v>072d7c57-94eb-4f5c-8ce0-b83aa03e26f2</v>
      </c>
      <c r="K365" s="4">
        <f ca="1">IFERROR(__xludf.DUMMYFUNCTION("""COMPUTED_VALUE"""),1200)</f>
        <v>1200</v>
      </c>
      <c r="L365" s="1" t="str">
        <f ca="1">IFERROR(__xludf.DUMMYFUNCTION("""COMPUTED_VALUE"""),"Daniel")</f>
        <v>Daniel</v>
      </c>
      <c r="M365" s="1" t="str">
        <f ca="1">IFERROR(__xludf.DUMMYFUNCTION("""COMPUTED_VALUE"""),"")</f>
        <v/>
      </c>
      <c r="N365" s="1" t="str">
        <f ca="1">IFERROR(__xludf.DUMMYFUNCTION("""COMPUTED_VALUE"""),"")</f>
        <v/>
      </c>
      <c r="O365" s="1" t="str">
        <f ca="1">IFERROR(__xludf.DUMMYFUNCTION("""COMPUTED_VALUE"""),"Occupied")</f>
        <v>Occupied</v>
      </c>
      <c r="P365" s="1"/>
      <c r="Q365" s="1"/>
      <c r="R365" s="1"/>
      <c r="S365" s="1"/>
      <c r="T365" s="1"/>
      <c r="U365" s="1" t="str">
        <f ca="1">IFERROR(__xludf.DUMMYFUNCTION("""COMPUTED_VALUE"""),"Y")</f>
        <v>Y</v>
      </c>
      <c r="V365" s="1" t="str">
        <f ca="1">IFERROR(__xludf.DUMMYFUNCTION("""COMPUTED_VALUE"""),"N")</f>
        <v>N</v>
      </c>
      <c r="W365" s="1"/>
      <c r="X365" s="1"/>
      <c r="Y365" s="1" t="str">
        <f ca="1">IFERROR(__xludf.DUMMYFUNCTION("""COMPUTED_VALUE"""),"Ieuan Israel")</f>
        <v>Ieuan Israel</v>
      </c>
      <c r="Z365" s="1" t="str">
        <f ca="1">IFERROR(__xludf.DUMMYFUNCTION("""COMPUTED_VALUE"""),"ieuan97@vt.edu")</f>
        <v>ieuan97@vt.edu</v>
      </c>
      <c r="AA365" s="1"/>
      <c r="AB365" s="1"/>
      <c r="AC365" s="1"/>
    </row>
    <row r="366" spans="1:29">
      <c r="A366" s="1" t="str">
        <f ca="1">IFERROR(__xludf.DUMMYFUNCTION("""COMPUTED_VALUE"""),"231 Norfolk Street")</f>
        <v>231 Norfolk Street</v>
      </c>
      <c r="B366" s="1">
        <f ca="1">IFERROR(__xludf.DUMMYFUNCTION("""COMPUTED_VALUE"""),231)</f>
        <v>231</v>
      </c>
      <c r="C366" s="1" t="str">
        <f ca="1">IFERROR(__xludf.DUMMYFUNCTION("""COMPUTED_VALUE"""),"#4")</f>
        <v>#4</v>
      </c>
      <c r="D366" s="1" t="str">
        <f ca="1">IFERROR(__xludf.DUMMYFUNCTION("""COMPUTED_VALUE"""),"231 Norfolk Street Unit 4")</f>
        <v>231 Norfolk Street Unit 4</v>
      </c>
      <c r="E366" s="1" t="str">
        <f ca="1">IFERROR(__xludf.DUMMYFUNCTION("""COMPUTED_VALUE"""),"Cambridge")</f>
        <v>Cambridge</v>
      </c>
      <c r="F366" s="1" t="str">
        <f ca="1">IFERROR(__xludf.DUMMYFUNCTION("""COMPUTED_VALUE"""),"Cambridge - Inman Square")</f>
        <v>Cambridge - Inman Square</v>
      </c>
      <c r="G366" s="1">
        <f ca="1">IFERROR(__xludf.DUMMYFUNCTION("""COMPUTED_VALUE"""),3)</f>
        <v>3</v>
      </c>
      <c r="H366" s="1" t="str">
        <f ca="1">IFERROR(__xludf.DUMMYFUNCTION("""COMPUTED_VALUE"""),"C")</f>
        <v>C</v>
      </c>
      <c r="I366" s="4" t="str">
        <f ca="1">IFERROR(__xludf.DUMMYFUNCTION("""COMPUTED_VALUE"""),"231 Norfolk Street#4C")</f>
        <v>231 Norfolk Street#4C</v>
      </c>
      <c r="J366" s="4" t="str">
        <f ca="1">IFERROR(__xludf.DUMMYFUNCTION("""COMPUTED_VALUE"""),"072d7c57-94eb-4f5c-8ce0-b83aa03e26f2")</f>
        <v>072d7c57-94eb-4f5c-8ce0-b83aa03e26f2</v>
      </c>
      <c r="K366" s="4">
        <f ca="1">IFERROR(__xludf.DUMMYFUNCTION("""COMPUTED_VALUE"""),1225)</f>
        <v>1225</v>
      </c>
      <c r="L366" s="1" t="str">
        <f ca="1">IFERROR(__xludf.DUMMYFUNCTION("""COMPUTED_VALUE"""),"Daniel")</f>
        <v>Daniel</v>
      </c>
      <c r="M366" s="1" t="str">
        <f ca="1">IFERROR(__xludf.DUMMYFUNCTION("""COMPUTED_VALUE"""),"")</f>
        <v/>
      </c>
      <c r="N366" s="1" t="str">
        <f ca="1">IFERROR(__xludf.DUMMYFUNCTION("""COMPUTED_VALUE"""),"")</f>
        <v/>
      </c>
      <c r="O366" s="1" t="str">
        <f ca="1">IFERROR(__xludf.DUMMYFUNCTION("""COMPUTED_VALUE"""),"Occupied")</f>
        <v>Occupied</v>
      </c>
      <c r="P366" s="1"/>
      <c r="Q366" s="1"/>
      <c r="R366" s="1"/>
      <c r="S366" s="1"/>
      <c r="T366" s="1"/>
      <c r="U366" s="1" t="str">
        <f ca="1">IFERROR(__xludf.DUMMYFUNCTION("""COMPUTED_VALUE"""),"Y")</f>
        <v>Y</v>
      </c>
      <c r="V366" s="1" t="str">
        <f ca="1">IFERROR(__xludf.DUMMYFUNCTION("""COMPUTED_VALUE"""),"N")</f>
        <v>N</v>
      </c>
      <c r="W366" s="1"/>
      <c r="X366" s="1"/>
      <c r="Y366" s="1" t="str">
        <f ca="1">IFERROR(__xludf.DUMMYFUNCTION("""COMPUTED_VALUE"""),"Madeline Maciag")</f>
        <v>Madeline Maciag</v>
      </c>
      <c r="Z366" s="1" t="str">
        <f ca="1">IFERROR(__xludf.DUMMYFUNCTION("""COMPUTED_VALUE"""),"madelinemaciag@gmail.com")</f>
        <v>madelinemaciag@gmail.com</v>
      </c>
      <c r="AA366" s="1"/>
      <c r="AB366" s="1"/>
      <c r="AC366" s="1" t="str">
        <f ca="1">IFERROR(__xludf.DUMMYFUNCTION("""COMPUTED_VALUE"""),"Early move in for 8/30, need to get furniture out of room for James Cole in unit 1")</f>
        <v>Early move in for 8/30, need to get furniture out of room for James Cole in unit 1</v>
      </c>
    </row>
    <row r="367" spans="1:29">
      <c r="A367" s="1" t="str">
        <f ca="1">IFERROR(__xludf.DUMMYFUNCTION("""COMPUTED_VALUE"""),"231 Norfolk Street")</f>
        <v>231 Norfolk Street</v>
      </c>
      <c r="B367" s="1">
        <f ca="1">IFERROR(__xludf.DUMMYFUNCTION("""COMPUTED_VALUE"""),231)</f>
        <v>231</v>
      </c>
      <c r="C367" s="1" t="str">
        <f ca="1">IFERROR(__xludf.DUMMYFUNCTION("""COMPUTED_VALUE"""),"#4")</f>
        <v>#4</v>
      </c>
      <c r="D367" s="1" t="str">
        <f ca="1">IFERROR(__xludf.DUMMYFUNCTION("""COMPUTED_VALUE"""),"231 Norfolk Street Unit 4")</f>
        <v>231 Norfolk Street Unit 4</v>
      </c>
      <c r="E367" s="1" t="str">
        <f ca="1">IFERROR(__xludf.DUMMYFUNCTION("""COMPUTED_VALUE"""),"Cambridge")</f>
        <v>Cambridge</v>
      </c>
      <c r="F367" s="1" t="str">
        <f ca="1">IFERROR(__xludf.DUMMYFUNCTION("""COMPUTED_VALUE"""),"Cambridge - Inman Square")</f>
        <v>Cambridge - Inman Square</v>
      </c>
      <c r="G367" s="1">
        <f ca="1">IFERROR(__xludf.DUMMYFUNCTION("""COMPUTED_VALUE"""),4)</f>
        <v>4</v>
      </c>
      <c r="H367" s="1" t="str">
        <f ca="1">IFERROR(__xludf.DUMMYFUNCTION("""COMPUTED_VALUE"""),"D")</f>
        <v>D</v>
      </c>
      <c r="I367" s="4" t="str">
        <f ca="1">IFERROR(__xludf.DUMMYFUNCTION("""COMPUTED_VALUE"""),"231 Norfolk Street#4D")</f>
        <v>231 Norfolk Street#4D</v>
      </c>
      <c r="J367" s="4" t="str">
        <f ca="1">IFERROR(__xludf.DUMMYFUNCTION("""COMPUTED_VALUE"""),"072d7c57-94eb-4f5c-8ce0-b83aa03e26f2")</f>
        <v>072d7c57-94eb-4f5c-8ce0-b83aa03e26f2</v>
      </c>
      <c r="K367" s="4">
        <f ca="1">IFERROR(__xludf.DUMMYFUNCTION("""COMPUTED_VALUE"""),1300)</f>
        <v>1300</v>
      </c>
      <c r="L367" s="1" t="str">
        <f ca="1">IFERROR(__xludf.DUMMYFUNCTION("""COMPUTED_VALUE"""),"Daniel")</f>
        <v>Daniel</v>
      </c>
      <c r="M367" s="1" t="str">
        <f ca="1">IFERROR(__xludf.DUMMYFUNCTION("""COMPUTED_VALUE"""),"")</f>
        <v/>
      </c>
      <c r="N367" s="1" t="str">
        <f ca="1">IFERROR(__xludf.DUMMYFUNCTION("""COMPUTED_VALUE"""),"")</f>
        <v/>
      </c>
      <c r="O367" s="1" t="str">
        <f ca="1">IFERROR(__xludf.DUMMYFUNCTION("""COMPUTED_VALUE"""),"Occupied")</f>
        <v>Occupied</v>
      </c>
      <c r="P367" s="1"/>
      <c r="Q367" s="1"/>
      <c r="R367" s="1"/>
      <c r="S367" s="1"/>
      <c r="T367" s="1"/>
      <c r="U367" s="1" t="str">
        <f ca="1">IFERROR(__xludf.DUMMYFUNCTION("""COMPUTED_VALUE"""),"Y")</f>
        <v>Y</v>
      </c>
      <c r="V367" s="1" t="str">
        <f ca="1">IFERROR(__xludf.DUMMYFUNCTION("""COMPUTED_VALUE"""),"N")</f>
        <v>N</v>
      </c>
      <c r="W367" s="1"/>
      <c r="X367" s="1"/>
      <c r="Y367" s="1" t="str">
        <f ca="1">IFERROR(__xludf.DUMMYFUNCTION("""COMPUTED_VALUE"""),"Kylie Brown")</f>
        <v>Kylie Brown</v>
      </c>
      <c r="Z367" s="1" t="str">
        <f ca="1">IFERROR(__xludf.DUMMYFUNCTION("""COMPUTED_VALUE"""),"kylie.brown2323@gmail.com")</f>
        <v>kylie.brown2323@gmail.com</v>
      </c>
      <c r="AA367" s="1"/>
      <c r="AB367" s="1"/>
      <c r="AC367" s="1"/>
    </row>
    <row r="368" spans="1:29">
      <c r="A368" s="1" t="str">
        <f ca="1">IFERROR(__xludf.DUMMYFUNCTION("""COMPUTED_VALUE"""),"231 Norfolk Street")</f>
        <v>231 Norfolk Street</v>
      </c>
      <c r="B368" s="1">
        <f ca="1">IFERROR(__xludf.DUMMYFUNCTION("""COMPUTED_VALUE"""),231)</f>
        <v>231</v>
      </c>
      <c r="C368" s="1" t="str">
        <f ca="1">IFERROR(__xludf.DUMMYFUNCTION("""COMPUTED_VALUE"""),"#4")</f>
        <v>#4</v>
      </c>
      <c r="D368" s="1" t="str">
        <f ca="1">IFERROR(__xludf.DUMMYFUNCTION("""COMPUTED_VALUE"""),"231 Norfolk Street Unit 4")</f>
        <v>231 Norfolk Street Unit 4</v>
      </c>
      <c r="E368" s="1" t="str">
        <f ca="1">IFERROR(__xludf.DUMMYFUNCTION("""COMPUTED_VALUE"""),"Cambridge")</f>
        <v>Cambridge</v>
      </c>
      <c r="F368" s="1" t="str">
        <f ca="1">IFERROR(__xludf.DUMMYFUNCTION("""COMPUTED_VALUE"""),"Cambridge - Inman Square")</f>
        <v>Cambridge - Inman Square</v>
      </c>
      <c r="G368" s="1">
        <f ca="1">IFERROR(__xludf.DUMMYFUNCTION("""COMPUTED_VALUE"""),5)</f>
        <v>5</v>
      </c>
      <c r="H368" s="1" t="str">
        <f ca="1">IFERROR(__xludf.DUMMYFUNCTION("""COMPUTED_VALUE"""),"E")</f>
        <v>E</v>
      </c>
      <c r="I368" s="4" t="str">
        <f ca="1">IFERROR(__xludf.DUMMYFUNCTION("""COMPUTED_VALUE"""),"231 Norfolk Street#4E")</f>
        <v>231 Norfolk Street#4E</v>
      </c>
      <c r="J368" s="4" t="str">
        <f ca="1">IFERROR(__xludf.DUMMYFUNCTION("""COMPUTED_VALUE"""),"072d7c57-94eb-4f5c-8ce0-b83aa03e26f2")</f>
        <v>072d7c57-94eb-4f5c-8ce0-b83aa03e26f2</v>
      </c>
      <c r="K368" s="4">
        <f ca="1">IFERROR(__xludf.DUMMYFUNCTION("""COMPUTED_VALUE"""),995)</f>
        <v>995</v>
      </c>
      <c r="L368" s="1" t="str">
        <f ca="1">IFERROR(__xludf.DUMMYFUNCTION("""COMPUTED_VALUE"""),"Daniel")</f>
        <v>Daniel</v>
      </c>
      <c r="M368" s="1" t="str">
        <f ca="1">IFERROR(__xludf.DUMMYFUNCTION("""COMPUTED_VALUE"""),"Daniel (later)")</f>
        <v>Daniel (later)</v>
      </c>
      <c r="N368" s="1" t="str">
        <f ca="1">IFERROR(__xludf.DUMMYFUNCTION("""COMPUTED_VALUE"""),"")</f>
        <v/>
      </c>
      <c r="O368" s="1" t="str">
        <f ca="1">IFERROR(__xludf.DUMMYFUNCTION("""COMPUTED_VALUE"""),"Upcoming Vacancy")</f>
        <v>Upcoming Vacancy</v>
      </c>
      <c r="P368" s="1" t="str">
        <f ca="1">IFERROR(__xludf.DUMMYFUNCTION("""COMPUTED_VALUE"""),"April")</f>
        <v>April</v>
      </c>
      <c r="Q368" s="3">
        <f ca="1">IFERROR(__xludf.DUMMYFUNCTION("""COMPUTED_VALUE"""),43921)</f>
        <v>43921</v>
      </c>
      <c r="R368" s="1"/>
      <c r="S368" s="1"/>
      <c r="T368" s="1"/>
      <c r="U368" s="1" t="str">
        <f ca="1">IFERROR(__xludf.DUMMYFUNCTION("""COMPUTED_VALUE"""),"Y")</f>
        <v>Y</v>
      </c>
      <c r="V368" s="1" t="str">
        <f ca="1">IFERROR(__xludf.DUMMYFUNCTION("""COMPUTED_VALUE"""),"N")</f>
        <v>N</v>
      </c>
      <c r="W368" s="1"/>
      <c r="X368" s="1"/>
      <c r="Y368" s="1" t="str">
        <f ca="1">IFERROR(__xludf.DUMMYFUNCTION("""COMPUTED_VALUE"""),"Chaim Wigder")</f>
        <v>Chaim Wigder</v>
      </c>
      <c r="Z368" s="1" t="str">
        <f ca="1">IFERROR(__xludf.DUMMYFUNCTION("""COMPUTED_VALUE"""),"zwigder@gmail.com")</f>
        <v>zwigder@gmail.com</v>
      </c>
      <c r="AA368" s="1"/>
      <c r="AB368" s="1"/>
      <c r="AC368" s="1"/>
    </row>
    <row r="369" spans="1:29">
      <c r="A369" s="1" t="str">
        <f ca="1">IFERROR(__xludf.DUMMYFUNCTION("""COMPUTED_VALUE"""),"267 Main Street")</f>
        <v>267 Main Street</v>
      </c>
      <c r="B369" s="1">
        <f ca="1">IFERROR(__xludf.DUMMYFUNCTION("""COMPUTED_VALUE"""),267)</f>
        <v>267</v>
      </c>
      <c r="C369" s="1" t="str">
        <f ca="1">IFERROR(__xludf.DUMMYFUNCTION("""COMPUTED_VALUE"""),"#4")</f>
        <v>#4</v>
      </c>
      <c r="D369" s="1" t="str">
        <f ca="1">IFERROR(__xludf.DUMMYFUNCTION("""COMPUTED_VALUE"""),"267 Main Street Unit 4")</f>
        <v>267 Main Street Unit 4</v>
      </c>
      <c r="E369" s="1" t="str">
        <f ca="1">IFERROR(__xludf.DUMMYFUNCTION("""COMPUTED_VALUE"""),"Boston")</f>
        <v>Boston</v>
      </c>
      <c r="F369" s="1" t="str">
        <f ca="1">IFERROR(__xludf.DUMMYFUNCTION("""COMPUTED_VALUE"""),"Boston - Charlestown")</f>
        <v>Boston - Charlestown</v>
      </c>
      <c r="G369" s="1">
        <f ca="1">IFERROR(__xludf.DUMMYFUNCTION("""COMPUTED_VALUE"""),1)</f>
        <v>1</v>
      </c>
      <c r="H369" s="1" t="str">
        <f ca="1">IFERROR(__xludf.DUMMYFUNCTION("""COMPUTED_VALUE"""),"A")</f>
        <v>A</v>
      </c>
      <c r="I369" s="4" t="str">
        <f ca="1">IFERROR(__xludf.DUMMYFUNCTION("""COMPUTED_VALUE"""),"267 Main Street#4A")</f>
        <v>267 Main Street#4A</v>
      </c>
      <c r="J369" s="4" t="str">
        <f ca="1">IFERROR(__xludf.DUMMYFUNCTION("""COMPUTED_VALUE"""),"6911fb48-a02f-4408-9c7e-20c94ffa7579")</f>
        <v>6911fb48-a02f-4408-9c7e-20c94ffa7579</v>
      </c>
      <c r="K369" s="4">
        <f ca="1">IFERROR(__xludf.DUMMYFUNCTION("""COMPUTED_VALUE"""),895)</f>
        <v>895</v>
      </c>
      <c r="L369" s="1" t="str">
        <f ca="1">IFERROR(__xludf.DUMMYFUNCTION("""COMPUTED_VALUE"""),"Cam")</f>
        <v>Cam</v>
      </c>
      <c r="M369" s="1" t="str">
        <f ca="1">IFERROR(__xludf.DUMMYFUNCTION("""COMPUTED_VALUE"""),"")</f>
        <v/>
      </c>
      <c r="N369" s="1" t="str">
        <f ca="1">IFERROR(__xludf.DUMMYFUNCTION("""COMPUTED_VALUE"""),"")</f>
        <v/>
      </c>
      <c r="O369" s="1" t="str">
        <f ca="1">IFERROR(__xludf.DUMMYFUNCTION("""COMPUTED_VALUE"""),"Occupied")</f>
        <v>Occupied</v>
      </c>
      <c r="P369" s="1"/>
      <c r="Q369" s="1"/>
      <c r="R369" s="1"/>
      <c r="S369" s="1" t="str">
        <f ca="1">IFERROR(__xludf.DUMMYFUNCTION("""COMPUTED_VALUE"""),"NO CATS OR DOGS")</f>
        <v>NO CATS OR DOGS</v>
      </c>
      <c r="T369" s="1"/>
      <c r="U369" s="1" t="str">
        <f ca="1">IFERROR(__xludf.DUMMYFUNCTION("""COMPUTED_VALUE"""),"N")</f>
        <v>N</v>
      </c>
      <c r="V369" s="1" t="str">
        <f ca="1">IFERROR(__xludf.DUMMYFUNCTION("""COMPUTED_VALUE"""),"Y")</f>
        <v>Y</v>
      </c>
      <c r="W369" s="1"/>
      <c r="X369" s="1"/>
      <c r="Y369" s="1" t="str">
        <f ca="1">IFERROR(__xludf.DUMMYFUNCTION("""COMPUTED_VALUE"""),"Sophie Duane-Leavitt")</f>
        <v>Sophie Duane-Leavitt</v>
      </c>
      <c r="Z369" s="1" t="str">
        <f ca="1">IFERROR(__xludf.DUMMYFUNCTION("""COMPUTED_VALUE"""),"sophie.duane.leavitt@gmail.com")</f>
        <v>sophie.duane.leavitt@gmail.com</v>
      </c>
      <c r="AA369" s="1"/>
      <c r="AB369" s="1"/>
      <c r="AC369" s="1"/>
    </row>
    <row r="370" spans="1:29">
      <c r="A370" s="1" t="str">
        <f ca="1">IFERROR(__xludf.DUMMYFUNCTION("""COMPUTED_VALUE"""),"267 Main Street")</f>
        <v>267 Main Street</v>
      </c>
      <c r="B370" s="1">
        <f ca="1">IFERROR(__xludf.DUMMYFUNCTION("""COMPUTED_VALUE"""),267)</f>
        <v>267</v>
      </c>
      <c r="C370" s="1" t="str">
        <f ca="1">IFERROR(__xludf.DUMMYFUNCTION("""COMPUTED_VALUE"""),"#4")</f>
        <v>#4</v>
      </c>
      <c r="D370" s="1" t="str">
        <f ca="1">IFERROR(__xludf.DUMMYFUNCTION("""COMPUTED_VALUE"""),"267 Main Street Unit 4")</f>
        <v>267 Main Street Unit 4</v>
      </c>
      <c r="E370" s="1" t="str">
        <f ca="1">IFERROR(__xludf.DUMMYFUNCTION("""COMPUTED_VALUE"""),"Boston")</f>
        <v>Boston</v>
      </c>
      <c r="F370" s="1" t="str">
        <f ca="1">IFERROR(__xludf.DUMMYFUNCTION("""COMPUTED_VALUE"""),"Boston - Charlestown")</f>
        <v>Boston - Charlestown</v>
      </c>
      <c r="G370" s="1">
        <f ca="1">IFERROR(__xludf.DUMMYFUNCTION("""COMPUTED_VALUE"""),2)</f>
        <v>2</v>
      </c>
      <c r="H370" s="1" t="str">
        <f ca="1">IFERROR(__xludf.DUMMYFUNCTION("""COMPUTED_VALUE"""),"B")</f>
        <v>B</v>
      </c>
      <c r="I370" s="4" t="str">
        <f ca="1">IFERROR(__xludf.DUMMYFUNCTION("""COMPUTED_VALUE"""),"267 Main Street#4B")</f>
        <v>267 Main Street#4B</v>
      </c>
      <c r="J370" s="4" t="str">
        <f ca="1">IFERROR(__xludf.DUMMYFUNCTION("""COMPUTED_VALUE"""),"6911fb48-a02f-4408-9c7e-20c94ffa7579")</f>
        <v>6911fb48-a02f-4408-9c7e-20c94ffa7579</v>
      </c>
      <c r="K370" s="4">
        <f ca="1">IFERROR(__xludf.DUMMYFUNCTION("""COMPUTED_VALUE"""),895)</f>
        <v>895</v>
      </c>
      <c r="L370" s="1" t="str">
        <f ca="1">IFERROR(__xludf.DUMMYFUNCTION("""COMPUTED_VALUE"""),"Cam")</f>
        <v>Cam</v>
      </c>
      <c r="M370" s="1" t="str">
        <f ca="1">IFERROR(__xludf.DUMMYFUNCTION("""COMPUTED_VALUE"""),"")</f>
        <v/>
      </c>
      <c r="N370" s="1" t="str">
        <f ca="1">IFERROR(__xludf.DUMMYFUNCTION("""COMPUTED_VALUE"""),"")</f>
        <v/>
      </c>
      <c r="O370" s="1" t="str">
        <f ca="1">IFERROR(__xludf.DUMMYFUNCTION("""COMPUTED_VALUE"""),"Occupied")</f>
        <v>Occupied</v>
      </c>
      <c r="P370" s="1"/>
      <c r="Q370" s="1"/>
      <c r="R370" s="1"/>
      <c r="S370" s="1" t="str">
        <f ca="1">IFERROR(__xludf.DUMMYFUNCTION("""COMPUTED_VALUE"""),"NO CATS OR DOGS")</f>
        <v>NO CATS OR DOGS</v>
      </c>
      <c r="T370" s="1"/>
      <c r="U370" s="1" t="str">
        <f ca="1">IFERROR(__xludf.DUMMYFUNCTION("""COMPUTED_VALUE"""),"N")</f>
        <v>N</v>
      </c>
      <c r="V370" s="1" t="str">
        <f ca="1">IFERROR(__xludf.DUMMYFUNCTION("""COMPUTED_VALUE"""),"Y")</f>
        <v>Y</v>
      </c>
      <c r="W370" s="1"/>
      <c r="X370" s="1"/>
      <c r="Y370" s="1" t="str">
        <f ca="1">IFERROR(__xludf.DUMMYFUNCTION("""COMPUTED_VALUE"""),"Joseph Pierro")</f>
        <v>Joseph Pierro</v>
      </c>
      <c r="Z370" s="1" t="str">
        <f ca="1">IFERROR(__xludf.DUMMYFUNCTION("""COMPUTED_VALUE"""),"jnp1004@wildcats.unh.edu")</f>
        <v>jnp1004@wildcats.unh.edu</v>
      </c>
      <c r="AA370" s="1"/>
      <c r="AB370" s="1"/>
      <c r="AC370" s="1"/>
    </row>
    <row r="371" spans="1:29">
      <c r="A371" s="1" t="str">
        <f ca="1">IFERROR(__xludf.DUMMYFUNCTION("""COMPUTED_VALUE"""),"267 Main Street")</f>
        <v>267 Main Street</v>
      </c>
      <c r="B371" s="1">
        <f ca="1">IFERROR(__xludf.DUMMYFUNCTION("""COMPUTED_VALUE"""),267)</f>
        <v>267</v>
      </c>
      <c r="C371" s="1" t="str">
        <f ca="1">IFERROR(__xludf.DUMMYFUNCTION("""COMPUTED_VALUE"""),"#4")</f>
        <v>#4</v>
      </c>
      <c r="D371" s="1" t="str">
        <f ca="1">IFERROR(__xludf.DUMMYFUNCTION("""COMPUTED_VALUE"""),"267 Main Street Unit 4")</f>
        <v>267 Main Street Unit 4</v>
      </c>
      <c r="E371" s="1" t="str">
        <f ca="1">IFERROR(__xludf.DUMMYFUNCTION("""COMPUTED_VALUE"""),"Boston")</f>
        <v>Boston</v>
      </c>
      <c r="F371" s="1" t="str">
        <f ca="1">IFERROR(__xludf.DUMMYFUNCTION("""COMPUTED_VALUE"""),"Boston - Charlestown")</f>
        <v>Boston - Charlestown</v>
      </c>
      <c r="G371" s="1">
        <f ca="1">IFERROR(__xludf.DUMMYFUNCTION("""COMPUTED_VALUE"""),3)</f>
        <v>3</v>
      </c>
      <c r="H371" s="1" t="str">
        <f ca="1">IFERROR(__xludf.DUMMYFUNCTION("""COMPUTED_VALUE"""),"C")</f>
        <v>C</v>
      </c>
      <c r="I371" s="4" t="str">
        <f ca="1">IFERROR(__xludf.DUMMYFUNCTION("""COMPUTED_VALUE"""),"267 Main Street#4C")</f>
        <v>267 Main Street#4C</v>
      </c>
      <c r="J371" s="4" t="str">
        <f ca="1">IFERROR(__xludf.DUMMYFUNCTION("""COMPUTED_VALUE"""),"6911fb48-a02f-4408-9c7e-20c94ffa7579")</f>
        <v>6911fb48-a02f-4408-9c7e-20c94ffa7579</v>
      </c>
      <c r="K371" s="4">
        <f ca="1">IFERROR(__xludf.DUMMYFUNCTION("""COMPUTED_VALUE"""),895)</f>
        <v>895</v>
      </c>
      <c r="L371" s="1" t="str">
        <f ca="1">IFERROR(__xludf.DUMMYFUNCTION("""COMPUTED_VALUE"""),"Cam")</f>
        <v>Cam</v>
      </c>
      <c r="M371" s="1" t="str">
        <f ca="1">IFERROR(__xludf.DUMMYFUNCTION("""COMPUTED_VALUE"""),"")</f>
        <v/>
      </c>
      <c r="N371" s="1" t="str">
        <f ca="1">IFERROR(__xludf.DUMMYFUNCTION("""COMPUTED_VALUE"""),"")</f>
        <v/>
      </c>
      <c r="O371" s="1" t="str">
        <f ca="1">IFERROR(__xludf.DUMMYFUNCTION("""COMPUTED_VALUE"""),"Lease Signed")</f>
        <v>Lease Signed</v>
      </c>
      <c r="P371" s="1" t="str">
        <f ca="1">IFERROR(__xludf.DUMMYFUNCTION("""COMPUTED_VALUE"""),"February")</f>
        <v>February</v>
      </c>
      <c r="Q371" s="1"/>
      <c r="R371" s="5">
        <f ca="1">IFERROR(__xludf.DUMMYFUNCTION("""COMPUTED_VALUE"""),44238)</f>
        <v>44238</v>
      </c>
      <c r="S371" s="1" t="str">
        <f ca="1">IFERROR(__xludf.DUMMYFUNCTION("""COMPUTED_VALUE"""),"NO CATS OR DOGS")</f>
        <v>NO CATS OR DOGS</v>
      </c>
      <c r="T371" s="1"/>
      <c r="U371" s="1" t="str">
        <f ca="1">IFERROR(__xludf.DUMMYFUNCTION("""COMPUTED_VALUE"""),"N")</f>
        <v>N</v>
      </c>
      <c r="V371" s="1" t="str">
        <f ca="1">IFERROR(__xludf.DUMMYFUNCTION("""COMPUTED_VALUE"""),"Y")</f>
        <v>Y</v>
      </c>
      <c r="W371" s="1" t="str">
        <f ca="1">IFERROR(__xludf.DUMMYFUNCTION("""COMPUTED_VALUE"""),"Evan Cavallaro")</f>
        <v>Evan Cavallaro</v>
      </c>
      <c r="X371" s="1" t="str">
        <f ca="1">IFERROR(__xludf.DUMMYFUNCTION("""COMPUTED_VALUE"""),"ewcavall@syr.edu")</f>
        <v>ewcavall@syr.edu</v>
      </c>
      <c r="Y371" s="1"/>
      <c r="Z371" s="1"/>
      <c r="AA371" s="1"/>
      <c r="AB371" s="1"/>
      <c r="AC371" s="1"/>
    </row>
    <row r="372" spans="1:29">
      <c r="A372" s="1" t="str">
        <f ca="1">IFERROR(__xludf.DUMMYFUNCTION("""COMPUTED_VALUE"""),"275 Dorchester Street")</f>
        <v>275 Dorchester Street</v>
      </c>
      <c r="B372" s="1">
        <f ca="1">IFERROR(__xludf.DUMMYFUNCTION("""COMPUTED_VALUE"""),275)</f>
        <v>275</v>
      </c>
      <c r="C372" s="1" t="str">
        <f ca="1">IFERROR(__xludf.DUMMYFUNCTION("""COMPUTED_VALUE"""),"N/A")</f>
        <v>N/A</v>
      </c>
      <c r="D372" s="1" t="str">
        <f ca="1">IFERROR(__xludf.DUMMYFUNCTION("""COMPUTED_VALUE"""),"275 Dorchester Street")</f>
        <v>275 Dorchester Street</v>
      </c>
      <c r="E372" s="1" t="str">
        <f ca="1">IFERROR(__xludf.DUMMYFUNCTION("""COMPUTED_VALUE"""),"Boston")</f>
        <v>Boston</v>
      </c>
      <c r="F372" s="1" t="str">
        <f ca="1">IFERROR(__xludf.DUMMYFUNCTION("""COMPUTED_VALUE"""),"Boston - South Boston")</f>
        <v>Boston - South Boston</v>
      </c>
      <c r="G372" s="1">
        <f ca="1">IFERROR(__xludf.DUMMYFUNCTION("""COMPUTED_VALUE"""),1)</f>
        <v>1</v>
      </c>
      <c r="H372" s="1" t="str">
        <f ca="1">IFERROR(__xludf.DUMMYFUNCTION("""COMPUTED_VALUE"""),"A")</f>
        <v>A</v>
      </c>
      <c r="I372" s="4" t="str">
        <f ca="1">IFERROR(__xludf.DUMMYFUNCTION("""COMPUTED_VALUE"""),"275 Dorchester StreetN/AA")</f>
        <v>275 Dorchester StreetN/AA</v>
      </c>
      <c r="J372" s="4" t="str">
        <f ca="1">IFERROR(__xludf.DUMMYFUNCTION("""COMPUTED_VALUE"""),"bae1f005-94b0-4e59-a02e-2600d3570df1")</f>
        <v>bae1f005-94b0-4e59-a02e-2600d3570df1</v>
      </c>
      <c r="K372" s="4">
        <f ca="1">IFERROR(__xludf.DUMMYFUNCTION("""COMPUTED_VALUE"""),895)</f>
        <v>895</v>
      </c>
      <c r="L372" s="1" t="str">
        <f ca="1">IFERROR(__xludf.DUMMYFUNCTION("""COMPUTED_VALUE"""),"Cam")</f>
        <v>Cam</v>
      </c>
      <c r="M372" s="1" t="str">
        <f ca="1">IFERROR(__xludf.DUMMYFUNCTION("""COMPUTED_VALUE"""),"")</f>
        <v/>
      </c>
      <c r="N372" s="1" t="str">
        <f ca="1">IFERROR(__xludf.DUMMYFUNCTION("""COMPUTED_VALUE"""),"")</f>
        <v/>
      </c>
      <c r="O372" s="1" t="str">
        <f ca="1">IFERROR(__xludf.DUMMYFUNCTION("""COMPUTED_VALUE"""),"Occupied")</f>
        <v>Occupied</v>
      </c>
      <c r="P372" s="1"/>
      <c r="Q372" s="1"/>
      <c r="R372" s="1"/>
      <c r="S372" s="1" t="str">
        <f ca="1">IFERROR(__xludf.DUMMYFUNCTION("""COMPUTED_VALUE"""),"NO DOGS")</f>
        <v>NO DOGS</v>
      </c>
      <c r="T372" s="1"/>
      <c r="U372" s="1" t="str">
        <f ca="1">IFERROR(__xludf.DUMMYFUNCTION("""COMPUTED_VALUE"""),"Y")</f>
        <v>Y</v>
      </c>
      <c r="V372" s="1" t="str">
        <f ca="1">IFERROR(__xludf.DUMMYFUNCTION("""COMPUTED_VALUE"""),"N")</f>
        <v>N</v>
      </c>
      <c r="W372" s="1"/>
      <c r="X372" s="1"/>
      <c r="Y372" s="1" t="str">
        <f ca="1">IFERROR(__xludf.DUMMYFUNCTION("""COMPUTED_VALUE"""),"Dale Weatherford")</f>
        <v>Dale Weatherford</v>
      </c>
      <c r="Z372" s="1" t="str">
        <f ca="1">IFERROR(__xludf.DUMMYFUNCTION("""COMPUTED_VALUE"""),"dalecarlisle11@gmail.com")</f>
        <v>dalecarlisle11@gmail.com</v>
      </c>
      <c r="AA372" s="1"/>
      <c r="AB372" s="1"/>
      <c r="AC372" s="1"/>
    </row>
    <row r="373" spans="1:29">
      <c r="A373" s="1" t="str">
        <f ca="1">IFERROR(__xludf.DUMMYFUNCTION("""COMPUTED_VALUE"""),"275 Dorchester Street")</f>
        <v>275 Dorchester Street</v>
      </c>
      <c r="B373" s="1">
        <f ca="1">IFERROR(__xludf.DUMMYFUNCTION("""COMPUTED_VALUE"""),275)</f>
        <v>275</v>
      </c>
      <c r="C373" s="1" t="str">
        <f ca="1">IFERROR(__xludf.DUMMYFUNCTION("""COMPUTED_VALUE"""),"N/A")</f>
        <v>N/A</v>
      </c>
      <c r="D373" s="1" t="str">
        <f ca="1">IFERROR(__xludf.DUMMYFUNCTION("""COMPUTED_VALUE"""),"275 Dorchester Street")</f>
        <v>275 Dorchester Street</v>
      </c>
      <c r="E373" s="1" t="str">
        <f ca="1">IFERROR(__xludf.DUMMYFUNCTION("""COMPUTED_VALUE"""),"Boston")</f>
        <v>Boston</v>
      </c>
      <c r="F373" s="1" t="str">
        <f ca="1">IFERROR(__xludf.DUMMYFUNCTION("""COMPUTED_VALUE"""),"Boston - South Boston")</f>
        <v>Boston - South Boston</v>
      </c>
      <c r="G373" s="1">
        <f ca="1">IFERROR(__xludf.DUMMYFUNCTION("""COMPUTED_VALUE"""),2)</f>
        <v>2</v>
      </c>
      <c r="H373" s="1" t="str">
        <f ca="1">IFERROR(__xludf.DUMMYFUNCTION("""COMPUTED_VALUE"""),"B")</f>
        <v>B</v>
      </c>
      <c r="I373" s="4" t="str">
        <f ca="1">IFERROR(__xludf.DUMMYFUNCTION("""COMPUTED_VALUE"""),"275 Dorchester StreetN/AB")</f>
        <v>275 Dorchester StreetN/AB</v>
      </c>
      <c r="J373" s="4" t="str">
        <f ca="1">IFERROR(__xludf.DUMMYFUNCTION("""COMPUTED_VALUE"""),"bae1f005-94b0-4e59-a02e-2600d3570df1")</f>
        <v>bae1f005-94b0-4e59-a02e-2600d3570df1</v>
      </c>
      <c r="K373" s="4">
        <f ca="1">IFERROR(__xludf.DUMMYFUNCTION("""COMPUTED_VALUE"""),895)</f>
        <v>895</v>
      </c>
      <c r="L373" s="1" t="str">
        <f ca="1">IFERROR(__xludf.DUMMYFUNCTION("""COMPUTED_VALUE"""),"Cam")</f>
        <v>Cam</v>
      </c>
      <c r="M373" s="1" t="str">
        <f ca="1">IFERROR(__xludf.DUMMYFUNCTION("""COMPUTED_VALUE"""),"Cam (NOW)")</f>
        <v>Cam (NOW)</v>
      </c>
      <c r="N373" s="1" t="str">
        <f ca="1">IFERROR(__xludf.DUMMYFUNCTION("""COMPUTED_VALUE"""),"")</f>
        <v/>
      </c>
      <c r="O373" s="1" t="str">
        <f ca="1">IFERROR(__xludf.DUMMYFUNCTION("""COMPUTED_VALUE"""),"Upcoming Vacancy")</f>
        <v>Upcoming Vacancy</v>
      </c>
      <c r="P373" s="1" t="str">
        <f ca="1">IFERROR(__xludf.DUMMYFUNCTION("""COMPUTED_VALUE"""),"February")</f>
        <v>February</v>
      </c>
      <c r="Q373" s="3">
        <f ca="1">IFERROR(__xludf.DUMMYFUNCTION("""COMPUTED_VALUE"""),43861)</f>
        <v>43861</v>
      </c>
      <c r="R373" s="1"/>
      <c r="S373" s="1" t="str">
        <f ca="1">IFERROR(__xludf.DUMMYFUNCTION("""COMPUTED_VALUE"""),"NO DOGS")</f>
        <v>NO DOGS</v>
      </c>
      <c r="T373" s="1"/>
      <c r="U373" s="1" t="str">
        <f ca="1">IFERROR(__xludf.DUMMYFUNCTION("""COMPUTED_VALUE"""),"Y")</f>
        <v>Y</v>
      </c>
      <c r="V373" s="1" t="str">
        <f ca="1">IFERROR(__xludf.DUMMYFUNCTION("""COMPUTED_VALUE"""),"N")</f>
        <v>N</v>
      </c>
      <c r="W373" s="1"/>
      <c r="X373" s="1"/>
      <c r="Y373" s="1" t="str">
        <f ca="1">IFERROR(__xludf.DUMMYFUNCTION("""COMPUTED_VALUE"""),"Zachary Lev")</f>
        <v>Zachary Lev</v>
      </c>
      <c r="Z373" s="1" t="str">
        <f ca="1">IFERROR(__xludf.DUMMYFUNCTION("""COMPUTED_VALUE"""),"zachhlev@gmail.com")</f>
        <v>zachhlev@gmail.com</v>
      </c>
      <c r="AA373" s="1"/>
      <c r="AB373" s="1"/>
      <c r="AC373" s="1" t="str">
        <f ca="1">IFERROR(__xludf.DUMMYFUNCTION("""COMPUTED_VALUE"""),"waiting for sec ")</f>
        <v xml:space="preserve">waiting for sec </v>
      </c>
    </row>
    <row r="374" spans="1:29">
      <c r="A374" s="1" t="str">
        <f ca="1">IFERROR(__xludf.DUMMYFUNCTION("""COMPUTED_VALUE"""),"275 Dorchester Street")</f>
        <v>275 Dorchester Street</v>
      </c>
      <c r="B374" s="1">
        <f ca="1">IFERROR(__xludf.DUMMYFUNCTION("""COMPUTED_VALUE"""),275)</f>
        <v>275</v>
      </c>
      <c r="C374" s="1" t="str">
        <f ca="1">IFERROR(__xludf.DUMMYFUNCTION("""COMPUTED_VALUE"""),"N/A")</f>
        <v>N/A</v>
      </c>
      <c r="D374" s="1" t="str">
        <f ca="1">IFERROR(__xludf.DUMMYFUNCTION("""COMPUTED_VALUE"""),"275 Dorchester Street")</f>
        <v>275 Dorchester Street</v>
      </c>
      <c r="E374" s="1" t="str">
        <f ca="1">IFERROR(__xludf.DUMMYFUNCTION("""COMPUTED_VALUE"""),"Boston")</f>
        <v>Boston</v>
      </c>
      <c r="F374" s="1" t="str">
        <f ca="1">IFERROR(__xludf.DUMMYFUNCTION("""COMPUTED_VALUE"""),"Boston - South Boston")</f>
        <v>Boston - South Boston</v>
      </c>
      <c r="G374" s="1">
        <f ca="1">IFERROR(__xludf.DUMMYFUNCTION("""COMPUTED_VALUE"""),3)</f>
        <v>3</v>
      </c>
      <c r="H374" s="1" t="str">
        <f ca="1">IFERROR(__xludf.DUMMYFUNCTION("""COMPUTED_VALUE"""),"C")</f>
        <v>C</v>
      </c>
      <c r="I374" s="4" t="str">
        <f ca="1">IFERROR(__xludf.DUMMYFUNCTION("""COMPUTED_VALUE"""),"275 Dorchester StreetN/AC")</f>
        <v>275 Dorchester StreetN/AC</v>
      </c>
      <c r="J374" s="4" t="str">
        <f ca="1">IFERROR(__xludf.DUMMYFUNCTION("""COMPUTED_VALUE"""),"bae1f005-94b0-4e59-a02e-2600d3570df1")</f>
        <v>bae1f005-94b0-4e59-a02e-2600d3570df1</v>
      </c>
      <c r="K374" s="4">
        <f ca="1">IFERROR(__xludf.DUMMYFUNCTION("""COMPUTED_VALUE"""),995)</f>
        <v>995</v>
      </c>
      <c r="L374" s="1" t="str">
        <f ca="1">IFERROR(__xludf.DUMMYFUNCTION("""COMPUTED_VALUE"""),"Cam")</f>
        <v>Cam</v>
      </c>
      <c r="M374" s="1" t="str">
        <f ca="1">IFERROR(__xludf.DUMMYFUNCTION("""COMPUTED_VALUE"""),"")</f>
        <v/>
      </c>
      <c r="N374" s="1" t="str">
        <f ca="1">IFERROR(__xludf.DUMMYFUNCTION("""COMPUTED_VALUE"""),"")</f>
        <v/>
      </c>
      <c r="O374" s="1" t="str">
        <f ca="1">IFERROR(__xludf.DUMMYFUNCTION("""COMPUTED_VALUE"""),"Occupied")</f>
        <v>Occupied</v>
      </c>
      <c r="P374" s="1"/>
      <c r="Q374" s="1"/>
      <c r="R374" s="1"/>
      <c r="S374" s="1" t="str">
        <f ca="1">IFERROR(__xludf.DUMMYFUNCTION("""COMPUTED_VALUE"""),"NO DOGS")</f>
        <v>NO DOGS</v>
      </c>
      <c r="T374" s="1"/>
      <c r="U374" s="1" t="str">
        <f ca="1">IFERROR(__xludf.DUMMYFUNCTION("""COMPUTED_VALUE"""),"Y")</f>
        <v>Y</v>
      </c>
      <c r="V374" s="1" t="str">
        <f ca="1">IFERROR(__xludf.DUMMYFUNCTION("""COMPUTED_VALUE"""),"N")</f>
        <v>N</v>
      </c>
      <c r="W374" s="1"/>
      <c r="X374" s="1"/>
      <c r="Y374" s="1" t="str">
        <f ca="1">IFERROR(__xludf.DUMMYFUNCTION("""COMPUTED_VALUE"""),"Joshua Gladstone")</f>
        <v>Joshua Gladstone</v>
      </c>
      <c r="Z374" s="1" t="str">
        <f ca="1">IFERROR(__xludf.DUMMYFUNCTION("""COMPUTED_VALUE"""),"jg7at@bu.edu")</f>
        <v>jg7at@bu.edu</v>
      </c>
      <c r="AA374" s="1"/>
      <c r="AB374" s="1"/>
      <c r="AC374" s="1" t="str">
        <f ca="1">IFERROR(__xludf.DUMMYFUNCTION("""COMPUTED_VALUE"""),"waiting for sec ")</f>
        <v xml:space="preserve">waiting for sec </v>
      </c>
    </row>
    <row r="375" spans="1:29">
      <c r="A375" s="1" t="str">
        <f ca="1">IFERROR(__xludf.DUMMYFUNCTION("""COMPUTED_VALUE"""),"275 Dorchester Street")</f>
        <v>275 Dorchester Street</v>
      </c>
      <c r="B375" s="1">
        <f ca="1">IFERROR(__xludf.DUMMYFUNCTION("""COMPUTED_VALUE"""),275)</f>
        <v>275</v>
      </c>
      <c r="C375" s="1" t="str">
        <f ca="1">IFERROR(__xludf.DUMMYFUNCTION("""COMPUTED_VALUE"""),"N/A")</f>
        <v>N/A</v>
      </c>
      <c r="D375" s="1" t="str">
        <f ca="1">IFERROR(__xludf.DUMMYFUNCTION("""COMPUTED_VALUE"""),"275 Dorchester Street")</f>
        <v>275 Dorchester Street</v>
      </c>
      <c r="E375" s="1" t="str">
        <f ca="1">IFERROR(__xludf.DUMMYFUNCTION("""COMPUTED_VALUE"""),"Boston")</f>
        <v>Boston</v>
      </c>
      <c r="F375" s="1" t="str">
        <f ca="1">IFERROR(__xludf.DUMMYFUNCTION("""COMPUTED_VALUE"""),"Boston - South Boston")</f>
        <v>Boston - South Boston</v>
      </c>
      <c r="G375" s="1">
        <f ca="1">IFERROR(__xludf.DUMMYFUNCTION("""COMPUTED_VALUE"""),4)</f>
        <v>4</v>
      </c>
      <c r="H375" s="1" t="str">
        <f ca="1">IFERROR(__xludf.DUMMYFUNCTION("""COMPUTED_VALUE"""),"D")</f>
        <v>D</v>
      </c>
      <c r="I375" s="4" t="str">
        <f ca="1">IFERROR(__xludf.DUMMYFUNCTION("""COMPUTED_VALUE"""),"275 Dorchester StreetN/AD")</f>
        <v>275 Dorchester StreetN/AD</v>
      </c>
      <c r="J375" s="4" t="str">
        <f ca="1">IFERROR(__xludf.DUMMYFUNCTION("""COMPUTED_VALUE"""),"bae1f005-94b0-4e59-a02e-2600d3570df1")</f>
        <v>bae1f005-94b0-4e59-a02e-2600d3570df1</v>
      </c>
      <c r="K375" s="4">
        <f ca="1">IFERROR(__xludf.DUMMYFUNCTION("""COMPUTED_VALUE"""),1250)</f>
        <v>1250</v>
      </c>
      <c r="L375" s="1" t="str">
        <f ca="1">IFERROR(__xludf.DUMMYFUNCTION("""COMPUTED_VALUE"""),"Cam")</f>
        <v>Cam</v>
      </c>
      <c r="M375" s="1" t="str">
        <f ca="1">IFERROR(__xludf.DUMMYFUNCTION("""COMPUTED_VALUE"""),"")</f>
        <v/>
      </c>
      <c r="N375" s="1" t="str">
        <f ca="1">IFERROR(__xludf.DUMMYFUNCTION("""COMPUTED_VALUE"""),"")</f>
        <v/>
      </c>
      <c r="O375" s="1" t="str">
        <f ca="1">IFERROR(__xludf.DUMMYFUNCTION("""COMPUTED_VALUE"""),"Occupied")</f>
        <v>Occupied</v>
      </c>
      <c r="P375" s="1"/>
      <c r="Q375" s="1"/>
      <c r="R375" s="1"/>
      <c r="S375" s="1" t="str">
        <f ca="1">IFERROR(__xludf.DUMMYFUNCTION("""COMPUTED_VALUE"""),"NO DOGS")</f>
        <v>NO DOGS</v>
      </c>
      <c r="T375" s="1"/>
      <c r="U375" s="1" t="str">
        <f ca="1">IFERROR(__xludf.DUMMYFUNCTION("""COMPUTED_VALUE"""),"Y")</f>
        <v>Y</v>
      </c>
      <c r="V375" s="1" t="str">
        <f ca="1">IFERROR(__xludf.DUMMYFUNCTION("""COMPUTED_VALUE"""),"N")</f>
        <v>N</v>
      </c>
      <c r="W375" s="1"/>
      <c r="X375" s="1"/>
      <c r="Y375" s="1" t="str">
        <f ca="1">IFERROR(__xludf.DUMMYFUNCTION("""COMPUTED_VALUE"""),"Alexander Reardon")</f>
        <v>Alexander Reardon</v>
      </c>
      <c r="Z375" s="1" t="str">
        <f ca="1">IFERROR(__xludf.DUMMYFUNCTION("""COMPUTED_VALUE"""),"alex.reardon14@gmail.com")</f>
        <v>alex.reardon14@gmail.com</v>
      </c>
      <c r="AA375" s="1"/>
      <c r="AB375" s="1"/>
      <c r="AC375" s="1"/>
    </row>
    <row r="376" spans="1:29">
      <c r="A376" s="1" t="str">
        <f ca="1">IFERROR(__xludf.DUMMYFUNCTION("""COMPUTED_VALUE"""),"275 Dorchester Street")</f>
        <v>275 Dorchester Street</v>
      </c>
      <c r="B376" s="1">
        <f ca="1">IFERROR(__xludf.DUMMYFUNCTION("""COMPUTED_VALUE"""),275)</f>
        <v>275</v>
      </c>
      <c r="C376" s="1" t="str">
        <f ca="1">IFERROR(__xludf.DUMMYFUNCTION("""COMPUTED_VALUE"""),"N/A")</f>
        <v>N/A</v>
      </c>
      <c r="D376" s="1" t="str">
        <f ca="1">IFERROR(__xludf.DUMMYFUNCTION("""COMPUTED_VALUE"""),"275 Dorchester Street")</f>
        <v>275 Dorchester Street</v>
      </c>
      <c r="E376" s="1" t="str">
        <f ca="1">IFERROR(__xludf.DUMMYFUNCTION("""COMPUTED_VALUE"""),"Boston")</f>
        <v>Boston</v>
      </c>
      <c r="F376" s="1" t="str">
        <f ca="1">IFERROR(__xludf.DUMMYFUNCTION("""COMPUTED_VALUE"""),"Boston - South Boston")</f>
        <v>Boston - South Boston</v>
      </c>
      <c r="G376" s="1">
        <f ca="1">IFERROR(__xludf.DUMMYFUNCTION("""COMPUTED_VALUE"""),5)</f>
        <v>5</v>
      </c>
      <c r="H376" s="1" t="str">
        <f ca="1">IFERROR(__xludf.DUMMYFUNCTION("""COMPUTED_VALUE"""),"E")</f>
        <v>E</v>
      </c>
      <c r="I376" s="4" t="str">
        <f ca="1">IFERROR(__xludf.DUMMYFUNCTION("""COMPUTED_VALUE"""),"275 Dorchester StreetN/AE")</f>
        <v>275 Dorchester StreetN/AE</v>
      </c>
      <c r="J376" s="4" t="str">
        <f ca="1">IFERROR(__xludf.DUMMYFUNCTION("""COMPUTED_VALUE"""),"bae1f005-94b0-4e59-a02e-2600d3570df1")</f>
        <v>bae1f005-94b0-4e59-a02e-2600d3570df1</v>
      </c>
      <c r="K376" s="4">
        <f ca="1">IFERROR(__xludf.DUMMYFUNCTION("""COMPUTED_VALUE"""),795)</f>
        <v>795</v>
      </c>
      <c r="L376" s="1" t="str">
        <f ca="1">IFERROR(__xludf.DUMMYFUNCTION("""COMPUTED_VALUE"""),"Cam")</f>
        <v>Cam</v>
      </c>
      <c r="M376" s="1" t="str">
        <f ca="1">IFERROR(__xludf.DUMMYFUNCTION("""COMPUTED_VALUE"""),"")</f>
        <v/>
      </c>
      <c r="N376" s="1" t="str">
        <f ca="1">IFERROR(__xludf.DUMMYFUNCTION("""COMPUTED_VALUE"""),"")</f>
        <v/>
      </c>
      <c r="O376" s="1" t="str">
        <f ca="1">IFERROR(__xludf.DUMMYFUNCTION("""COMPUTED_VALUE"""),"Occupied")</f>
        <v>Occupied</v>
      </c>
      <c r="P376" s="1"/>
      <c r="Q376" s="1"/>
      <c r="R376" s="1"/>
      <c r="S376" s="1" t="str">
        <f ca="1">IFERROR(__xludf.DUMMYFUNCTION("""COMPUTED_VALUE"""),"NO DOGS")</f>
        <v>NO DOGS</v>
      </c>
      <c r="T376" s="1"/>
      <c r="U376" s="1" t="str">
        <f ca="1">IFERROR(__xludf.DUMMYFUNCTION("""COMPUTED_VALUE"""),"Y")</f>
        <v>Y</v>
      </c>
      <c r="V376" s="1" t="str">
        <f ca="1">IFERROR(__xludf.DUMMYFUNCTION("""COMPUTED_VALUE"""),"N")</f>
        <v>N</v>
      </c>
      <c r="W376" s="1"/>
      <c r="X376" s="1"/>
      <c r="Y376" s="1" t="str">
        <f ca="1">IFERROR(__xludf.DUMMYFUNCTION("""COMPUTED_VALUE"""),"Adam Bartlett")</f>
        <v>Adam Bartlett</v>
      </c>
      <c r="Z376" s="1" t="str">
        <f ca="1">IFERROR(__xludf.DUMMYFUNCTION("""COMPUTED_VALUE"""),"abartlett192@gmail.com")</f>
        <v>abartlett192@gmail.com</v>
      </c>
      <c r="AA376" s="1"/>
      <c r="AB376" s="1"/>
      <c r="AC376" s="1" t="str">
        <f ca="1">IFERROR(__xludf.DUMMYFUNCTION("""COMPUTED_VALUE"""),"waiting for both")</f>
        <v>waiting for both</v>
      </c>
    </row>
    <row r="377" spans="1:29">
      <c r="A377" s="1" t="str">
        <f ca="1">IFERROR(__xludf.DUMMYFUNCTION("""COMPUTED_VALUE"""),"275 Dorchester Street")</f>
        <v>275 Dorchester Street</v>
      </c>
      <c r="B377" s="1">
        <f ca="1">IFERROR(__xludf.DUMMYFUNCTION("""COMPUTED_VALUE"""),275)</f>
        <v>275</v>
      </c>
      <c r="C377" s="1" t="str">
        <f ca="1">IFERROR(__xludf.DUMMYFUNCTION("""COMPUTED_VALUE"""),"N/A")</f>
        <v>N/A</v>
      </c>
      <c r="D377" s="1" t="str">
        <f ca="1">IFERROR(__xludf.DUMMYFUNCTION("""COMPUTED_VALUE"""),"275 Dorchester Street")</f>
        <v>275 Dorchester Street</v>
      </c>
      <c r="E377" s="1" t="str">
        <f ca="1">IFERROR(__xludf.DUMMYFUNCTION("""COMPUTED_VALUE"""),"Boston")</f>
        <v>Boston</v>
      </c>
      <c r="F377" s="1" t="str">
        <f ca="1">IFERROR(__xludf.DUMMYFUNCTION("""COMPUTED_VALUE"""),"Boston - South Boston")</f>
        <v>Boston - South Boston</v>
      </c>
      <c r="G377" s="1">
        <f ca="1">IFERROR(__xludf.DUMMYFUNCTION("""COMPUTED_VALUE"""),6)</f>
        <v>6</v>
      </c>
      <c r="H377" s="1" t="str">
        <f ca="1">IFERROR(__xludf.DUMMYFUNCTION("""COMPUTED_VALUE"""),"F")</f>
        <v>F</v>
      </c>
      <c r="I377" s="4" t="str">
        <f ca="1">IFERROR(__xludf.DUMMYFUNCTION("""COMPUTED_VALUE"""),"275 Dorchester StreetN/AF")</f>
        <v>275 Dorchester StreetN/AF</v>
      </c>
      <c r="J377" s="4" t="str">
        <f ca="1">IFERROR(__xludf.DUMMYFUNCTION("""COMPUTED_VALUE"""),"bae1f005-94b0-4e59-a02e-2600d3570df1")</f>
        <v>bae1f005-94b0-4e59-a02e-2600d3570df1</v>
      </c>
      <c r="K377" s="4">
        <f ca="1">IFERROR(__xludf.DUMMYFUNCTION("""COMPUTED_VALUE"""),1200)</f>
        <v>1200</v>
      </c>
      <c r="L377" s="1" t="str">
        <f ca="1">IFERROR(__xludf.DUMMYFUNCTION("""COMPUTED_VALUE"""),"Cam")</f>
        <v>Cam</v>
      </c>
      <c r="M377" s="1" t="str">
        <f ca="1">IFERROR(__xludf.DUMMYFUNCTION("""COMPUTED_VALUE"""),"")</f>
        <v/>
      </c>
      <c r="N377" s="1" t="str">
        <f ca="1">IFERROR(__xludf.DUMMYFUNCTION("""COMPUTED_VALUE"""),"")</f>
        <v/>
      </c>
      <c r="O377" s="1" t="str">
        <f ca="1">IFERROR(__xludf.DUMMYFUNCTION("""COMPUTED_VALUE"""),"Occupied")</f>
        <v>Occupied</v>
      </c>
      <c r="P377" s="1"/>
      <c r="Q377" s="1"/>
      <c r="R377" s="1"/>
      <c r="S377" s="1" t="str">
        <f ca="1">IFERROR(__xludf.DUMMYFUNCTION("""COMPUTED_VALUE"""),"NO DOGS")</f>
        <v>NO DOGS</v>
      </c>
      <c r="T377" s="1"/>
      <c r="U377" s="1" t="str">
        <f ca="1">IFERROR(__xludf.DUMMYFUNCTION("""COMPUTED_VALUE"""),"Y")</f>
        <v>Y</v>
      </c>
      <c r="V377" s="1" t="str">
        <f ca="1">IFERROR(__xludf.DUMMYFUNCTION("""COMPUTED_VALUE"""),"N")</f>
        <v>N</v>
      </c>
      <c r="W377" s="1"/>
      <c r="X377" s="1"/>
      <c r="Y377" s="1" t="str">
        <f ca="1">IFERROR(__xludf.DUMMYFUNCTION("""COMPUTED_VALUE"""),"Oisin Goggin")</f>
        <v>Oisin Goggin</v>
      </c>
      <c r="Z377" s="1" t="str">
        <f ca="1">IFERROR(__xludf.DUMMYFUNCTION("""COMPUTED_VALUE"""),"oisingoggin@gmail.com")</f>
        <v>oisingoggin@gmail.com</v>
      </c>
      <c r="AA377" s="1"/>
      <c r="AB377" s="1"/>
      <c r="AC377" s="1" t="str">
        <f ca="1">IFERROR(__xludf.DUMMYFUNCTION("""COMPUTED_VALUE"""),"waiting for deposit")</f>
        <v>waiting for deposit</v>
      </c>
    </row>
    <row r="378" spans="1:29">
      <c r="A378" s="1" t="str">
        <f ca="1">IFERROR(__xludf.DUMMYFUNCTION("""COMPUTED_VALUE"""),"322.5 Western Avenue")</f>
        <v>322.5 Western Avenue</v>
      </c>
      <c r="B378" s="1">
        <f ca="1">IFERROR(__xludf.DUMMYFUNCTION("""COMPUTED_VALUE"""),322.5)</f>
        <v>322.5</v>
      </c>
      <c r="C378" s="1" t="str">
        <f ca="1">IFERROR(__xludf.DUMMYFUNCTION("""COMPUTED_VALUE"""),"#2")</f>
        <v>#2</v>
      </c>
      <c r="D378" s="1" t="str">
        <f ca="1">IFERROR(__xludf.DUMMYFUNCTION("""COMPUTED_VALUE"""),"322.5 Western Avenue Unit 2")</f>
        <v>322.5 Western Avenue Unit 2</v>
      </c>
      <c r="E378" s="1" t="str">
        <f ca="1">IFERROR(__xludf.DUMMYFUNCTION("""COMPUTED_VALUE"""),"Cambridge")</f>
        <v>Cambridge</v>
      </c>
      <c r="F378" s="1" t="str">
        <f ca="1">IFERROR(__xludf.DUMMYFUNCTION("""COMPUTED_VALUE"""),"Cambridge - Cambridgeport")</f>
        <v>Cambridge - Cambridgeport</v>
      </c>
      <c r="G378" s="1">
        <f ca="1">IFERROR(__xludf.DUMMYFUNCTION("""COMPUTED_VALUE"""),1)</f>
        <v>1</v>
      </c>
      <c r="H378" s="1" t="str">
        <f ca="1">IFERROR(__xludf.DUMMYFUNCTION("""COMPUTED_VALUE"""),"A")</f>
        <v>A</v>
      </c>
      <c r="I378" s="4" t="str">
        <f ca="1">IFERROR(__xludf.DUMMYFUNCTION("""COMPUTED_VALUE"""),"322.5 Western Avenue#2A")</f>
        <v>322.5 Western Avenue#2A</v>
      </c>
      <c r="J378" s="4" t="str">
        <f ca="1">IFERROR(__xludf.DUMMYFUNCTION("""COMPUTED_VALUE"""),"07633307-ca1d-43bc-9ec4-2bd79a19281a")</f>
        <v>07633307-ca1d-43bc-9ec4-2bd79a19281a</v>
      </c>
      <c r="K378" s="4">
        <f ca="1">IFERROR(__xludf.DUMMYFUNCTION("""COMPUTED_VALUE"""),895)</f>
        <v>895</v>
      </c>
      <c r="L378" s="1" t="str">
        <f ca="1">IFERROR(__xludf.DUMMYFUNCTION("""COMPUTED_VALUE"""),"Daniel")</f>
        <v>Daniel</v>
      </c>
      <c r="M378" s="1" t="str">
        <f ca="1">IFERROR(__xludf.DUMMYFUNCTION("""COMPUTED_VALUE"""),"")</f>
        <v/>
      </c>
      <c r="N378" s="1" t="str">
        <f ca="1">IFERROR(__xludf.DUMMYFUNCTION("""COMPUTED_VALUE"""),"")</f>
        <v/>
      </c>
      <c r="O378" s="1" t="str">
        <f ca="1">IFERROR(__xludf.DUMMYFUNCTION("""COMPUTED_VALUE"""),"Occupied")</f>
        <v>Occupied</v>
      </c>
      <c r="P378" s="1"/>
      <c r="Q378" s="1"/>
      <c r="R378" s="1"/>
      <c r="S378" s="1" t="str">
        <f ca="1">IFERROR(__xludf.DUMMYFUNCTION("""COMPUTED_VALUE"""),"NO CATS OR DOGS")</f>
        <v>NO CATS OR DOGS</v>
      </c>
      <c r="T378" s="1"/>
      <c r="U378" s="1" t="str">
        <f ca="1">IFERROR(__xludf.DUMMYFUNCTION("""COMPUTED_VALUE"""),"Y")</f>
        <v>Y</v>
      </c>
      <c r="V378" s="1" t="str">
        <f ca="1">IFERROR(__xludf.DUMMYFUNCTION("""COMPUTED_VALUE"""),"Y")</f>
        <v>Y</v>
      </c>
      <c r="W378" s="1"/>
      <c r="X378" s="1"/>
      <c r="Y378" s="1" t="str">
        <f ca="1">IFERROR(__xludf.DUMMYFUNCTION("""COMPUTED_VALUE"""),"Brian Mills")</f>
        <v>Brian Mills</v>
      </c>
      <c r="Z378" s="1" t="str">
        <f ca="1">IFERROR(__xludf.DUMMYFUNCTION("""COMPUTED_VALUE"""),"millsb@mit.edu")</f>
        <v>millsb@mit.edu</v>
      </c>
      <c r="AA378" s="1"/>
      <c r="AB378" s="1"/>
      <c r="AC378" s="1"/>
    </row>
    <row r="379" spans="1:29">
      <c r="A379" s="1" t="str">
        <f ca="1">IFERROR(__xludf.DUMMYFUNCTION("""COMPUTED_VALUE"""),"322.5 Western Avenue")</f>
        <v>322.5 Western Avenue</v>
      </c>
      <c r="B379" s="1">
        <f ca="1">IFERROR(__xludf.DUMMYFUNCTION("""COMPUTED_VALUE"""),322.5)</f>
        <v>322.5</v>
      </c>
      <c r="C379" s="1" t="str">
        <f ca="1">IFERROR(__xludf.DUMMYFUNCTION("""COMPUTED_VALUE"""),"#2")</f>
        <v>#2</v>
      </c>
      <c r="D379" s="1" t="str">
        <f ca="1">IFERROR(__xludf.DUMMYFUNCTION("""COMPUTED_VALUE"""),"322.5 Western Avenue Unit 2")</f>
        <v>322.5 Western Avenue Unit 2</v>
      </c>
      <c r="E379" s="1" t="str">
        <f ca="1">IFERROR(__xludf.DUMMYFUNCTION("""COMPUTED_VALUE"""),"Cambridge")</f>
        <v>Cambridge</v>
      </c>
      <c r="F379" s="1" t="str">
        <f ca="1">IFERROR(__xludf.DUMMYFUNCTION("""COMPUTED_VALUE"""),"Cambridge - Cambridgeport")</f>
        <v>Cambridge - Cambridgeport</v>
      </c>
      <c r="G379" s="1">
        <f ca="1">IFERROR(__xludf.DUMMYFUNCTION("""COMPUTED_VALUE"""),2)</f>
        <v>2</v>
      </c>
      <c r="H379" s="1" t="str">
        <f ca="1">IFERROR(__xludf.DUMMYFUNCTION("""COMPUTED_VALUE"""),"B")</f>
        <v>B</v>
      </c>
      <c r="I379" s="4" t="str">
        <f ca="1">IFERROR(__xludf.DUMMYFUNCTION("""COMPUTED_VALUE"""),"322.5 Western Avenue#2B")</f>
        <v>322.5 Western Avenue#2B</v>
      </c>
      <c r="J379" s="4" t="str">
        <f ca="1">IFERROR(__xludf.DUMMYFUNCTION("""COMPUTED_VALUE"""),"07633307-ca1d-43bc-9ec4-2bd79a19281a")</f>
        <v>07633307-ca1d-43bc-9ec4-2bd79a19281a</v>
      </c>
      <c r="K379" s="4">
        <f ca="1">IFERROR(__xludf.DUMMYFUNCTION("""COMPUTED_VALUE"""),995)</f>
        <v>995</v>
      </c>
      <c r="L379" s="1" t="str">
        <f ca="1">IFERROR(__xludf.DUMMYFUNCTION("""COMPUTED_VALUE"""),"Daniel")</f>
        <v>Daniel</v>
      </c>
      <c r="M379" s="1" t="str">
        <f ca="1">IFERROR(__xludf.DUMMYFUNCTION("""COMPUTED_VALUE"""),"Daniel (later)")</f>
        <v>Daniel (later)</v>
      </c>
      <c r="N379" s="1" t="str">
        <f ca="1">IFERROR(__xludf.DUMMYFUNCTION("""COMPUTED_VALUE"""),"")</f>
        <v/>
      </c>
      <c r="O379" s="1" t="str">
        <f ca="1">IFERROR(__xludf.DUMMYFUNCTION("""COMPUTED_VALUE"""),"Upcoming Vacancy")</f>
        <v>Upcoming Vacancy</v>
      </c>
      <c r="P379" s="1" t="str">
        <f ca="1">IFERROR(__xludf.DUMMYFUNCTION("""COMPUTED_VALUE"""),"April")</f>
        <v>April</v>
      </c>
      <c r="Q379" s="3">
        <f ca="1">IFERROR(__xludf.DUMMYFUNCTION("""COMPUTED_VALUE"""),43921)</f>
        <v>43921</v>
      </c>
      <c r="R379" s="1"/>
      <c r="S379" s="1" t="str">
        <f ca="1">IFERROR(__xludf.DUMMYFUNCTION("""COMPUTED_VALUE"""),"NO CATS OR DOGS")</f>
        <v>NO CATS OR DOGS</v>
      </c>
      <c r="T379" s="1"/>
      <c r="U379" s="1" t="str">
        <f ca="1">IFERROR(__xludf.DUMMYFUNCTION("""COMPUTED_VALUE"""),"Y")</f>
        <v>Y</v>
      </c>
      <c r="V379" s="1" t="str">
        <f ca="1">IFERROR(__xludf.DUMMYFUNCTION("""COMPUTED_VALUE"""),"Y")</f>
        <v>Y</v>
      </c>
      <c r="W379" s="1"/>
      <c r="X379" s="1"/>
      <c r="Y379" s="1" t="str">
        <f ca="1">IFERROR(__xludf.DUMMYFUNCTION("""COMPUTED_VALUE"""),"Francesca Papia")</f>
        <v>Francesca Papia</v>
      </c>
      <c r="Z379" s="1" t="str">
        <f ca="1">IFERROR(__xludf.DUMMYFUNCTION("""COMPUTED_VALUE"""),"francesca.papia95@gmail.com")</f>
        <v>francesca.papia95@gmail.com</v>
      </c>
      <c r="AA379" s="1"/>
      <c r="AB379" s="1"/>
      <c r="AC379" s="1"/>
    </row>
    <row r="380" spans="1:29">
      <c r="A380" s="1" t="str">
        <f ca="1">IFERROR(__xludf.DUMMYFUNCTION("""COMPUTED_VALUE"""),"322.5 Western Avenue")</f>
        <v>322.5 Western Avenue</v>
      </c>
      <c r="B380" s="1">
        <f ca="1">IFERROR(__xludf.DUMMYFUNCTION("""COMPUTED_VALUE"""),322.5)</f>
        <v>322.5</v>
      </c>
      <c r="C380" s="1" t="str">
        <f ca="1">IFERROR(__xludf.DUMMYFUNCTION("""COMPUTED_VALUE"""),"#2")</f>
        <v>#2</v>
      </c>
      <c r="D380" s="1" t="str">
        <f ca="1">IFERROR(__xludf.DUMMYFUNCTION("""COMPUTED_VALUE"""),"322.5 Western Avenue Unit 2")</f>
        <v>322.5 Western Avenue Unit 2</v>
      </c>
      <c r="E380" s="1" t="str">
        <f ca="1">IFERROR(__xludf.DUMMYFUNCTION("""COMPUTED_VALUE"""),"Cambridge")</f>
        <v>Cambridge</v>
      </c>
      <c r="F380" s="1" t="str">
        <f ca="1">IFERROR(__xludf.DUMMYFUNCTION("""COMPUTED_VALUE"""),"Cambridge - Cambridgeport")</f>
        <v>Cambridge - Cambridgeport</v>
      </c>
      <c r="G380" s="1">
        <f ca="1">IFERROR(__xludf.DUMMYFUNCTION("""COMPUTED_VALUE"""),3)</f>
        <v>3</v>
      </c>
      <c r="H380" s="1" t="str">
        <f ca="1">IFERROR(__xludf.DUMMYFUNCTION("""COMPUTED_VALUE"""),"C")</f>
        <v>C</v>
      </c>
      <c r="I380" s="4" t="str">
        <f ca="1">IFERROR(__xludf.DUMMYFUNCTION("""COMPUTED_VALUE"""),"322.5 Western Avenue#2C")</f>
        <v>322.5 Western Avenue#2C</v>
      </c>
      <c r="J380" s="4" t="str">
        <f ca="1">IFERROR(__xludf.DUMMYFUNCTION("""COMPUTED_VALUE"""),"07633307-ca1d-43bc-9ec4-2bd79a19281a")</f>
        <v>07633307-ca1d-43bc-9ec4-2bd79a19281a</v>
      </c>
      <c r="K380" s="4">
        <f ca="1">IFERROR(__xludf.DUMMYFUNCTION("""COMPUTED_VALUE"""),1095)</f>
        <v>1095</v>
      </c>
      <c r="L380" s="1" t="str">
        <f ca="1">IFERROR(__xludf.DUMMYFUNCTION("""COMPUTED_VALUE"""),"Daniel")</f>
        <v>Daniel</v>
      </c>
      <c r="M380" s="1" t="str">
        <f ca="1">IFERROR(__xludf.DUMMYFUNCTION("""COMPUTED_VALUE"""),"")</f>
        <v/>
      </c>
      <c r="N380" s="1" t="str">
        <f ca="1">IFERROR(__xludf.DUMMYFUNCTION("""COMPUTED_VALUE"""),"")</f>
        <v/>
      </c>
      <c r="O380" s="1" t="str">
        <f ca="1">IFERROR(__xludf.DUMMYFUNCTION("""COMPUTED_VALUE"""),"Occupied")</f>
        <v>Occupied</v>
      </c>
      <c r="P380" s="1"/>
      <c r="Q380" s="1"/>
      <c r="R380" s="1"/>
      <c r="S380" s="1" t="str">
        <f ca="1">IFERROR(__xludf.DUMMYFUNCTION("""COMPUTED_VALUE"""),"NO CATS OR DOGS")</f>
        <v>NO CATS OR DOGS</v>
      </c>
      <c r="T380" s="1" t="str">
        <f ca="1">IFERROR(__xludf.DUMMYFUNCTION("""COMPUTED_VALUE"""),"NO CATS")</f>
        <v>NO CATS</v>
      </c>
      <c r="U380" s="1" t="str">
        <f ca="1">IFERROR(__xludf.DUMMYFUNCTION("""COMPUTED_VALUE"""),"Y")</f>
        <v>Y</v>
      </c>
      <c r="V380" s="1" t="str">
        <f ca="1">IFERROR(__xludf.DUMMYFUNCTION("""COMPUTED_VALUE"""),"Y")</f>
        <v>Y</v>
      </c>
      <c r="W380" s="1"/>
      <c r="X380" s="1"/>
      <c r="Y380" s="1" t="str">
        <f ca="1">IFERROR(__xludf.DUMMYFUNCTION("""COMPUTED_VALUE"""),"Anica Telatko")</f>
        <v>Anica Telatko</v>
      </c>
      <c r="Z380" s="1" t="str">
        <f ca="1">IFERROR(__xludf.DUMMYFUNCTION("""COMPUTED_VALUE"""),"anicatelatko@hotmail.com")</f>
        <v>anicatelatko@hotmail.com</v>
      </c>
      <c r="AA380" s="1"/>
      <c r="AB380" s="1"/>
      <c r="AC380" s="1"/>
    </row>
    <row r="381" spans="1:29">
      <c r="A381" s="1" t="str">
        <f ca="1">IFERROR(__xludf.DUMMYFUNCTION("""COMPUTED_VALUE"""),"348 E 8th Street")</f>
        <v>348 E 8th Street</v>
      </c>
      <c r="B381" s="1">
        <f ca="1">IFERROR(__xludf.DUMMYFUNCTION("""COMPUTED_VALUE"""),348)</f>
        <v>348</v>
      </c>
      <c r="C381" s="1" t="str">
        <f ca="1">IFERROR(__xludf.DUMMYFUNCTION("""COMPUTED_VALUE"""),"#1")</f>
        <v>#1</v>
      </c>
      <c r="D381" s="1" t="str">
        <f ca="1">IFERROR(__xludf.DUMMYFUNCTION("""COMPUTED_VALUE"""),"348 E 8th Street Unit 1")</f>
        <v>348 E 8th Street Unit 1</v>
      </c>
      <c r="E381" s="1" t="str">
        <f ca="1">IFERROR(__xludf.DUMMYFUNCTION("""COMPUTED_VALUE"""),"Boston")</f>
        <v>Boston</v>
      </c>
      <c r="F381" s="1" t="str">
        <f ca="1">IFERROR(__xludf.DUMMYFUNCTION("""COMPUTED_VALUE"""),"Boston - South Boston")</f>
        <v>Boston - South Boston</v>
      </c>
      <c r="G381" s="1">
        <f ca="1">IFERROR(__xludf.DUMMYFUNCTION("""COMPUTED_VALUE"""),1)</f>
        <v>1</v>
      </c>
      <c r="H381" s="1" t="str">
        <f ca="1">IFERROR(__xludf.DUMMYFUNCTION("""COMPUTED_VALUE"""),"A")</f>
        <v>A</v>
      </c>
      <c r="I381" s="4" t="str">
        <f ca="1">IFERROR(__xludf.DUMMYFUNCTION("""COMPUTED_VALUE"""),"348 E 8th Street#1A")</f>
        <v>348 E 8th Street#1A</v>
      </c>
      <c r="J381" s="4" t="str">
        <f ca="1">IFERROR(__xludf.DUMMYFUNCTION("""COMPUTED_VALUE"""),"3d6fc7cb-960d-4582-8e27-dcdc81d0a893")</f>
        <v>3d6fc7cb-960d-4582-8e27-dcdc81d0a893</v>
      </c>
      <c r="K381" s="4">
        <f ca="1">IFERROR(__xludf.DUMMYFUNCTION("""COMPUTED_VALUE"""),1395)</f>
        <v>1395</v>
      </c>
      <c r="L381" s="1" t="str">
        <f ca="1">IFERROR(__xludf.DUMMYFUNCTION("""COMPUTED_VALUE"""),"Cam")</f>
        <v>Cam</v>
      </c>
      <c r="M381" s="1" t="str">
        <f ca="1">IFERROR(__xludf.DUMMYFUNCTION("""COMPUTED_VALUE"""),"Cam (NOW)")</f>
        <v>Cam (NOW)</v>
      </c>
      <c r="N381" s="1" t="str">
        <f ca="1">IFERROR(__xludf.DUMMYFUNCTION("""COMPUTED_VALUE"""),"")</f>
        <v/>
      </c>
      <c r="O381" s="1" t="str">
        <f ca="1">IFERROR(__xludf.DUMMYFUNCTION("""COMPUTED_VALUE"""),"Upcoming Vacancy")</f>
        <v>Upcoming Vacancy</v>
      </c>
      <c r="P381" s="1" t="str">
        <f ca="1">IFERROR(__xludf.DUMMYFUNCTION("""COMPUTED_VALUE"""),"February")</f>
        <v>February</v>
      </c>
      <c r="Q381" s="3">
        <f ca="1">IFERROR(__xludf.DUMMYFUNCTION("""COMPUTED_VALUE"""),44227)</f>
        <v>44227</v>
      </c>
      <c r="R381" s="1"/>
      <c r="S381" s="1"/>
      <c r="T381" s="1"/>
      <c r="U381" s="1" t="str">
        <f ca="1">IFERROR(__xludf.DUMMYFUNCTION("""COMPUTED_VALUE"""),"Y")</f>
        <v>Y</v>
      </c>
      <c r="V381" s="1" t="str">
        <f ca="1">IFERROR(__xludf.DUMMYFUNCTION("""COMPUTED_VALUE"""),"Y")</f>
        <v>Y</v>
      </c>
      <c r="W381" s="1"/>
      <c r="X381" s="1"/>
      <c r="Y381" s="1" t="str">
        <f ca="1">IFERROR(__xludf.DUMMYFUNCTION("""COMPUTED_VALUE"""),"Chris Blomstedt")</f>
        <v>Chris Blomstedt</v>
      </c>
      <c r="Z381" s="1" t="str">
        <f ca="1">IFERROR(__xludf.DUMMYFUNCTION("""COMPUTED_VALUE"""),"cblomstedt@gmail.com")</f>
        <v>cblomstedt@gmail.com</v>
      </c>
      <c r="AA381" s="1"/>
      <c r="AB381" s="1"/>
      <c r="AC381" s="1"/>
    </row>
    <row r="382" spans="1:29">
      <c r="A382" s="1" t="str">
        <f ca="1">IFERROR(__xludf.DUMMYFUNCTION("""COMPUTED_VALUE"""),"348 E 8th Street")</f>
        <v>348 E 8th Street</v>
      </c>
      <c r="B382" s="1">
        <f ca="1">IFERROR(__xludf.DUMMYFUNCTION("""COMPUTED_VALUE"""),348)</f>
        <v>348</v>
      </c>
      <c r="C382" s="1" t="str">
        <f ca="1">IFERROR(__xludf.DUMMYFUNCTION("""COMPUTED_VALUE"""),"#1")</f>
        <v>#1</v>
      </c>
      <c r="D382" s="1" t="str">
        <f ca="1">IFERROR(__xludf.DUMMYFUNCTION("""COMPUTED_VALUE"""),"348 E 8th Street Unit 1")</f>
        <v>348 E 8th Street Unit 1</v>
      </c>
      <c r="E382" s="1" t="str">
        <f ca="1">IFERROR(__xludf.DUMMYFUNCTION("""COMPUTED_VALUE"""),"Boston")</f>
        <v>Boston</v>
      </c>
      <c r="F382" s="1" t="str">
        <f ca="1">IFERROR(__xludf.DUMMYFUNCTION("""COMPUTED_VALUE"""),"Boston - South Boston")</f>
        <v>Boston - South Boston</v>
      </c>
      <c r="G382" s="1">
        <f ca="1">IFERROR(__xludf.DUMMYFUNCTION("""COMPUTED_VALUE"""),2)</f>
        <v>2</v>
      </c>
      <c r="H382" s="1" t="str">
        <f ca="1">IFERROR(__xludf.DUMMYFUNCTION("""COMPUTED_VALUE"""),"B")</f>
        <v>B</v>
      </c>
      <c r="I382" s="4" t="str">
        <f ca="1">IFERROR(__xludf.DUMMYFUNCTION("""COMPUTED_VALUE"""),"348 E 8th Street#1B")</f>
        <v>348 E 8th Street#1B</v>
      </c>
      <c r="J382" s="4" t="str">
        <f ca="1">IFERROR(__xludf.DUMMYFUNCTION("""COMPUTED_VALUE"""),"3d6fc7cb-960d-4582-8e27-dcdc81d0a893")</f>
        <v>3d6fc7cb-960d-4582-8e27-dcdc81d0a893</v>
      </c>
      <c r="K382" s="4">
        <f ca="1">IFERROR(__xludf.DUMMYFUNCTION("""COMPUTED_VALUE"""),1495)</f>
        <v>1495</v>
      </c>
      <c r="L382" s="1" t="str">
        <f ca="1">IFERROR(__xludf.DUMMYFUNCTION("""COMPUTED_VALUE"""),"Cam")</f>
        <v>Cam</v>
      </c>
      <c r="M382" s="1" t="str">
        <f ca="1">IFERROR(__xludf.DUMMYFUNCTION("""COMPUTED_VALUE"""),"")</f>
        <v/>
      </c>
      <c r="N382" s="1" t="str">
        <f ca="1">IFERROR(__xludf.DUMMYFUNCTION("""COMPUTED_VALUE"""),"")</f>
        <v/>
      </c>
      <c r="O382" s="1" t="str">
        <f ca="1">IFERROR(__xludf.DUMMYFUNCTION("""COMPUTED_VALUE"""),"Occupied")</f>
        <v>Occupied</v>
      </c>
      <c r="P382" s="1"/>
      <c r="Q382" s="1"/>
      <c r="R382" s="1"/>
      <c r="S382" s="1"/>
      <c r="T382" s="1"/>
      <c r="U382" s="1" t="str">
        <f ca="1">IFERROR(__xludf.DUMMYFUNCTION("""COMPUTED_VALUE"""),"Y")</f>
        <v>Y</v>
      </c>
      <c r="V382" s="1" t="str">
        <f ca="1">IFERROR(__xludf.DUMMYFUNCTION("""COMPUTED_VALUE"""),"Y")</f>
        <v>Y</v>
      </c>
      <c r="W382" s="1"/>
      <c r="X382" s="1"/>
      <c r="Y382" s="1" t="str">
        <f ca="1">IFERROR(__xludf.DUMMYFUNCTION("""COMPUTED_VALUE"""),"Samuel Herzog")</f>
        <v>Samuel Herzog</v>
      </c>
      <c r="Z382" s="1" t="str">
        <f ca="1">IFERROR(__xludf.DUMMYFUNCTION("""COMPUTED_VALUE"""),"samherzog98@gmail.com")</f>
        <v>samherzog98@gmail.com</v>
      </c>
      <c r="AA382" s="1"/>
      <c r="AB382" s="1"/>
      <c r="AC382" s="1"/>
    </row>
    <row r="383" spans="1:29">
      <c r="A383" s="1" t="str">
        <f ca="1">IFERROR(__xludf.DUMMYFUNCTION("""COMPUTED_VALUE"""),"357 Windsor Street")</f>
        <v>357 Windsor Street</v>
      </c>
      <c r="B383" s="1">
        <f ca="1">IFERROR(__xludf.DUMMYFUNCTION("""COMPUTED_VALUE"""),357)</f>
        <v>357</v>
      </c>
      <c r="C383" s="1" t="str">
        <f ca="1">IFERROR(__xludf.DUMMYFUNCTION("""COMPUTED_VALUE"""),"#2")</f>
        <v>#2</v>
      </c>
      <c r="D383" s="1" t="str">
        <f ca="1">IFERROR(__xludf.DUMMYFUNCTION("""COMPUTED_VALUE"""),"357 Windsor Street Unit 2")</f>
        <v>357 Windsor Street Unit 2</v>
      </c>
      <c r="E383" s="1" t="str">
        <f ca="1">IFERROR(__xludf.DUMMYFUNCTION("""COMPUTED_VALUE"""),"Cambridge")</f>
        <v>Cambridge</v>
      </c>
      <c r="F383" s="1" t="str">
        <f ca="1">IFERROR(__xludf.DUMMYFUNCTION("""COMPUTED_VALUE"""),"Cambridge - Inman Square")</f>
        <v>Cambridge - Inman Square</v>
      </c>
      <c r="G383" s="1">
        <f ca="1">IFERROR(__xludf.DUMMYFUNCTION("""COMPUTED_VALUE"""),1)</f>
        <v>1</v>
      </c>
      <c r="H383" s="1" t="str">
        <f ca="1">IFERROR(__xludf.DUMMYFUNCTION("""COMPUTED_VALUE"""),"A")</f>
        <v>A</v>
      </c>
      <c r="I383" s="4" t="str">
        <f ca="1">IFERROR(__xludf.DUMMYFUNCTION("""COMPUTED_VALUE"""),"357 Windsor Street#2A")</f>
        <v>357 Windsor Street#2A</v>
      </c>
      <c r="J383" s="4" t="str">
        <f ca="1">IFERROR(__xludf.DUMMYFUNCTION("""COMPUTED_VALUE"""),"f523ed76-4c17-4c3b-8ccf-96f980a725ef")</f>
        <v>f523ed76-4c17-4c3b-8ccf-96f980a725ef</v>
      </c>
      <c r="K383" s="4">
        <f ca="1">IFERROR(__xludf.DUMMYFUNCTION("""COMPUTED_VALUE"""),1095)</f>
        <v>1095</v>
      </c>
      <c r="L383" s="1" t="str">
        <f ca="1">IFERROR(__xludf.DUMMYFUNCTION("""COMPUTED_VALUE"""),"Daniel")</f>
        <v>Daniel</v>
      </c>
      <c r="M383" s="1" t="str">
        <f ca="1">IFERROR(__xludf.DUMMYFUNCTION("""COMPUTED_VALUE"""),"")</f>
        <v/>
      </c>
      <c r="N383" s="1" t="str">
        <f ca="1">IFERROR(__xludf.DUMMYFUNCTION("""COMPUTED_VALUE"""),"Furnished")</f>
        <v>Furnished</v>
      </c>
      <c r="O383" s="1" t="str">
        <f ca="1">IFERROR(__xludf.DUMMYFUNCTION("""COMPUTED_VALUE"""),"Occupied")</f>
        <v>Occupied</v>
      </c>
      <c r="P383" s="1"/>
      <c r="Q383" s="1"/>
      <c r="R383" s="1"/>
      <c r="S383" s="1" t="str">
        <f ca="1">IFERROR(__xludf.DUMMYFUNCTION("""COMPUTED_VALUE"""),"NO CATS OR DOGS")</f>
        <v>NO CATS OR DOGS</v>
      </c>
      <c r="T383" s="1"/>
      <c r="U383" s="1" t="str">
        <f ca="1">IFERROR(__xludf.DUMMYFUNCTION("""COMPUTED_VALUE"""),"N")</f>
        <v>N</v>
      </c>
      <c r="V383" s="1" t="str">
        <f ca="1">IFERROR(__xludf.DUMMYFUNCTION("""COMPUTED_VALUE"""),"N")</f>
        <v>N</v>
      </c>
      <c r="W383" s="1"/>
      <c r="X383" s="1"/>
      <c r="Y383" s="1" t="str">
        <f ca="1">IFERROR(__xludf.DUMMYFUNCTION("""COMPUTED_VALUE"""),"Shivaani Manoj Vasudha ; Romil Bansal")</f>
        <v>Shivaani Manoj Vasudha ; Romil Bansal</v>
      </c>
      <c r="Z383" s="1" t="str">
        <f ca="1">IFERROR(__xludf.DUMMYFUNCTION("""COMPUTED_VALUE"""),"mvshivaani@gmail.com ; romilbansal@gmail.com")</f>
        <v>mvshivaani@gmail.com ; romilbansal@gmail.com</v>
      </c>
      <c r="AA383" s="1"/>
      <c r="AB383" s="1"/>
      <c r="AC383" s="1"/>
    </row>
    <row r="384" spans="1:29">
      <c r="A384" s="1" t="str">
        <f ca="1">IFERROR(__xludf.DUMMYFUNCTION("""COMPUTED_VALUE"""),"357 Windsor Street")</f>
        <v>357 Windsor Street</v>
      </c>
      <c r="B384" s="1">
        <f ca="1">IFERROR(__xludf.DUMMYFUNCTION("""COMPUTED_VALUE"""),357)</f>
        <v>357</v>
      </c>
      <c r="C384" s="1" t="str">
        <f ca="1">IFERROR(__xludf.DUMMYFUNCTION("""COMPUTED_VALUE"""),"#2")</f>
        <v>#2</v>
      </c>
      <c r="D384" s="1" t="str">
        <f ca="1">IFERROR(__xludf.DUMMYFUNCTION("""COMPUTED_VALUE"""),"357 Windsor Street Unit 2")</f>
        <v>357 Windsor Street Unit 2</v>
      </c>
      <c r="E384" s="1" t="str">
        <f ca="1">IFERROR(__xludf.DUMMYFUNCTION("""COMPUTED_VALUE"""),"Cambridge")</f>
        <v>Cambridge</v>
      </c>
      <c r="F384" s="1" t="str">
        <f ca="1">IFERROR(__xludf.DUMMYFUNCTION("""COMPUTED_VALUE"""),"Cambridge - Inman Square")</f>
        <v>Cambridge - Inman Square</v>
      </c>
      <c r="G384" s="1">
        <f ca="1">IFERROR(__xludf.DUMMYFUNCTION("""COMPUTED_VALUE"""),2)</f>
        <v>2</v>
      </c>
      <c r="H384" s="1" t="str">
        <f ca="1">IFERROR(__xludf.DUMMYFUNCTION("""COMPUTED_VALUE"""),"B")</f>
        <v>B</v>
      </c>
      <c r="I384" s="4" t="str">
        <f ca="1">IFERROR(__xludf.DUMMYFUNCTION("""COMPUTED_VALUE"""),"357 Windsor Street#2B")</f>
        <v>357 Windsor Street#2B</v>
      </c>
      <c r="J384" s="4" t="str">
        <f ca="1">IFERROR(__xludf.DUMMYFUNCTION("""COMPUTED_VALUE"""),"f523ed76-4c17-4c3b-8ccf-96f980a725ef")</f>
        <v>f523ed76-4c17-4c3b-8ccf-96f980a725ef</v>
      </c>
      <c r="K384" s="4">
        <f ca="1">IFERROR(__xludf.DUMMYFUNCTION("""COMPUTED_VALUE"""),995)</f>
        <v>995</v>
      </c>
      <c r="L384" s="1" t="str">
        <f ca="1">IFERROR(__xludf.DUMMYFUNCTION("""COMPUTED_VALUE"""),"Daniel")</f>
        <v>Daniel</v>
      </c>
      <c r="M384" s="1" t="str">
        <f ca="1">IFERROR(__xludf.DUMMYFUNCTION("""COMPUTED_VALUE"""),"")</f>
        <v/>
      </c>
      <c r="N384" s="1" t="str">
        <f ca="1">IFERROR(__xludf.DUMMYFUNCTION("""COMPUTED_VALUE"""),"Furnished")</f>
        <v>Furnished</v>
      </c>
      <c r="O384" s="1" t="str">
        <f ca="1">IFERROR(__xludf.DUMMYFUNCTION("""COMPUTED_VALUE"""),"Lease Signed")</f>
        <v>Lease Signed</v>
      </c>
      <c r="P384" s="1" t="str">
        <f ca="1">IFERROR(__xludf.DUMMYFUNCTION("""COMPUTED_VALUE"""),"February")</f>
        <v>February</v>
      </c>
      <c r="Q384" s="1"/>
      <c r="R384" s="5">
        <f ca="1">IFERROR(__xludf.DUMMYFUNCTION("""COMPUTED_VALUE"""),43862)</f>
        <v>43862</v>
      </c>
      <c r="S384" s="1" t="str">
        <f ca="1">IFERROR(__xludf.DUMMYFUNCTION("""COMPUTED_VALUE"""),"NO CATS OR DOGS")</f>
        <v>NO CATS OR DOGS</v>
      </c>
      <c r="T384" s="1"/>
      <c r="U384" s="1" t="str">
        <f ca="1">IFERROR(__xludf.DUMMYFUNCTION("""COMPUTED_VALUE"""),"N")</f>
        <v>N</v>
      </c>
      <c r="V384" s="1" t="str">
        <f ca="1">IFERROR(__xludf.DUMMYFUNCTION("""COMPUTED_VALUE"""),"N")</f>
        <v>N</v>
      </c>
      <c r="W384" s="1" t="str">
        <f ca="1">IFERROR(__xludf.DUMMYFUNCTION("""COMPUTED_VALUE"""),"Jonathan Herrera")</f>
        <v>Jonathan Herrera</v>
      </c>
      <c r="X384" s="1" t="str">
        <f ca="1">IFERROR(__xludf.DUMMYFUNCTION("""COMPUTED_VALUE"""),"jmherrer@mit.edu")</f>
        <v>jmherrer@mit.edu</v>
      </c>
      <c r="Y384" s="1"/>
      <c r="Z384" s="1"/>
      <c r="AA384" s="1"/>
      <c r="AB384" s="1"/>
      <c r="AC384" s="1"/>
    </row>
    <row r="385" spans="1:29">
      <c r="A385" s="1" t="str">
        <f ca="1">IFERROR(__xludf.DUMMYFUNCTION("""COMPUTED_VALUE"""),"376 Prospect Street")</f>
        <v>376 Prospect Street</v>
      </c>
      <c r="B385" s="1">
        <f ca="1">IFERROR(__xludf.DUMMYFUNCTION("""COMPUTED_VALUE"""),376)</f>
        <v>376</v>
      </c>
      <c r="C385" s="1" t="str">
        <f ca="1">IFERROR(__xludf.DUMMYFUNCTION("""COMPUTED_VALUE"""),"#2")</f>
        <v>#2</v>
      </c>
      <c r="D385" s="1" t="str">
        <f ca="1">IFERROR(__xludf.DUMMYFUNCTION("""COMPUTED_VALUE"""),"376 Prospect Street Unit 2")</f>
        <v>376 Prospect Street Unit 2</v>
      </c>
      <c r="E385" s="1" t="str">
        <f ca="1">IFERROR(__xludf.DUMMYFUNCTION("""COMPUTED_VALUE"""),"Cambridge")</f>
        <v>Cambridge</v>
      </c>
      <c r="F385" s="1" t="str">
        <f ca="1">IFERROR(__xludf.DUMMYFUNCTION("""COMPUTED_VALUE"""),"Cambridge - Inman Square")</f>
        <v>Cambridge - Inman Square</v>
      </c>
      <c r="G385" s="1">
        <f ca="1">IFERROR(__xludf.DUMMYFUNCTION("""COMPUTED_VALUE"""),1)</f>
        <v>1</v>
      </c>
      <c r="H385" s="1" t="str">
        <f ca="1">IFERROR(__xludf.DUMMYFUNCTION("""COMPUTED_VALUE"""),"A")</f>
        <v>A</v>
      </c>
      <c r="I385" s="4" t="str">
        <f ca="1">IFERROR(__xludf.DUMMYFUNCTION("""COMPUTED_VALUE"""),"376 Prospect Street#2A")</f>
        <v>376 Prospect Street#2A</v>
      </c>
      <c r="J385" s="4" t="str">
        <f ca="1">IFERROR(__xludf.DUMMYFUNCTION("""COMPUTED_VALUE"""),"f9d29fe7-e770-4143-a5f6-534e8cefb4fa")</f>
        <v>f9d29fe7-e770-4143-a5f6-534e8cefb4fa</v>
      </c>
      <c r="K385" s="4">
        <f ca="1">IFERROR(__xludf.DUMMYFUNCTION("""COMPUTED_VALUE"""),695)</f>
        <v>695</v>
      </c>
      <c r="L385" s="1" t="str">
        <f ca="1">IFERROR(__xludf.DUMMYFUNCTION("""COMPUTED_VALUE"""),"Lizzie")</f>
        <v>Lizzie</v>
      </c>
      <c r="M385" s="1" t="str">
        <f ca="1">IFERROR(__xludf.DUMMYFUNCTION("""COMPUTED_VALUE"""),"")</f>
        <v/>
      </c>
      <c r="N385" s="1" t="str">
        <f ca="1">IFERROR(__xludf.DUMMYFUNCTION("""COMPUTED_VALUE"""),"Furnished")</f>
        <v>Furnished</v>
      </c>
      <c r="O385" s="1" t="str">
        <f ca="1">IFERROR(__xludf.DUMMYFUNCTION("""COMPUTED_VALUE"""),"Lease Signed")</f>
        <v>Lease Signed</v>
      </c>
      <c r="P385" s="1" t="str">
        <f ca="1">IFERROR(__xludf.DUMMYFUNCTION("""COMPUTED_VALUE"""),"January")</f>
        <v>January</v>
      </c>
      <c r="Q385" s="1"/>
      <c r="R385" s="5">
        <f ca="1">IFERROR(__xludf.DUMMYFUNCTION("""COMPUTED_VALUE"""),44228)</f>
        <v>44228</v>
      </c>
      <c r="S385" s="1"/>
      <c r="T385" s="1"/>
      <c r="U385" s="1" t="str">
        <f ca="1">IFERROR(__xludf.DUMMYFUNCTION("""COMPUTED_VALUE"""),"N")</f>
        <v>N</v>
      </c>
      <c r="V385" s="1" t="str">
        <f ca="1">IFERROR(__xludf.DUMMYFUNCTION("""COMPUTED_VALUE"""),"N")</f>
        <v>N</v>
      </c>
      <c r="W385" s="1" t="str">
        <f ca="1">IFERROR(__xludf.DUMMYFUNCTION("""COMPUTED_VALUE"""),"Cameron Hilman")</f>
        <v>Cameron Hilman</v>
      </c>
      <c r="X385" s="1" t="str">
        <f ca="1">IFERROR(__xludf.DUMMYFUNCTION("""COMPUTED_VALUE"""),"cameron.hilman@gmail.com")</f>
        <v>cameron.hilman@gmail.com</v>
      </c>
      <c r="Y385" s="1" t="str">
        <f ca="1">IFERROR(__xludf.DUMMYFUNCTION("""COMPUTED_VALUE"""),"Ariel Jacobs")</f>
        <v>Ariel Jacobs</v>
      </c>
      <c r="Z385" s="1" t="str">
        <f ca="1">IFERROR(__xludf.DUMMYFUNCTION("""COMPUTED_VALUE"""),"arielj321@gmail.com")</f>
        <v>arielj321@gmail.com</v>
      </c>
      <c r="AA385" s="1"/>
      <c r="AB385" s="1" t="str">
        <f ca="1">IFERROR(__xludf.DUMMYFUNCTION("""COMPUTED_VALUE"""),"Humza Jilani")</f>
        <v>Humza Jilani</v>
      </c>
      <c r="AC385" s="1"/>
    </row>
    <row r="386" spans="1:29">
      <c r="A386" s="1" t="str">
        <f ca="1">IFERROR(__xludf.DUMMYFUNCTION("""COMPUTED_VALUE"""),"376 Prospect Street")</f>
        <v>376 Prospect Street</v>
      </c>
      <c r="B386" s="1">
        <f ca="1">IFERROR(__xludf.DUMMYFUNCTION("""COMPUTED_VALUE"""),376)</f>
        <v>376</v>
      </c>
      <c r="C386" s="1" t="str">
        <f ca="1">IFERROR(__xludf.DUMMYFUNCTION("""COMPUTED_VALUE"""),"#2")</f>
        <v>#2</v>
      </c>
      <c r="D386" s="1" t="str">
        <f ca="1">IFERROR(__xludf.DUMMYFUNCTION("""COMPUTED_VALUE"""),"376 Prospect Street Unit 2")</f>
        <v>376 Prospect Street Unit 2</v>
      </c>
      <c r="E386" s="1" t="str">
        <f ca="1">IFERROR(__xludf.DUMMYFUNCTION("""COMPUTED_VALUE"""),"Cambridge")</f>
        <v>Cambridge</v>
      </c>
      <c r="F386" s="1" t="str">
        <f ca="1">IFERROR(__xludf.DUMMYFUNCTION("""COMPUTED_VALUE"""),"Cambridge - Inman Square")</f>
        <v>Cambridge - Inman Square</v>
      </c>
      <c r="G386" s="1">
        <f ca="1">IFERROR(__xludf.DUMMYFUNCTION("""COMPUTED_VALUE"""),2)</f>
        <v>2</v>
      </c>
      <c r="H386" s="1" t="str">
        <f ca="1">IFERROR(__xludf.DUMMYFUNCTION("""COMPUTED_VALUE"""),"B")</f>
        <v>B</v>
      </c>
      <c r="I386" s="4" t="str">
        <f ca="1">IFERROR(__xludf.DUMMYFUNCTION("""COMPUTED_VALUE"""),"376 Prospect Street#2B")</f>
        <v>376 Prospect Street#2B</v>
      </c>
      <c r="J386" s="4" t="str">
        <f ca="1">IFERROR(__xludf.DUMMYFUNCTION("""COMPUTED_VALUE"""),"f9d29fe7-e770-4143-a5f6-534e8cefb4fa")</f>
        <v>f9d29fe7-e770-4143-a5f6-534e8cefb4fa</v>
      </c>
      <c r="K386" s="4">
        <f ca="1">IFERROR(__xludf.DUMMYFUNCTION("""COMPUTED_VALUE"""),995)</f>
        <v>995</v>
      </c>
      <c r="L386" s="1" t="str">
        <f ca="1">IFERROR(__xludf.DUMMYFUNCTION("""COMPUTED_VALUE"""),"Lizzie")</f>
        <v>Lizzie</v>
      </c>
      <c r="M386" s="1" t="str">
        <f ca="1">IFERROR(__xludf.DUMMYFUNCTION("""COMPUTED_VALUE"""),"")</f>
        <v/>
      </c>
      <c r="N386" s="1" t="str">
        <f ca="1">IFERROR(__xludf.DUMMYFUNCTION("""COMPUTED_VALUE"""),"Furnished")</f>
        <v>Furnished</v>
      </c>
      <c r="O386" s="1" t="str">
        <f ca="1">IFERROR(__xludf.DUMMYFUNCTION("""COMPUTED_VALUE"""),"Lease Signed")</f>
        <v>Lease Signed</v>
      </c>
      <c r="P386" s="1" t="str">
        <f ca="1">IFERROR(__xludf.DUMMYFUNCTION("""COMPUTED_VALUE"""),"January")</f>
        <v>January</v>
      </c>
      <c r="Q386" s="1"/>
      <c r="R386" s="5">
        <f ca="1">IFERROR(__xludf.DUMMYFUNCTION("""COMPUTED_VALUE"""),44235)</f>
        <v>44235</v>
      </c>
      <c r="S386" s="1"/>
      <c r="T386" s="1"/>
      <c r="U386" s="1" t="str">
        <f ca="1">IFERROR(__xludf.DUMMYFUNCTION("""COMPUTED_VALUE"""),"N")</f>
        <v>N</v>
      </c>
      <c r="V386" s="1" t="str">
        <f ca="1">IFERROR(__xludf.DUMMYFUNCTION("""COMPUTED_VALUE"""),"N")</f>
        <v>N</v>
      </c>
      <c r="W386" s="1" t="str">
        <f ca="1">IFERROR(__xludf.DUMMYFUNCTION("""COMPUTED_VALUE"""),"Alex Evenchik")</f>
        <v>Alex Evenchik</v>
      </c>
      <c r="X386" s="1" t="str">
        <f ca="1">IFERROR(__xludf.DUMMYFUNCTION("""COMPUTED_VALUE"""),"evenchik@mit.edu")</f>
        <v>evenchik@mit.edu</v>
      </c>
      <c r="Y386" s="1" t="str">
        <f ca="1">IFERROR(__xludf.DUMMYFUNCTION("""COMPUTED_VALUE"""),"Joseph Feld")</f>
        <v>Joseph Feld</v>
      </c>
      <c r="Z386" s="1" t="str">
        <f ca="1">IFERROR(__xludf.DUMMYFUNCTION("""COMPUTED_VALUE"""),"josephfeld2019@gmail.com")</f>
        <v>josephfeld2019@gmail.com</v>
      </c>
      <c r="AA386" s="1"/>
      <c r="AB386" s="1" t="str">
        <f ca="1">IFERROR(__xludf.DUMMYFUNCTION("""COMPUTED_VALUE"""),"TJ Foley")</f>
        <v>TJ Foley</v>
      </c>
      <c r="AC386" s="1"/>
    </row>
    <row r="387" spans="1:29">
      <c r="A387" s="1" t="str">
        <f ca="1">IFERROR(__xludf.DUMMYFUNCTION("""COMPUTED_VALUE"""),"376 Prospect Street")</f>
        <v>376 Prospect Street</v>
      </c>
      <c r="B387" s="1">
        <f ca="1">IFERROR(__xludf.DUMMYFUNCTION("""COMPUTED_VALUE"""),376)</f>
        <v>376</v>
      </c>
      <c r="C387" s="1" t="str">
        <f ca="1">IFERROR(__xludf.DUMMYFUNCTION("""COMPUTED_VALUE"""),"#2")</f>
        <v>#2</v>
      </c>
      <c r="D387" s="1" t="str">
        <f ca="1">IFERROR(__xludf.DUMMYFUNCTION("""COMPUTED_VALUE"""),"376 Prospect Street Unit 2")</f>
        <v>376 Prospect Street Unit 2</v>
      </c>
      <c r="E387" s="1" t="str">
        <f ca="1">IFERROR(__xludf.DUMMYFUNCTION("""COMPUTED_VALUE"""),"Cambridge")</f>
        <v>Cambridge</v>
      </c>
      <c r="F387" s="1" t="str">
        <f ca="1">IFERROR(__xludf.DUMMYFUNCTION("""COMPUTED_VALUE"""),"Cambridge - Inman Square")</f>
        <v>Cambridge - Inman Square</v>
      </c>
      <c r="G387" s="1">
        <f ca="1">IFERROR(__xludf.DUMMYFUNCTION("""COMPUTED_VALUE"""),3)</f>
        <v>3</v>
      </c>
      <c r="H387" s="1" t="str">
        <f ca="1">IFERROR(__xludf.DUMMYFUNCTION("""COMPUTED_VALUE"""),"C")</f>
        <v>C</v>
      </c>
      <c r="I387" s="4" t="str">
        <f ca="1">IFERROR(__xludf.DUMMYFUNCTION("""COMPUTED_VALUE"""),"376 Prospect Street#2C")</f>
        <v>376 Prospect Street#2C</v>
      </c>
      <c r="J387" s="4" t="str">
        <f ca="1">IFERROR(__xludf.DUMMYFUNCTION("""COMPUTED_VALUE"""),"f9d29fe7-e770-4143-a5f6-534e8cefb4fa")</f>
        <v>f9d29fe7-e770-4143-a5f6-534e8cefb4fa</v>
      </c>
      <c r="K387" s="4">
        <f ca="1">IFERROR(__xludf.DUMMYFUNCTION("""COMPUTED_VALUE"""),995)</f>
        <v>995</v>
      </c>
      <c r="L387" s="1" t="str">
        <f ca="1">IFERROR(__xludf.DUMMYFUNCTION("""COMPUTED_VALUE"""),"Lizzie")</f>
        <v>Lizzie</v>
      </c>
      <c r="M387" s="1" t="str">
        <f ca="1">IFERROR(__xludf.DUMMYFUNCTION("""COMPUTED_VALUE"""),"")</f>
        <v/>
      </c>
      <c r="N387" s="1" t="str">
        <f ca="1">IFERROR(__xludf.DUMMYFUNCTION("""COMPUTED_VALUE"""),"Furnished")</f>
        <v>Furnished</v>
      </c>
      <c r="O387" s="1" t="str">
        <f ca="1">IFERROR(__xludf.DUMMYFUNCTION("""COMPUTED_VALUE"""),"Deposits Complete")</f>
        <v>Deposits Complete</v>
      </c>
      <c r="P387" s="1" t="str">
        <f ca="1">IFERROR(__xludf.DUMMYFUNCTION("""COMPUTED_VALUE"""),"January")</f>
        <v>January</v>
      </c>
      <c r="Q387" s="1"/>
      <c r="R387" s="5">
        <f ca="1">IFERROR(__xludf.DUMMYFUNCTION("""COMPUTED_VALUE"""),44232)</f>
        <v>44232</v>
      </c>
      <c r="S387" s="1"/>
      <c r="T387" s="1"/>
      <c r="U387" s="1" t="str">
        <f ca="1">IFERROR(__xludf.DUMMYFUNCTION("""COMPUTED_VALUE"""),"N")</f>
        <v>N</v>
      </c>
      <c r="V387" s="1" t="str">
        <f ca="1">IFERROR(__xludf.DUMMYFUNCTION("""COMPUTED_VALUE"""),"N")</f>
        <v>N</v>
      </c>
      <c r="W387" s="1" t="str">
        <f ca="1">IFERROR(__xludf.DUMMYFUNCTION("""COMPUTED_VALUE"""),"Diane Zhang")</f>
        <v>Diane Zhang</v>
      </c>
      <c r="X387" s="1" t="str">
        <f ca="1">IFERROR(__xludf.DUMMYFUNCTION("""COMPUTED_VALUE"""),"dkzhang@mit.edu")</f>
        <v>dkzhang@mit.edu</v>
      </c>
      <c r="Y387" s="1" t="str">
        <f ca="1">IFERROR(__xludf.DUMMYFUNCTION("""COMPUTED_VALUE"""),"Andrew Weinfeld")</f>
        <v>Andrew Weinfeld</v>
      </c>
      <c r="Z387" s="1" t="str">
        <f ca="1">IFERROR(__xludf.DUMMYFUNCTION("""COMPUTED_VALUE"""),"andrewjw@mit.edu")</f>
        <v>andrewjw@mit.edu</v>
      </c>
      <c r="AA387" s="1"/>
      <c r="AB387" s="1" t="str">
        <f ca="1">IFERROR(__xludf.DUMMYFUNCTION("""COMPUTED_VALUE"""),"Justas Jasevicius")</f>
        <v>Justas Jasevicius</v>
      </c>
      <c r="AC387" s="1"/>
    </row>
    <row r="388" spans="1:29">
      <c r="A388" s="1" t="str">
        <f ca="1">IFERROR(__xludf.DUMMYFUNCTION("""COMPUTED_VALUE"""),"376 Prospect Street")</f>
        <v>376 Prospect Street</v>
      </c>
      <c r="B388" s="1">
        <f ca="1">IFERROR(__xludf.DUMMYFUNCTION("""COMPUTED_VALUE"""),376)</f>
        <v>376</v>
      </c>
      <c r="C388" s="1" t="str">
        <f ca="1">IFERROR(__xludf.DUMMYFUNCTION("""COMPUTED_VALUE"""),"#2")</f>
        <v>#2</v>
      </c>
      <c r="D388" s="1" t="str">
        <f ca="1">IFERROR(__xludf.DUMMYFUNCTION("""COMPUTED_VALUE"""),"376 Prospect Street Unit 2")</f>
        <v>376 Prospect Street Unit 2</v>
      </c>
      <c r="E388" s="1" t="str">
        <f ca="1">IFERROR(__xludf.DUMMYFUNCTION("""COMPUTED_VALUE"""),"Cambridge")</f>
        <v>Cambridge</v>
      </c>
      <c r="F388" s="1" t="str">
        <f ca="1">IFERROR(__xludf.DUMMYFUNCTION("""COMPUTED_VALUE"""),"Cambridge - Inman Square")</f>
        <v>Cambridge - Inman Square</v>
      </c>
      <c r="G388" s="1">
        <f ca="1">IFERROR(__xludf.DUMMYFUNCTION("""COMPUTED_VALUE"""),4)</f>
        <v>4</v>
      </c>
      <c r="H388" s="1" t="str">
        <f ca="1">IFERROR(__xludf.DUMMYFUNCTION("""COMPUTED_VALUE"""),"D")</f>
        <v>D</v>
      </c>
      <c r="I388" s="4" t="str">
        <f ca="1">IFERROR(__xludf.DUMMYFUNCTION("""COMPUTED_VALUE"""),"376 Prospect Street#2D")</f>
        <v>376 Prospect Street#2D</v>
      </c>
      <c r="J388" s="4" t="str">
        <f ca="1">IFERROR(__xludf.DUMMYFUNCTION("""COMPUTED_VALUE"""),"f9d29fe7-e770-4143-a5f6-534e8cefb4fa")</f>
        <v>f9d29fe7-e770-4143-a5f6-534e8cefb4fa</v>
      </c>
      <c r="K388" s="4">
        <f ca="1">IFERROR(__xludf.DUMMYFUNCTION("""COMPUTED_VALUE"""),995)</f>
        <v>995</v>
      </c>
      <c r="L388" s="1" t="str">
        <f ca="1">IFERROR(__xludf.DUMMYFUNCTION("""COMPUTED_VALUE"""),"Lizzie")</f>
        <v>Lizzie</v>
      </c>
      <c r="M388" s="1" t="str">
        <f ca="1">IFERROR(__xludf.DUMMYFUNCTION("""COMPUTED_VALUE"""),"")</f>
        <v/>
      </c>
      <c r="N388" s="1" t="str">
        <f ca="1">IFERROR(__xludf.DUMMYFUNCTION("""COMPUTED_VALUE"""),"Furnished")</f>
        <v>Furnished</v>
      </c>
      <c r="O388" s="1" t="str">
        <f ca="1">IFERROR(__xludf.DUMMYFUNCTION("""COMPUTED_VALUE"""),"Deposits Complete")</f>
        <v>Deposits Complete</v>
      </c>
      <c r="P388" s="1" t="str">
        <f ca="1">IFERROR(__xludf.DUMMYFUNCTION("""COMPUTED_VALUE"""),"January")</f>
        <v>January</v>
      </c>
      <c r="Q388" s="1"/>
      <c r="R388" s="5">
        <f ca="1">IFERROR(__xludf.DUMMYFUNCTION("""COMPUTED_VALUE"""),43841)</f>
        <v>43841</v>
      </c>
      <c r="S388" s="1"/>
      <c r="T388" s="1"/>
      <c r="U388" s="1" t="str">
        <f ca="1">IFERROR(__xludf.DUMMYFUNCTION("""COMPUTED_VALUE"""),"N")</f>
        <v>N</v>
      </c>
      <c r="V388" s="1" t="str">
        <f ca="1">IFERROR(__xludf.DUMMYFUNCTION("""COMPUTED_VALUE"""),"N")</f>
        <v>N</v>
      </c>
      <c r="W388" s="1" t="str">
        <f ca="1">IFERROR(__xludf.DUMMYFUNCTION("""COMPUTED_VALUE"""),"Juan M Ochoa Ortiz")</f>
        <v>Juan M Ochoa Ortiz</v>
      </c>
      <c r="X388" s="1" t="str">
        <f ca="1">IFERROR(__xludf.DUMMYFUNCTION("""COMPUTED_VALUE"""),"juanmoo@csail.mit.edu")</f>
        <v>juanmoo@csail.mit.edu</v>
      </c>
      <c r="Y388" s="1" t="str">
        <f ca="1">IFERROR(__xludf.DUMMYFUNCTION("""COMPUTED_VALUE"""),"John Sragow")</f>
        <v>John Sragow</v>
      </c>
      <c r="Z388" s="1" t="str">
        <f ca="1">IFERROR(__xludf.DUMMYFUNCTION("""COMPUTED_VALUE"""),"ysragow@mit.edu")</f>
        <v>ysragow@mit.edu</v>
      </c>
      <c r="AA388" s="1"/>
      <c r="AB388" s="1" t="str">
        <f ca="1">IFERROR(__xludf.DUMMYFUNCTION("""COMPUTED_VALUE"""),"Gavin Rees")</f>
        <v>Gavin Rees</v>
      </c>
      <c r="AC388" s="1"/>
    </row>
    <row r="389" spans="1:29">
      <c r="A389" s="1" t="str">
        <f ca="1">IFERROR(__xludf.DUMMYFUNCTION("""COMPUTED_VALUE"""),"376 Prospect Street")</f>
        <v>376 Prospect Street</v>
      </c>
      <c r="B389" s="1">
        <f ca="1">IFERROR(__xludf.DUMMYFUNCTION("""COMPUTED_VALUE"""),376)</f>
        <v>376</v>
      </c>
      <c r="C389" s="1" t="str">
        <f ca="1">IFERROR(__xludf.DUMMYFUNCTION("""COMPUTED_VALUE"""),"#2")</f>
        <v>#2</v>
      </c>
      <c r="D389" s="1" t="str">
        <f ca="1">IFERROR(__xludf.DUMMYFUNCTION("""COMPUTED_VALUE"""),"376 Prospect Street Unit 2")</f>
        <v>376 Prospect Street Unit 2</v>
      </c>
      <c r="E389" s="1" t="str">
        <f ca="1">IFERROR(__xludf.DUMMYFUNCTION("""COMPUTED_VALUE"""),"Cambridge")</f>
        <v>Cambridge</v>
      </c>
      <c r="F389" s="1" t="str">
        <f ca="1">IFERROR(__xludf.DUMMYFUNCTION("""COMPUTED_VALUE"""),"Cambridge - Inman Square")</f>
        <v>Cambridge - Inman Square</v>
      </c>
      <c r="G389" s="1">
        <f ca="1">IFERROR(__xludf.DUMMYFUNCTION("""COMPUTED_VALUE"""),5)</f>
        <v>5</v>
      </c>
      <c r="H389" s="1" t="str">
        <f ca="1">IFERROR(__xludf.DUMMYFUNCTION("""COMPUTED_VALUE"""),"E")</f>
        <v>E</v>
      </c>
      <c r="I389" s="4" t="str">
        <f ca="1">IFERROR(__xludf.DUMMYFUNCTION("""COMPUTED_VALUE"""),"376 Prospect Street#2E")</f>
        <v>376 Prospect Street#2E</v>
      </c>
      <c r="J389" s="4" t="str">
        <f ca="1">IFERROR(__xludf.DUMMYFUNCTION("""COMPUTED_VALUE"""),"f9d29fe7-e770-4143-a5f6-534e8cefb4fa")</f>
        <v>f9d29fe7-e770-4143-a5f6-534e8cefb4fa</v>
      </c>
      <c r="K389" s="4">
        <f ca="1">IFERROR(__xludf.DUMMYFUNCTION("""COMPUTED_VALUE"""),795)</f>
        <v>795</v>
      </c>
      <c r="L389" s="1" t="str">
        <f ca="1">IFERROR(__xludf.DUMMYFUNCTION("""COMPUTED_VALUE"""),"Lizzie")</f>
        <v>Lizzie</v>
      </c>
      <c r="M389" s="1" t="str">
        <f ca="1">IFERROR(__xludf.DUMMYFUNCTION("""COMPUTED_VALUE"""),"")</f>
        <v/>
      </c>
      <c r="N389" s="1" t="str">
        <f ca="1">IFERROR(__xludf.DUMMYFUNCTION("""COMPUTED_VALUE"""),"Furnished")</f>
        <v>Furnished</v>
      </c>
      <c r="O389" s="1" t="str">
        <f ca="1">IFERROR(__xludf.DUMMYFUNCTION("""COMPUTED_VALUE"""),"Lease Signed")</f>
        <v>Lease Signed</v>
      </c>
      <c r="P389" s="1" t="str">
        <f ca="1">IFERROR(__xludf.DUMMYFUNCTION("""COMPUTED_VALUE"""),"January")</f>
        <v>January</v>
      </c>
      <c r="Q389" s="1"/>
      <c r="R389" s="5">
        <f ca="1">IFERROR(__xludf.DUMMYFUNCTION("""COMPUTED_VALUE"""),44216)</f>
        <v>44216</v>
      </c>
      <c r="S389" s="1"/>
      <c r="T389" s="1"/>
      <c r="U389" s="1" t="str">
        <f ca="1">IFERROR(__xludf.DUMMYFUNCTION("""COMPUTED_VALUE"""),"N")</f>
        <v>N</v>
      </c>
      <c r="V389" s="1" t="str">
        <f ca="1">IFERROR(__xludf.DUMMYFUNCTION("""COMPUTED_VALUE"""),"N")</f>
        <v>N</v>
      </c>
      <c r="W389" s="1" t="str">
        <f ca="1">IFERROR(__xludf.DUMMYFUNCTION("""COMPUTED_VALUE"""),"Andrew Komo")</f>
        <v>Andrew Komo</v>
      </c>
      <c r="X389" s="1" t="str">
        <f ca="1">IFERROR(__xludf.DUMMYFUNCTION("""COMPUTED_VALUE"""),"komo@mit.edu")</f>
        <v>komo@mit.edu</v>
      </c>
      <c r="Y389" s="1" t="str">
        <f ca="1">IFERROR(__xludf.DUMMYFUNCTION("""COMPUTED_VALUE"""),"Levi Gershon")</f>
        <v>Levi Gershon</v>
      </c>
      <c r="Z389" s="1" t="str">
        <f ca="1">IFERROR(__xludf.DUMMYFUNCTION("""COMPUTED_VALUE"""),"lgershon@mit.edu")</f>
        <v>lgershon@mit.edu</v>
      </c>
      <c r="AA389" s="1"/>
      <c r="AB389" s="1" t="str">
        <f ca="1">IFERROR(__xludf.DUMMYFUNCTION("""COMPUTED_VALUE"""),"Alexander ""Sandy"" Koenig")</f>
        <v>Alexander "Sandy" Koenig</v>
      </c>
      <c r="AC389" s="1"/>
    </row>
    <row r="390" spans="1:29">
      <c r="A390" s="1" t="str">
        <f ca="1">IFERROR(__xludf.DUMMYFUNCTION("""COMPUTED_VALUE"""),"379 Broadway Street")</f>
        <v>379 Broadway Street</v>
      </c>
      <c r="B390" s="1">
        <f ca="1">IFERROR(__xludf.DUMMYFUNCTION("""COMPUTED_VALUE"""),379)</f>
        <v>379</v>
      </c>
      <c r="C390" s="1" t="str">
        <f ca="1">IFERROR(__xludf.DUMMYFUNCTION("""COMPUTED_VALUE"""),"#43")</f>
        <v>#43</v>
      </c>
      <c r="D390" s="1" t="str">
        <f ca="1">IFERROR(__xludf.DUMMYFUNCTION("""COMPUTED_VALUE"""),"379 Broadway Street Unit 43")</f>
        <v>379 Broadway Street Unit 43</v>
      </c>
      <c r="E390" s="1" t="str">
        <f ca="1">IFERROR(__xludf.DUMMYFUNCTION("""COMPUTED_VALUE"""),"Somerville")</f>
        <v>Somerville</v>
      </c>
      <c r="F390" s="1" t="str">
        <f ca="1">IFERROR(__xludf.DUMMYFUNCTION("""COMPUTED_VALUE"""),"Somerville - Winter Hill")</f>
        <v>Somerville - Winter Hill</v>
      </c>
      <c r="G390" s="1">
        <f ca="1">IFERROR(__xludf.DUMMYFUNCTION("""COMPUTED_VALUE"""),1)</f>
        <v>1</v>
      </c>
      <c r="H390" s="1" t="str">
        <f ca="1">IFERROR(__xludf.DUMMYFUNCTION("""COMPUTED_VALUE"""),"A")</f>
        <v>A</v>
      </c>
      <c r="I390" s="4" t="str">
        <f ca="1">IFERROR(__xludf.DUMMYFUNCTION("""COMPUTED_VALUE"""),"379 Broadway Street#43A")</f>
        <v>379 Broadway Street#43A</v>
      </c>
      <c r="J390" s="4" t="str">
        <f ca="1">IFERROR(__xludf.DUMMYFUNCTION("""COMPUTED_VALUE"""),"40709527-322f-4c16-b671-cd1ff36a97a0")</f>
        <v>40709527-322f-4c16-b671-cd1ff36a97a0</v>
      </c>
      <c r="K390" s="4">
        <f ca="1">IFERROR(__xludf.DUMMYFUNCTION("""COMPUTED_VALUE"""),895)</f>
        <v>895</v>
      </c>
      <c r="L390" s="1" t="str">
        <f ca="1">IFERROR(__xludf.DUMMYFUNCTION("""COMPUTED_VALUE"""),"Self")</f>
        <v>Self</v>
      </c>
      <c r="M390" s="1" t="str">
        <f ca="1">IFERROR(__xludf.DUMMYFUNCTION("""COMPUTED_VALUE"""),"Self (NOW)")</f>
        <v>Self (NOW)</v>
      </c>
      <c r="N390" s="1"/>
      <c r="O390" s="1" t="str">
        <f ca="1">IFERROR(__xludf.DUMMYFUNCTION("""COMPUTED_VALUE"""),"Vacant")</f>
        <v>Vacant</v>
      </c>
      <c r="P390" s="1"/>
      <c r="Q390" s="1"/>
      <c r="R390" s="1"/>
      <c r="S390" s="1"/>
      <c r="T390" s="1"/>
      <c r="U390" s="1" t="str">
        <f ca="1">IFERROR(__xludf.DUMMYFUNCTION("""COMPUTED_VALUE"""),"Y")</f>
        <v>Y</v>
      </c>
      <c r="V390" s="1" t="str">
        <f ca="1">IFERROR(__xludf.DUMMYFUNCTION("""COMPUTED_VALUE"""),"Y")</f>
        <v>Y</v>
      </c>
      <c r="W390" s="1"/>
      <c r="X390" s="1"/>
      <c r="Y390" s="1" t="str">
        <f ca="1">IFERROR(__xludf.DUMMYFUNCTION("""COMPUTED_VALUE"""),"Ryan Mitchell")</f>
        <v>Ryan Mitchell</v>
      </c>
      <c r="Z390" s="1" t="str">
        <f ca="1">IFERROR(__xludf.DUMMYFUNCTION("""COMPUTED_VALUE"""),"ryan.mitchell@acquia.com")</f>
        <v>ryan.mitchell@acquia.com</v>
      </c>
      <c r="AA390" s="1"/>
      <c r="AB390" s="1"/>
      <c r="AC390" s="1"/>
    </row>
    <row r="391" spans="1:29">
      <c r="A391" s="1" t="str">
        <f ca="1">IFERROR(__xludf.DUMMYFUNCTION("""COMPUTED_VALUE"""),"379 Broadway Street")</f>
        <v>379 Broadway Street</v>
      </c>
      <c r="B391" s="1">
        <f ca="1">IFERROR(__xludf.DUMMYFUNCTION("""COMPUTED_VALUE"""),379)</f>
        <v>379</v>
      </c>
      <c r="C391" s="1" t="str">
        <f ca="1">IFERROR(__xludf.DUMMYFUNCTION("""COMPUTED_VALUE"""),"#43")</f>
        <v>#43</v>
      </c>
      <c r="D391" s="1" t="str">
        <f ca="1">IFERROR(__xludf.DUMMYFUNCTION("""COMPUTED_VALUE"""),"379 Broadway Street Unit 43")</f>
        <v>379 Broadway Street Unit 43</v>
      </c>
      <c r="E391" s="1" t="str">
        <f ca="1">IFERROR(__xludf.DUMMYFUNCTION("""COMPUTED_VALUE"""),"Somerville")</f>
        <v>Somerville</v>
      </c>
      <c r="F391" s="1" t="str">
        <f ca="1">IFERROR(__xludf.DUMMYFUNCTION("""COMPUTED_VALUE"""),"Somerville - Winter Hill")</f>
        <v>Somerville - Winter Hill</v>
      </c>
      <c r="G391" s="1">
        <f ca="1">IFERROR(__xludf.DUMMYFUNCTION("""COMPUTED_VALUE"""),2)</f>
        <v>2</v>
      </c>
      <c r="H391" s="1" t="str">
        <f ca="1">IFERROR(__xludf.DUMMYFUNCTION("""COMPUTED_VALUE"""),"B")</f>
        <v>B</v>
      </c>
      <c r="I391" s="4" t="str">
        <f ca="1">IFERROR(__xludf.DUMMYFUNCTION("""COMPUTED_VALUE"""),"379 Broadway Street#43B")</f>
        <v>379 Broadway Street#43B</v>
      </c>
      <c r="J391" s="4" t="str">
        <f ca="1">IFERROR(__xludf.DUMMYFUNCTION("""COMPUTED_VALUE"""),"40709527-322f-4c16-b671-cd1ff36a97a0")</f>
        <v>40709527-322f-4c16-b671-cd1ff36a97a0</v>
      </c>
      <c r="K391" s="4">
        <f ca="1">IFERROR(__xludf.DUMMYFUNCTION("""COMPUTED_VALUE"""),1150)</f>
        <v>1150</v>
      </c>
      <c r="L391" s="1" t="str">
        <f ca="1">IFERROR(__xludf.DUMMYFUNCTION("""COMPUTED_VALUE"""),"Self")</f>
        <v>Self</v>
      </c>
      <c r="M391" s="1" t="str">
        <f ca="1">IFERROR(__xludf.DUMMYFUNCTION("""COMPUTED_VALUE"""),"")</f>
        <v/>
      </c>
      <c r="N391" s="1" t="str">
        <f ca="1">IFERROR(__xludf.DUMMYFUNCTION("""COMPUTED_VALUE"""),"")</f>
        <v/>
      </c>
      <c r="O391" s="1" t="str">
        <f ca="1">IFERROR(__xludf.DUMMYFUNCTION("""COMPUTED_VALUE"""),"Occupied")</f>
        <v>Occupied</v>
      </c>
      <c r="P391" s="1"/>
      <c r="Q391" s="1"/>
      <c r="R391" s="1"/>
      <c r="S391" s="1"/>
      <c r="T391" s="1"/>
      <c r="U391" s="1" t="str">
        <f ca="1">IFERROR(__xludf.DUMMYFUNCTION("""COMPUTED_VALUE"""),"Y")</f>
        <v>Y</v>
      </c>
      <c r="V391" s="1" t="str">
        <f ca="1">IFERROR(__xludf.DUMMYFUNCTION("""COMPUTED_VALUE"""),"Y")</f>
        <v>Y</v>
      </c>
      <c r="W391" s="1"/>
      <c r="X391" s="1"/>
      <c r="Y391" s="1" t="str">
        <f ca="1">IFERROR(__xludf.DUMMYFUNCTION("""COMPUTED_VALUE"""),"Evan Dent")</f>
        <v>Evan Dent</v>
      </c>
      <c r="Z391" s="1" t="str">
        <f ca="1">IFERROR(__xludf.DUMMYFUNCTION("""COMPUTED_VALUE"""),"edent5@gmail.com")</f>
        <v>edent5@gmail.com</v>
      </c>
      <c r="AA391" s="1"/>
      <c r="AB391" s="1"/>
      <c r="AC391" s="1"/>
    </row>
    <row r="392" spans="1:29">
      <c r="A392" s="1" t="str">
        <f ca="1">IFERROR(__xludf.DUMMYFUNCTION("""COMPUTED_VALUE"""),"379 Broadway Street")</f>
        <v>379 Broadway Street</v>
      </c>
      <c r="B392" s="1">
        <f ca="1">IFERROR(__xludf.DUMMYFUNCTION("""COMPUTED_VALUE"""),379)</f>
        <v>379</v>
      </c>
      <c r="C392" s="1" t="str">
        <f ca="1">IFERROR(__xludf.DUMMYFUNCTION("""COMPUTED_VALUE"""),"#43")</f>
        <v>#43</v>
      </c>
      <c r="D392" s="1" t="str">
        <f ca="1">IFERROR(__xludf.DUMMYFUNCTION("""COMPUTED_VALUE"""),"379 Broadway Street Unit 43")</f>
        <v>379 Broadway Street Unit 43</v>
      </c>
      <c r="E392" s="1" t="str">
        <f ca="1">IFERROR(__xludf.DUMMYFUNCTION("""COMPUTED_VALUE"""),"Somerville")</f>
        <v>Somerville</v>
      </c>
      <c r="F392" s="1" t="str">
        <f ca="1">IFERROR(__xludf.DUMMYFUNCTION("""COMPUTED_VALUE"""),"Somerville - Winter Hill")</f>
        <v>Somerville - Winter Hill</v>
      </c>
      <c r="G392" s="1">
        <f ca="1">IFERROR(__xludf.DUMMYFUNCTION("""COMPUTED_VALUE"""),3)</f>
        <v>3</v>
      </c>
      <c r="H392" s="1" t="str">
        <f ca="1">IFERROR(__xludf.DUMMYFUNCTION("""COMPUTED_VALUE"""),"C")</f>
        <v>C</v>
      </c>
      <c r="I392" s="4" t="str">
        <f ca="1">IFERROR(__xludf.DUMMYFUNCTION("""COMPUTED_VALUE"""),"379 Broadway Street#43C")</f>
        <v>379 Broadway Street#43C</v>
      </c>
      <c r="J392" s="4" t="str">
        <f ca="1">IFERROR(__xludf.DUMMYFUNCTION("""COMPUTED_VALUE"""),"40709527-322f-4c16-b671-cd1ff36a97a0")</f>
        <v>40709527-322f-4c16-b671-cd1ff36a97a0</v>
      </c>
      <c r="K392" s="4">
        <f ca="1">IFERROR(__xludf.DUMMYFUNCTION("""COMPUTED_VALUE"""),1150)</f>
        <v>1150</v>
      </c>
      <c r="L392" s="1" t="str">
        <f ca="1">IFERROR(__xludf.DUMMYFUNCTION("""COMPUTED_VALUE"""),"Self")</f>
        <v>Self</v>
      </c>
      <c r="M392" s="1" t="str">
        <f ca="1">IFERROR(__xludf.DUMMYFUNCTION("""COMPUTED_VALUE"""),"")</f>
        <v/>
      </c>
      <c r="N392" s="1" t="str">
        <f ca="1">IFERROR(__xludf.DUMMYFUNCTION("""COMPUTED_VALUE"""),"")</f>
        <v/>
      </c>
      <c r="O392" s="1" t="str">
        <f ca="1">IFERROR(__xludf.DUMMYFUNCTION("""COMPUTED_VALUE"""),"Occupied")</f>
        <v>Occupied</v>
      </c>
      <c r="P392" s="1"/>
      <c r="Q392" s="1"/>
      <c r="R392" s="1"/>
      <c r="S392" s="1"/>
      <c r="T392" s="1"/>
      <c r="U392" s="1" t="str">
        <f ca="1">IFERROR(__xludf.DUMMYFUNCTION("""COMPUTED_VALUE"""),"Y")</f>
        <v>Y</v>
      </c>
      <c r="V392" s="1" t="str">
        <f ca="1">IFERROR(__xludf.DUMMYFUNCTION("""COMPUTED_VALUE"""),"Y")</f>
        <v>Y</v>
      </c>
      <c r="W392" s="1"/>
      <c r="X392" s="1"/>
      <c r="Y392" s="1" t="str">
        <f ca="1">IFERROR(__xludf.DUMMYFUNCTION("""COMPUTED_VALUE"""),"Jonas Silus")</f>
        <v>Jonas Silus</v>
      </c>
      <c r="Z392" s="1" t="str">
        <f ca="1">IFERROR(__xludf.DUMMYFUNCTION("""COMPUTED_VALUE"""),"jonassilus@yahoo.com")</f>
        <v>jonassilus@yahoo.com</v>
      </c>
      <c r="AA392" s="1"/>
      <c r="AB392" s="1"/>
      <c r="AC392" s="1"/>
    </row>
    <row r="393" spans="1:29">
      <c r="A393" s="1" t="str">
        <f ca="1">IFERROR(__xludf.DUMMYFUNCTION("""COMPUTED_VALUE"""),"379 Broadway Street")</f>
        <v>379 Broadway Street</v>
      </c>
      <c r="B393" s="1">
        <f ca="1">IFERROR(__xludf.DUMMYFUNCTION("""COMPUTED_VALUE"""),379)</f>
        <v>379</v>
      </c>
      <c r="C393" s="1" t="str">
        <f ca="1">IFERROR(__xludf.DUMMYFUNCTION("""COMPUTED_VALUE"""),"#7")</f>
        <v>#7</v>
      </c>
      <c r="D393" s="1" t="str">
        <f ca="1">IFERROR(__xludf.DUMMYFUNCTION("""COMPUTED_VALUE"""),"379 Broadway Street Unit 7")</f>
        <v>379 Broadway Street Unit 7</v>
      </c>
      <c r="E393" s="1" t="str">
        <f ca="1">IFERROR(__xludf.DUMMYFUNCTION("""COMPUTED_VALUE"""),"Somerville")</f>
        <v>Somerville</v>
      </c>
      <c r="F393" s="1" t="str">
        <f ca="1">IFERROR(__xludf.DUMMYFUNCTION("""COMPUTED_VALUE"""),"Somerville - Winter Hill")</f>
        <v>Somerville - Winter Hill</v>
      </c>
      <c r="G393" s="1">
        <f ca="1">IFERROR(__xludf.DUMMYFUNCTION("""COMPUTED_VALUE"""),1)</f>
        <v>1</v>
      </c>
      <c r="H393" s="1" t="str">
        <f ca="1">IFERROR(__xludf.DUMMYFUNCTION("""COMPUTED_VALUE"""),"A")</f>
        <v>A</v>
      </c>
      <c r="I393" s="4" t="str">
        <f ca="1">IFERROR(__xludf.DUMMYFUNCTION("""COMPUTED_VALUE"""),"379 Broadway Street#7A")</f>
        <v>379 Broadway Street#7A</v>
      </c>
      <c r="J393" s="4" t="str">
        <f ca="1">IFERROR(__xludf.DUMMYFUNCTION("""COMPUTED_VALUE"""),"99cb01f94-be7b-45e1-ae40-7d2315cc3327")</f>
        <v>99cb01f94-be7b-45e1-ae40-7d2315cc3327</v>
      </c>
      <c r="K393" s="4">
        <f ca="1">IFERROR(__xludf.DUMMYFUNCTION("""COMPUTED_VALUE"""),1075)</f>
        <v>1075</v>
      </c>
      <c r="L393" s="1" t="str">
        <f ca="1">IFERROR(__xludf.DUMMYFUNCTION("""COMPUTED_VALUE"""),"Lizzie")</f>
        <v>Lizzie</v>
      </c>
      <c r="M393" s="1" t="str">
        <f ca="1">IFERROR(__xludf.DUMMYFUNCTION("""COMPUTED_VALUE"""),"")</f>
        <v/>
      </c>
      <c r="N393" s="1" t="str">
        <f ca="1">IFERROR(__xludf.DUMMYFUNCTION("""COMPUTED_VALUE"""),"")</f>
        <v/>
      </c>
      <c r="O393" s="1" t="str">
        <f ca="1">IFERROR(__xludf.DUMMYFUNCTION("""COMPUTED_VALUE"""),"Occupied")</f>
        <v>Occupied</v>
      </c>
      <c r="P393" s="1"/>
      <c r="Q393" s="1"/>
      <c r="R393" s="1"/>
      <c r="S393" s="1"/>
      <c r="T393" s="1"/>
      <c r="U393" s="1" t="str">
        <f ca="1">IFERROR(__xludf.DUMMYFUNCTION("""COMPUTED_VALUE"""),"Y")</f>
        <v>Y</v>
      </c>
      <c r="V393" s="1" t="str">
        <f ca="1">IFERROR(__xludf.DUMMYFUNCTION("""COMPUTED_VALUE"""),"Y")</f>
        <v>Y</v>
      </c>
      <c r="W393" s="1"/>
      <c r="X393" s="1"/>
      <c r="Y393" s="1" t="str">
        <f ca="1">IFERROR(__xludf.DUMMYFUNCTION("""COMPUTED_VALUE"""),"Rashad Brathwaite")</f>
        <v>Rashad Brathwaite</v>
      </c>
      <c r="Z393" s="1" t="str">
        <f ca="1">IFERROR(__xludf.DUMMYFUNCTION("""COMPUTED_VALUE"""),"rashadbrath@gmail.com")</f>
        <v>rashadbrath@gmail.com</v>
      </c>
      <c r="AA393" s="1"/>
      <c r="AB393" s="1"/>
      <c r="AC393" s="1"/>
    </row>
    <row r="394" spans="1:29">
      <c r="A394" s="1" t="str">
        <f ca="1">IFERROR(__xludf.DUMMYFUNCTION("""COMPUTED_VALUE"""),"379 Broadway Street")</f>
        <v>379 Broadway Street</v>
      </c>
      <c r="B394" s="1">
        <f ca="1">IFERROR(__xludf.DUMMYFUNCTION("""COMPUTED_VALUE"""),379)</f>
        <v>379</v>
      </c>
      <c r="C394" s="1" t="str">
        <f ca="1">IFERROR(__xludf.DUMMYFUNCTION("""COMPUTED_VALUE"""),"#7")</f>
        <v>#7</v>
      </c>
      <c r="D394" s="1" t="str">
        <f ca="1">IFERROR(__xludf.DUMMYFUNCTION("""COMPUTED_VALUE"""),"379 Broadway Street Unit 7")</f>
        <v>379 Broadway Street Unit 7</v>
      </c>
      <c r="E394" s="1" t="str">
        <f ca="1">IFERROR(__xludf.DUMMYFUNCTION("""COMPUTED_VALUE"""),"Somerville")</f>
        <v>Somerville</v>
      </c>
      <c r="F394" s="1" t="str">
        <f ca="1">IFERROR(__xludf.DUMMYFUNCTION("""COMPUTED_VALUE"""),"Somerville - Winter Hill")</f>
        <v>Somerville - Winter Hill</v>
      </c>
      <c r="G394" s="1">
        <f ca="1">IFERROR(__xludf.DUMMYFUNCTION("""COMPUTED_VALUE"""),2)</f>
        <v>2</v>
      </c>
      <c r="H394" s="1" t="str">
        <f ca="1">IFERROR(__xludf.DUMMYFUNCTION("""COMPUTED_VALUE"""),"B")</f>
        <v>B</v>
      </c>
      <c r="I394" s="4" t="str">
        <f ca="1">IFERROR(__xludf.DUMMYFUNCTION("""COMPUTED_VALUE"""),"379 Broadway Street#7B")</f>
        <v>379 Broadway Street#7B</v>
      </c>
      <c r="J394" s="4" t="str">
        <f ca="1">IFERROR(__xludf.DUMMYFUNCTION("""COMPUTED_VALUE"""),"9cb01f94-be7b-45e1-ae40-7d2315cc3327")</f>
        <v>9cb01f94-be7b-45e1-ae40-7d2315cc3327</v>
      </c>
      <c r="K394" s="4">
        <f ca="1">IFERROR(__xludf.DUMMYFUNCTION("""COMPUTED_VALUE"""),795)</f>
        <v>795</v>
      </c>
      <c r="L394" s="1" t="str">
        <f ca="1">IFERROR(__xludf.DUMMYFUNCTION("""COMPUTED_VALUE"""),"Lizzie")</f>
        <v>Lizzie</v>
      </c>
      <c r="M394" s="1" t="str">
        <f ca="1">IFERROR(__xludf.DUMMYFUNCTION("""COMPUTED_VALUE"""),"")</f>
        <v/>
      </c>
      <c r="N394" s="1" t="str">
        <f ca="1">IFERROR(__xludf.DUMMYFUNCTION("""COMPUTED_VALUE"""),"")</f>
        <v/>
      </c>
      <c r="O394" s="1" t="str">
        <f ca="1">IFERROR(__xludf.DUMMYFUNCTION("""COMPUTED_VALUE"""),"Occupied")</f>
        <v>Occupied</v>
      </c>
      <c r="P394" s="1"/>
      <c r="Q394" s="1"/>
      <c r="R394" s="1"/>
      <c r="S394" s="1"/>
      <c r="T394" s="1"/>
      <c r="U394" s="1" t="str">
        <f ca="1">IFERROR(__xludf.DUMMYFUNCTION("""COMPUTED_VALUE"""),"Y")</f>
        <v>Y</v>
      </c>
      <c r="V394" s="1" t="str">
        <f ca="1">IFERROR(__xludf.DUMMYFUNCTION("""COMPUTED_VALUE"""),"Y")</f>
        <v>Y</v>
      </c>
      <c r="W394" s="1"/>
      <c r="X394" s="1"/>
      <c r="Y394" s="1" t="str">
        <f ca="1">IFERROR(__xludf.DUMMYFUNCTION("""COMPUTED_VALUE"""),"Tiffany Medeiros")</f>
        <v>Tiffany Medeiros</v>
      </c>
      <c r="Z394" s="1" t="str">
        <f ca="1">IFERROR(__xludf.DUMMYFUNCTION("""COMPUTED_VALUE"""),"medeirostm3@gmail.com")</f>
        <v>medeirostm3@gmail.com</v>
      </c>
      <c r="AA394" s="1"/>
      <c r="AB394" s="1"/>
      <c r="AC394" s="1"/>
    </row>
    <row r="395" spans="1:29">
      <c r="A395" s="1" t="str">
        <f ca="1">IFERROR(__xludf.DUMMYFUNCTION("""COMPUTED_VALUE"""),"379 Broadway Street")</f>
        <v>379 Broadway Street</v>
      </c>
      <c r="B395" s="1">
        <f ca="1">IFERROR(__xludf.DUMMYFUNCTION("""COMPUTED_VALUE"""),379)</f>
        <v>379</v>
      </c>
      <c r="C395" s="1" t="str">
        <f ca="1">IFERROR(__xludf.DUMMYFUNCTION("""COMPUTED_VALUE"""),"#7")</f>
        <v>#7</v>
      </c>
      <c r="D395" s="1" t="str">
        <f ca="1">IFERROR(__xludf.DUMMYFUNCTION("""COMPUTED_VALUE"""),"379 Broadway Street Unit 7")</f>
        <v>379 Broadway Street Unit 7</v>
      </c>
      <c r="E395" s="1" t="str">
        <f ca="1">IFERROR(__xludf.DUMMYFUNCTION("""COMPUTED_VALUE"""),"Somerville")</f>
        <v>Somerville</v>
      </c>
      <c r="F395" s="1" t="str">
        <f ca="1">IFERROR(__xludf.DUMMYFUNCTION("""COMPUTED_VALUE"""),"Somerville - Winter Hill")</f>
        <v>Somerville - Winter Hill</v>
      </c>
      <c r="G395" s="1">
        <f ca="1">IFERROR(__xludf.DUMMYFUNCTION("""COMPUTED_VALUE"""),3)</f>
        <v>3</v>
      </c>
      <c r="H395" s="1" t="str">
        <f ca="1">IFERROR(__xludf.DUMMYFUNCTION("""COMPUTED_VALUE"""),"C")</f>
        <v>C</v>
      </c>
      <c r="I395" s="4" t="str">
        <f ca="1">IFERROR(__xludf.DUMMYFUNCTION("""COMPUTED_VALUE"""),"379 Broadway Street#7C")</f>
        <v>379 Broadway Street#7C</v>
      </c>
      <c r="J395" s="4" t="str">
        <f ca="1">IFERROR(__xludf.DUMMYFUNCTION("""COMPUTED_VALUE"""),"9cb01f94-be7b-45e1-ae40-7d2315cc3327")</f>
        <v>9cb01f94-be7b-45e1-ae40-7d2315cc3327</v>
      </c>
      <c r="K395" s="4">
        <f ca="1">IFERROR(__xludf.DUMMYFUNCTION("""COMPUTED_VALUE"""),1150)</f>
        <v>1150</v>
      </c>
      <c r="L395" s="1" t="str">
        <f ca="1">IFERROR(__xludf.DUMMYFUNCTION("""COMPUTED_VALUE"""),"Lizzie")</f>
        <v>Lizzie</v>
      </c>
      <c r="M395" s="1" t="str">
        <f ca="1">IFERROR(__xludf.DUMMYFUNCTION("""COMPUTED_VALUE"""),"Lizzie (NOW)")</f>
        <v>Lizzie (NOW)</v>
      </c>
      <c r="N395" s="1" t="str">
        <f ca="1">IFERROR(__xludf.DUMMYFUNCTION("""COMPUTED_VALUE"""),"")</f>
        <v/>
      </c>
      <c r="O395" s="1" t="str">
        <f ca="1">IFERROR(__xludf.DUMMYFUNCTION("""COMPUTED_VALUE"""),"Vacant")</f>
        <v>Vacant</v>
      </c>
      <c r="P395" s="1"/>
      <c r="Q395" s="1"/>
      <c r="R395" s="1"/>
      <c r="S395" s="1"/>
      <c r="T395" s="1"/>
      <c r="U395" s="1" t="str">
        <f ca="1">IFERROR(__xludf.DUMMYFUNCTION("""COMPUTED_VALUE"""),"Y")</f>
        <v>Y</v>
      </c>
      <c r="V395" s="1" t="str">
        <f ca="1">IFERROR(__xludf.DUMMYFUNCTION("""COMPUTED_VALUE"""),"Y")</f>
        <v>Y</v>
      </c>
      <c r="W395" s="1"/>
      <c r="X395" s="1"/>
      <c r="Y395" s="1"/>
      <c r="Z395" s="1"/>
      <c r="AA395" s="1"/>
      <c r="AB395" s="1"/>
      <c r="AC395" s="1" t="str">
        <f ca="1">IFERROR(__xludf.DUMMYFUNCTION("""COMPUTED_VALUE"""),"waiting for deposit (but overpaid buildium??)")</f>
        <v>waiting for deposit (but overpaid buildium??)</v>
      </c>
    </row>
    <row r="396" spans="1:29">
      <c r="A396" s="1" t="str">
        <f ca="1">IFERROR(__xludf.DUMMYFUNCTION("""COMPUTED_VALUE"""),"383 Broadway Street")</f>
        <v>383 Broadway Street</v>
      </c>
      <c r="B396" s="1">
        <f ca="1">IFERROR(__xludf.DUMMYFUNCTION("""COMPUTED_VALUE"""),383)</f>
        <v>383</v>
      </c>
      <c r="C396" s="1" t="str">
        <f ca="1">IFERROR(__xludf.DUMMYFUNCTION("""COMPUTED_VALUE"""),"#41")</f>
        <v>#41</v>
      </c>
      <c r="D396" s="1" t="str">
        <f ca="1">IFERROR(__xludf.DUMMYFUNCTION("""COMPUTED_VALUE"""),"383 Broadway Street Unit 41")</f>
        <v>383 Broadway Street Unit 41</v>
      </c>
      <c r="E396" s="1" t="str">
        <f ca="1">IFERROR(__xludf.DUMMYFUNCTION("""COMPUTED_VALUE"""),"Somerville")</f>
        <v>Somerville</v>
      </c>
      <c r="F396" s="1" t="str">
        <f ca="1">IFERROR(__xludf.DUMMYFUNCTION("""COMPUTED_VALUE"""),"Somerville - Winter Hill")</f>
        <v>Somerville - Winter Hill</v>
      </c>
      <c r="G396" s="1">
        <f ca="1">IFERROR(__xludf.DUMMYFUNCTION("""COMPUTED_VALUE"""),1)</f>
        <v>1</v>
      </c>
      <c r="H396" s="1" t="str">
        <f ca="1">IFERROR(__xludf.DUMMYFUNCTION("""COMPUTED_VALUE"""),"A")</f>
        <v>A</v>
      </c>
      <c r="I396" s="4" t="str">
        <f ca="1">IFERROR(__xludf.DUMMYFUNCTION("""COMPUTED_VALUE"""),"383 Broadway Street#41A")</f>
        <v>383 Broadway Street#41A</v>
      </c>
      <c r="J396" s="4" t="str">
        <f ca="1">IFERROR(__xludf.DUMMYFUNCTION("""COMPUTED_VALUE"""),"a2486996-fa0a-48a8-843f-bb6689585c59")</f>
        <v>a2486996-fa0a-48a8-843f-bb6689585c59</v>
      </c>
      <c r="K396" s="4">
        <f ca="1">IFERROR(__xludf.DUMMYFUNCTION("""COMPUTED_VALUE"""),895)</f>
        <v>895</v>
      </c>
      <c r="L396" s="1" t="str">
        <f ca="1">IFERROR(__xludf.DUMMYFUNCTION("""COMPUTED_VALUE"""),"Lizzie")</f>
        <v>Lizzie</v>
      </c>
      <c r="M396" s="1" t="str">
        <f ca="1">IFERROR(__xludf.DUMMYFUNCTION("""COMPUTED_VALUE"""),"")</f>
        <v/>
      </c>
      <c r="N396" s="1" t="str">
        <f ca="1">IFERROR(__xludf.DUMMYFUNCTION("""COMPUTED_VALUE"""),"")</f>
        <v/>
      </c>
      <c r="O396" s="1" t="str">
        <f ca="1">IFERROR(__xludf.DUMMYFUNCTION("""COMPUTED_VALUE"""),"Occupied")</f>
        <v>Occupied</v>
      </c>
      <c r="P396" s="1"/>
      <c r="Q396" s="1"/>
      <c r="R396" s="1"/>
      <c r="S396" s="1"/>
      <c r="T396" s="1"/>
      <c r="U396" s="1" t="str">
        <f ca="1">IFERROR(__xludf.DUMMYFUNCTION("""COMPUTED_VALUE"""),"Y")</f>
        <v>Y</v>
      </c>
      <c r="V396" s="1" t="str">
        <f ca="1">IFERROR(__xludf.DUMMYFUNCTION("""COMPUTED_VALUE"""),"Y")</f>
        <v>Y</v>
      </c>
      <c r="W396" s="1"/>
      <c r="X396" s="1"/>
      <c r="Y396" s="1" t="str">
        <f ca="1">IFERROR(__xludf.DUMMYFUNCTION("""COMPUTED_VALUE"""),"Vincent Visconti")</f>
        <v>Vincent Visconti</v>
      </c>
      <c r="Z396" s="1" t="str">
        <f ca="1">IFERROR(__xludf.DUMMYFUNCTION("""COMPUTED_VALUE"""),"vincentavisconti@gmail.com")</f>
        <v>vincentavisconti@gmail.com</v>
      </c>
      <c r="AA396" s="1"/>
      <c r="AB396" s="1"/>
      <c r="AC396" s="1"/>
    </row>
    <row r="397" spans="1:29">
      <c r="A397" s="1" t="str">
        <f ca="1">IFERROR(__xludf.DUMMYFUNCTION("""COMPUTED_VALUE"""),"383 Broadway Street")</f>
        <v>383 Broadway Street</v>
      </c>
      <c r="B397" s="1">
        <f ca="1">IFERROR(__xludf.DUMMYFUNCTION("""COMPUTED_VALUE"""),383)</f>
        <v>383</v>
      </c>
      <c r="C397" s="1" t="str">
        <f ca="1">IFERROR(__xludf.DUMMYFUNCTION("""COMPUTED_VALUE"""),"#41")</f>
        <v>#41</v>
      </c>
      <c r="D397" s="1" t="str">
        <f ca="1">IFERROR(__xludf.DUMMYFUNCTION("""COMPUTED_VALUE"""),"383 Broadway Street Unit 41")</f>
        <v>383 Broadway Street Unit 41</v>
      </c>
      <c r="E397" s="1" t="str">
        <f ca="1">IFERROR(__xludf.DUMMYFUNCTION("""COMPUTED_VALUE"""),"Somerville")</f>
        <v>Somerville</v>
      </c>
      <c r="F397" s="1" t="str">
        <f ca="1">IFERROR(__xludf.DUMMYFUNCTION("""COMPUTED_VALUE"""),"Somerville - Winter Hill")</f>
        <v>Somerville - Winter Hill</v>
      </c>
      <c r="G397" s="1">
        <f ca="1">IFERROR(__xludf.DUMMYFUNCTION("""COMPUTED_VALUE"""),2)</f>
        <v>2</v>
      </c>
      <c r="H397" s="1" t="str">
        <f ca="1">IFERROR(__xludf.DUMMYFUNCTION("""COMPUTED_VALUE"""),"B")</f>
        <v>B</v>
      </c>
      <c r="I397" s="4" t="str">
        <f ca="1">IFERROR(__xludf.DUMMYFUNCTION("""COMPUTED_VALUE"""),"383 Broadway Street#41B")</f>
        <v>383 Broadway Street#41B</v>
      </c>
      <c r="J397" s="4" t="str">
        <f ca="1">IFERROR(__xludf.DUMMYFUNCTION("""COMPUTED_VALUE"""),"a2486996-fa0a-48a8-843f-bb6689585c59")</f>
        <v>a2486996-fa0a-48a8-843f-bb6689585c59</v>
      </c>
      <c r="K397" s="4">
        <f ca="1">IFERROR(__xludf.DUMMYFUNCTION("""COMPUTED_VALUE"""),795)</f>
        <v>795</v>
      </c>
      <c r="L397" s="1" t="str">
        <f ca="1">IFERROR(__xludf.DUMMYFUNCTION("""COMPUTED_VALUE"""),"Lizzie")</f>
        <v>Lizzie</v>
      </c>
      <c r="M397" s="1" t="str">
        <f ca="1">IFERROR(__xludf.DUMMYFUNCTION("""COMPUTED_VALUE"""),"Lizzie (NOW)")</f>
        <v>Lizzie (NOW)</v>
      </c>
      <c r="N397" s="1" t="str">
        <f ca="1">IFERROR(__xludf.DUMMYFUNCTION("""COMPUTED_VALUE"""),"")</f>
        <v/>
      </c>
      <c r="O397" s="1" t="str">
        <f ca="1">IFERROR(__xludf.DUMMYFUNCTION("""COMPUTED_VALUE"""),"Vacant")</f>
        <v>Vacant</v>
      </c>
      <c r="P397" s="1"/>
      <c r="Q397" s="1"/>
      <c r="R397" s="1"/>
      <c r="S397" s="1"/>
      <c r="T397" s="1"/>
      <c r="U397" s="1" t="str">
        <f ca="1">IFERROR(__xludf.DUMMYFUNCTION("""COMPUTED_VALUE"""),"Y")</f>
        <v>Y</v>
      </c>
      <c r="V397" s="1" t="str">
        <f ca="1">IFERROR(__xludf.DUMMYFUNCTION("""COMPUTED_VALUE"""),"Y")</f>
        <v>Y</v>
      </c>
      <c r="W397" s="1"/>
      <c r="X397" s="1"/>
      <c r="Y397" s="1"/>
      <c r="Z397" s="1"/>
      <c r="AA397" s="1"/>
      <c r="AB397" s="1"/>
      <c r="AC397" s="1"/>
    </row>
    <row r="398" spans="1:29">
      <c r="A398" s="1" t="str">
        <f ca="1">IFERROR(__xludf.DUMMYFUNCTION("""COMPUTED_VALUE"""),"383 Broadway Street")</f>
        <v>383 Broadway Street</v>
      </c>
      <c r="B398" s="1">
        <f ca="1">IFERROR(__xludf.DUMMYFUNCTION("""COMPUTED_VALUE"""),383)</f>
        <v>383</v>
      </c>
      <c r="C398" s="1" t="str">
        <f ca="1">IFERROR(__xludf.DUMMYFUNCTION("""COMPUTED_VALUE"""),"#41")</f>
        <v>#41</v>
      </c>
      <c r="D398" s="1" t="str">
        <f ca="1">IFERROR(__xludf.DUMMYFUNCTION("""COMPUTED_VALUE"""),"383 Broadway Street Unit 41")</f>
        <v>383 Broadway Street Unit 41</v>
      </c>
      <c r="E398" s="1" t="str">
        <f ca="1">IFERROR(__xludf.DUMMYFUNCTION("""COMPUTED_VALUE"""),"Somerville")</f>
        <v>Somerville</v>
      </c>
      <c r="F398" s="1" t="str">
        <f ca="1">IFERROR(__xludf.DUMMYFUNCTION("""COMPUTED_VALUE"""),"Somerville - Winter Hill")</f>
        <v>Somerville - Winter Hill</v>
      </c>
      <c r="G398" s="1">
        <f ca="1">IFERROR(__xludf.DUMMYFUNCTION("""COMPUTED_VALUE"""),3)</f>
        <v>3</v>
      </c>
      <c r="H398" s="1" t="str">
        <f ca="1">IFERROR(__xludf.DUMMYFUNCTION("""COMPUTED_VALUE"""),"C")</f>
        <v>C</v>
      </c>
      <c r="I398" s="4" t="str">
        <f ca="1">IFERROR(__xludf.DUMMYFUNCTION("""COMPUTED_VALUE"""),"383 Broadway Street#41C")</f>
        <v>383 Broadway Street#41C</v>
      </c>
      <c r="J398" s="4" t="str">
        <f ca="1">IFERROR(__xludf.DUMMYFUNCTION("""COMPUTED_VALUE"""),"a2486996-fa0a-48a8-843f-bb6689585c59")</f>
        <v>a2486996-fa0a-48a8-843f-bb6689585c59</v>
      </c>
      <c r="K398" s="4">
        <f ca="1">IFERROR(__xludf.DUMMYFUNCTION("""COMPUTED_VALUE"""),1150)</f>
        <v>1150</v>
      </c>
      <c r="L398" s="1" t="str">
        <f ca="1">IFERROR(__xludf.DUMMYFUNCTION("""COMPUTED_VALUE"""),"Lizzie")</f>
        <v>Lizzie</v>
      </c>
      <c r="M398" s="1" t="str">
        <f ca="1">IFERROR(__xludf.DUMMYFUNCTION("""COMPUTED_VALUE"""),"Lizzie (NOW)")</f>
        <v>Lizzie (NOW)</v>
      </c>
      <c r="N398" s="1" t="str">
        <f ca="1">IFERROR(__xludf.DUMMYFUNCTION("""COMPUTED_VALUE"""),"")</f>
        <v/>
      </c>
      <c r="O398" s="1" t="str">
        <f ca="1">IFERROR(__xludf.DUMMYFUNCTION("""COMPUTED_VALUE"""),"Upcoming Vacancy")</f>
        <v>Upcoming Vacancy</v>
      </c>
      <c r="P398" s="1" t="str">
        <f ca="1">IFERROR(__xludf.DUMMYFUNCTION("""COMPUTED_VALUE"""),"March")</f>
        <v>March</v>
      </c>
      <c r="Q398" s="3">
        <f ca="1">IFERROR(__xludf.DUMMYFUNCTION("""COMPUTED_VALUE"""),43889)</f>
        <v>43889</v>
      </c>
      <c r="R398" s="1"/>
      <c r="S398" s="1"/>
      <c r="T398" s="1" t="str">
        <f ca="1">IFERROR(__xludf.DUMMYFUNCTION("""COMPUTED_VALUE"""),"Dog")</f>
        <v>Dog</v>
      </c>
      <c r="U398" s="1" t="str">
        <f ca="1">IFERROR(__xludf.DUMMYFUNCTION("""COMPUTED_VALUE"""),"Y")</f>
        <v>Y</v>
      </c>
      <c r="V398" s="1" t="str">
        <f ca="1">IFERROR(__xludf.DUMMYFUNCTION("""COMPUTED_VALUE"""),"Y")</f>
        <v>Y</v>
      </c>
      <c r="W398" s="1"/>
      <c r="X398" s="1"/>
      <c r="Y398" s="1" t="str">
        <f ca="1">IFERROR(__xludf.DUMMYFUNCTION("""COMPUTED_VALUE"""),"Caitlyn Moore; Aaron Cornwell-Snyder")</f>
        <v>Caitlyn Moore; Aaron Cornwell-Snyder</v>
      </c>
      <c r="Z398" s="1" t="str">
        <f ca="1">IFERROR(__xludf.DUMMYFUNCTION("""COMPUTED_VALUE"""),"cmissmoore1@gmail.com; atcsnyder@gmail.com")</f>
        <v>cmissmoore1@gmail.com; atcsnyder@gmail.com</v>
      </c>
      <c r="AA398" s="1"/>
      <c r="AB398" s="1"/>
      <c r="AC398" s="1"/>
    </row>
    <row r="399" spans="1:29">
      <c r="A399" s="1" t="str">
        <f ca="1">IFERROR(__xludf.DUMMYFUNCTION("""COMPUTED_VALUE"""),"466 Commonwealth Avenue")</f>
        <v>466 Commonwealth Avenue</v>
      </c>
      <c r="B399" s="1">
        <f ca="1">IFERROR(__xludf.DUMMYFUNCTION("""COMPUTED_VALUE"""),466)</f>
        <v>466</v>
      </c>
      <c r="C399" s="1" t="str">
        <f ca="1">IFERROR(__xludf.DUMMYFUNCTION("""COMPUTED_VALUE"""),"#406")</f>
        <v>#406</v>
      </c>
      <c r="D399" s="1" t="str">
        <f ca="1">IFERROR(__xludf.DUMMYFUNCTION("""COMPUTED_VALUE"""),"466 Commonwealth Avenue Unit 406")</f>
        <v>466 Commonwealth Avenue Unit 406</v>
      </c>
      <c r="E399" s="1" t="str">
        <f ca="1">IFERROR(__xludf.DUMMYFUNCTION("""COMPUTED_VALUE"""),"Boston")</f>
        <v>Boston</v>
      </c>
      <c r="F399" s="1" t="str">
        <f ca="1">IFERROR(__xludf.DUMMYFUNCTION("""COMPUTED_VALUE"""),"Boston - Back Bay")</f>
        <v>Boston - Back Bay</v>
      </c>
      <c r="G399" s="1">
        <f ca="1">IFERROR(__xludf.DUMMYFUNCTION("""COMPUTED_VALUE"""),1)</f>
        <v>1</v>
      </c>
      <c r="H399" s="1" t="str">
        <f ca="1">IFERROR(__xludf.DUMMYFUNCTION("""COMPUTED_VALUE"""),"A")</f>
        <v>A</v>
      </c>
      <c r="I399" s="4" t="str">
        <f ca="1">IFERROR(__xludf.DUMMYFUNCTION("""COMPUTED_VALUE"""),"466 Commonwealth Avenue#406A")</f>
        <v>466 Commonwealth Avenue#406A</v>
      </c>
      <c r="J399" s="4" t="str">
        <f ca="1">IFERROR(__xludf.DUMMYFUNCTION("""COMPUTED_VALUE"""),"b214d31c-6cd4-46ef-b9d0-6ae91a0edce3")</f>
        <v>b214d31c-6cd4-46ef-b9d0-6ae91a0edce3</v>
      </c>
      <c r="K399" s="4">
        <f ca="1">IFERROR(__xludf.DUMMYFUNCTION("""COMPUTED_VALUE"""),1195)</f>
        <v>1195</v>
      </c>
      <c r="L399" s="1" t="str">
        <f ca="1">IFERROR(__xludf.DUMMYFUNCTION("""COMPUTED_VALUE"""),"Daniel")</f>
        <v>Daniel</v>
      </c>
      <c r="M399" s="1" t="str">
        <f ca="1">IFERROR(__xludf.DUMMYFUNCTION("""COMPUTED_VALUE"""),"Daniel (NOW)")</f>
        <v>Daniel (NOW)</v>
      </c>
      <c r="N399" s="1" t="str">
        <f ca="1">IFERROR(__xludf.DUMMYFUNCTION("""COMPUTED_VALUE"""),"")</f>
        <v/>
      </c>
      <c r="O399" s="1" t="str">
        <f ca="1">IFERROR(__xludf.DUMMYFUNCTION("""COMPUTED_VALUE"""),"Vacant")</f>
        <v>Vacant</v>
      </c>
      <c r="P399" s="1"/>
      <c r="Q399" s="1"/>
      <c r="R399" s="1"/>
      <c r="S399" s="1"/>
      <c r="T399" s="1"/>
      <c r="U399" s="1" t="str">
        <f ca="1">IFERROR(__xludf.DUMMYFUNCTION("""COMPUTED_VALUE"""),"Y")</f>
        <v>Y</v>
      </c>
      <c r="V399" s="1" t="str">
        <f ca="1">IFERROR(__xludf.DUMMYFUNCTION("""COMPUTED_VALUE"""),"Y")</f>
        <v>Y</v>
      </c>
      <c r="W399" s="1"/>
      <c r="X399" s="1"/>
      <c r="Y399" s="1"/>
      <c r="Z399" s="1"/>
      <c r="AA399" s="1"/>
      <c r="AB399" s="1"/>
      <c r="AC399" s="1"/>
    </row>
    <row r="400" spans="1:29">
      <c r="A400" s="1" t="str">
        <f ca="1">IFERROR(__xludf.DUMMYFUNCTION("""COMPUTED_VALUE"""),"466 Commonwealth Avenue")</f>
        <v>466 Commonwealth Avenue</v>
      </c>
      <c r="B400" s="1">
        <f ca="1">IFERROR(__xludf.DUMMYFUNCTION("""COMPUTED_VALUE"""),466)</f>
        <v>466</v>
      </c>
      <c r="C400" s="1" t="str">
        <f ca="1">IFERROR(__xludf.DUMMYFUNCTION("""COMPUTED_VALUE"""),"#406")</f>
        <v>#406</v>
      </c>
      <c r="D400" s="1" t="str">
        <f ca="1">IFERROR(__xludf.DUMMYFUNCTION("""COMPUTED_VALUE"""),"466 Commonwealth Avenue Unit 406")</f>
        <v>466 Commonwealth Avenue Unit 406</v>
      </c>
      <c r="E400" s="1" t="str">
        <f ca="1">IFERROR(__xludf.DUMMYFUNCTION("""COMPUTED_VALUE"""),"Boston")</f>
        <v>Boston</v>
      </c>
      <c r="F400" s="1" t="str">
        <f ca="1">IFERROR(__xludf.DUMMYFUNCTION("""COMPUTED_VALUE"""),"Boston - Back Bay")</f>
        <v>Boston - Back Bay</v>
      </c>
      <c r="G400" s="1">
        <f ca="1">IFERROR(__xludf.DUMMYFUNCTION("""COMPUTED_VALUE"""),2)</f>
        <v>2</v>
      </c>
      <c r="H400" s="1" t="str">
        <f ca="1">IFERROR(__xludf.DUMMYFUNCTION("""COMPUTED_VALUE"""),"B")</f>
        <v>B</v>
      </c>
      <c r="I400" s="4" t="str">
        <f ca="1">IFERROR(__xludf.DUMMYFUNCTION("""COMPUTED_VALUE"""),"466 Commonwealth Avenue#406B")</f>
        <v>466 Commonwealth Avenue#406B</v>
      </c>
      <c r="J400" s="4" t="str">
        <f ca="1">IFERROR(__xludf.DUMMYFUNCTION("""COMPUTED_VALUE"""),"b214d31c-6cd4-46ef-b9d0-6ae91a0edce3")</f>
        <v>b214d31c-6cd4-46ef-b9d0-6ae91a0edce3</v>
      </c>
      <c r="K400" s="4">
        <f ca="1">IFERROR(__xludf.DUMMYFUNCTION("""COMPUTED_VALUE"""),1295)</f>
        <v>1295</v>
      </c>
      <c r="L400" s="1" t="str">
        <f ca="1">IFERROR(__xludf.DUMMYFUNCTION("""COMPUTED_VALUE"""),"Daniel")</f>
        <v>Daniel</v>
      </c>
      <c r="M400" s="1" t="str">
        <f ca="1">IFERROR(__xludf.DUMMYFUNCTION("""COMPUTED_VALUE"""),"Daniel (NOW)")</f>
        <v>Daniel (NOW)</v>
      </c>
      <c r="N400" s="1" t="str">
        <f ca="1">IFERROR(__xludf.DUMMYFUNCTION("""COMPUTED_VALUE"""),"")</f>
        <v/>
      </c>
      <c r="O400" s="1" t="str">
        <f ca="1">IFERROR(__xludf.DUMMYFUNCTION("""COMPUTED_VALUE"""),"Vacant")</f>
        <v>Vacant</v>
      </c>
      <c r="P400" s="1"/>
      <c r="Q400" s="1"/>
      <c r="R400" s="1"/>
      <c r="S400" s="1"/>
      <c r="T400" s="1"/>
      <c r="U400" s="1" t="str">
        <f ca="1">IFERROR(__xludf.DUMMYFUNCTION("""COMPUTED_VALUE"""),"Y")</f>
        <v>Y</v>
      </c>
      <c r="V400" s="1" t="str">
        <f ca="1">IFERROR(__xludf.DUMMYFUNCTION("""COMPUTED_VALUE"""),"Y")</f>
        <v>Y</v>
      </c>
      <c r="W400" s="1"/>
      <c r="X400" s="1"/>
      <c r="Y400" s="1"/>
      <c r="Z400" s="1"/>
      <c r="AA400" s="1"/>
      <c r="AB400" s="1"/>
      <c r="AC400" s="1"/>
    </row>
    <row r="401" spans="1:29">
      <c r="A401" s="1" t="str">
        <f ca="1">IFERROR(__xludf.DUMMYFUNCTION("""COMPUTED_VALUE"""),"571 Washington Street")</f>
        <v>571 Washington Street</v>
      </c>
      <c r="B401" s="1">
        <f ca="1">IFERROR(__xludf.DUMMYFUNCTION("""COMPUTED_VALUE"""),2)</f>
        <v>2</v>
      </c>
      <c r="C401" s="1" t="str">
        <f ca="1">IFERROR(__xludf.DUMMYFUNCTION("""COMPUTED_VALUE"""),"#1")</f>
        <v>#1</v>
      </c>
      <c r="D401" s="1" t="str">
        <f ca="1">IFERROR(__xludf.DUMMYFUNCTION("""COMPUTED_VALUE"""),"571 Washington Street Unit 1")</f>
        <v>571 Washington Street Unit 1</v>
      </c>
      <c r="E401" s="1" t="str">
        <f ca="1">IFERROR(__xludf.DUMMYFUNCTION("""COMPUTED_VALUE"""),"Boston")</f>
        <v>Boston</v>
      </c>
      <c r="F401" s="1" t="str">
        <f ca="1">IFERROR(__xludf.DUMMYFUNCTION("""COMPUTED_VALUE"""),"Boston - Brighton")</f>
        <v>Boston - Brighton</v>
      </c>
      <c r="G401" s="1">
        <f ca="1">IFERROR(__xludf.DUMMYFUNCTION("""COMPUTED_VALUE"""),1)</f>
        <v>1</v>
      </c>
      <c r="H401" s="1" t="str">
        <f ca="1">IFERROR(__xludf.DUMMYFUNCTION("""COMPUTED_VALUE"""),"A")</f>
        <v>A</v>
      </c>
      <c r="I401" s="4" t="str">
        <f ca="1">IFERROR(__xludf.DUMMYFUNCTION("""COMPUTED_VALUE"""),"571 Washington Street#1A")</f>
        <v>571 Washington Street#1A</v>
      </c>
      <c r="J401" s="4" t="str">
        <f ca="1">IFERROR(__xludf.DUMMYFUNCTION("""COMPUTED_VALUE"""),"f2d2db3d-ae97-413a-950e-f2d0ffee7f2b")</f>
        <v>f2d2db3d-ae97-413a-950e-f2d0ffee7f2b</v>
      </c>
      <c r="K401" s="4">
        <f ca="1">IFERROR(__xludf.DUMMYFUNCTION("""COMPUTED_VALUE"""),995)</f>
        <v>995</v>
      </c>
      <c r="L401" s="1" t="str">
        <f ca="1">IFERROR(__xludf.DUMMYFUNCTION("""COMPUTED_VALUE"""),"Peter")</f>
        <v>Peter</v>
      </c>
      <c r="M401" s="1" t="str">
        <f ca="1">IFERROR(__xludf.DUMMYFUNCTION("""COMPUTED_VALUE"""),"Peter (NOW)")</f>
        <v>Peter (NOW)</v>
      </c>
      <c r="N401" s="1" t="str">
        <f ca="1">IFERROR(__xludf.DUMMYFUNCTION("""COMPUTED_VALUE"""),"")</f>
        <v/>
      </c>
      <c r="O401" s="1" t="str">
        <f ca="1">IFERROR(__xludf.DUMMYFUNCTION("""COMPUTED_VALUE"""),"Vacant")</f>
        <v>Vacant</v>
      </c>
      <c r="P401" s="1"/>
      <c r="Q401" s="1"/>
      <c r="R401" s="1"/>
      <c r="S401" s="1" t="str">
        <f ca="1">IFERROR(__xludf.DUMMYFUNCTION("""COMPUTED_VALUE"""),"NO DOGS")</f>
        <v>NO DOGS</v>
      </c>
      <c r="T401" s="1"/>
      <c r="U401" s="1" t="str">
        <f ca="1">IFERROR(__xludf.DUMMYFUNCTION("""COMPUTED_VALUE"""),"Y")</f>
        <v>Y</v>
      </c>
      <c r="V401" s="1" t="str">
        <f ca="1">IFERROR(__xludf.DUMMYFUNCTION("""COMPUTED_VALUE"""),"Y")</f>
        <v>Y</v>
      </c>
      <c r="W401" s="1"/>
      <c r="X401" s="1"/>
      <c r="Y401" s="1"/>
      <c r="Z401" s="1"/>
      <c r="AA401" s="1"/>
      <c r="AB401" s="1"/>
      <c r="AC401" s="1"/>
    </row>
    <row r="402" spans="1:29">
      <c r="A402" s="1" t="str">
        <f ca="1">IFERROR(__xludf.DUMMYFUNCTION("""COMPUTED_VALUE"""),"571 Washington Street")</f>
        <v>571 Washington Street</v>
      </c>
      <c r="B402" s="1">
        <f ca="1">IFERROR(__xludf.DUMMYFUNCTION("""COMPUTED_VALUE"""),2)</f>
        <v>2</v>
      </c>
      <c r="C402" s="1" t="str">
        <f ca="1">IFERROR(__xludf.DUMMYFUNCTION("""COMPUTED_VALUE"""),"#1")</f>
        <v>#1</v>
      </c>
      <c r="D402" s="1" t="str">
        <f ca="1">IFERROR(__xludf.DUMMYFUNCTION("""COMPUTED_VALUE"""),"571 Washington Street Unit 1")</f>
        <v>571 Washington Street Unit 1</v>
      </c>
      <c r="E402" s="1" t="str">
        <f ca="1">IFERROR(__xludf.DUMMYFUNCTION("""COMPUTED_VALUE"""),"Boston")</f>
        <v>Boston</v>
      </c>
      <c r="F402" s="1" t="str">
        <f ca="1">IFERROR(__xludf.DUMMYFUNCTION("""COMPUTED_VALUE"""),"Boston - Brighton")</f>
        <v>Boston - Brighton</v>
      </c>
      <c r="G402" s="1">
        <f ca="1">IFERROR(__xludf.DUMMYFUNCTION("""COMPUTED_VALUE"""),2)</f>
        <v>2</v>
      </c>
      <c r="H402" s="1" t="str">
        <f ca="1">IFERROR(__xludf.DUMMYFUNCTION("""COMPUTED_VALUE"""),"B")</f>
        <v>B</v>
      </c>
      <c r="I402" s="4" t="str">
        <f ca="1">IFERROR(__xludf.DUMMYFUNCTION("""COMPUTED_VALUE"""),"571 Washington Street#1B")</f>
        <v>571 Washington Street#1B</v>
      </c>
      <c r="J402" s="4" t="str">
        <f ca="1">IFERROR(__xludf.DUMMYFUNCTION("""COMPUTED_VALUE"""),"f2d2db3d-ae97-413a-950e-f2d0ffee7f2b")</f>
        <v>f2d2db3d-ae97-413a-950e-f2d0ffee7f2b</v>
      </c>
      <c r="K402" s="4">
        <f ca="1">IFERROR(__xludf.DUMMYFUNCTION("""COMPUTED_VALUE"""),995)</f>
        <v>995</v>
      </c>
      <c r="L402" s="1" t="str">
        <f ca="1">IFERROR(__xludf.DUMMYFUNCTION("""COMPUTED_VALUE"""),"Peter")</f>
        <v>Peter</v>
      </c>
      <c r="M402" s="1" t="str">
        <f ca="1">IFERROR(__xludf.DUMMYFUNCTION("""COMPUTED_VALUE"""),"Peter (NOW)")</f>
        <v>Peter (NOW)</v>
      </c>
      <c r="N402" s="1" t="str">
        <f ca="1">IFERROR(__xludf.DUMMYFUNCTION("""COMPUTED_VALUE"""),"")</f>
        <v/>
      </c>
      <c r="O402" s="1" t="str">
        <f ca="1">IFERROR(__xludf.DUMMYFUNCTION("""COMPUTED_VALUE"""),"Vacant")</f>
        <v>Vacant</v>
      </c>
      <c r="P402" s="1"/>
      <c r="Q402" s="1"/>
      <c r="R402" s="1"/>
      <c r="S402" s="1" t="str">
        <f ca="1">IFERROR(__xludf.DUMMYFUNCTION("""COMPUTED_VALUE"""),"NO DOGS")</f>
        <v>NO DOGS</v>
      </c>
      <c r="T402" s="1"/>
      <c r="U402" s="1" t="str">
        <f ca="1">IFERROR(__xludf.DUMMYFUNCTION("""COMPUTED_VALUE"""),"Y")</f>
        <v>Y</v>
      </c>
      <c r="V402" s="1" t="str">
        <f ca="1">IFERROR(__xludf.DUMMYFUNCTION("""COMPUTED_VALUE"""),"Y")</f>
        <v>Y</v>
      </c>
      <c r="W402" s="1"/>
      <c r="X402" s="1"/>
      <c r="Y402" s="1"/>
      <c r="Z402" s="1"/>
      <c r="AA402" s="1"/>
      <c r="AB402" s="1"/>
      <c r="AC402" s="1"/>
    </row>
    <row r="403" spans="1:29">
      <c r="A403" s="1" t="str">
        <f ca="1">IFERROR(__xludf.DUMMYFUNCTION("""COMPUTED_VALUE"""),"571 Washington Street")</f>
        <v>571 Washington Street</v>
      </c>
      <c r="B403" s="1">
        <f ca="1">IFERROR(__xludf.DUMMYFUNCTION("""COMPUTED_VALUE"""),2)</f>
        <v>2</v>
      </c>
      <c r="C403" s="1" t="str">
        <f ca="1">IFERROR(__xludf.DUMMYFUNCTION("""COMPUTED_VALUE"""),"#1")</f>
        <v>#1</v>
      </c>
      <c r="D403" s="1" t="str">
        <f ca="1">IFERROR(__xludf.DUMMYFUNCTION("""COMPUTED_VALUE"""),"571 Washington Street Unit 1")</f>
        <v>571 Washington Street Unit 1</v>
      </c>
      <c r="E403" s="1" t="str">
        <f ca="1">IFERROR(__xludf.DUMMYFUNCTION("""COMPUTED_VALUE"""),"Boston")</f>
        <v>Boston</v>
      </c>
      <c r="F403" s="1" t="str">
        <f ca="1">IFERROR(__xludf.DUMMYFUNCTION("""COMPUTED_VALUE"""),"Boston - Brighton")</f>
        <v>Boston - Brighton</v>
      </c>
      <c r="G403" s="1">
        <f ca="1">IFERROR(__xludf.DUMMYFUNCTION("""COMPUTED_VALUE"""),3)</f>
        <v>3</v>
      </c>
      <c r="H403" s="1" t="str">
        <f ca="1">IFERROR(__xludf.DUMMYFUNCTION("""COMPUTED_VALUE"""),"C")</f>
        <v>C</v>
      </c>
      <c r="I403" s="4" t="str">
        <f ca="1">IFERROR(__xludf.DUMMYFUNCTION("""COMPUTED_VALUE"""),"571 Washington Street#1C")</f>
        <v>571 Washington Street#1C</v>
      </c>
      <c r="J403" s="4" t="str">
        <f ca="1">IFERROR(__xludf.DUMMYFUNCTION("""COMPUTED_VALUE"""),"f2d2db3d-ae97-413a-950e-f2d0ffee7f2b")</f>
        <v>f2d2db3d-ae97-413a-950e-f2d0ffee7f2b</v>
      </c>
      <c r="K403" s="4">
        <f ca="1">IFERROR(__xludf.DUMMYFUNCTION("""COMPUTED_VALUE"""),995)</f>
        <v>995</v>
      </c>
      <c r="L403" s="1" t="str">
        <f ca="1">IFERROR(__xludf.DUMMYFUNCTION("""COMPUTED_VALUE"""),"Peter")</f>
        <v>Peter</v>
      </c>
      <c r="M403" s="1" t="str">
        <f ca="1">IFERROR(__xludf.DUMMYFUNCTION("""COMPUTED_VALUE"""),"Peter (NOW)")</f>
        <v>Peter (NOW)</v>
      </c>
      <c r="N403" s="1" t="str">
        <f ca="1">IFERROR(__xludf.DUMMYFUNCTION("""COMPUTED_VALUE"""),"")</f>
        <v/>
      </c>
      <c r="O403" s="1" t="str">
        <f ca="1">IFERROR(__xludf.DUMMYFUNCTION("""COMPUTED_VALUE"""),"Vacant")</f>
        <v>Vacant</v>
      </c>
      <c r="P403" s="1"/>
      <c r="Q403" s="1"/>
      <c r="R403" s="1"/>
      <c r="S403" s="1" t="str">
        <f ca="1">IFERROR(__xludf.DUMMYFUNCTION("""COMPUTED_VALUE"""),"NO DOGS")</f>
        <v>NO DOGS</v>
      </c>
      <c r="T403" s="1"/>
      <c r="U403" s="1" t="str">
        <f ca="1">IFERROR(__xludf.DUMMYFUNCTION("""COMPUTED_VALUE"""),"Y")</f>
        <v>Y</v>
      </c>
      <c r="V403" s="1" t="str">
        <f ca="1">IFERROR(__xludf.DUMMYFUNCTION("""COMPUTED_VALUE"""),"Y")</f>
        <v>Y</v>
      </c>
      <c r="W403" s="1"/>
      <c r="X403" s="1"/>
      <c r="Y403" s="1"/>
      <c r="Z403" s="1"/>
      <c r="AA403" s="1"/>
      <c r="AB403" s="1"/>
      <c r="AC403" s="1"/>
    </row>
    <row r="404" spans="1:29">
      <c r="A404" s="1" t="str">
        <f ca="1">IFERROR(__xludf.DUMMYFUNCTION("""COMPUTED_VALUE"""),"571 Washington Street")</f>
        <v>571 Washington Street</v>
      </c>
      <c r="B404" s="1">
        <f ca="1">IFERROR(__xludf.DUMMYFUNCTION("""COMPUTED_VALUE"""),2)</f>
        <v>2</v>
      </c>
      <c r="C404" s="1" t="str">
        <f ca="1">IFERROR(__xludf.DUMMYFUNCTION("""COMPUTED_VALUE"""),"#2")</f>
        <v>#2</v>
      </c>
      <c r="D404" s="1" t="str">
        <f ca="1">IFERROR(__xludf.DUMMYFUNCTION("""COMPUTED_VALUE"""),"571 Washington Street Unit 2")</f>
        <v>571 Washington Street Unit 2</v>
      </c>
      <c r="E404" s="1" t="str">
        <f ca="1">IFERROR(__xludf.DUMMYFUNCTION("""COMPUTED_VALUE"""),"Boston")</f>
        <v>Boston</v>
      </c>
      <c r="F404" s="1" t="str">
        <f ca="1">IFERROR(__xludf.DUMMYFUNCTION("""COMPUTED_VALUE"""),"Boston - Brighton")</f>
        <v>Boston - Brighton</v>
      </c>
      <c r="G404" s="1">
        <f ca="1">IFERROR(__xludf.DUMMYFUNCTION("""COMPUTED_VALUE"""),1)</f>
        <v>1</v>
      </c>
      <c r="H404" s="1" t="str">
        <f ca="1">IFERROR(__xludf.DUMMYFUNCTION("""COMPUTED_VALUE"""),"A")</f>
        <v>A</v>
      </c>
      <c r="I404" s="4" t="str">
        <f ca="1">IFERROR(__xludf.DUMMYFUNCTION("""COMPUTED_VALUE"""),"571 Washington Street#2A")</f>
        <v>571 Washington Street#2A</v>
      </c>
      <c r="J404" s="4" t="str">
        <f ca="1">IFERROR(__xludf.DUMMYFUNCTION("""COMPUTED_VALUE"""),"17cb1e4b-16f1-4639-a707-7fba29563aa2")</f>
        <v>17cb1e4b-16f1-4639-a707-7fba29563aa2</v>
      </c>
      <c r="K404" s="4">
        <f ca="1">IFERROR(__xludf.DUMMYFUNCTION("""COMPUTED_VALUE"""),995)</f>
        <v>995</v>
      </c>
      <c r="L404" s="1" t="str">
        <f ca="1">IFERROR(__xludf.DUMMYFUNCTION("""COMPUTED_VALUE"""),"Peter")</f>
        <v>Peter</v>
      </c>
      <c r="M404" s="1" t="str">
        <f ca="1">IFERROR(__xludf.DUMMYFUNCTION("""COMPUTED_VALUE"""),"Peter (NOW)")</f>
        <v>Peter (NOW)</v>
      </c>
      <c r="N404" s="1" t="str">
        <f ca="1">IFERROR(__xludf.DUMMYFUNCTION("""COMPUTED_VALUE"""),"")</f>
        <v/>
      </c>
      <c r="O404" s="1" t="str">
        <f ca="1">IFERROR(__xludf.DUMMYFUNCTION("""COMPUTED_VALUE"""),"Vacant")</f>
        <v>Vacant</v>
      </c>
      <c r="P404" s="1"/>
      <c r="Q404" s="1"/>
      <c r="R404" s="1"/>
      <c r="S404" s="1" t="str">
        <f ca="1">IFERROR(__xludf.DUMMYFUNCTION("""COMPUTED_VALUE"""),"NO DOGS")</f>
        <v>NO DOGS</v>
      </c>
      <c r="T404" s="1"/>
      <c r="U404" s="1" t="str">
        <f ca="1">IFERROR(__xludf.DUMMYFUNCTION("""COMPUTED_VALUE"""),"Y")</f>
        <v>Y</v>
      </c>
      <c r="V404" s="1" t="str">
        <f ca="1">IFERROR(__xludf.DUMMYFUNCTION("""COMPUTED_VALUE"""),"Y")</f>
        <v>Y</v>
      </c>
      <c r="W404" s="1"/>
      <c r="X404" s="1"/>
      <c r="Y404" s="1"/>
      <c r="Z404" s="1"/>
      <c r="AA404" s="1"/>
      <c r="AB404" s="1"/>
      <c r="AC404" s="1"/>
    </row>
    <row r="405" spans="1:29">
      <c r="A405" s="1" t="str">
        <f ca="1">IFERROR(__xludf.DUMMYFUNCTION("""COMPUTED_VALUE"""),"571 Washington Street")</f>
        <v>571 Washington Street</v>
      </c>
      <c r="B405" s="1">
        <f ca="1">IFERROR(__xludf.DUMMYFUNCTION("""COMPUTED_VALUE"""),2)</f>
        <v>2</v>
      </c>
      <c r="C405" s="1" t="str">
        <f ca="1">IFERROR(__xludf.DUMMYFUNCTION("""COMPUTED_VALUE"""),"#2")</f>
        <v>#2</v>
      </c>
      <c r="D405" s="1" t="str">
        <f ca="1">IFERROR(__xludf.DUMMYFUNCTION("""COMPUTED_VALUE"""),"571 Washington Street Unit 2")</f>
        <v>571 Washington Street Unit 2</v>
      </c>
      <c r="E405" s="1" t="str">
        <f ca="1">IFERROR(__xludf.DUMMYFUNCTION("""COMPUTED_VALUE"""),"Boston")</f>
        <v>Boston</v>
      </c>
      <c r="F405" s="1" t="str">
        <f ca="1">IFERROR(__xludf.DUMMYFUNCTION("""COMPUTED_VALUE"""),"Boston - Brighton")</f>
        <v>Boston - Brighton</v>
      </c>
      <c r="G405" s="1">
        <f ca="1">IFERROR(__xludf.DUMMYFUNCTION("""COMPUTED_VALUE"""),2)</f>
        <v>2</v>
      </c>
      <c r="H405" s="1" t="str">
        <f ca="1">IFERROR(__xludf.DUMMYFUNCTION("""COMPUTED_VALUE"""),"B")</f>
        <v>B</v>
      </c>
      <c r="I405" s="4" t="str">
        <f ca="1">IFERROR(__xludf.DUMMYFUNCTION("""COMPUTED_VALUE"""),"571 Washington Street#2B")</f>
        <v>571 Washington Street#2B</v>
      </c>
      <c r="J405" s="4" t="str">
        <f ca="1">IFERROR(__xludf.DUMMYFUNCTION("""COMPUTED_VALUE"""),"17cb1e4b-16f1-4639-a707-7fba29563aa2")</f>
        <v>17cb1e4b-16f1-4639-a707-7fba29563aa2</v>
      </c>
      <c r="K405" s="4">
        <f ca="1">IFERROR(__xludf.DUMMYFUNCTION("""COMPUTED_VALUE"""),995)</f>
        <v>995</v>
      </c>
      <c r="L405" s="1" t="str">
        <f ca="1">IFERROR(__xludf.DUMMYFUNCTION("""COMPUTED_VALUE"""),"Peter")</f>
        <v>Peter</v>
      </c>
      <c r="M405" s="1" t="str">
        <f ca="1">IFERROR(__xludf.DUMMYFUNCTION("""COMPUTED_VALUE"""),"Peter (NOW)")</f>
        <v>Peter (NOW)</v>
      </c>
      <c r="N405" s="1" t="str">
        <f ca="1">IFERROR(__xludf.DUMMYFUNCTION("""COMPUTED_VALUE"""),"")</f>
        <v/>
      </c>
      <c r="O405" s="1" t="str">
        <f ca="1">IFERROR(__xludf.DUMMYFUNCTION("""COMPUTED_VALUE"""),"Vacant")</f>
        <v>Vacant</v>
      </c>
      <c r="P405" s="1"/>
      <c r="Q405" s="1"/>
      <c r="R405" s="1"/>
      <c r="S405" s="1" t="str">
        <f ca="1">IFERROR(__xludf.DUMMYFUNCTION("""COMPUTED_VALUE"""),"NO DOGS")</f>
        <v>NO DOGS</v>
      </c>
      <c r="T405" s="1"/>
      <c r="U405" s="1" t="str">
        <f ca="1">IFERROR(__xludf.DUMMYFUNCTION("""COMPUTED_VALUE"""),"Y")</f>
        <v>Y</v>
      </c>
      <c r="V405" s="1" t="str">
        <f ca="1">IFERROR(__xludf.DUMMYFUNCTION("""COMPUTED_VALUE"""),"Y")</f>
        <v>Y</v>
      </c>
      <c r="W405" s="1"/>
      <c r="X405" s="1"/>
      <c r="Y405" s="1"/>
      <c r="Z405" s="1"/>
      <c r="AA405" s="1"/>
      <c r="AB405" s="1"/>
      <c r="AC405" s="1"/>
    </row>
    <row r="406" spans="1:29">
      <c r="A406" s="1" t="str">
        <f ca="1">IFERROR(__xludf.DUMMYFUNCTION("""COMPUTED_VALUE"""),"571 Washington Street")</f>
        <v>571 Washington Street</v>
      </c>
      <c r="B406" s="1">
        <f ca="1">IFERROR(__xludf.DUMMYFUNCTION("""COMPUTED_VALUE"""),2)</f>
        <v>2</v>
      </c>
      <c r="C406" s="1" t="str">
        <f ca="1">IFERROR(__xludf.DUMMYFUNCTION("""COMPUTED_VALUE"""),"#2")</f>
        <v>#2</v>
      </c>
      <c r="D406" s="1" t="str">
        <f ca="1">IFERROR(__xludf.DUMMYFUNCTION("""COMPUTED_VALUE"""),"571 Washington Street Unit 2")</f>
        <v>571 Washington Street Unit 2</v>
      </c>
      <c r="E406" s="1" t="str">
        <f ca="1">IFERROR(__xludf.DUMMYFUNCTION("""COMPUTED_VALUE"""),"Boston")</f>
        <v>Boston</v>
      </c>
      <c r="F406" s="1" t="str">
        <f ca="1">IFERROR(__xludf.DUMMYFUNCTION("""COMPUTED_VALUE"""),"Boston - Brighton")</f>
        <v>Boston - Brighton</v>
      </c>
      <c r="G406" s="1">
        <f ca="1">IFERROR(__xludf.DUMMYFUNCTION("""COMPUTED_VALUE"""),3)</f>
        <v>3</v>
      </c>
      <c r="H406" s="1" t="str">
        <f ca="1">IFERROR(__xludf.DUMMYFUNCTION("""COMPUTED_VALUE"""),"C")</f>
        <v>C</v>
      </c>
      <c r="I406" s="4" t="str">
        <f ca="1">IFERROR(__xludf.DUMMYFUNCTION("""COMPUTED_VALUE"""),"571 Washington Street#2C")</f>
        <v>571 Washington Street#2C</v>
      </c>
      <c r="J406" s="4" t="str">
        <f ca="1">IFERROR(__xludf.DUMMYFUNCTION("""COMPUTED_VALUE"""),"17cb1e4b-16f1-4639-a707-7fba29563aa2")</f>
        <v>17cb1e4b-16f1-4639-a707-7fba29563aa2</v>
      </c>
      <c r="K406" s="4">
        <f ca="1">IFERROR(__xludf.DUMMYFUNCTION("""COMPUTED_VALUE"""),995)</f>
        <v>995</v>
      </c>
      <c r="L406" s="1" t="str">
        <f ca="1">IFERROR(__xludf.DUMMYFUNCTION("""COMPUTED_VALUE"""),"Peter")</f>
        <v>Peter</v>
      </c>
      <c r="M406" s="1" t="str">
        <f ca="1">IFERROR(__xludf.DUMMYFUNCTION("""COMPUTED_VALUE"""),"Peter (NOW)")</f>
        <v>Peter (NOW)</v>
      </c>
      <c r="N406" s="1" t="str">
        <f ca="1">IFERROR(__xludf.DUMMYFUNCTION("""COMPUTED_VALUE"""),"")</f>
        <v/>
      </c>
      <c r="O406" s="1" t="str">
        <f ca="1">IFERROR(__xludf.DUMMYFUNCTION("""COMPUTED_VALUE"""),"Vacant")</f>
        <v>Vacant</v>
      </c>
      <c r="P406" s="1"/>
      <c r="Q406" s="1"/>
      <c r="R406" s="1"/>
      <c r="S406" s="1" t="str">
        <f ca="1">IFERROR(__xludf.DUMMYFUNCTION("""COMPUTED_VALUE"""),"NO DOGS")</f>
        <v>NO DOGS</v>
      </c>
      <c r="T406" s="1"/>
      <c r="U406" s="1" t="str">
        <f ca="1">IFERROR(__xludf.DUMMYFUNCTION("""COMPUTED_VALUE"""),"Y")</f>
        <v>Y</v>
      </c>
      <c r="V406" s="1" t="str">
        <f ca="1">IFERROR(__xludf.DUMMYFUNCTION("""COMPUTED_VALUE"""),"Y")</f>
        <v>Y</v>
      </c>
      <c r="W406" s="1"/>
      <c r="X406" s="1"/>
      <c r="Y406" s="1"/>
      <c r="Z406" s="1"/>
      <c r="AA406" s="1"/>
      <c r="AB406" s="1"/>
      <c r="AC406" s="1"/>
    </row>
    <row r="407" spans="1:29">
      <c r="A407" s="1" t="str">
        <f ca="1">IFERROR(__xludf.DUMMYFUNCTION("""COMPUTED_VALUE"""),"848 Huntington Avenue")</f>
        <v>848 Huntington Avenue</v>
      </c>
      <c r="B407" s="1">
        <f ca="1">IFERROR(__xludf.DUMMYFUNCTION("""COMPUTED_VALUE"""),848)</f>
        <v>848</v>
      </c>
      <c r="C407" s="1" t="str">
        <f ca="1">IFERROR(__xludf.DUMMYFUNCTION("""COMPUTED_VALUE"""),"#2")</f>
        <v>#2</v>
      </c>
      <c r="D407" s="1" t="str">
        <f ca="1">IFERROR(__xludf.DUMMYFUNCTION("""COMPUTED_VALUE"""),"848 Huntington Avenue Unit 2")</f>
        <v>848 Huntington Avenue Unit 2</v>
      </c>
      <c r="E407" s="1" t="str">
        <f ca="1">IFERROR(__xludf.DUMMYFUNCTION("""COMPUTED_VALUE"""),"Boston")</f>
        <v>Boston</v>
      </c>
      <c r="F407" s="1" t="str">
        <f ca="1">IFERROR(__xludf.DUMMYFUNCTION("""COMPUTED_VALUE"""),"Boston - Mission Hill")</f>
        <v>Boston - Mission Hill</v>
      </c>
      <c r="G407" s="1">
        <f ca="1">IFERROR(__xludf.DUMMYFUNCTION("""COMPUTED_VALUE"""),1)</f>
        <v>1</v>
      </c>
      <c r="H407" s="1" t="str">
        <f ca="1">IFERROR(__xludf.DUMMYFUNCTION("""COMPUTED_VALUE"""),"A")</f>
        <v>A</v>
      </c>
      <c r="I407" s="4" t="str">
        <f ca="1">IFERROR(__xludf.DUMMYFUNCTION("""COMPUTED_VALUE"""),"848 Huntington Avenue#2A")</f>
        <v>848 Huntington Avenue#2A</v>
      </c>
      <c r="J407" s="4" t="str">
        <f ca="1">IFERROR(__xludf.DUMMYFUNCTION("""COMPUTED_VALUE"""),"13e091ec-d5c9-4ba7-9f1a-197e0cd73ac9")</f>
        <v>13e091ec-d5c9-4ba7-9f1a-197e0cd73ac9</v>
      </c>
      <c r="K407" s="4">
        <f ca="1">IFERROR(__xludf.DUMMYFUNCTION("""COMPUTED_VALUE"""),695)</f>
        <v>695</v>
      </c>
      <c r="L407" s="1" t="str">
        <f ca="1">IFERROR(__xludf.DUMMYFUNCTION("""COMPUTED_VALUE"""),"Cam")</f>
        <v>Cam</v>
      </c>
      <c r="M407" s="1" t="str">
        <f ca="1">IFERROR(__xludf.DUMMYFUNCTION("""COMPUTED_VALUE"""),"")</f>
        <v/>
      </c>
      <c r="N407" s="1" t="str">
        <f ca="1">IFERROR(__xludf.DUMMYFUNCTION("""COMPUTED_VALUE"""),"Furnished")</f>
        <v>Furnished</v>
      </c>
      <c r="O407" s="1" t="str">
        <f ca="1">IFERROR(__xludf.DUMMYFUNCTION("""COMPUTED_VALUE"""),"Occupied")</f>
        <v>Occupied</v>
      </c>
      <c r="P407" s="1"/>
      <c r="Q407" s="1"/>
      <c r="R407" s="1"/>
      <c r="S407" s="1" t="str">
        <f ca="1">IFERROR(__xludf.DUMMYFUNCTION("""COMPUTED_VALUE"""),"NO CATS OR DOGS")</f>
        <v>NO CATS OR DOGS</v>
      </c>
      <c r="T407" s="1"/>
      <c r="U407" s="1" t="str">
        <f ca="1">IFERROR(__xludf.DUMMYFUNCTION("""COMPUTED_VALUE"""),"N")</f>
        <v>N</v>
      </c>
      <c r="V407" s="1" t="str">
        <f ca="1">IFERROR(__xludf.DUMMYFUNCTION("""COMPUTED_VALUE"""),"Y")</f>
        <v>Y</v>
      </c>
      <c r="W407" s="1"/>
      <c r="X407" s="1"/>
      <c r="Y407" s="1" t="str">
        <f ca="1">IFERROR(__xludf.DUMMYFUNCTION("""COMPUTED_VALUE"""),"Andrew Xu")</f>
        <v>Andrew Xu</v>
      </c>
      <c r="Z407" s="1" t="str">
        <f ca="1">IFERROR(__xludf.DUMMYFUNCTION("""COMPUTED_VALUE"""),"andrewzimuxu@gmail.com")</f>
        <v>andrewzimuxu@gmail.com</v>
      </c>
      <c r="AA407" s="1"/>
      <c r="AB407" s="1"/>
      <c r="AC407" s="1"/>
    </row>
    <row r="408" spans="1:29">
      <c r="A408" s="1" t="str">
        <f ca="1">IFERROR(__xludf.DUMMYFUNCTION("""COMPUTED_VALUE"""),"848 Huntington Avenue")</f>
        <v>848 Huntington Avenue</v>
      </c>
      <c r="B408" s="1">
        <f ca="1">IFERROR(__xludf.DUMMYFUNCTION("""COMPUTED_VALUE"""),848)</f>
        <v>848</v>
      </c>
      <c r="C408" s="1" t="str">
        <f ca="1">IFERROR(__xludf.DUMMYFUNCTION("""COMPUTED_VALUE"""),"#2")</f>
        <v>#2</v>
      </c>
      <c r="D408" s="1" t="str">
        <f ca="1">IFERROR(__xludf.DUMMYFUNCTION("""COMPUTED_VALUE"""),"848 Huntington Avenue Unit 2")</f>
        <v>848 Huntington Avenue Unit 2</v>
      </c>
      <c r="E408" s="1" t="str">
        <f ca="1">IFERROR(__xludf.DUMMYFUNCTION("""COMPUTED_VALUE"""),"Boston")</f>
        <v>Boston</v>
      </c>
      <c r="F408" s="1" t="str">
        <f ca="1">IFERROR(__xludf.DUMMYFUNCTION("""COMPUTED_VALUE"""),"Boston - Mission Hill")</f>
        <v>Boston - Mission Hill</v>
      </c>
      <c r="G408" s="1">
        <f ca="1">IFERROR(__xludf.DUMMYFUNCTION("""COMPUTED_VALUE"""),2)</f>
        <v>2</v>
      </c>
      <c r="H408" s="1" t="str">
        <f ca="1">IFERROR(__xludf.DUMMYFUNCTION("""COMPUTED_VALUE"""),"B")</f>
        <v>B</v>
      </c>
      <c r="I408" s="4" t="str">
        <f ca="1">IFERROR(__xludf.DUMMYFUNCTION("""COMPUTED_VALUE"""),"848 Huntington Avenue#2B")</f>
        <v>848 Huntington Avenue#2B</v>
      </c>
      <c r="J408" s="4" t="str">
        <f ca="1">IFERROR(__xludf.DUMMYFUNCTION("""COMPUTED_VALUE"""),"13e091ec-d5c9-4ba7-9f1a-197e0cd73ac9")</f>
        <v>13e091ec-d5c9-4ba7-9f1a-197e0cd73ac9</v>
      </c>
      <c r="K408" s="4">
        <f ca="1">IFERROR(__xludf.DUMMYFUNCTION("""COMPUTED_VALUE"""),1095)</f>
        <v>1095</v>
      </c>
      <c r="L408" s="1" t="str">
        <f ca="1">IFERROR(__xludf.DUMMYFUNCTION("""COMPUTED_VALUE"""),"Cam")</f>
        <v>Cam</v>
      </c>
      <c r="M408" s="1" t="str">
        <f ca="1">IFERROR(__xludf.DUMMYFUNCTION("""COMPUTED_VALUE"""),"")</f>
        <v/>
      </c>
      <c r="N408" s="1" t="str">
        <f ca="1">IFERROR(__xludf.DUMMYFUNCTION("""COMPUTED_VALUE"""),"Furnished")</f>
        <v>Furnished</v>
      </c>
      <c r="O408" s="1" t="str">
        <f ca="1">IFERROR(__xludf.DUMMYFUNCTION("""COMPUTED_VALUE"""),"Occupied")</f>
        <v>Occupied</v>
      </c>
      <c r="P408" s="1"/>
      <c r="Q408" s="1"/>
      <c r="R408" s="1"/>
      <c r="S408" s="1" t="str">
        <f ca="1">IFERROR(__xludf.DUMMYFUNCTION("""COMPUTED_VALUE"""),"NO CATS OR DOGS")</f>
        <v>NO CATS OR DOGS</v>
      </c>
      <c r="T408" s="1"/>
      <c r="U408" s="1" t="str">
        <f ca="1">IFERROR(__xludf.DUMMYFUNCTION("""COMPUTED_VALUE"""),"N")</f>
        <v>N</v>
      </c>
      <c r="V408" s="1" t="str">
        <f ca="1">IFERROR(__xludf.DUMMYFUNCTION("""COMPUTED_VALUE"""),"Y")</f>
        <v>Y</v>
      </c>
      <c r="W408" s="1"/>
      <c r="X408" s="1"/>
      <c r="Y408" s="1" t="str">
        <f ca="1">IFERROR(__xludf.DUMMYFUNCTION("""COMPUTED_VALUE"""),"Jacob Ludington")</f>
        <v>Jacob Ludington</v>
      </c>
      <c r="Z408" s="1" t="str">
        <f ca="1">IFERROR(__xludf.DUMMYFUNCTION("""COMPUTED_VALUE"""),"jacob.ludington@icloud.com")</f>
        <v>jacob.ludington@icloud.com</v>
      </c>
      <c r="AA408" s="1"/>
      <c r="AB408" s="1"/>
      <c r="AC408" s="1"/>
    </row>
    <row r="409" spans="1:29">
      <c r="A409" s="1" t="str">
        <f ca="1">IFERROR(__xludf.DUMMYFUNCTION("""COMPUTED_VALUE"""),"848 Huntington Avenue")</f>
        <v>848 Huntington Avenue</v>
      </c>
      <c r="B409" s="1">
        <f ca="1">IFERROR(__xludf.DUMMYFUNCTION("""COMPUTED_VALUE"""),848)</f>
        <v>848</v>
      </c>
      <c r="C409" s="1" t="str">
        <f ca="1">IFERROR(__xludf.DUMMYFUNCTION("""COMPUTED_VALUE"""),"#2")</f>
        <v>#2</v>
      </c>
      <c r="D409" s="1" t="str">
        <f ca="1">IFERROR(__xludf.DUMMYFUNCTION("""COMPUTED_VALUE"""),"848 Huntington Avenue Unit 2")</f>
        <v>848 Huntington Avenue Unit 2</v>
      </c>
      <c r="E409" s="1" t="str">
        <f ca="1">IFERROR(__xludf.DUMMYFUNCTION("""COMPUTED_VALUE"""),"Boston")</f>
        <v>Boston</v>
      </c>
      <c r="F409" s="1" t="str">
        <f ca="1">IFERROR(__xludf.DUMMYFUNCTION("""COMPUTED_VALUE"""),"Boston - Mission Hill")</f>
        <v>Boston - Mission Hill</v>
      </c>
      <c r="G409" s="1">
        <f ca="1">IFERROR(__xludf.DUMMYFUNCTION("""COMPUTED_VALUE"""),3)</f>
        <v>3</v>
      </c>
      <c r="H409" s="1" t="str">
        <f ca="1">IFERROR(__xludf.DUMMYFUNCTION("""COMPUTED_VALUE"""),"C")</f>
        <v>C</v>
      </c>
      <c r="I409" s="4" t="str">
        <f ca="1">IFERROR(__xludf.DUMMYFUNCTION("""COMPUTED_VALUE"""),"848 Huntington Avenue#2C")</f>
        <v>848 Huntington Avenue#2C</v>
      </c>
      <c r="J409" s="4" t="str">
        <f ca="1">IFERROR(__xludf.DUMMYFUNCTION("""COMPUTED_VALUE"""),"13e091ec-d5c9-4ba7-9f1a-197e0cd73ac9")</f>
        <v>13e091ec-d5c9-4ba7-9f1a-197e0cd73ac9</v>
      </c>
      <c r="K409" s="4">
        <f ca="1">IFERROR(__xludf.DUMMYFUNCTION("""COMPUTED_VALUE"""),1195)</f>
        <v>1195</v>
      </c>
      <c r="L409" s="1" t="str">
        <f ca="1">IFERROR(__xludf.DUMMYFUNCTION("""COMPUTED_VALUE"""),"Cam")</f>
        <v>Cam</v>
      </c>
      <c r="M409" s="1" t="str">
        <f ca="1">IFERROR(__xludf.DUMMYFUNCTION("""COMPUTED_VALUE"""),"")</f>
        <v/>
      </c>
      <c r="N409" s="1" t="str">
        <f ca="1">IFERROR(__xludf.DUMMYFUNCTION("""COMPUTED_VALUE"""),"Furnished")</f>
        <v>Furnished</v>
      </c>
      <c r="O409" s="1" t="str">
        <f ca="1">IFERROR(__xludf.DUMMYFUNCTION("""COMPUTED_VALUE"""),"Occupied")</f>
        <v>Occupied</v>
      </c>
      <c r="P409" s="1"/>
      <c r="Q409" s="1"/>
      <c r="R409" s="1"/>
      <c r="S409" s="1" t="str">
        <f ca="1">IFERROR(__xludf.DUMMYFUNCTION("""COMPUTED_VALUE"""),"NO CATS OR DOGS")</f>
        <v>NO CATS OR DOGS</v>
      </c>
      <c r="T409" s="1"/>
      <c r="U409" s="1" t="str">
        <f ca="1">IFERROR(__xludf.DUMMYFUNCTION("""COMPUTED_VALUE"""),"N")</f>
        <v>N</v>
      </c>
      <c r="V409" s="1" t="str">
        <f ca="1">IFERROR(__xludf.DUMMYFUNCTION("""COMPUTED_VALUE"""),"Y")</f>
        <v>Y</v>
      </c>
      <c r="W409" s="1"/>
      <c r="X409" s="1"/>
      <c r="Y409" s="1" t="str">
        <f ca="1">IFERROR(__xludf.DUMMYFUNCTION("""COMPUTED_VALUE"""),"Chris Coughlin")</f>
        <v>Chris Coughlin</v>
      </c>
      <c r="Z409" s="1" t="str">
        <f ca="1">IFERROR(__xludf.DUMMYFUNCTION("""COMPUTED_VALUE"""),"coughlin.christopher97@gmail.com")</f>
        <v>coughlin.christopher97@gmail.com</v>
      </c>
      <c r="AA409" s="1"/>
      <c r="AB409" s="1"/>
      <c r="AC409" s="1" t="str">
        <f ca="1">IFERROR(__xludf.DUMMYFUNCTION("""COMPUTED_VALUE"""),"waiting for deposit")</f>
        <v>waiting for deposit</v>
      </c>
    </row>
    <row r="410" spans="1:29">
      <c r="A410" s="1" t="str">
        <f ca="1">IFERROR(__xludf.DUMMYFUNCTION("""COMPUTED_VALUE"""),"1008 Tremont Street")</f>
        <v>1008 Tremont Street</v>
      </c>
      <c r="B410" s="1">
        <f ca="1">IFERROR(__xludf.DUMMYFUNCTION("""COMPUTED_VALUE"""),1008)</f>
        <v>1008</v>
      </c>
      <c r="C410" s="1" t="str">
        <f ca="1">IFERROR(__xludf.DUMMYFUNCTION("""COMPUTED_VALUE"""),"#3")</f>
        <v>#3</v>
      </c>
      <c r="D410" s="1" t="str">
        <f ca="1">IFERROR(__xludf.DUMMYFUNCTION("""COMPUTED_VALUE"""),"1008 Tremont Street Unit 3")</f>
        <v>1008 Tremont Street Unit 3</v>
      </c>
      <c r="E410" s="1" t="str">
        <f ca="1">IFERROR(__xludf.DUMMYFUNCTION("""COMPUTED_VALUE"""),"Boston")</f>
        <v>Boston</v>
      </c>
      <c r="F410" s="1" t="str">
        <f ca="1">IFERROR(__xludf.DUMMYFUNCTION("""COMPUTED_VALUE"""),"Boston - South End")</f>
        <v>Boston - South End</v>
      </c>
      <c r="G410" s="1">
        <f ca="1">IFERROR(__xludf.DUMMYFUNCTION("""COMPUTED_VALUE"""),1)</f>
        <v>1</v>
      </c>
      <c r="H410" s="1" t="str">
        <f ca="1">IFERROR(__xludf.DUMMYFUNCTION("""COMPUTED_VALUE"""),"A")</f>
        <v>A</v>
      </c>
      <c r="I410" s="4" t="str">
        <f ca="1">IFERROR(__xludf.DUMMYFUNCTION("""COMPUTED_VALUE"""),"1008 Tremont Street#3A")</f>
        <v>1008 Tremont Street#3A</v>
      </c>
      <c r="J410" s="4" t="str">
        <f ca="1">IFERROR(__xludf.DUMMYFUNCTION("""COMPUTED_VALUE"""),"4c89eba7-3989-49ae-92be-df29a35f3a6c")</f>
        <v>4c89eba7-3989-49ae-92be-df29a35f3a6c</v>
      </c>
      <c r="K410" s="4">
        <f ca="1">IFERROR(__xludf.DUMMYFUNCTION("""COMPUTED_VALUE"""),1695)</f>
        <v>1695</v>
      </c>
      <c r="L410" s="1" t="str">
        <f ca="1">IFERROR(__xludf.DUMMYFUNCTION("""COMPUTED_VALUE"""),"Daniel")</f>
        <v>Daniel</v>
      </c>
      <c r="M410" s="1" t="str">
        <f ca="1">IFERROR(__xludf.DUMMYFUNCTION("""COMPUTED_VALUE"""),"Daniel (later)")</f>
        <v>Daniel (later)</v>
      </c>
      <c r="N410" s="1" t="str">
        <f ca="1">IFERROR(__xludf.DUMMYFUNCTION("""COMPUTED_VALUE"""),"")</f>
        <v/>
      </c>
      <c r="O410" s="1" t="str">
        <f ca="1">IFERROR(__xludf.DUMMYFUNCTION("""COMPUTED_VALUE"""),"Roommate Introduction")</f>
        <v>Roommate Introduction</v>
      </c>
      <c r="P410" s="1"/>
      <c r="Q410" s="1"/>
      <c r="R410" s="5">
        <f ca="1">IFERROR(__xludf.DUMMYFUNCTION("""COMPUTED_VALUE"""),44227)</f>
        <v>44227</v>
      </c>
      <c r="S410" s="1"/>
      <c r="T410" s="1"/>
      <c r="U410" s="1" t="str">
        <f ca="1">IFERROR(__xludf.DUMMYFUNCTION("""COMPUTED_VALUE"""),"Y")</f>
        <v>Y</v>
      </c>
      <c r="V410" s="1" t="str">
        <f ca="1">IFERROR(__xludf.DUMMYFUNCTION("""COMPUTED_VALUE"""),"Y")</f>
        <v>Y</v>
      </c>
      <c r="W410" s="1" t="str">
        <f ca="1">IFERROR(__xludf.DUMMYFUNCTION("""COMPUTED_VALUE"""),"Brian Vado")</f>
        <v>Brian Vado</v>
      </c>
      <c r="X410" s="1" t="str">
        <f ca="1">IFERROR(__xludf.DUMMYFUNCTION("""COMPUTED_VALUE"""),"brianvado96@gmail.com")</f>
        <v>brianvado96@gmail.com</v>
      </c>
      <c r="Y410" s="1"/>
      <c r="Z410" s="1"/>
      <c r="AA410" s="1"/>
      <c r="AB410" s="1"/>
      <c r="AC410" s="1"/>
    </row>
    <row r="411" spans="1:29">
      <c r="A411" s="1" t="str">
        <f ca="1">IFERROR(__xludf.DUMMYFUNCTION("""COMPUTED_VALUE"""),"1008 Tremont Street")</f>
        <v>1008 Tremont Street</v>
      </c>
      <c r="B411" s="1">
        <f ca="1">IFERROR(__xludf.DUMMYFUNCTION("""COMPUTED_VALUE"""),1008)</f>
        <v>1008</v>
      </c>
      <c r="C411" s="1" t="str">
        <f ca="1">IFERROR(__xludf.DUMMYFUNCTION("""COMPUTED_VALUE"""),"#3")</f>
        <v>#3</v>
      </c>
      <c r="D411" s="1" t="str">
        <f ca="1">IFERROR(__xludf.DUMMYFUNCTION("""COMPUTED_VALUE"""),"1008 Tremont Street Unit 3")</f>
        <v>1008 Tremont Street Unit 3</v>
      </c>
      <c r="E411" s="1" t="str">
        <f ca="1">IFERROR(__xludf.DUMMYFUNCTION("""COMPUTED_VALUE"""),"Boston")</f>
        <v>Boston</v>
      </c>
      <c r="F411" s="1" t="str">
        <f ca="1">IFERROR(__xludf.DUMMYFUNCTION("""COMPUTED_VALUE"""),"Boston - South End")</f>
        <v>Boston - South End</v>
      </c>
      <c r="G411" s="1">
        <f ca="1">IFERROR(__xludf.DUMMYFUNCTION("""COMPUTED_VALUE"""),2)</f>
        <v>2</v>
      </c>
      <c r="H411" s="1" t="str">
        <f ca="1">IFERROR(__xludf.DUMMYFUNCTION("""COMPUTED_VALUE"""),"B")</f>
        <v>B</v>
      </c>
      <c r="I411" s="4" t="str">
        <f ca="1">IFERROR(__xludf.DUMMYFUNCTION("""COMPUTED_VALUE"""),"1008 Tremont Street#3B")</f>
        <v>1008 Tremont Street#3B</v>
      </c>
      <c r="J411" s="4" t="str">
        <f ca="1">IFERROR(__xludf.DUMMYFUNCTION("""COMPUTED_VALUE"""),"4c89eba7-3989-49ae-92be-df29a35f3a6c")</f>
        <v>4c89eba7-3989-49ae-92be-df29a35f3a6c</v>
      </c>
      <c r="K411" s="4">
        <f ca="1">IFERROR(__xludf.DUMMYFUNCTION("""COMPUTED_VALUE"""),1690)</f>
        <v>1690</v>
      </c>
      <c r="L411" s="1" t="str">
        <f ca="1">IFERROR(__xludf.DUMMYFUNCTION("""COMPUTED_VALUE"""),"Daniel")</f>
        <v>Daniel</v>
      </c>
      <c r="M411" s="1" t="str">
        <f ca="1">IFERROR(__xludf.DUMMYFUNCTION("""COMPUTED_VALUE"""),"")</f>
        <v/>
      </c>
      <c r="N411" s="1" t="str">
        <f ca="1">IFERROR(__xludf.DUMMYFUNCTION("""COMPUTED_VALUE"""),"")</f>
        <v/>
      </c>
      <c r="O411" s="1" t="str">
        <f ca="1">IFERROR(__xludf.DUMMYFUNCTION("""COMPUTED_VALUE"""),"Occupied")</f>
        <v>Occupied</v>
      </c>
      <c r="P411" s="1"/>
      <c r="Q411" s="1"/>
      <c r="R411" s="1"/>
      <c r="S411" s="1"/>
      <c r="T411" s="1"/>
      <c r="U411" s="1" t="str">
        <f ca="1">IFERROR(__xludf.DUMMYFUNCTION("""COMPUTED_VALUE"""),"Y")</f>
        <v>Y</v>
      </c>
      <c r="V411" s="1" t="str">
        <f ca="1">IFERROR(__xludf.DUMMYFUNCTION("""COMPUTED_VALUE"""),"Y")</f>
        <v>Y</v>
      </c>
      <c r="W411" s="1"/>
      <c r="X411" s="1"/>
      <c r="Y411" s="1" t="str">
        <f ca="1">IFERROR(__xludf.DUMMYFUNCTION("""COMPUTED_VALUE"""),"Nathaniel Vitale")</f>
        <v>Nathaniel Vitale</v>
      </c>
      <c r="Z411" s="1" t="str">
        <f ca="1">IFERROR(__xludf.DUMMYFUNCTION("""COMPUTED_VALUE"""),"natev3.14@gmail.com")</f>
        <v>natev3.14@gmail.com</v>
      </c>
      <c r="AA411" s="1"/>
      <c r="AB411" s="1"/>
      <c r="AC411" s="1"/>
    </row>
    <row r="412" spans="1:29">
      <c r="A412" s="1" t="str">
        <f ca="1">IFERROR(__xludf.DUMMYFUNCTION("""COMPUTED_VALUE"""),"1008 Tremont Street")</f>
        <v>1008 Tremont Street</v>
      </c>
      <c r="B412" s="1">
        <f ca="1">IFERROR(__xludf.DUMMYFUNCTION("""COMPUTED_VALUE"""),1008)</f>
        <v>1008</v>
      </c>
      <c r="C412" s="1" t="str">
        <f ca="1">IFERROR(__xludf.DUMMYFUNCTION("""COMPUTED_VALUE"""),"#6")</f>
        <v>#6</v>
      </c>
      <c r="D412" s="1" t="str">
        <f ca="1">IFERROR(__xludf.DUMMYFUNCTION("""COMPUTED_VALUE"""),"1008 Tremont Street Unit 6")</f>
        <v>1008 Tremont Street Unit 6</v>
      </c>
      <c r="E412" s="1" t="str">
        <f ca="1">IFERROR(__xludf.DUMMYFUNCTION("""COMPUTED_VALUE"""),"Boston")</f>
        <v>Boston</v>
      </c>
      <c r="F412" s="1" t="str">
        <f ca="1">IFERROR(__xludf.DUMMYFUNCTION("""COMPUTED_VALUE"""),"Boston - South End")</f>
        <v>Boston - South End</v>
      </c>
      <c r="G412" s="1">
        <f ca="1">IFERROR(__xludf.DUMMYFUNCTION("""COMPUTED_VALUE"""),1)</f>
        <v>1</v>
      </c>
      <c r="H412" s="1" t="str">
        <f ca="1">IFERROR(__xludf.DUMMYFUNCTION("""COMPUTED_VALUE"""),"A")</f>
        <v>A</v>
      </c>
      <c r="I412" s="4" t="str">
        <f ca="1">IFERROR(__xludf.DUMMYFUNCTION("""COMPUTED_VALUE"""),"1008 Tremont Street#6A")</f>
        <v>1008 Tremont Street#6A</v>
      </c>
      <c r="J412" s="1"/>
      <c r="K412" s="4">
        <f ca="1">IFERROR(__xludf.DUMMYFUNCTION("""COMPUTED_VALUE"""),1750)</f>
        <v>1750</v>
      </c>
      <c r="L412" s="1" t="str">
        <f ca="1">IFERROR(__xludf.DUMMYFUNCTION("""COMPUTED_VALUE"""),"Daniel")</f>
        <v>Daniel</v>
      </c>
      <c r="M412" s="1" t="str">
        <f ca="1">IFERROR(__xludf.DUMMYFUNCTION("""COMPUTED_VALUE"""),"")</f>
        <v/>
      </c>
      <c r="N412" s="1" t="str">
        <f ca="1">IFERROR(__xludf.DUMMYFUNCTION("""COMPUTED_VALUE"""),"")</f>
        <v/>
      </c>
      <c r="O412" s="1" t="str">
        <f ca="1">IFERROR(__xludf.DUMMYFUNCTION("""COMPUTED_VALUE"""),"Occupied")</f>
        <v>Occupied</v>
      </c>
      <c r="P412" s="1"/>
      <c r="Q412" s="1"/>
      <c r="R412" s="1"/>
      <c r="S412" s="1"/>
      <c r="T412" s="1"/>
      <c r="U412" s="1" t="str">
        <f ca="1">IFERROR(__xludf.DUMMYFUNCTION("""COMPUTED_VALUE"""),"N")</f>
        <v>N</v>
      </c>
      <c r="V412" s="1" t="str">
        <f ca="1">IFERROR(__xludf.DUMMYFUNCTION("""COMPUTED_VALUE"""),"Y")</f>
        <v>Y</v>
      </c>
      <c r="W412" s="1"/>
      <c r="X412" s="1"/>
      <c r="Y412" s="1" t="str">
        <f ca="1">IFERROR(__xludf.DUMMYFUNCTION("""COMPUTED_VALUE"""),"Unmesh Uttamrao Padalkar")</f>
        <v>Unmesh Uttamrao Padalkar</v>
      </c>
      <c r="Z412" s="1" t="str">
        <f ca="1">IFERROR(__xludf.DUMMYFUNCTION("""COMPUTED_VALUE"""),"upadalkar@gmail.com")</f>
        <v>upadalkar@gmail.com</v>
      </c>
      <c r="AA412" s="1"/>
      <c r="AB412" s="1"/>
      <c r="AC412" s="1" t="str">
        <f ca="1">IFERROR(__xludf.DUMMYFUNCTION("""COMPUTED_VALUE"""),"waiting for deposit, 8/15 move in")</f>
        <v>waiting for deposit, 8/15 move in</v>
      </c>
    </row>
    <row r="413" spans="1:29">
      <c r="A413" s="1" t="str">
        <f ca="1">IFERROR(__xludf.DUMMYFUNCTION("""COMPUTED_VALUE"""),"1008 Tremont Street")</f>
        <v>1008 Tremont Street</v>
      </c>
      <c r="B413" s="1">
        <f ca="1">IFERROR(__xludf.DUMMYFUNCTION("""COMPUTED_VALUE"""),1008)</f>
        <v>1008</v>
      </c>
      <c r="C413" s="1" t="str">
        <f ca="1">IFERROR(__xludf.DUMMYFUNCTION("""COMPUTED_VALUE"""),"#6")</f>
        <v>#6</v>
      </c>
      <c r="D413" s="1" t="str">
        <f ca="1">IFERROR(__xludf.DUMMYFUNCTION("""COMPUTED_VALUE"""),"1008 Tremont Street Unit 6")</f>
        <v>1008 Tremont Street Unit 6</v>
      </c>
      <c r="E413" s="1" t="str">
        <f ca="1">IFERROR(__xludf.DUMMYFUNCTION("""COMPUTED_VALUE"""),"Boston")</f>
        <v>Boston</v>
      </c>
      <c r="F413" s="1" t="str">
        <f ca="1">IFERROR(__xludf.DUMMYFUNCTION("""COMPUTED_VALUE"""),"Boston - South End")</f>
        <v>Boston - South End</v>
      </c>
      <c r="G413" s="1">
        <f ca="1">IFERROR(__xludf.DUMMYFUNCTION("""COMPUTED_VALUE"""),2)</f>
        <v>2</v>
      </c>
      <c r="H413" s="1" t="str">
        <f ca="1">IFERROR(__xludf.DUMMYFUNCTION("""COMPUTED_VALUE"""),"B")</f>
        <v>B</v>
      </c>
      <c r="I413" s="4" t="str">
        <f ca="1">IFERROR(__xludf.DUMMYFUNCTION("""COMPUTED_VALUE"""),"1008 Tremont Street#6B")</f>
        <v>1008 Tremont Street#6B</v>
      </c>
      <c r="J413" s="1"/>
      <c r="K413" s="4">
        <f ca="1">IFERROR(__xludf.DUMMYFUNCTION("""COMPUTED_VALUE"""),1690)</f>
        <v>1690</v>
      </c>
      <c r="L413" s="1" t="str">
        <f ca="1">IFERROR(__xludf.DUMMYFUNCTION("""COMPUTED_VALUE"""),"Daniel")</f>
        <v>Daniel</v>
      </c>
      <c r="M413" s="1" t="str">
        <f ca="1">IFERROR(__xludf.DUMMYFUNCTION("""COMPUTED_VALUE"""),"")</f>
        <v/>
      </c>
      <c r="N413" s="1" t="str">
        <f ca="1">IFERROR(__xludf.DUMMYFUNCTION("""COMPUTED_VALUE"""),"")</f>
        <v/>
      </c>
      <c r="O413" s="1" t="str">
        <f ca="1">IFERROR(__xludf.DUMMYFUNCTION("""COMPUTED_VALUE"""),"Occupied")</f>
        <v>Occupied</v>
      </c>
      <c r="P413" s="1"/>
      <c r="Q413" s="1"/>
      <c r="R413" s="1"/>
      <c r="S413" s="1"/>
      <c r="T413" s="1"/>
      <c r="U413" s="1" t="str">
        <f ca="1">IFERROR(__xludf.DUMMYFUNCTION("""COMPUTED_VALUE"""),"N")</f>
        <v>N</v>
      </c>
      <c r="V413" s="1" t="str">
        <f ca="1">IFERROR(__xludf.DUMMYFUNCTION("""COMPUTED_VALUE"""),"Y")</f>
        <v>Y</v>
      </c>
      <c r="W413" s="1"/>
      <c r="X413" s="1"/>
      <c r="Y413" s="1" t="str">
        <f ca="1">IFERROR(__xludf.DUMMYFUNCTION("""COMPUTED_VALUE"""),"Sachin Kothandaraman")</f>
        <v>Sachin Kothandaraman</v>
      </c>
      <c r="Z413" s="1" t="str">
        <f ca="1">IFERROR(__xludf.DUMMYFUNCTION("""COMPUTED_VALUE"""),"sachin.sarathyadav@gmail.com")</f>
        <v>sachin.sarathyadav@gmail.com</v>
      </c>
      <c r="AA413" s="1"/>
      <c r="AB413" s="1"/>
      <c r="AC413" s="1"/>
    </row>
    <row r="414" spans="1:29">
      <c r="A414" s="1" t="str">
        <f ca="1">IFERROR(__xludf.DUMMYFUNCTION("""COMPUTED_VALUE"""),"1099 Cambridge Street")</f>
        <v>1099 Cambridge Street</v>
      </c>
      <c r="B414" s="1">
        <f ca="1">IFERROR(__xludf.DUMMYFUNCTION("""COMPUTED_VALUE"""),1099)</f>
        <v>1099</v>
      </c>
      <c r="C414" s="1" t="str">
        <f ca="1">IFERROR(__xludf.DUMMYFUNCTION("""COMPUTED_VALUE"""),"#1")</f>
        <v>#1</v>
      </c>
      <c r="D414" s="1" t="str">
        <f ca="1">IFERROR(__xludf.DUMMYFUNCTION("""COMPUTED_VALUE"""),"1099 Cambridge Street Unit 1")</f>
        <v>1099 Cambridge Street Unit 1</v>
      </c>
      <c r="E414" s="1" t="str">
        <f ca="1">IFERROR(__xludf.DUMMYFUNCTION("""COMPUTED_VALUE"""),"Cambridge")</f>
        <v>Cambridge</v>
      </c>
      <c r="F414" s="1" t="str">
        <f ca="1">IFERROR(__xludf.DUMMYFUNCTION("""COMPUTED_VALUE"""),"Cambridge - Inman Square")</f>
        <v>Cambridge - Inman Square</v>
      </c>
      <c r="G414" s="1">
        <f ca="1">IFERROR(__xludf.DUMMYFUNCTION("""COMPUTED_VALUE"""),1)</f>
        <v>1</v>
      </c>
      <c r="H414" s="1" t="str">
        <f ca="1">IFERROR(__xludf.DUMMYFUNCTION("""COMPUTED_VALUE"""),"A")</f>
        <v>A</v>
      </c>
      <c r="I414" s="4" t="str">
        <f ca="1">IFERROR(__xludf.DUMMYFUNCTION("""COMPUTED_VALUE"""),"1099 Cambridge Street#1A")</f>
        <v>1099 Cambridge Street#1A</v>
      </c>
      <c r="J414" s="4" t="str">
        <f ca="1">IFERROR(__xludf.DUMMYFUNCTION("""COMPUTED_VALUE"""),"1cfbe125-a3ae-4191-9cb9-b432b55480bf")</f>
        <v>1cfbe125-a3ae-4191-9cb9-b432b55480bf</v>
      </c>
      <c r="K414" s="4">
        <f ca="1">IFERROR(__xludf.DUMMYFUNCTION("""COMPUTED_VALUE"""),995)</f>
        <v>995</v>
      </c>
      <c r="L414" s="1" t="str">
        <f ca="1">IFERROR(__xludf.DUMMYFUNCTION("""COMPUTED_VALUE"""),"Daniel")</f>
        <v>Daniel</v>
      </c>
      <c r="M414" s="1" t="str">
        <f ca="1">IFERROR(__xludf.DUMMYFUNCTION("""COMPUTED_VALUE"""),"")</f>
        <v/>
      </c>
      <c r="N414" s="1" t="str">
        <f ca="1">IFERROR(__xludf.DUMMYFUNCTION("""COMPUTED_VALUE"""),"Furnished")</f>
        <v>Furnished</v>
      </c>
      <c r="O414" s="1" t="str">
        <f ca="1">IFERROR(__xludf.DUMMYFUNCTION("""COMPUTED_VALUE"""),"Deposits Complete")</f>
        <v>Deposits Complete</v>
      </c>
      <c r="P414" s="1" t="str">
        <f ca="1">IFERROR(__xludf.DUMMYFUNCTION("""COMPUTED_VALUE"""),"February")</f>
        <v>February</v>
      </c>
      <c r="Q414" s="1"/>
      <c r="R414" s="5">
        <f ca="1">IFERROR(__xludf.DUMMYFUNCTION("""COMPUTED_VALUE"""),43862)</f>
        <v>43862</v>
      </c>
      <c r="S414" s="1" t="str">
        <f ca="1">IFERROR(__xludf.DUMMYFUNCTION("""COMPUTED_VALUE"""),"NO CATS OR DOGS")</f>
        <v>NO CATS OR DOGS</v>
      </c>
      <c r="T414" s="1"/>
      <c r="U414" s="1" t="str">
        <f ca="1">IFERROR(__xludf.DUMMYFUNCTION("""COMPUTED_VALUE"""),"N")</f>
        <v>N</v>
      </c>
      <c r="V414" s="1" t="str">
        <f ca="1">IFERROR(__xludf.DUMMYFUNCTION("""COMPUTED_VALUE"""),"Y")</f>
        <v>Y</v>
      </c>
      <c r="W414" s="1" t="str">
        <f ca="1">IFERROR(__xludf.DUMMYFUNCTION("""COMPUTED_VALUE"""),"Anna Simon")</f>
        <v>Anna Simon</v>
      </c>
      <c r="X414" s="1" t="str">
        <f ca="1">IFERROR(__xludf.DUMMYFUNCTION("""COMPUTED_VALUE"""),"simonanna259@gmail.com")</f>
        <v>simonanna259@gmail.com</v>
      </c>
      <c r="Y414" s="1"/>
      <c r="Z414" s="1"/>
      <c r="AA414" s="1"/>
      <c r="AB414" s="1"/>
      <c r="AC414" s="1" t="str">
        <f ca="1">IFERROR(__xludf.DUMMYFUNCTION("""COMPUTED_VALUE"""),"On Site")</f>
        <v>On Site</v>
      </c>
    </row>
    <row r="415" spans="1:29">
      <c r="A415" s="1" t="str">
        <f ca="1">IFERROR(__xludf.DUMMYFUNCTION("""COMPUTED_VALUE"""),"1099 Cambridge Street")</f>
        <v>1099 Cambridge Street</v>
      </c>
      <c r="B415" s="1">
        <f ca="1">IFERROR(__xludf.DUMMYFUNCTION("""COMPUTED_VALUE"""),1099)</f>
        <v>1099</v>
      </c>
      <c r="C415" s="1" t="str">
        <f ca="1">IFERROR(__xludf.DUMMYFUNCTION("""COMPUTED_VALUE"""),"#1")</f>
        <v>#1</v>
      </c>
      <c r="D415" s="1" t="str">
        <f ca="1">IFERROR(__xludf.DUMMYFUNCTION("""COMPUTED_VALUE"""),"1099 Cambridge Street Unit 1")</f>
        <v>1099 Cambridge Street Unit 1</v>
      </c>
      <c r="E415" s="1" t="str">
        <f ca="1">IFERROR(__xludf.DUMMYFUNCTION("""COMPUTED_VALUE"""),"Cambridge")</f>
        <v>Cambridge</v>
      </c>
      <c r="F415" s="1" t="str">
        <f ca="1">IFERROR(__xludf.DUMMYFUNCTION("""COMPUTED_VALUE"""),"Cambridge - Inman Square")</f>
        <v>Cambridge - Inman Square</v>
      </c>
      <c r="G415" s="1">
        <f ca="1">IFERROR(__xludf.DUMMYFUNCTION("""COMPUTED_VALUE"""),2)</f>
        <v>2</v>
      </c>
      <c r="H415" s="1" t="str">
        <f ca="1">IFERROR(__xludf.DUMMYFUNCTION("""COMPUTED_VALUE"""),"B")</f>
        <v>B</v>
      </c>
      <c r="I415" s="4" t="str">
        <f ca="1">IFERROR(__xludf.DUMMYFUNCTION("""COMPUTED_VALUE"""),"1099 Cambridge Street#1B")</f>
        <v>1099 Cambridge Street#1B</v>
      </c>
      <c r="J415" s="4" t="str">
        <f ca="1">IFERROR(__xludf.DUMMYFUNCTION("""COMPUTED_VALUE"""),"1cfbe125-a3ae-4191-9cb9-b432b55480bf")</f>
        <v>1cfbe125-a3ae-4191-9cb9-b432b55480bf</v>
      </c>
      <c r="K415" s="4">
        <f ca="1">IFERROR(__xludf.DUMMYFUNCTION("""COMPUTED_VALUE"""),1295)</f>
        <v>1295</v>
      </c>
      <c r="L415" s="1" t="str">
        <f ca="1">IFERROR(__xludf.DUMMYFUNCTION("""COMPUTED_VALUE"""),"Daniel")</f>
        <v>Daniel</v>
      </c>
      <c r="M415" s="1" t="str">
        <f ca="1">IFERROR(__xludf.DUMMYFUNCTION("""COMPUTED_VALUE"""),"")</f>
        <v/>
      </c>
      <c r="N415" s="1" t="str">
        <f ca="1">IFERROR(__xludf.DUMMYFUNCTION("""COMPUTED_VALUE"""),"Furnished")</f>
        <v>Furnished</v>
      </c>
      <c r="O415" s="1" t="str">
        <f ca="1">IFERROR(__xludf.DUMMYFUNCTION("""COMPUTED_VALUE"""),"Deposits Complete")</f>
        <v>Deposits Complete</v>
      </c>
      <c r="P415" s="1" t="str">
        <f ca="1">IFERROR(__xludf.DUMMYFUNCTION("""COMPUTED_VALUE"""),"February")</f>
        <v>February</v>
      </c>
      <c r="Q415" s="3">
        <f ca="1">IFERROR(__xludf.DUMMYFUNCTION("""COMPUTED_VALUE"""),43861)</f>
        <v>43861</v>
      </c>
      <c r="R415" s="5">
        <f ca="1">IFERROR(__xludf.DUMMYFUNCTION("""COMPUTED_VALUE"""),43862)</f>
        <v>43862</v>
      </c>
      <c r="S415" s="1" t="str">
        <f ca="1">IFERROR(__xludf.DUMMYFUNCTION("""COMPUTED_VALUE"""),"NO CATS OR DOGS")</f>
        <v>NO CATS OR DOGS</v>
      </c>
      <c r="T415" s="1"/>
      <c r="U415" s="1" t="str">
        <f ca="1">IFERROR(__xludf.DUMMYFUNCTION("""COMPUTED_VALUE"""),"N")</f>
        <v>N</v>
      </c>
      <c r="V415" s="1" t="str">
        <f ca="1">IFERROR(__xludf.DUMMYFUNCTION("""COMPUTED_VALUE"""),"Y")</f>
        <v>Y</v>
      </c>
      <c r="W415" s="1" t="str">
        <f ca="1">IFERROR(__xludf.DUMMYFUNCTION("""COMPUTED_VALUE"""),"Maliya Ellis")</f>
        <v>Maliya Ellis</v>
      </c>
      <c r="X415" s="1" t="str">
        <f ca="1">IFERROR(__xludf.DUMMYFUNCTION("""COMPUTED_VALUE"""),"mellis@college.harvard.edu")</f>
        <v>mellis@college.harvard.edu</v>
      </c>
      <c r="Y415" s="1" t="str">
        <f ca="1">IFERROR(__xludf.DUMMYFUNCTION("""COMPUTED_VALUE"""),"Eduardo Enciso Martinez; Oscar Perez Soria")</f>
        <v>Eduardo Enciso Martinez; Oscar Perez Soria</v>
      </c>
      <c r="Z415" s="1" t="str">
        <f ca="1">IFERROR(__xludf.DUMMYFUNCTION("""COMPUTED_VALUE"""),"a00368755@itesm.mx;  A01373257@itesm.mx")</f>
        <v>a00368755@itesm.mx;  A01373257@itesm.mx</v>
      </c>
      <c r="AA415" s="1"/>
      <c r="AB415" s="1"/>
      <c r="AC415" s="1" t="str">
        <f ca="1">IFERROR(__xludf.DUMMYFUNCTION("""COMPUTED_VALUE"""),"On Site")</f>
        <v>On Site</v>
      </c>
    </row>
    <row r="416" spans="1:29">
      <c r="A416" s="1" t="str">
        <f ca="1">IFERROR(__xludf.DUMMYFUNCTION("""COMPUTED_VALUE"""),"1099 Cambridge Street")</f>
        <v>1099 Cambridge Street</v>
      </c>
      <c r="B416" s="1">
        <f ca="1">IFERROR(__xludf.DUMMYFUNCTION("""COMPUTED_VALUE"""),1099)</f>
        <v>1099</v>
      </c>
      <c r="C416" s="1" t="str">
        <f ca="1">IFERROR(__xludf.DUMMYFUNCTION("""COMPUTED_VALUE"""),"#1")</f>
        <v>#1</v>
      </c>
      <c r="D416" s="1" t="str">
        <f ca="1">IFERROR(__xludf.DUMMYFUNCTION("""COMPUTED_VALUE"""),"1099 Cambridge Street Unit 1")</f>
        <v>1099 Cambridge Street Unit 1</v>
      </c>
      <c r="E416" s="1" t="str">
        <f ca="1">IFERROR(__xludf.DUMMYFUNCTION("""COMPUTED_VALUE"""),"Cambridge")</f>
        <v>Cambridge</v>
      </c>
      <c r="F416" s="1" t="str">
        <f ca="1">IFERROR(__xludf.DUMMYFUNCTION("""COMPUTED_VALUE"""),"Cambridge - Inman Square")</f>
        <v>Cambridge - Inman Square</v>
      </c>
      <c r="G416" s="1">
        <f ca="1">IFERROR(__xludf.DUMMYFUNCTION("""COMPUTED_VALUE"""),3)</f>
        <v>3</v>
      </c>
      <c r="H416" s="1" t="str">
        <f ca="1">IFERROR(__xludf.DUMMYFUNCTION("""COMPUTED_VALUE"""),"C")</f>
        <v>C</v>
      </c>
      <c r="I416" s="4" t="str">
        <f ca="1">IFERROR(__xludf.DUMMYFUNCTION("""COMPUTED_VALUE"""),"1099 Cambridge Street#1C")</f>
        <v>1099 Cambridge Street#1C</v>
      </c>
      <c r="J416" s="4" t="str">
        <f ca="1">IFERROR(__xludf.DUMMYFUNCTION("""COMPUTED_VALUE"""),"1cfbe125-a3ae-4191-9cb9-b432b55480bf")</f>
        <v>1cfbe125-a3ae-4191-9cb9-b432b55480bf</v>
      </c>
      <c r="K416" s="4">
        <f ca="1">IFERROR(__xludf.DUMMYFUNCTION("""COMPUTED_VALUE"""),1195)</f>
        <v>1195</v>
      </c>
      <c r="L416" s="1" t="str">
        <f ca="1">IFERROR(__xludf.DUMMYFUNCTION("""COMPUTED_VALUE"""),"Daniel")</f>
        <v>Daniel</v>
      </c>
      <c r="M416" s="1" t="str">
        <f ca="1">IFERROR(__xludf.DUMMYFUNCTION("""COMPUTED_VALUE"""),"")</f>
        <v/>
      </c>
      <c r="N416" s="1" t="str">
        <f ca="1">IFERROR(__xludf.DUMMYFUNCTION("""COMPUTED_VALUE"""),"Furnished")</f>
        <v>Furnished</v>
      </c>
      <c r="O416" s="1" t="str">
        <f ca="1">IFERROR(__xludf.DUMMYFUNCTION("""COMPUTED_VALUE"""),"Lease Signed")</f>
        <v>Lease Signed</v>
      </c>
      <c r="P416" s="1" t="str">
        <f ca="1">IFERROR(__xludf.DUMMYFUNCTION("""COMPUTED_VALUE"""),"February")</f>
        <v>February</v>
      </c>
      <c r="Q416" s="3">
        <f ca="1">IFERROR(__xludf.DUMMYFUNCTION("""COMPUTED_VALUE"""),44196)</f>
        <v>44196</v>
      </c>
      <c r="R416" s="5">
        <f ca="1">IFERROR(__xludf.DUMMYFUNCTION("""COMPUTED_VALUE"""),44227)</f>
        <v>44227</v>
      </c>
      <c r="S416" s="1" t="str">
        <f ca="1">IFERROR(__xludf.DUMMYFUNCTION("""COMPUTED_VALUE"""),"NO CATS OR DOGS")</f>
        <v>NO CATS OR DOGS</v>
      </c>
      <c r="T416" s="1"/>
      <c r="U416" s="1" t="str">
        <f ca="1">IFERROR(__xludf.DUMMYFUNCTION("""COMPUTED_VALUE"""),"N")</f>
        <v>N</v>
      </c>
      <c r="V416" s="1" t="str">
        <f ca="1">IFERROR(__xludf.DUMMYFUNCTION("""COMPUTED_VALUE"""),"Y")</f>
        <v>Y</v>
      </c>
      <c r="W416" s="1" t="str">
        <f ca="1">IFERROR(__xludf.DUMMYFUNCTION("""COMPUTED_VALUE"""),"Julia Tellides")</f>
        <v>Julia Tellides</v>
      </c>
      <c r="X416" s="1" t="str">
        <f ca="1">IFERROR(__xludf.DUMMYFUNCTION("""COMPUTED_VALUE"""),"juliatellides@gmail.com")</f>
        <v>juliatellides@gmail.com</v>
      </c>
      <c r="Y416" s="1" t="str">
        <f ca="1">IFERROR(__xludf.DUMMYFUNCTION("""COMPUTED_VALUE"""),"Rakin Uddin")</f>
        <v>Rakin Uddin</v>
      </c>
      <c r="Z416" s="1" t="str">
        <f ca="1">IFERROR(__xludf.DUMMYFUNCTION("""COMPUTED_VALUE"""),"rakinuddin97@gmail.com")</f>
        <v>rakinuddin97@gmail.com</v>
      </c>
      <c r="AA416" s="1"/>
      <c r="AB416" s="1"/>
      <c r="AC416" s="1" t="str">
        <f ca="1">IFERROR(__xludf.DUMMYFUNCTION("""COMPUTED_VALUE"""),"On Site")</f>
        <v>On Site</v>
      </c>
    </row>
    <row r="417" spans="1:29">
      <c r="A417" s="1" t="str">
        <f ca="1">IFERROR(__xludf.DUMMYFUNCTION("""COMPUTED_VALUE"""),"1111 Boylston Street")</f>
        <v>1111 Boylston Street</v>
      </c>
      <c r="B417" s="1">
        <f ca="1">IFERROR(__xludf.DUMMYFUNCTION("""COMPUTED_VALUE"""),1111)</f>
        <v>1111</v>
      </c>
      <c r="C417" s="1" t="str">
        <f ca="1">IFERROR(__xludf.DUMMYFUNCTION("""COMPUTED_VALUE"""),"#26")</f>
        <v>#26</v>
      </c>
      <c r="D417" s="1" t="str">
        <f ca="1">IFERROR(__xludf.DUMMYFUNCTION("""COMPUTED_VALUE"""),"1111 Boylston Street Unit 26")</f>
        <v>1111 Boylston Street Unit 26</v>
      </c>
      <c r="E417" s="1" t="str">
        <f ca="1">IFERROR(__xludf.DUMMYFUNCTION("""COMPUTED_VALUE"""),"Boston")</f>
        <v>Boston</v>
      </c>
      <c r="F417" s="1" t="str">
        <f ca="1">IFERROR(__xludf.DUMMYFUNCTION("""COMPUTED_VALUE"""),"Boston - Back Bay")</f>
        <v>Boston - Back Bay</v>
      </c>
      <c r="G417" s="1">
        <f ca="1">IFERROR(__xludf.DUMMYFUNCTION("""COMPUTED_VALUE"""),1)</f>
        <v>1</v>
      </c>
      <c r="H417" s="1" t="str">
        <f ca="1">IFERROR(__xludf.DUMMYFUNCTION("""COMPUTED_VALUE"""),"A")</f>
        <v>A</v>
      </c>
      <c r="I417" s="4" t="str">
        <f ca="1">IFERROR(__xludf.DUMMYFUNCTION("""COMPUTED_VALUE"""),"1111 Boylston Street#26A")</f>
        <v>1111 Boylston Street#26A</v>
      </c>
      <c r="J417" s="4" t="str">
        <f ca="1">IFERROR(__xludf.DUMMYFUNCTION("""COMPUTED_VALUE"""),"d1a59758-dfc4-4859-a5bd-22a6cfdd87ca")</f>
        <v>d1a59758-dfc4-4859-a5bd-22a6cfdd87ca</v>
      </c>
      <c r="K417" s="4">
        <f ca="1">IFERROR(__xludf.DUMMYFUNCTION("""COMPUTED_VALUE"""),1195)</f>
        <v>1195</v>
      </c>
      <c r="L417" s="1" t="str">
        <f ca="1">IFERROR(__xludf.DUMMYFUNCTION("""COMPUTED_VALUE"""),"Daniel")</f>
        <v>Daniel</v>
      </c>
      <c r="M417" s="1" t="str">
        <f ca="1">IFERROR(__xludf.DUMMYFUNCTION("""COMPUTED_VALUE"""),"Daniel (NOW)")</f>
        <v>Daniel (NOW)</v>
      </c>
      <c r="N417" s="1" t="str">
        <f ca="1">IFERROR(__xludf.DUMMYFUNCTION("""COMPUTED_VALUE"""),"")</f>
        <v/>
      </c>
      <c r="O417" s="1" t="str">
        <f ca="1">IFERROR(__xludf.DUMMYFUNCTION("""COMPUTED_VALUE"""),"Vacant")</f>
        <v>Vacant</v>
      </c>
      <c r="P417" s="1"/>
      <c r="Q417" s="1"/>
      <c r="R417" s="1"/>
      <c r="S417" s="1"/>
      <c r="T417" s="1"/>
      <c r="U417" s="1" t="str">
        <f ca="1">IFERROR(__xludf.DUMMYFUNCTION("""COMPUTED_VALUE"""),"Y")</f>
        <v>Y</v>
      </c>
      <c r="V417" s="1" t="str">
        <f ca="1">IFERROR(__xludf.DUMMYFUNCTION("""COMPUTED_VALUE"""),"N")</f>
        <v>N</v>
      </c>
      <c r="W417" s="1"/>
      <c r="X417" s="1"/>
      <c r="Y417" s="1"/>
      <c r="Z417" s="1"/>
      <c r="AA417" s="1"/>
      <c r="AB417" s="1"/>
      <c r="AC417" s="1"/>
    </row>
    <row r="418" spans="1:29">
      <c r="A418" s="1" t="str">
        <f ca="1">IFERROR(__xludf.DUMMYFUNCTION("""COMPUTED_VALUE"""),"1111 Boylston Street")</f>
        <v>1111 Boylston Street</v>
      </c>
      <c r="B418" s="1">
        <f ca="1">IFERROR(__xludf.DUMMYFUNCTION("""COMPUTED_VALUE"""),1111)</f>
        <v>1111</v>
      </c>
      <c r="C418" s="1" t="str">
        <f ca="1">IFERROR(__xludf.DUMMYFUNCTION("""COMPUTED_VALUE"""),"#26")</f>
        <v>#26</v>
      </c>
      <c r="D418" s="1" t="str">
        <f ca="1">IFERROR(__xludf.DUMMYFUNCTION("""COMPUTED_VALUE"""),"1111 Boylston Street Unit 26")</f>
        <v>1111 Boylston Street Unit 26</v>
      </c>
      <c r="E418" s="1" t="str">
        <f ca="1">IFERROR(__xludf.DUMMYFUNCTION("""COMPUTED_VALUE"""),"Boston")</f>
        <v>Boston</v>
      </c>
      <c r="F418" s="1" t="str">
        <f ca="1">IFERROR(__xludf.DUMMYFUNCTION("""COMPUTED_VALUE"""),"Boston - Back Bay")</f>
        <v>Boston - Back Bay</v>
      </c>
      <c r="G418" s="1">
        <f ca="1">IFERROR(__xludf.DUMMYFUNCTION("""COMPUTED_VALUE"""),2)</f>
        <v>2</v>
      </c>
      <c r="H418" s="1" t="str">
        <f ca="1">IFERROR(__xludf.DUMMYFUNCTION("""COMPUTED_VALUE"""),"B")</f>
        <v>B</v>
      </c>
      <c r="I418" s="4" t="str">
        <f ca="1">IFERROR(__xludf.DUMMYFUNCTION("""COMPUTED_VALUE"""),"1111 Boylston Street#26B")</f>
        <v>1111 Boylston Street#26B</v>
      </c>
      <c r="J418" s="4" t="str">
        <f ca="1">IFERROR(__xludf.DUMMYFUNCTION("""COMPUTED_VALUE"""),"d1a59758-dfc4-4859-a5bd-22a6cfdd87ca")</f>
        <v>d1a59758-dfc4-4859-a5bd-22a6cfdd87ca</v>
      </c>
      <c r="K418" s="4">
        <f ca="1">IFERROR(__xludf.DUMMYFUNCTION("""COMPUTED_VALUE"""),1375)</f>
        <v>1375</v>
      </c>
      <c r="L418" s="1" t="str">
        <f ca="1">IFERROR(__xludf.DUMMYFUNCTION("""COMPUTED_VALUE"""),"Daniel")</f>
        <v>Daniel</v>
      </c>
      <c r="M418" s="1" t="str">
        <f ca="1">IFERROR(__xludf.DUMMYFUNCTION("""COMPUTED_VALUE"""),"")</f>
        <v/>
      </c>
      <c r="N418" s="1" t="str">
        <f ca="1">IFERROR(__xludf.DUMMYFUNCTION("""COMPUTED_VALUE"""),"")</f>
        <v/>
      </c>
      <c r="O418" s="1" t="str">
        <f ca="1">IFERROR(__xludf.DUMMYFUNCTION("""COMPUTED_VALUE"""),"Occupied")</f>
        <v>Occupied</v>
      </c>
      <c r="P418" s="1"/>
      <c r="Q418" s="1"/>
      <c r="R418" s="1"/>
      <c r="S418" s="1"/>
      <c r="T418" s="1"/>
      <c r="U418" s="1" t="str">
        <f ca="1">IFERROR(__xludf.DUMMYFUNCTION("""COMPUTED_VALUE"""),"Y")</f>
        <v>Y</v>
      </c>
      <c r="V418" s="1" t="str">
        <f ca="1">IFERROR(__xludf.DUMMYFUNCTION("""COMPUTED_VALUE"""),"N")</f>
        <v>N</v>
      </c>
      <c r="W418" s="1"/>
      <c r="X418" s="1"/>
      <c r="Y418" s="1" t="str">
        <f ca="1">IFERROR(__xludf.DUMMYFUNCTION("""COMPUTED_VALUE"""),"Madison Mcadams; Alex Matos")</f>
        <v>Madison Mcadams; Alex Matos</v>
      </c>
      <c r="Z418" s="1" t="str">
        <f ca="1">IFERROR(__xludf.DUMMYFUNCTION("""COMPUTED_VALUE"""),"madisonmca@yahoo.com; alexmatos0106@gmail.com")</f>
        <v>madisonmca@yahoo.com; alexmatos0106@gmail.com</v>
      </c>
      <c r="AA418" s="1"/>
      <c r="AB418" s="1"/>
      <c r="AC418" s="1"/>
    </row>
    <row r="419" spans="1:29">
      <c r="A419" s="1" t="str">
        <f ca="1">IFERROR(__xludf.DUMMYFUNCTION("""COMPUTED_VALUE"""),"1111 Boylston Street")</f>
        <v>1111 Boylston Street</v>
      </c>
      <c r="B419" s="1">
        <f ca="1">IFERROR(__xludf.DUMMYFUNCTION("""COMPUTED_VALUE"""),1111)</f>
        <v>1111</v>
      </c>
      <c r="C419" s="1" t="str">
        <f ca="1">IFERROR(__xludf.DUMMYFUNCTION("""COMPUTED_VALUE"""),"#26")</f>
        <v>#26</v>
      </c>
      <c r="D419" s="1" t="str">
        <f ca="1">IFERROR(__xludf.DUMMYFUNCTION("""COMPUTED_VALUE"""),"1111 Boylston Street Unit 26")</f>
        <v>1111 Boylston Street Unit 26</v>
      </c>
      <c r="E419" s="1" t="str">
        <f ca="1">IFERROR(__xludf.DUMMYFUNCTION("""COMPUTED_VALUE"""),"Boston")</f>
        <v>Boston</v>
      </c>
      <c r="F419" s="1" t="str">
        <f ca="1">IFERROR(__xludf.DUMMYFUNCTION("""COMPUTED_VALUE"""),"Boston - Back Bay")</f>
        <v>Boston - Back Bay</v>
      </c>
      <c r="G419" s="1">
        <f ca="1">IFERROR(__xludf.DUMMYFUNCTION("""COMPUTED_VALUE"""),3)</f>
        <v>3</v>
      </c>
      <c r="H419" s="1" t="str">
        <f ca="1">IFERROR(__xludf.DUMMYFUNCTION("""COMPUTED_VALUE"""),"C")</f>
        <v>C</v>
      </c>
      <c r="I419" s="4" t="str">
        <f ca="1">IFERROR(__xludf.DUMMYFUNCTION("""COMPUTED_VALUE"""),"1111 Boylston Street#26C")</f>
        <v>1111 Boylston Street#26C</v>
      </c>
      <c r="J419" s="4" t="str">
        <f ca="1">IFERROR(__xludf.DUMMYFUNCTION("""COMPUTED_VALUE"""),"d1a59758-dfc4-4859-a5bd-22a6cfdd87ca")</f>
        <v>d1a59758-dfc4-4859-a5bd-22a6cfdd87ca</v>
      </c>
      <c r="K419" s="4">
        <f ca="1">IFERROR(__xludf.DUMMYFUNCTION("""COMPUTED_VALUE"""),895)</f>
        <v>895</v>
      </c>
      <c r="L419" s="1" t="str">
        <f ca="1">IFERROR(__xludf.DUMMYFUNCTION("""COMPUTED_VALUE"""),"Daniel")</f>
        <v>Daniel</v>
      </c>
      <c r="M419" s="1" t="str">
        <f ca="1">IFERROR(__xludf.DUMMYFUNCTION("""COMPUTED_VALUE"""),"Daniel (later)")</f>
        <v>Daniel (later)</v>
      </c>
      <c r="N419" s="1" t="str">
        <f ca="1">IFERROR(__xludf.DUMMYFUNCTION("""COMPUTED_VALUE"""),"")</f>
        <v/>
      </c>
      <c r="O419" s="1" t="str">
        <f ca="1">IFERROR(__xludf.DUMMYFUNCTION("""COMPUTED_VALUE"""),"Lease Sent")</f>
        <v>Lease Sent</v>
      </c>
      <c r="P419" s="1"/>
      <c r="Q419" s="1"/>
      <c r="R419" s="5">
        <f ca="1">IFERROR(__xludf.DUMMYFUNCTION("""COMPUTED_VALUE"""),44212)</f>
        <v>44212</v>
      </c>
      <c r="S419" s="1"/>
      <c r="T419" s="1"/>
      <c r="U419" s="1" t="str">
        <f ca="1">IFERROR(__xludf.DUMMYFUNCTION("""COMPUTED_VALUE"""),"Y")</f>
        <v>Y</v>
      </c>
      <c r="V419" s="1" t="str">
        <f ca="1">IFERROR(__xludf.DUMMYFUNCTION("""COMPUTED_VALUE"""),"N")</f>
        <v>N</v>
      </c>
      <c r="W419" s="1" t="str">
        <f ca="1">IFERROR(__xludf.DUMMYFUNCTION("""COMPUTED_VALUE"""),"Garrett Wargo")</f>
        <v>Garrett Wargo</v>
      </c>
      <c r="X419" s="1" t="str">
        <f ca="1">IFERROR(__xludf.DUMMYFUNCTION("""COMPUTED_VALUE"""),"ghostwargo16@gmail.com")</f>
        <v>ghostwargo16@gmail.com</v>
      </c>
      <c r="Y419" s="1"/>
      <c r="Z419" s="1"/>
      <c r="AA419" s="1"/>
      <c r="AB419" s="1"/>
      <c r="AC419" s="1"/>
    </row>
    <row r="420" spans="1:29">
      <c r="A420" s="1" t="str">
        <f ca="1">IFERROR(__xludf.DUMMYFUNCTION("""COMPUTED_VALUE"""),"1410 Columbia Road")</f>
        <v>1410 Columbia Road</v>
      </c>
      <c r="B420" s="1">
        <f ca="1">IFERROR(__xludf.DUMMYFUNCTION("""COMPUTED_VALUE"""),1410)</f>
        <v>1410</v>
      </c>
      <c r="C420" s="1" t="str">
        <f ca="1">IFERROR(__xludf.DUMMYFUNCTION("""COMPUTED_VALUE"""),"#5B")</f>
        <v>#5B</v>
      </c>
      <c r="D420" s="1" t="str">
        <f ca="1">IFERROR(__xludf.DUMMYFUNCTION("""COMPUTED_VALUE"""),"1410 Columbia Road Unit 5B")</f>
        <v>1410 Columbia Road Unit 5B</v>
      </c>
      <c r="E420" s="1" t="str">
        <f ca="1">IFERROR(__xludf.DUMMYFUNCTION("""COMPUTED_VALUE"""),"Boston")</f>
        <v>Boston</v>
      </c>
      <c r="F420" s="1" t="str">
        <f ca="1">IFERROR(__xludf.DUMMYFUNCTION("""COMPUTED_VALUE"""),"Boston - South Boston")</f>
        <v>Boston - South Boston</v>
      </c>
      <c r="G420" s="1">
        <f ca="1">IFERROR(__xludf.DUMMYFUNCTION("""COMPUTED_VALUE"""),1)</f>
        <v>1</v>
      </c>
      <c r="H420" s="1" t="str">
        <f ca="1">IFERROR(__xludf.DUMMYFUNCTION("""COMPUTED_VALUE"""),"A")</f>
        <v>A</v>
      </c>
      <c r="I420" s="4" t="str">
        <f ca="1">IFERROR(__xludf.DUMMYFUNCTION("""COMPUTED_VALUE"""),"1410 Columbia Road#5BA")</f>
        <v>1410 Columbia Road#5BA</v>
      </c>
      <c r="J420" s="4" t="str">
        <f ca="1">IFERROR(__xludf.DUMMYFUNCTION("""COMPUTED_VALUE"""),"e4c8c99c-f1f3-4bc2-a758-94222eaa6a2b")</f>
        <v>e4c8c99c-f1f3-4bc2-a758-94222eaa6a2b</v>
      </c>
      <c r="K420" s="4">
        <f ca="1">IFERROR(__xludf.DUMMYFUNCTION("""COMPUTED_VALUE"""),1500)</f>
        <v>1500</v>
      </c>
      <c r="L420" s="1" t="str">
        <f ca="1">IFERROR(__xludf.DUMMYFUNCTION("""COMPUTED_VALUE"""),"Cam")</f>
        <v>Cam</v>
      </c>
      <c r="M420" s="1" t="str">
        <f ca="1">IFERROR(__xludf.DUMMYFUNCTION("""COMPUTED_VALUE"""),"Cam (later)")</f>
        <v>Cam (later)</v>
      </c>
      <c r="N420" s="1" t="str">
        <f ca="1">IFERROR(__xludf.DUMMYFUNCTION("""COMPUTED_VALUE"""),"")</f>
        <v/>
      </c>
      <c r="O420" s="1" t="str">
        <f ca="1">IFERROR(__xludf.DUMMYFUNCTION("""COMPUTED_VALUE"""),"Upcoming Vacancy")</f>
        <v>Upcoming Vacancy</v>
      </c>
      <c r="P420" s="1" t="str">
        <f ca="1">IFERROR(__xludf.DUMMYFUNCTION("""COMPUTED_VALUE"""),"April")</f>
        <v>April</v>
      </c>
      <c r="Q420" s="3">
        <f ca="1">IFERROR(__xludf.DUMMYFUNCTION("""COMPUTED_VALUE"""),44286)</f>
        <v>44286</v>
      </c>
      <c r="R420" s="1"/>
      <c r="S420" s="1" t="str">
        <f ca="1">IFERROR(__xludf.DUMMYFUNCTION("""COMPUTED_VALUE"""),"NO DOGS")</f>
        <v>NO DOGS</v>
      </c>
      <c r="T420" s="1"/>
      <c r="U420" s="1" t="str">
        <f ca="1">IFERROR(__xludf.DUMMYFUNCTION("""COMPUTED_VALUE"""),"Y")</f>
        <v>Y</v>
      </c>
      <c r="V420" s="1" t="str">
        <f ca="1">IFERROR(__xludf.DUMMYFUNCTION("""COMPUTED_VALUE"""),"Y")</f>
        <v>Y</v>
      </c>
      <c r="W420" s="1"/>
      <c r="X420" s="1"/>
      <c r="Y420" s="1" t="str">
        <f ca="1">IFERROR(__xludf.DUMMYFUNCTION("""COMPUTED_VALUE"""),"Manuela Pavlina")</f>
        <v>Manuela Pavlina</v>
      </c>
      <c r="Z420" s="1" t="str">
        <f ca="1">IFERROR(__xludf.DUMMYFUNCTION("""COMPUTED_VALUE"""),"manuela.pavlina@gmail.com")</f>
        <v>manuela.pavlina@gmail.com</v>
      </c>
      <c r="AA420" s="1"/>
      <c r="AB420" s="1"/>
      <c r="AC420" s="1"/>
    </row>
    <row r="421" spans="1:29">
      <c r="A421" s="1" t="str">
        <f ca="1">IFERROR(__xludf.DUMMYFUNCTION("""COMPUTED_VALUE"""),"1410 Columbia Road")</f>
        <v>1410 Columbia Road</v>
      </c>
      <c r="B421" s="1">
        <f ca="1">IFERROR(__xludf.DUMMYFUNCTION("""COMPUTED_VALUE"""),1410)</f>
        <v>1410</v>
      </c>
      <c r="C421" s="1" t="str">
        <f ca="1">IFERROR(__xludf.DUMMYFUNCTION("""COMPUTED_VALUE"""),"#5B")</f>
        <v>#5B</v>
      </c>
      <c r="D421" s="1" t="str">
        <f ca="1">IFERROR(__xludf.DUMMYFUNCTION("""COMPUTED_VALUE"""),"1410 Columbia Road Unit 5B")</f>
        <v>1410 Columbia Road Unit 5B</v>
      </c>
      <c r="E421" s="1" t="str">
        <f ca="1">IFERROR(__xludf.DUMMYFUNCTION("""COMPUTED_VALUE"""),"Boston")</f>
        <v>Boston</v>
      </c>
      <c r="F421" s="1" t="str">
        <f ca="1">IFERROR(__xludf.DUMMYFUNCTION("""COMPUTED_VALUE"""),"Boston - South Boston")</f>
        <v>Boston - South Boston</v>
      </c>
      <c r="G421" s="1">
        <f ca="1">IFERROR(__xludf.DUMMYFUNCTION("""COMPUTED_VALUE"""),2)</f>
        <v>2</v>
      </c>
      <c r="H421" s="1" t="str">
        <f ca="1">IFERROR(__xludf.DUMMYFUNCTION("""COMPUTED_VALUE"""),"B")</f>
        <v>B</v>
      </c>
      <c r="I421" s="4" t="str">
        <f ca="1">IFERROR(__xludf.DUMMYFUNCTION("""COMPUTED_VALUE"""),"1410 Columbia Road#5BB")</f>
        <v>1410 Columbia Road#5BB</v>
      </c>
      <c r="J421" s="4" t="str">
        <f ca="1">IFERROR(__xludf.DUMMYFUNCTION("""COMPUTED_VALUE"""),"e4c8c99c-f1f3-4bc2-a758-94222eaa6a2b")</f>
        <v>e4c8c99c-f1f3-4bc2-a758-94222eaa6a2b</v>
      </c>
      <c r="K421" s="4">
        <f ca="1">IFERROR(__xludf.DUMMYFUNCTION("""COMPUTED_VALUE"""),1500)</f>
        <v>1500</v>
      </c>
      <c r="L421" s="1" t="str">
        <f ca="1">IFERROR(__xludf.DUMMYFUNCTION("""COMPUTED_VALUE"""),"Cam")</f>
        <v>Cam</v>
      </c>
      <c r="M421" s="1" t="str">
        <f ca="1">IFERROR(__xludf.DUMMYFUNCTION("""COMPUTED_VALUE"""),"Cam (later)")</f>
        <v>Cam (later)</v>
      </c>
      <c r="N421" s="1" t="str">
        <f ca="1">IFERROR(__xludf.DUMMYFUNCTION("""COMPUTED_VALUE"""),"")</f>
        <v/>
      </c>
      <c r="O421" s="1" t="str">
        <f ca="1">IFERROR(__xludf.DUMMYFUNCTION("""COMPUTED_VALUE"""),"Upcoming Vacancy")</f>
        <v>Upcoming Vacancy</v>
      </c>
      <c r="P421" s="1" t="str">
        <f ca="1">IFERROR(__xludf.DUMMYFUNCTION("""COMPUTED_VALUE"""),"April")</f>
        <v>April</v>
      </c>
      <c r="Q421" s="3">
        <f ca="1">IFERROR(__xludf.DUMMYFUNCTION("""COMPUTED_VALUE"""),43921)</f>
        <v>43921</v>
      </c>
      <c r="R421" s="1"/>
      <c r="S421" s="1" t="str">
        <f ca="1">IFERROR(__xludf.DUMMYFUNCTION("""COMPUTED_VALUE"""),"NO DOGS")</f>
        <v>NO DOGS</v>
      </c>
      <c r="T421" s="1"/>
      <c r="U421" s="1" t="str">
        <f ca="1">IFERROR(__xludf.DUMMYFUNCTION("""COMPUTED_VALUE"""),"Y")</f>
        <v>Y</v>
      </c>
      <c r="V421" s="1" t="str">
        <f ca="1">IFERROR(__xludf.DUMMYFUNCTION("""COMPUTED_VALUE"""),"Y")</f>
        <v>Y</v>
      </c>
      <c r="W421" s="1"/>
      <c r="X421" s="1"/>
      <c r="Y421" s="1" t="str">
        <f ca="1">IFERROR(__xludf.DUMMYFUNCTION("""COMPUTED_VALUE"""),"Caitlin O'Steen")</f>
        <v>Caitlin O'Steen</v>
      </c>
      <c r="Z421" s="1" t="str">
        <f ca="1">IFERROR(__xludf.DUMMYFUNCTION("""COMPUTED_VALUE"""),"caitlinosteen1@gmail.com")</f>
        <v>caitlinosteen1@gmail.com</v>
      </c>
      <c r="AA421" s="1"/>
      <c r="AB421" s="1"/>
      <c r="AC421" s="1"/>
    </row>
    <row r="422" spans="1:29">
      <c r="A422" s="1" t="str">
        <f ca="1">IFERROR(__xludf.DUMMYFUNCTION("""COMPUTED_VALUE"""),"1410 Columbia Road")</f>
        <v>1410 Columbia Road</v>
      </c>
      <c r="B422" s="1">
        <f ca="1">IFERROR(__xludf.DUMMYFUNCTION("""COMPUTED_VALUE"""),1410)</f>
        <v>1410</v>
      </c>
      <c r="C422" s="1" t="str">
        <f ca="1">IFERROR(__xludf.DUMMYFUNCTION("""COMPUTED_VALUE"""),"#5B")</f>
        <v>#5B</v>
      </c>
      <c r="D422" s="1" t="str">
        <f ca="1">IFERROR(__xludf.DUMMYFUNCTION("""COMPUTED_VALUE"""),"1410 Columbia Road Unit 5B")</f>
        <v>1410 Columbia Road Unit 5B</v>
      </c>
      <c r="E422" s="1" t="str">
        <f ca="1">IFERROR(__xludf.DUMMYFUNCTION("""COMPUTED_VALUE"""),"Boston")</f>
        <v>Boston</v>
      </c>
      <c r="F422" s="1" t="str">
        <f ca="1">IFERROR(__xludf.DUMMYFUNCTION("""COMPUTED_VALUE"""),"Boston - South Boston")</f>
        <v>Boston - South Boston</v>
      </c>
      <c r="G422" s="1">
        <f ca="1">IFERROR(__xludf.DUMMYFUNCTION("""COMPUTED_VALUE"""),3)</f>
        <v>3</v>
      </c>
      <c r="H422" s="1" t="str">
        <f ca="1">IFERROR(__xludf.DUMMYFUNCTION("""COMPUTED_VALUE"""),"C")</f>
        <v>C</v>
      </c>
      <c r="I422" s="4" t="str">
        <f ca="1">IFERROR(__xludf.DUMMYFUNCTION("""COMPUTED_VALUE"""),"1410 Columbia Road#5BC")</f>
        <v>1410 Columbia Road#5BC</v>
      </c>
      <c r="J422" s="4" t="str">
        <f ca="1">IFERROR(__xludf.DUMMYFUNCTION("""COMPUTED_VALUE"""),"e4c8c99c-f1f3-4bc2-a758-94222eaa6a2b")</f>
        <v>e4c8c99c-f1f3-4bc2-a758-94222eaa6a2b</v>
      </c>
      <c r="K422" s="4">
        <f ca="1">IFERROR(__xludf.DUMMYFUNCTION("""COMPUTED_VALUE"""),1350)</f>
        <v>1350</v>
      </c>
      <c r="L422" s="1" t="str">
        <f ca="1">IFERROR(__xludf.DUMMYFUNCTION("""COMPUTED_VALUE"""),"Cam")</f>
        <v>Cam</v>
      </c>
      <c r="M422" s="1" t="str">
        <f ca="1">IFERROR(__xludf.DUMMYFUNCTION("""COMPUTED_VALUE"""),"Cam (later)")</f>
        <v>Cam (later)</v>
      </c>
      <c r="N422" s="1" t="str">
        <f ca="1">IFERROR(__xludf.DUMMYFUNCTION("""COMPUTED_VALUE"""),"")</f>
        <v/>
      </c>
      <c r="O422" s="1" t="str">
        <f ca="1">IFERROR(__xludf.DUMMYFUNCTION("""COMPUTED_VALUE"""),"Upcoming Vacancy")</f>
        <v>Upcoming Vacancy</v>
      </c>
      <c r="P422" s="1" t="str">
        <f ca="1">IFERROR(__xludf.DUMMYFUNCTION("""COMPUTED_VALUE"""),"April")</f>
        <v>April</v>
      </c>
      <c r="Q422" s="3">
        <f ca="1">IFERROR(__xludf.DUMMYFUNCTION("""COMPUTED_VALUE"""),43921)</f>
        <v>43921</v>
      </c>
      <c r="R422" s="1"/>
      <c r="S422" s="1" t="str">
        <f ca="1">IFERROR(__xludf.DUMMYFUNCTION("""COMPUTED_VALUE"""),"NO DOGS")</f>
        <v>NO DOGS</v>
      </c>
      <c r="T422" s="1"/>
      <c r="U422" s="1" t="str">
        <f ca="1">IFERROR(__xludf.DUMMYFUNCTION("""COMPUTED_VALUE"""),"Y")</f>
        <v>Y</v>
      </c>
      <c r="V422" s="1" t="str">
        <f ca="1">IFERROR(__xludf.DUMMYFUNCTION("""COMPUTED_VALUE"""),"Y")</f>
        <v>Y</v>
      </c>
      <c r="W422" s="1"/>
      <c r="X422" s="1"/>
      <c r="Y422" s="1" t="str">
        <f ca="1">IFERROR(__xludf.DUMMYFUNCTION("""COMPUTED_VALUE"""),"Alicia Wnorowski")</f>
        <v>Alicia Wnorowski</v>
      </c>
      <c r="Z422" s="1" t="str">
        <f ca="1">IFERROR(__xludf.DUMMYFUNCTION("""COMPUTED_VALUE"""),"alicia.wnorowski@gmail.com")</f>
        <v>alicia.wnorowski@gmail.com</v>
      </c>
      <c r="AA422" s="1"/>
      <c r="AB422" s="1"/>
      <c r="AC422" s="1"/>
    </row>
    <row r="423" spans="1:29">
      <c r="A423" s="1" t="str">
        <f ca="1">IFERROR(__xludf.DUMMYFUNCTION("""COMPUTED_VALUE"""),"1578 Beacon Street")</f>
        <v>1578 Beacon Street</v>
      </c>
      <c r="B423" s="1">
        <f ca="1">IFERROR(__xludf.DUMMYFUNCTION("""COMPUTED_VALUE"""),1578)</f>
        <v>1578</v>
      </c>
      <c r="C423" s="1" t="str">
        <f ca="1">IFERROR(__xludf.DUMMYFUNCTION("""COMPUTED_VALUE"""),"#7")</f>
        <v>#7</v>
      </c>
      <c r="D423" s="1" t="str">
        <f ca="1">IFERROR(__xludf.DUMMYFUNCTION("""COMPUTED_VALUE"""),"1578 Beacon Street Unit 7")</f>
        <v>1578 Beacon Street Unit 7</v>
      </c>
      <c r="E423" s="1" t="str">
        <f ca="1">IFERROR(__xludf.DUMMYFUNCTION("""COMPUTED_VALUE"""),"Brookline")</f>
        <v>Brookline</v>
      </c>
      <c r="F423" s="1" t="str">
        <f ca="1">IFERROR(__xludf.DUMMYFUNCTION("""COMPUTED_VALUE"""),"Brookline - Coolidge Corner")</f>
        <v>Brookline - Coolidge Corner</v>
      </c>
      <c r="G423" s="1">
        <f ca="1">IFERROR(__xludf.DUMMYFUNCTION("""COMPUTED_VALUE"""),1)</f>
        <v>1</v>
      </c>
      <c r="H423" s="1" t="str">
        <f ca="1">IFERROR(__xludf.DUMMYFUNCTION("""COMPUTED_VALUE"""),"A")</f>
        <v>A</v>
      </c>
      <c r="I423" s="4" t="str">
        <f ca="1">IFERROR(__xludf.DUMMYFUNCTION("""COMPUTED_VALUE"""),"1578 Beacon Street#7A")</f>
        <v>1578 Beacon Street#7A</v>
      </c>
      <c r="J423" s="4" t="str">
        <f ca="1">IFERROR(__xludf.DUMMYFUNCTION("""COMPUTED_VALUE"""),"def08eb2-e089-4c2c-9e16-eb6a5083b5e7")</f>
        <v>def08eb2-e089-4c2c-9e16-eb6a5083b5e7</v>
      </c>
      <c r="K423" s="4">
        <f ca="1">IFERROR(__xludf.DUMMYFUNCTION("""COMPUTED_VALUE"""),895)</f>
        <v>895</v>
      </c>
      <c r="L423" s="1" t="str">
        <f ca="1">IFERROR(__xludf.DUMMYFUNCTION("""COMPUTED_VALUE"""),"Self")</f>
        <v>Self</v>
      </c>
      <c r="M423" s="1" t="str">
        <f ca="1">IFERROR(__xludf.DUMMYFUNCTION("""COMPUTED_VALUE"""),"")</f>
        <v/>
      </c>
      <c r="N423" s="1" t="str">
        <f ca="1">IFERROR(__xludf.DUMMYFUNCTION("""COMPUTED_VALUE"""),"")</f>
        <v/>
      </c>
      <c r="O423" s="1" t="str">
        <f ca="1">IFERROR(__xludf.DUMMYFUNCTION("""COMPUTED_VALUE"""),"Occupied")</f>
        <v>Occupied</v>
      </c>
      <c r="P423" s="1"/>
      <c r="Q423" s="1"/>
      <c r="R423" s="1"/>
      <c r="S423" s="1" t="str">
        <f ca="1">IFERROR(__xludf.DUMMYFUNCTION("""COMPUTED_VALUE"""),"NO CATS OR DOGS")</f>
        <v>NO CATS OR DOGS</v>
      </c>
      <c r="T423" s="1" t="str">
        <f ca="1">IFERROR(__xludf.DUMMYFUNCTION("""COMPUTED_VALUE"""),"NO CATS")</f>
        <v>NO CATS</v>
      </c>
      <c r="U423" s="1" t="str">
        <f ca="1">IFERROR(__xludf.DUMMYFUNCTION("""COMPUTED_VALUE"""),"Y")</f>
        <v>Y</v>
      </c>
      <c r="V423" s="1" t="str">
        <f ca="1">IFERROR(__xludf.DUMMYFUNCTION("""COMPUTED_VALUE"""),"N")</f>
        <v>N</v>
      </c>
      <c r="W423" s="1"/>
      <c r="X423" s="1"/>
      <c r="Y423" s="1" t="str">
        <f ca="1">IFERROR(__xludf.DUMMYFUNCTION("""COMPUTED_VALUE"""),"Harper Andrews")</f>
        <v>Harper Andrews</v>
      </c>
      <c r="Z423" s="1" t="str">
        <f ca="1">IFERROR(__xludf.DUMMYFUNCTION("""COMPUTED_VALUE"""),"harpercloudy@gmail.com")</f>
        <v>harpercloudy@gmail.com</v>
      </c>
      <c r="AA423" s="1"/>
      <c r="AB423" s="1"/>
      <c r="AC423" s="1"/>
    </row>
    <row r="424" spans="1:29">
      <c r="A424" s="1" t="str">
        <f ca="1">IFERROR(__xludf.DUMMYFUNCTION("""COMPUTED_VALUE"""),"1578 Beacon Street")</f>
        <v>1578 Beacon Street</v>
      </c>
      <c r="B424" s="1">
        <f ca="1">IFERROR(__xludf.DUMMYFUNCTION("""COMPUTED_VALUE"""),1578)</f>
        <v>1578</v>
      </c>
      <c r="C424" s="1" t="str">
        <f ca="1">IFERROR(__xludf.DUMMYFUNCTION("""COMPUTED_VALUE"""),"#7")</f>
        <v>#7</v>
      </c>
      <c r="D424" s="1" t="str">
        <f ca="1">IFERROR(__xludf.DUMMYFUNCTION("""COMPUTED_VALUE"""),"1578 Beacon Street Unit 7")</f>
        <v>1578 Beacon Street Unit 7</v>
      </c>
      <c r="E424" s="1" t="str">
        <f ca="1">IFERROR(__xludf.DUMMYFUNCTION("""COMPUTED_VALUE"""),"Brookline")</f>
        <v>Brookline</v>
      </c>
      <c r="F424" s="1" t="str">
        <f ca="1">IFERROR(__xludf.DUMMYFUNCTION("""COMPUTED_VALUE"""),"Brookline - Coolidge Corner")</f>
        <v>Brookline - Coolidge Corner</v>
      </c>
      <c r="G424" s="1">
        <f ca="1">IFERROR(__xludf.DUMMYFUNCTION("""COMPUTED_VALUE"""),2)</f>
        <v>2</v>
      </c>
      <c r="H424" s="1" t="str">
        <f ca="1">IFERROR(__xludf.DUMMYFUNCTION("""COMPUTED_VALUE"""),"B")</f>
        <v>B</v>
      </c>
      <c r="I424" s="4" t="str">
        <f ca="1">IFERROR(__xludf.DUMMYFUNCTION("""COMPUTED_VALUE"""),"1578 Beacon Street#7B")</f>
        <v>1578 Beacon Street#7B</v>
      </c>
      <c r="J424" s="4" t="str">
        <f ca="1">IFERROR(__xludf.DUMMYFUNCTION("""COMPUTED_VALUE"""),"def08eb2-e089-4c2c-9e16-eb6a5083b5e7")</f>
        <v>def08eb2-e089-4c2c-9e16-eb6a5083b5e7</v>
      </c>
      <c r="K424" s="4">
        <f ca="1">IFERROR(__xludf.DUMMYFUNCTION("""COMPUTED_VALUE"""),795)</f>
        <v>795</v>
      </c>
      <c r="L424" s="1" t="str">
        <f ca="1">IFERROR(__xludf.DUMMYFUNCTION("""COMPUTED_VALUE"""),"Self")</f>
        <v>Self</v>
      </c>
      <c r="M424" s="1" t="str">
        <f ca="1">IFERROR(__xludf.DUMMYFUNCTION("""COMPUTED_VALUE"""),"")</f>
        <v/>
      </c>
      <c r="N424" s="1" t="str">
        <f ca="1">IFERROR(__xludf.DUMMYFUNCTION("""COMPUTED_VALUE"""),"")</f>
        <v/>
      </c>
      <c r="O424" s="1" t="str">
        <f ca="1">IFERROR(__xludf.DUMMYFUNCTION("""COMPUTED_VALUE"""),"Deposits Complete")</f>
        <v>Deposits Complete</v>
      </c>
      <c r="P424" s="1" t="str">
        <f ca="1">IFERROR(__xludf.DUMMYFUNCTION("""COMPUTED_VALUE"""),"January")</f>
        <v>January</v>
      </c>
      <c r="Q424" s="1"/>
      <c r="R424" s="5">
        <f ca="1">IFERROR(__xludf.DUMMYFUNCTION("""COMPUTED_VALUE"""),43844)</f>
        <v>43844</v>
      </c>
      <c r="S424" s="1" t="str">
        <f ca="1">IFERROR(__xludf.DUMMYFUNCTION("""COMPUTED_VALUE"""),"NO CATS OR DOGS")</f>
        <v>NO CATS OR DOGS</v>
      </c>
      <c r="T424" s="1"/>
      <c r="U424" s="1" t="str">
        <f ca="1">IFERROR(__xludf.DUMMYFUNCTION("""COMPUTED_VALUE"""),"Y")</f>
        <v>Y</v>
      </c>
      <c r="V424" s="1" t="str">
        <f ca="1">IFERROR(__xludf.DUMMYFUNCTION("""COMPUTED_VALUE"""),"N")</f>
        <v>N</v>
      </c>
      <c r="W424" s="1" t="str">
        <f ca="1">IFERROR(__xludf.DUMMYFUNCTION("""COMPUTED_VALUE"""),"Ajay Adhavan Aravindan")</f>
        <v>Ajay Adhavan Aravindan</v>
      </c>
      <c r="X424" s="1" t="str">
        <f ca="1">IFERROR(__xludf.DUMMYFUNCTION("""COMPUTED_VALUE"""),"ajayadhavan@gmail.com")</f>
        <v>ajayadhavan@gmail.com</v>
      </c>
      <c r="Y424" s="1"/>
      <c r="Z424" s="1"/>
      <c r="AA424" s="1"/>
      <c r="AB424" s="1"/>
      <c r="AC424" s="1"/>
    </row>
    <row r="425" spans="1:29">
      <c r="A425" s="1" t="str">
        <f ca="1">IFERROR(__xludf.DUMMYFUNCTION("""COMPUTED_VALUE"""),"1578 Beacon Street")</f>
        <v>1578 Beacon Street</v>
      </c>
      <c r="B425" s="1">
        <f ca="1">IFERROR(__xludf.DUMMYFUNCTION("""COMPUTED_VALUE"""),1578)</f>
        <v>1578</v>
      </c>
      <c r="C425" s="1" t="str">
        <f ca="1">IFERROR(__xludf.DUMMYFUNCTION("""COMPUTED_VALUE"""),"#7")</f>
        <v>#7</v>
      </c>
      <c r="D425" s="1" t="str">
        <f ca="1">IFERROR(__xludf.DUMMYFUNCTION("""COMPUTED_VALUE"""),"1578 Beacon Street Unit 7")</f>
        <v>1578 Beacon Street Unit 7</v>
      </c>
      <c r="E425" s="1" t="str">
        <f ca="1">IFERROR(__xludf.DUMMYFUNCTION("""COMPUTED_VALUE"""),"Brookline")</f>
        <v>Brookline</v>
      </c>
      <c r="F425" s="1" t="str">
        <f ca="1">IFERROR(__xludf.DUMMYFUNCTION("""COMPUTED_VALUE"""),"Brookline - Coolidge Corner")</f>
        <v>Brookline - Coolidge Corner</v>
      </c>
      <c r="G425" s="1">
        <f ca="1">IFERROR(__xludf.DUMMYFUNCTION("""COMPUTED_VALUE"""),3)</f>
        <v>3</v>
      </c>
      <c r="H425" s="1" t="str">
        <f ca="1">IFERROR(__xludf.DUMMYFUNCTION("""COMPUTED_VALUE"""),"C")</f>
        <v>C</v>
      </c>
      <c r="I425" s="4" t="str">
        <f ca="1">IFERROR(__xludf.DUMMYFUNCTION("""COMPUTED_VALUE"""),"1578 Beacon Street#7C")</f>
        <v>1578 Beacon Street#7C</v>
      </c>
      <c r="J425" s="4" t="str">
        <f ca="1">IFERROR(__xludf.DUMMYFUNCTION("""COMPUTED_VALUE"""),"def08eb2-e089-4c2c-9e16-eb6a5083b5e7")</f>
        <v>def08eb2-e089-4c2c-9e16-eb6a5083b5e7</v>
      </c>
      <c r="K425" s="4">
        <f ca="1">IFERROR(__xludf.DUMMYFUNCTION("""COMPUTED_VALUE"""),1095)</f>
        <v>1095</v>
      </c>
      <c r="L425" s="1" t="str">
        <f ca="1">IFERROR(__xludf.DUMMYFUNCTION("""COMPUTED_VALUE"""),"Self")</f>
        <v>Self</v>
      </c>
      <c r="M425" s="1" t="str">
        <f ca="1">IFERROR(__xludf.DUMMYFUNCTION("""COMPUTED_VALUE"""),"Self (NOW)")</f>
        <v>Self (NOW)</v>
      </c>
      <c r="N425" s="1" t="str">
        <f ca="1">IFERROR(__xludf.DUMMYFUNCTION("""COMPUTED_VALUE"""),"")</f>
        <v/>
      </c>
      <c r="O425" s="1" t="str">
        <f ca="1">IFERROR(__xludf.DUMMYFUNCTION("""COMPUTED_VALUE"""),"Vacant")</f>
        <v>Vacant</v>
      </c>
      <c r="P425" s="1"/>
      <c r="Q425" s="1"/>
      <c r="R425" s="1"/>
      <c r="S425" s="1" t="str">
        <f ca="1">IFERROR(__xludf.DUMMYFUNCTION("""COMPUTED_VALUE"""),"NO CATS OR DOGS")</f>
        <v>NO CATS OR DOGS</v>
      </c>
      <c r="T425" s="1" t="str">
        <f ca="1">IFERROR(__xludf.DUMMYFUNCTION("""COMPUTED_VALUE"""),"NO DOGS")</f>
        <v>NO DOGS</v>
      </c>
      <c r="U425" s="1" t="str">
        <f ca="1">IFERROR(__xludf.DUMMYFUNCTION("""COMPUTED_VALUE"""),"Y")</f>
        <v>Y</v>
      </c>
      <c r="V425" s="1" t="str">
        <f ca="1">IFERROR(__xludf.DUMMYFUNCTION("""COMPUTED_VALUE"""),"N")</f>
        <v>N</v>
      </c>
      <c r="W425" s="1"/>
      <c r="X425" s="1"/>
      <c r="Y425" s="1"/>
      <c r="Z425" s="1"/>
      <c r="AA425" s="1"/>
      <c r="AB425" s="1"/>
      <c r="AC425" s="1"/>
    </row>
    <row r="426" spans="1:29">
      <c r="A426" s="1" t="str">
        <f ca="1">IFERROR(__xludf.DUMMYFUNCTION("""COMPUTED_VALUE"""),"1578 Beacon Street")</f>
        <v>1578 Beacon Street</v>
      </c>
      <c r="B426" s="1">
        <f ca="1">IFERROR(__xludf.DUMMYFUNCTION("""COMPUTED_VALUE"""),1578)</f>
        <v>1578</v>
      </c>
      <c r="C426" s="1" t="str">
        <f ca="1">IFERROR(__xludf.DUMMYFUNCTION("""COMPUTED_VALUE"""),"#7")</f>
        <v>#7</v>
      </c>
      <c r="D426" s="1" t="str">
        <f ca="1">IFERROR(__xludf.DUMMYFUNCTION("""COMPUTED_VALUE"""),"1578 Beacon Street Unit 7")</f>
        <v>1578 Beacon Street Unit 7</v>
      </c>
      <c r="E426" s="1" t="str">
        <f ca="1">IFERROR(__xludf.DUMMYFUNCTION("""COMPUTED_VALUE"""),"Brookline")</f>
        <v>Brookline</v>
      </c>
      <c r="F426" s="1" t="str">
        <f ca="1">IFERROR(__xludf.DUMMYFUNCTION("""COMPUTED_VALUE"""),"Brookline - Coolidge Corner")</f>
        <v>Brookline - Coolidge Corner</v>
      </c>
      <c r="G426" s="1">
        <f ca="1">IFERROR(__xludf.DUMMYFUNCTION("""COMPUTED_VALUE"""),4)</f>
        <v>4</v>
      </c>
      <c r="H426" s="1" t="str">
        <f ca="1">IFERROR(__xludf.DUMMYFUNCTION("""COMPUTED_VALUE"""),"D")</f>
        <v>D</v>
      </c>
      <c r="I426" s="4" t="str">
        <f ca="1">IFERROR(__xludf.DUMMYFUNCTION("""COMPUTED_VALUE"""),"1578 Beacon Street#7D")</f>
        <v>1578 Beacon Street#7D</v>
      </c>
      <c r="J426" s="4" t="str">
        <f ca="1">IFERROR(__xludf.DUMMYFUNCTION("""COMPUTED_VALUE"""),"def08eb2-e089-4c2c-9e16-eb6a5083b5e7")</f>
        <v>def08eb2-e089-4c2c-9e16-eb6a5083b5e7</v>
      </c>
      <c r="K426" s="4">
        <f ca="1">IFERROR(__xludf.DUMMYFUNCTION("""COMPUTED_VALUE"""),895)</f>
        <v>895</v>
      </c>
      <c r="L426" s="1" t="str">
        <f ca="1">IFERROR(__xludf.DUMMYFUNCTION("""COMPUTED_VALUE"""),"Self")</f>
        <v>Self</v>
      </c>
      <c r="M426" s="1" t="str">
        <f ca="1">IFERROR(__xludf.DUMMYFUNCTION("""COMPUTED_VALUE"""),"")</f>
        <v/>
      </c>
      <c r="N426" s="1" t="str">
        <f ca="1">IFERROR(__xludf.DUMMYFUNCTION("""COMPUTED_VALUE"""),"")</f>
        <v/>
      </c>
      <c r="O426" s="1" t="str">
        <f ca="1">IFERROR(__xludf.DUMMYFUNCTION("""COMPUTED_VALUE"""),"Occupied")</f>
        <v>Occupied</v>
      </c>
      <c r="P426" s="1"/>
      <c r="Q426" s="1"/>
      <c r="R426" s="1"/>
      <c r="S426" s="1" t="str">
        <f ca="1">IFERROR(__xludf.DUMMYFUNCTION("""COMPUTED_VALUE"""),"NO CATS OR DOGS")</f>
        <v>NO CATS OR DOGS</v>
      </c>
      <c r="T426" s="1"/>
      <c r="U426" s="1" t="str">
        <f ca="1">IFERROR(__xludf.DUMMYFUNCTION("""COMPUTED_VALUE"""),"Y")</f>
        <v>Y</v>
      </c>
      <c r="V426" s="1" t="str">
        <f ca="1">IFERROR(__xludf.DUMMYFUNCTION("""COMPUTED_VALUE"""),"N")</f>
        <v>N</v>
      </c>
      <c r="W426" s="1"/>
      <c r="X426" s="1"/>
      <c r="Y426" s="1" t="str">
        <f ca="1">IFERROR(__xludf.DUMMYFUNCTION("""COMPUTED_VALUE"""),"Alec Southwell")</f>
        <v>Alec Southwell</v>
      </c>
      <c r="Z426" s="1" t="str">
        <f ca="1">IFERROR(__xludf.DUMMYFUNCTION("""COMPUTED_VALUE"""),"alec.southwell@icloud.com")</f>
        <v>alec.southwell@icloud.com</v>
      </c>
      <c r="AA426" s="1"/>
      <c r="AB426" s="1"/>
      <c r="AC426" s="1"/>
    </row>
    <row r="427" spans="1:29">
      <c r="A427" s="1" t="str">
        <f ca="1">IFERROR(__xludf.DUMMYFUNCTION("""COMPUTED_VALUE"""),"1578 Beacon Street")</f>
        <v>1578 Beacon Street</v>
      </c>
      <c r="B427" s="1">
        <f ca="1">IFERROR(__xludf.DUMMYFUNCTION("""COMPUTED_VALUE"""),1578)</f>
        <v>1578</v>
      </c>
      <c r="C427" s="1" t="str">
        <f ca="1">IFERROR(__xludf.DUMMYFUNCTION("""COMPUTED_VALUE"""),"#8")</f>
        <v>#8</v>
      </c>
      <c r="D427" s="1" t="str">
        <f ca="1">IFERROR(__xludf.DUMMYFUNCTION("""COMPUTED_VALUE"""),"1578 Beacon Street Unit 8")</f>
        <v>1578 Beacon Street Unit 8</v>
      </c>
      <c r="E427" s="1" t="str">
        <f ca="1">IFERROR(__xludf.DUMMYFUNCTION("""COMPUTED_VALUE"""),"Brookline")</f>
        <v>Brookline</v>
      </c>
      <c r="F427" s="1" t="str">
        <f ca="1">IFERROR(__xludf.DUMMYFUNCTION("""COMPUTED_VALUE"""),"Brookline - Coolidge Corner")</f>
        <v>Brookline - Coolidge Corner</v>
      </c>
      <c r="G427" s="1">
        <f ca="1">IFERROR(__xludf.DUMMYFUNCTION("""COMPUTED_VALUE"""),1)</f>
        <v>1</v>
      </c>
      <c r="H427" s="1" t="str">
        <f ca="1">IFERROR(__xludf.DUMMYFUNCTION("""COMPUTED_VALUE"""),"A")</f>
        <v>A</v>
      </c>
      <c r="I427" s="4" t="str">
        <f ca="1">IFERROR(__xludf.DUMMYFUNCTION("""COMPUTED_VALUE"""),"1578 Beacon Street#8A")</f>
        <v>1578 Beacon Street#8A</v>
      </c>
      <c r="J427" s="4" t="str">
        <f ca="1">IFERROR(__xludf.DUMMYFUNCTION("""COMPUTED_VALUE"""),"d4a7cf2f-6b3a-4d04-898f-36ae8d6e30ca")</f>
        <v>d4a7cf2f-6b3a-4d04-898f-36ae8d6e30ca</v>
      </c>
      <c r="K427" s="4">
        <f ca="1">IFERROR(__xludf.DUMMYFUNCTION("""COMPUTED_VALUE"""),1000)</f>
        <v>1000</v>
      </c>
      <c r="L427" s="1" t="str">
        <f ca="1">IFERROR(__xludf.DUMMYFUNCTION("""COMPUTED_VALUE"""),"Peter")</f>
        <v>Peter</v>
      </c>
      <c r="M427" s="1" t="str">
        <f ca="1">IFERROR(__xludf.DUMMYFUNCTION("""COMPUTED_VALUE"""),"Peter (later)")</f>
        <v>Peter (later)</v>
      </c>
      <c r="N427" s="1" t="str">
        <f ca="1">IFERROR(__xludf.DUMMYFUNCTION("""COMPUTED_VALUE"""),"")</f>
        <v/>
      </c>
      <c r="O427" s="1" t="str">
        <f ca="1">IFERROR(__xludf.DUMMYFUNCTION("""COMPUTED_VALUE"""),"Upcoming Vacancy")</f>
        <v>Upcoming Vacancy</v>
      </c>
      <c r="P427" s="1" t="str">
        <f ca="1">IFERROR(__xludf.DUMMYFUNCTION("""COMPUTED_VALUE"""),"April")</f>
        <v>April</v>
      </c>
      <c r="Q427" s="3">
        <f ca="1">IFERROR(__xludf.DUMMYFUNCTION("""COMPUTED_VALUE"""),43921)</f>
        <v>43921</v>
      </c>
      <c r="R427" s="1"/>
      <c r="S427" s="1" t="str">
        <f ca="1">IFERROR(__xludf.DUMMYFUNCTION("""COMPUTED_VALUE"""),"NO CATS OR DOGS")</f>
        <v>NO CATS OR DOGS</v>
      </c>
      <c r="T427" s="1"/>
      <c r="U427" s="1" t="str">
        <f ca="1">IFERROR(__xludf.DUMMYFUNCTION("""COMPUTED_VALUE"""),"Y")</f>
        <v>Y</v>
      </c>
      <c r="V427" s="1" t="str">
        <f ca="1">IFERROR(__xludf.DUMMYFUNCTION("""COMPUTED_VALUE"""),"Y")</f>
        <v>Y</v>
      </c>
      <c r="W427" s="1"/>
      <c r="X427" s="1"/>
      <c r="Y427" s="1" t="str">
        <f ca="1">IFERROR(__xludf.DUMMYFUNCTION("""COMPUTED_VALUE"""),"Tyler Roady")</f>
        <v>Tyler Roady</v>
      </c>
      <c r="Z427" s="1" t="str">
        <f ca="1">IFERROR(__xludf.DUMMYFUNCTION("""COMPUTED_VALUE"""),"tjroady@gmail.com")</f>
        <v>tjroady@gmail.com</v>
      </c>
      <c r="AA427" s="1"/>
      <c r="AB427" s="1"/>
      <c r="AC427" s="1"/>
    </row>
    <row r="428" spans="1:29">
      <c r="A428" s="1" t="str">
        <f ca="1">IFERROR(__xludf.DUMMYFUNCTION("""COMPUTED_VALUE"""),"1578 Beacon Street")</f>
        <v>1578 Beacon Street</v>
      </c>
      <c r="B428" s="1">
        <f ca="1">IFERROR(__xludf.DUMMYFUNCTION("""COMPUTED_VALUE"""),1578)</f>
        <v>1578</v>
      </c>
      <c r="C428" s="1" t="str">
        <f ca="1">IFERROR(__xludf.DUMMYFUNCTION("""COMPUTED_VALUE"""),"#8")</f>
        <v>#8</v>
      </c>
      <c r="D428" s="1" t="str">
        <f ca="1">IFERROR(__xludf.DUMMYFUNCTION("""COMPUTED_VALUE"""),"1578 Beacon Street Unit 8")</f>
        <v>1578 Beacon Street Unit 8</v>
      </c>
      <c r="E428" s="1" t="str">
        <f ca="1">IFERROR(__xludf.DUMMYFUNCTION("""COMPUTED_VALUE"""),"Brookline")</f>
        <v>Brookline</v>
      </c>
      <c r="F428" s="1" t="str">
        <f ca="1">IFERROR(__xludf.DUMMYFUNCTION("""COMPUTED_VALUE"""),"Brookline - Coolidge Corner")</f>
        <v>Brookline - Coolidge Corner</v>
      </c>
      <c r="G428" s="1">
        <f ca="1">IFERROR(__xludf.DUMMYFUNCTION("""COMPUTED_VALUE"""),2)</f>
        <v>2</v>
      </c>
      <c r="H428" s="1" t="str">
        <f ca="1">IFERROR(__xludf.DUMMYFUNCTION("""COMPUTED_VALUE"""),"B")</f>
        <v>B</v>
      </c>
      <c r="I428" s="4" t="str">
        <f ca="1">IFERROR(__xludf.DUMMYFUNCTION("""COMPUTED_VALUE"""),"1578 Beacon Street#8B")</f>
        <v>1578 Beacon Street#8B</v>
      </c>
      <c r="J428" s="4" t="str">
        <f ca="1">IFERROR(__xludf.DUMMYFUNCTION("""COMPUTED_VALUE"""),"d4a7cf2f-6b3a-4d04-898f-36ae8d6e30ca")</f>
        <v>d4a7cf2f-6b3a-4d04-898f-36ae8d6e30ca</v>
      </c>
      <c r="K428" s="4">
        <f ca="1">IFERROR(__xludf.DUMMYFUNCTION("""COMPUTED_VALUE"""),795)</f>
        <v>795</v>
      </c>
      <c r="L428" s="1" t="str">
        <f ca="1">IFERROR(__xludf.DUMMYFUNCTION("""COMPUTED_VALUE"""),"Peter")</f>
        <v>Peter</v>
      </c>
      <c r="M428" s="1" t="str">
        <f ca="1">IFERROR(__xludf.DUMMYFUNCTION("""COMPUTED_VALUE"""),"Peter (NOW)")</f>
        <v>Peter (NOW)</v>
      </c>
      <c r="N428" s="1" t="str">
        <f ca="1">IFERROR(__xludf.DUMMYFUNCTION("""COMPUTED_VALUE"""),"")</f>
        <v/>
      </c>
      <c r="O428" s="1" t="str">
        <f ca="1">IFERROR(__xludf.DUMMYFUNCTION("""COMPUTED_VALUE"""),"Vacant")</f>
        <v>Vacant</v>
      </c>
      <c r="P428" s="1"/>
      <c r="Q428" s="1"/>
      <c r="R428" s="1"/>
      <c r="S428" s="1" t="str">
        <f ca="1">IFERROR(__xludf.DUMMYFUNCTION("""COMPUTED_VALUE"""),"NO CATS OR DOGS")</f>
        <v>NO CATS OR DOGS</v>
      </c>
      <c r="T428" s="1"/>
      <c r="U428" s="1" t="str">
        <f ca="1">IFERROR(__xludf.DUMMYFUNCTION("""COMPUTED_VALUE"""),"Y")</f>
        <v>Y</v>
      </c>
      <c r="V428" s="1" t="str">
        <f ca="1">IFERROR(__xludf.DUMMYFUNCTION("""COMPUTED_VALUE"""),"Y")</f>
        <v>Y</v>
      </c>
      <c r="W428" s="1"/>
      <c r="X428" s="1"/>
      <c r="Y428" s="1"/>
      <c r="Z428" s="1"/>
      <c r="AA428" s="1"/>
      <c r="AB428" s="1"/>
      <c r="AC428" s="1"/>
    </row>
    <row r="429" spans="1:29">
      <c r="A429" s="1" t="str">
        <f ca="1">IFERROR(__xludf.DUMMYFUNCTION("""COMPUTED_VALUE"""),"1578 Beacon Street")</f>
        <v>1578 Beacon Street</v>
      </c>
      <c r="B429" s="1">
        <f ca="1">IFERROR(__xludf.DUMMYFUNCTION("""COMPUTED_VALUE"""),1578)</f>
        <v>1578</v>
      </c>
      <c r="C429" s="1" t="str">
        <f ca="1">IFERROR(__xludf.DUMMYFUNCTION("""COMPUTED_VALUE"""),"#8")</f>
        <v>#8</v>
      </c>
      <c r="D429" s="1" t="str">
        <f ca="1">IFERROR(__xludf.DUMMYFUNCTION("""COMPUTED_VALUE"""),"1578 Beacon Street Unit 8")</f>
        <v>1578 Beacon Street Unit 8</v>
      </c>
      <c r="E429" s="1" t="str">
        <f ca="1">IFERROR(__xludf.DUMMYFUNCTION("""COMPUTED_VALUE"""),"Brookline")</f>
        <v>Brookline</v>
      </c>
      <c r="F429" s="1" t="str">
        <f ca="1">IFERROR(__xludf.DUMMYFUNCTION("""COMPUTED_VALUE"""),"Brookline - Coolidge Corner")</f>
        <v>Brookline - Coolidge Corner</v>
      </c>
      <c r="G429" s="1">
        <f ca="1">IFERROR(__xludf.DUMMYFUNCTION("""COMPUTED_VALUE"""),3)</f>
        <v>3</v>
      </c>
      <c r="H429" s="1" t="str">
        <f ca="1">IFERROR(__xludf.DUMMYFUNCTION("""COMPUTED_VALUE"""),"C")</f>
        <v>C</v>
      </c>
      <c r="I429" s="4" t="str">
        <f ca="1">IFERROR(__xludf.DUMMYFUNCTION("""COMPUTED_VALUE"""),"1578 Beacon Street#8C")</f>
        <v>1578 Beacon Street#8C</v>
      </c>
      <c r="J429" s="4" t="str">
        <f ca="1">IFERROR(__xludf.DUMMYFUNCTION("""COMPUTED_VALUE"""),"d4a7cf2f-6b3a-4d04-898f-36ae8d6e30ca")</f>
        <v>d4a7cf2f-6b3a-4d04-898f-36ae8d6e30ca</v>
      </c>
      <c r="K429" s="4">
        <f ca="1">IFERROR(__xludf.DUMMYFUNCTION("""COMPUTED_VALUE"""),1050)</f>
        <v>1050</v>
      </c>
      <c r="L429" s="1" t="str">
        <f ca="1">IFERROR(__xludf.DUMMYFUNCTION("""COMPUTED_VALUE"""),"Peter")</f>
        <v>Peter</v>
      </c>
      <c r="M429" s="1" t="str">
        <f ca="1">IFERROR(__xludf.DUMMYFUNCTION("""COMPUTED_VALUE"""),"")</f>
        <v/>
      </c>
      <c r="N429" s="1" t="str">
        <f ca="1">IFERROR(__xludf.DUMMYFUNCTION("""COMPUTED_VALUE"""),"")</f>
        <v/>
      </c>
      <c r="O429" s="1" t="str">
        <f ca="1">IFERROR(__xludf.DUMMYFUNCTION("""COMPUTED_VALUE"""),"Occupied")</f>
        <v>Occupied</v>
      </c>
      <c r="P429" s="1"/>
      <c r="Q429" s="1"/>
      <c r="R429" s="1"/>
      <c r="S429" s="1" t="str">
        <f ca="1">IFERROR(__xludf.DUMMYFUNCTION("""COMPUTED_VALUE"""),"NO CATS OR DOGS")</f>
        <v>NO CATS OR DOGS</v>
      </c>
      <c r="T429" s="1"/>
      <c r="U429" s="1" t="str">
        <f ca="1">IFERROR(__xludf.DUMMYFUNCTION("""COMPUTED_VALUE"""),"Y")</f>
        <v>Y</v>
      </c>
      <c r="V429" s="1" t="str">
        <f ca="1">IFERROR(__xludf.DUMMYFUNCTION("""COMPUTED_VALUE"""),"Y")</f>
        <v>Y</v>
      </c>
      <c r="W429" s="1"/>
      <c r="X429" s="1"/>
      <c r="Y429" s="1" t="str">
        <f ca="1">IFERROR(__xludf.DUMMYFUNCTION("""COMPUTED_VALUE"""),"Alpay Birdinc")</f>
        <v>Alpay Birdinc</v>
      </c>
      <c r="Z429" s="1" t="str">
        <f ca="1">IFERROR(__xludf.DUMMYFUNCTION("""COMPUTED_VALUE"""),"abirdinc@hotmail.com")</f>
        <v>abirdinc@hotmail.com</v>
      </c>
      <c r="AA429" s="1"/>
      <c r="AB429" s="1"/>
      <c r="AC429" s="1"/>
    </row>
    <row r="430" spans="1:29">
      <c r="A430" s="1" t="str">
        <f ca="1">IFERROR(__xludf.DUMMYFUNCTION("""COMPUTED_VALUE"""),"1578 Beacon Street")</f>
        <v>1578 Beacon Street</v>
      </c>
      <c r="B430" s="1">
        <f ca="1">IFERROR(__xludf.DUMMYFUNCTION("""COMPUTED_VALUE"""),1578)</f>
        <v>1578</v>
      </c>
      <c r="C430" s="1" t="str">
        <f ca="1">IFERROR(__xludf.DUMMYFUNCTION("""COMPUTED_VALUE"""),"#5")</f>
        <v>#5</v>
      </c>
      <c r="D430" s="1" t="str">
        <f ca="1">IFERROR(__xludf.DUMMYFUNCTION("""COMPUTED_VALUE"""),"1578 Beacon Street Unit 5")</f>
        <v>1578 Beacon Street Unit 5</v>
      </c>
      <c r="E430" s="1" t="str">
        <f ca="1">IFERROR(__xludf.DUMMYFUNCTION("""COMPUTED_VALUE"""),"Brookline")</f>
        <v>Brookline</v>
      </c>
      <c r="F430" s="1" t="str">
        <f ca="1">IFERROR(__xludf.DUMMYFUNCTION("""COMPUTED_VALUE"""),"Brookline - Coolidge Corner")</f>
        <v>Brookline - Coolidge Corner</v>
      </c>
      <c r="G430" s="1">
        <f ca="1">IFERROR(__xludf.DUMMYFUNCTION("""COMPUTED_VALUE"""),1)</f>
        <v>1</v>
      </c>
      <c r="H430" s="1" t="str">
        <f ca="1">IFERROR(__xludf.DUMMYFUNCTION("""COMPUTED_VALUE"""),"A")</f>
        <v>A</v>
      </c>
      <c r="I430" s="4" t="str">
        <f ca="1">IFERROR(__xludf.DUMMYFUNCTION("""COMPUTED_VALUE"""),"1578 Beacon Street#5A")</f>
        <v>1578 Beacon Street#5A</v>
      </c>
      <c r="J430" s="4" t="str">
        <f ca="1">IFERROR(__xludf.DUMMYFUNCTION("""COMPUTED_VALUE"""),"faa7a0c3-efed-4951-bae3-2785eda8840f")</f>
        <v>faa7a0c3-efed-4951-bae3-2785eda8840f</v>
      </c>
      <c r="K430" s="4">
        <f ca="1">IFERROR(__xludf.DUMMYFUNCTION("""COMPUTED_VALUE"""),995)</f>
        <v>995</v>
      </c>
      <c r="L430" s="1" t="str">
        <f ca="1">IFERROR(__xludf.DUMMYFUNCTION("""COMPUTED_VALUE"""),"Peter")</f>
        <v>Peter</v>
      </c>
      <c r="M430" s="1" t="str">
        <f ca="1">IFERROR(__xludf.DUMMYFUNCTION("""COMPUTED_VALUE"""),"Peter (later)")</f>
        <v>Peter (later)</v>
      </c>
      <c r="N430" s="1" t="str">
        <f ca="1">IFERROR(__xludf.DUMMYFUNCTION("""COMPUTED_VALUE"""),"")</f>
        <v/>
      </c>
      <c r="O430" s="1" t="str">
        <f ca="1">IFERROR(__xludf.DUMMYFUNCTION("""COMPUTED_VALUE"""),"Roommate Introduction")</f>
        <v>Roommate Introduction</v>
      </c>
      <c r="P430" s="1"/>
      <c r="Q430" s="1"/>
      <c r="R430" s="5">
        <f ca="1">IFERROR(__xludf.DUMMYFUNCTION("""COMPUTED_VALUE"""),44221)</f>
        <v>44221</v>
      </c>
      <c r="S430" s="1" t="str">
        <f ca="1">IFERROR(__xludf.DUMMYFUNCTION("""COMPUTED_VALUE"""),"NO CATS OR DOGS")</f>
        <v>NO CATS OR DOGS</v>
      </c>
      <c r="T430" s="1"/>
      <c r="U430" s="1" t="str">
        <f ca="1">IFERROR(__xludf.DUMMYFUNCTION("""COMPUTED_VALUE"""),"Y")</f>
        <v>Y</v>
      </c>
      <c r="V430" s="1" t="str">
        <f ca="1">IFERROR(__xludf.DUMMYFUNCTION("""COMPUTED_VALUE"""),"N")</f>
        <v>N</v>
      </c>
      <c r="W430" s="1" t="str">
        <f ca="1">IFERROR(__xludf.DUMMYFUNCTION("""COMPUTED_VALUE"""),"Rakesh Shoor")</f>
        <v>Rakesh Shoor</v>
      </c>
      <c r="X430" s="1" t="str">
        <f ca="1">IFERROR(__xludf.DUMMYFUNCTION("""COMPUTED_VALUE"""),"shoor46@hotmail.com")</f>
        <v>shoor46@hotmail.com</v>
      </c>
      <c r="Y430" s="1"/>
      <c r="Z430" s="1"/>
      <c r="AA430" s="1"/>
      <c r="AB430" s="1"/>
      <c r="AC430" s="1"/>
    </row>
    <row r="431" spans="1:29">
      <c r="A431" s="1" t="str">
        <f ca="1">IFERROR(__xludf.DUMMYFUNCTION("""COMPUTED_VALUE"""),"1578 Beacon Street")</f>
        <v>1578 Beacon Street</v>
      </c>
      <c r="B431" s="1">
        <f ca="1">IFERROR(__xludf.DUMMYFUNCTION("""COMPUTED_VALUE"""),1578)</f>
        <v>1578</v>
      </c>
      <c r="C431" s="1" t="str">
        <f ca="1">IFERROR(__xludf.DUMMYFUNCTION("""COMPUTED_VALUE"""),"#5")</f>
        <v>#5</v>
      </c>
      <c r="D431" s="1" t="str">
        <f ca="1">IFERROR(__xludf.DUMMYFUNCTION("""COMPUTED_VALUE"""),"1578 Beacon Street Unit 5")</f>
        <v>1578 Beacon Street Unit 5</v>
      </c>
      <c r="E431" s="1" t="str">
        <f ca="1">IFERROR(__xludf.DUMMYFUNCTION("""COMPUTED_VALUE"""),"Brookline")</f>
        <v>Brookline</v>
      </c>
      <c r="F431" s="1" t="str">
        <f ca="1">IFERROR(__xludf.DUMMYFUNCTION("""COMPUTED_VALUE"""),"Brookline - Coolidge Corner")</f>
        <v>Brookline - Coolidge Corner</v>
      </c>
      <c r="G431" s="1">
        <f ca="1">IFERROR(__xludf.DUMMYFUNCTION("""COMPUTED_VALUE"""),2)</f>
        <v>2</v>
      </c>
      <c r="H431" s="1" t="str">
        <f ca="1">IFERROR(__xludf.DUMMYFUNCTION("""COMPUTED_VALUE"""),"B")</f>
        <v>B</v>
      </c>
      <c r="I431" s="4" t="str">
        <f ca="1">IFERROR(__xludf.DUMMYFUNCTION("""COMPUTED_VALUE"""),"1578 Beacon Street#5B")</f>
        <v>1578 Beacon Street#5B</v>
      </c>
      <c r="J431" s="4" t="str">
        <f ca="1">IFERROR(__xludf.DUMMYFUNCTION("""COMPUTED_VALUE"""),"faa7a0c3-efed-4951-bae3-2785eda8840f")</f>
        <v>faa7a0c3-efed-4951-bae3-2785eda8840f</v>
      </c>
      <c r="K431" s="4">
        <f ca="1">IFERROR(__xludf.DUMMYFUNCTION("""COMPUTED_VALUE"""),1125)</f>
        <v>1125</v>
      </c>
      <c r="L431" s="1" t="str">
        <f ca="1">IFERROR(__xludf.DUMMYFUNCTION("""COMPUTED_VALUE"""),"Peter")</f>
        <v>Peter</v>
      </c>
      <c r="M431" s="1" t="str">
        <f ca="1">IFERROR(__xludf.DUMMYFUNCTION("""COMPUTED_VALUE"""),"Peter (later)")</f>
        <v>Peter (later)</v>
      </c>
      <c r="N431" s="1" t="str">
        <f ca="1">IFERROR(__xludf.DUMMYFUNCTION("""COMPUTED_VALUE"""),"")</f>
        <v/>
      </c>
      <c r="O431" s="1" t="str">
        <f ca="1">IFERROR(__xludf.DUMMYFUNCTION("""COMPUTED_VALUE"""),"Upcoming Vacancy")</f>
        <v>Upcoming Vacancy</v>
      </c>
      <c r="P431" s="1" t="str">
        <f ca="1">IFERROR(__xludf.DUMMYFUNCTION("""COMPUTED_VALUE"""),"April")</f>
        <v>April</v>
      </c>
      <c r="Q431" s="3">
        <f ca="1">IFERROR(__xludf.DUMMYFUNCTION("""COMPUTED_VALUE"""),44286)</f>
        <v>44286</v>
      </c>
      <c r="R431" s="1"/>
      <c r="S431" s="1" t="str">
        <f ca="1">IFERROR(__xludf.DUMMYFUNCTION("""COMPUTED_VALUE"""),"NO CATS OR DOGS")</f>
        <v>NO CATS OR DOGS</v>
      </c>
      <c r="T431" s="1"/>
      <c r="U431" s="1" t="str">
        <f ca="1">IFERROR(__xludf.DUMMYFUNCTION("""COMPUTED_VALUE"""),"Y")</f>
        <v>Y</v>
      </c>
      <c r="V431" s="1" t="str">
        <f ca="1">IFERROR(__xludf.DUMMYFUNCTION("""COMPUTED_VALUE"""),"N")</f>
        <v>N</v>
      </c>
      <c r="W431" s="1"/>
      <c r="X431" s="1"/>
      <c r="Y431" s="1" t="str">
        <f ca="1">IFERROR(__xludf.DUMMYFUNCTION("""COMPUTED_VALUE"""),"Liang Li")</f>
        <v>Liang Li</v>
      </c>
      <c r="Z431" s="1" t="str">
        <f ca="1">IFERROR(__xludf.DUMMYFUNCTION("""COMPUTED_VALUE"""),"resfranklin@gmail.com")</f>
        <v>resfranklin@gmail.com</v>
      </c>
      <c r="AA431" s="1"/>
      <c r="AB431" s="1"/>
      <c r="AC431" s="1"/>
    </row>
    <row r="432" spans="1:29">
      <c r="A432" s="1" t="str">
        <f ca="1">IFERROR(__xludf.DUMMYFUNCTION("""COMPUTED_VALUE"""),"1578 Beacon Street")</f>
        <v>1578 Beacon Street</v>
      </c>
      <c r="B432" s="1">
        <f ca="1">IFERROR(__xludf.DUMMYFUNCTION("""COMPUTED_VALUE"""),1578)</f>
        <v>1578</v>
      </c>
      <c r="C432" s="1" t="str">
        <f ca="1">IFERROR(__xludf.DUMMYFUNCTION("""COMPUTED_VALUE"""),"#5")</f>
        <v>#5</v>
      </c>
      <c r="D432" s="1" t="str">
        <f ca="1">IFERROR(__xludf.DUMMYFUNCTION("""COMPUTED_VALUE"""),"1578 Beacon Street Unit 5")</f>
        <v>1578 Beacon Street Unit 5</v>
      </c>
      <c r="E432" s="1" t="str">
        <f ca="1">IFERROR(__xludf.DUMMYFUNCTION("""COMPUTED_VALUE"""),"Brookline")</f>
        <v>Brookline</v>
      </c>
      <c r="F432" s="1" t="str">
        <f ca="1">IFERROR(__xludf.DUMMYFUNCTION("""COMPUTED_VALUE"""),"Brookline - Coolidge Corner")</f>
        <v>Brookline - Coolidge Corner</v>
      </c>
      <c r="G432" s="1">
        <f ca="1">IFERROR(__xludf.DUMMYFUNCTION("""COMPUTED_VALUE"""),3)</f>
        <v>3</v>
      </c>
      <c r="H432" s="1" t="str">
        <f ca="1">IFERROR(__xludf.DUMMYFUNCTION("""COMPUTED_VALUE"""),"C")</f>
        <v>C</v>
      </c>
      <c r="I432" s="4" t="str">
        <f ca="1">IFERROR(__xludf.DUMMYFUNCTION("""COMPUTED_VALUE"""),"1578 Beacon Street#5C")</f>
        <v>1578 Beacon Street#5C</v>
      </c>
      <c r="J432" s="4" t="str">
        <f ca="1">IFERROR(__xludf.DUMMYFUNCTION("""COMPUTED_VALUE"""),"faa7a0c3-efed-4951-bae3-2785eda8840f")</f>
        <v>faa7a0c3-efed-4951-bae3-2785eda8840f</v>
      </c>
      <c r="K432" s="4">
        <f ca="1">IFERROR(__xludf.DUMMYFUNCTION("""COMPUTED_VALUE"""),1190)</f>
        <v>1190</v>
      </c>
      <c r="L432" s="1" t="str">
        <f ca="1">IFERROR(__xludf.DUMMYFUNCTION("""COMPUTED_VALUE"""),"Peter")</f>
        <v>Peter</v>
      </c>
      <c r="M432" s="1" t="str">
        <f ca="1">IFERROR(__xludf.DUMMYFUNCTION("""COMPUTED_VALUE"""),"")</f>
        <v/>
      </c>
      <c r="N432" s="1" t="str">
        <f ca="1">IFERROR(__xludf.DUMMYFUNCTION("""COMPUTED_VALUE"""),"")</f>
        <v/>
      </c>
      <c r="O432" s="1" t="str">
        <f ca="1">IFERROR(__xludf.DUMMYFUNCTION("""COMPUTED_VALUE"""),"Occupied")</f>
        <v>Occupied</v>
      </c>
      <c r="P432" s="1"/>
      <c r="Q432" s="1"/>
      <c r="R432" s="1"/>
      <c r="S432" s="1" t="str">
        <f ca="1">IFERROR(__xludf.DUMMYFUNCTION("""COMPUTED_VALUE"""),"NO CATS OR DOGS")</f>
        <v>NO CATS OR DOGS</v>
      </c>
      <c r="T432" s="1"/>
      <c r="U432" s="1" t="str">
        <f ca="1">IFERROR(__xludf.DUMMYFUNCTION("""COMPUTED_VALUE"""),"Y")</f>
        <v>Y</v>
      </c>
      <c r="V432" s="1" t="str">
        <f ca="1">IFERROR(__xludf.DUMMYFUNCTION("""COMPUTED_VALUE"""),"N")</f>
        <v>N</v>
      </c>
      <c r="W432" s="1"/>
      <c r="X432" s="1"/>
      <c r="Y432" s="1" t="str">
        <f ca="1">IFERROR(__xludf.DUMMYFUNCTION("""COMPUTED_VALUE"""),"Patrick Morrison")</f>
        <v>Patrick Morrison</v>
      </c>
      <c r="Z432" s="1" t="str">
        <f ca="1">IFERROR(__xludf.DUMMYFUNCTION("""COMPUTED_VALUE"""),"patmorrison223@outlook.com")</f>
        <v>patmorrison223@outlook.com</v>
      </c>
      <c r="AA432" s="1"/>
      <c r="AB432" s="1"/>
      <c r="AC432" s="1"/>
    </row>
    <row r="433" spans="1:29">
      <c r="A433" s="1" t="str">
        <f ca="1">IFERROR(__xludf.DUMMYFUNCTION("""COMPUTED_VALUE"""),"1578 Beacon Street")</f>
        <v>1578 Beacon Street</v>
      </c>
      <c r="B433" s="1">
        <f ca="1">IFERROR(__xludf.DUMMYFUNCTION("""COMPUTED_VALUE"""),1578)</f>
        <v>1578</v>
      </c>
      <c r="C433" s="1" t="str">
        <f ca="1">IFERROR(__xludf.DUMMYFUNCTION("""COMPUTED_VALUE"""),"#5")</f>
        <v>#5</v>
      </c>
      <c r="D433" s="1" t="str">
        <f ca="1">IFERROR(__xludf.DUMMYFUNCTION("""COMPUTED_VALUE"""),"1578 Beacon Street Unit 5")</f>
        <v>1578 Beacon Street Unit 5</v>
      </c>
      <c r="E433" s="1" t="str">
        <f ca="1">IFERROR(__xludf.DUMMYFUNCTION("""COMPUTED_VALUE"""),"Brookline")</f>
        <v>Brookline</v>
      </c>
      <c r="F433" s="1" t="str">
        <f ca="1">IFERROR(__xludf.DUMMYFUNCTION("""COMPUTED_VALUE"""),"Brookline - Coolidge Corner")</f>
        <v>Brookline - Coolidge Corner</v>
      </c>
      <c r="G433" s="1">
        <f ca="1">IFERROR(__xludf.DUMMYFUNCTION("""COMPUTED_VALUE"""),4)</f>
        <v>4</v>
      </c>
      <c r="H433" s="1" t="str">
        <f ca="1">IFERROR(__xludf.DUMMYFUNCTION("""COMPUTED_VALUE"""),"D")</f>
        <v>D</v>
      </c>
      <c r="I433" s="4" t="str">
        <f ca="1">IFERROR(__xludf.DUMMYFUNCTION("""COMPUTED_VALUE"""),"1578 Beacon Street#5D")</f>
        <v>1578 Beacon Street#5D</v>
      </c>
      <c r="J433" s="4" t="str">
        <f ca="1">IFERROR(__xludf.DUMMYFUNCTION("""COMPUTED_VALUE"""),"faa7a0c3-efed-4951-bae3-2785eda8840f")</f>
        <v>faa7a0c3-efed-4951-bae3-2785eda8840f</v>
      </c>
      <c r="K433" s="4">
        <f ca="1">IFERROR(__xludf.DUMMYFUNCTION("""COMPUTED_VALUE"""),1000)</f>
        <v>1000</v>
      </c>
      <c r="L433" s="1" t="str">
        <f ca="1">IFERROR(__xludf.DUMMYFUNCTION("""COMPUTED_VALUE"""),"Peter")</f>
        <v>Peter</v>
      </c>
      <c r="M433" s="1" t="str">
        <f ca="1">IFERROR(__xludf.DUMMYFUNCTION("""COMPUTED_VALUE"""),"")</f>
        <v/>
      </c>
      <c r="N433" s="1" t="str">
        <f ca="1">IFERROR(__xludf.DUMMYFUNCTION("""COMPUTED_VALUE"""),"")</f>
        <v/>
      </c>
      <c r="O433" s="1" t="str">
        <f ca="1">IFERROR(__xludf.DUMMYFUNCTION("""COMPUTED_VALUE"""),"Upcoming Vacancy")</f>
        <v>Upcoming Vacancy</v>
      </c>
      <c r="P433" s="1" t="str">
        <f ca="1">IFERROR(__xludf.DUMMYFUNCTION("""COMPUTED_VALUE"""),"June")</f>
        <v>June</v>
      </c>
      <c r="Q433" s="3">
        <f ca="1">IFERROR(__xludf.DUMMYFUNCTION("""COMPUTED_VALUE"""),43982)</f>
        <v>43982</v>
      </c>
      <c r="R433" s="1"/>
      <c r="S433" s="1" t="str">
        <f ca="1">IFERROR(__xludf.DUMMYFUNCTION("""COMPUTED_VALUE"""),"NO CATS OR DOGS")</f>
        <v>NO CATS OR DOGS</v>
      </c>
      <c r="T433" s="1"/>
      <c r="U433" s="1" t="str">
        <f ca="1">IFERROR(__xludf.DUMMYFUNCTION("""COMPUTED_VALUE"""),"Y")</f>
        <v>Y</v>
      </c>
      <c r="V433" s="1" t="str">
        <f ca="1">IFERROR(__xludf.DUMMYFUNCTION("""COMPUTED_VALUE"""),"N")</f>
        <v>N</v>
      </c>
      <c r="W433" s="1"/>
      <c r="X433" s="1"/>
      <c r="Y433" s="1" t="str">
        <f ca="1">IFERROR(__xludf.DUMMYFUNCTION("""COMPUTED_VALUE"""),"Noah Rivard")</f>
        <v>Noah Rivard</v>
      </c>
      <c r="Z433" s="1" t="str">
        <f ca="1">IFERROR(__xludf.DUMMYFUNCTION("""COMPUTED_VALUE"""),"noahdrivard@gmail.com")</f>
        <v>noahdrivard@gmail.com</v>
      </c>
      <c r="AA433" s="1"/>
      <c r="AB433" s="1"/>
      <c r="AC433" s="1"/>
    </row>
    <row r="434" spans="1:2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3984375" defaultRowHeight="15.75" customHeight="1"/>
  <cols>
    <col min="1" max="1" width="2.73046875" customWidth="1"/>
    <col min="2" max="2" width="30" customWidth="1"/>
    <col min="3" max="3" width="15.265625" customWidth="1"/>
    <col min="4" max="4" width="8.86328125" customWidth="1"/>
    <col min="5" max="5" width="17.265625" customWidth="1"/>
    <col min="6" max="6" width="13.86328125" customWidth="1"/>
    <col min="7" max="7" width="17.265625" customWidth="1"/>
    <col min="8" max="8" width="10.1328125" customWidth="1"/>
    <col min="9" max="9" width="14.1328125" customWidth="1"/>
    <col min="10" max="10" width="11.3984375" customWidth="1"/>
    <col min="11" max="11" width="13" customWidth="1"/>
    <col min="12" max="12" width="13.1328125" customWidth="1"/>
    <col min="18" max="18" width="19" customWidth="1"/>
    <col min="21" max="21" width="18.53125" customWidth="1"/>
  </cols>
  <sheetData>
    <row r="1" spans="1:25" ht="28.5" customHeight="1">
      <c r="B1" s="6" t="s">
        <v>0</v>
      </c>
      <c r="C1" s="7" t="s">
        <v>1</v>
      </c>
      <c r="D1" s="7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25" ht="12.75">
      <c r="A2" s="12">
        <f t="shared" ref="A2:A34" si="0">A1+1</f>
        <v>1</v>
      </c>
      <c r="B2" s="13" t="s">
        <v>17</v>
      </c>
      <c r="C2" s="14" t="str">
        <f t="array" aca="1" ref="C2" ca="1">INDEX('Rooms Master'!U:U,MATCH(B2,'Rooms Master'!D:D,0))</f>
        <v>Y</v>
      </c>
      <c r="D2" s="15">
        <v>64</v>
      </c>
      <c r="E2" s="15">
        <v>71</v>
      </c>
      <c r="F2" s="15">
        <v>52</v>
      </c>
      <c r="G2" s="16">
        <v>1</v>
      </c>
      <c r="H2" s="15">
        <v>0</v>
      </c>
      <c r="I2" s="15"/>
      <c r="J2" s="15"/>
      <c r="K2" s="15"/>
      <c r="L2" s="1" t="s">
        <v>18</v>
      </c>
      <c r="M2" s="17">
        <f t="shared" ref="M2:M31" si="1">IFERROR(F2/E2, " ")</f>
        <v>0.73239436619718312</v>
      </c>
      <c r="N2" s="18">
        <f t="shared" ref="N2:N31" si="2">IFERROR(H2/E2," ")</f>
        <v>0</v>
      </c>
      <c r="O2" s="17" t="str">
        <f t="shared" ref="O2:O59" si="3">IFERROR(K2/H2, " ")</f>
        <v xml:space="preserve"> </v>
      </c>
      <c r="P2" s="17" t="str">
        <f t="shared" ref="P2:P30" si="4">IFERROR(K2/I2, " ")</f>
        <v xml:space="preserve"> </v>
      </c>
      <c r="Q2" s="17" t="str">
        <f t="shared" ref="Q2:Q59" si="5">IFERROR(K2/J2, " ")</f>
        <v xml:space="preserve"> </v>
      </c>
      <c r="R2" s="17">
        <f t="shared" ref="R2:R37" si="6">IFERROR(E2/$E$118," ")</f>
        <v>2.1679389312977099E-2</v>
      </c>
    </row>
    <row r="3" spans="1:25" ht="12.75">
      <c r="A3" s="12">
        <f t="shared" si="0"/>
        <v>2</v>
      </c>
      <c r="B3" s="13" t="s">
        <v>19</v>
      </c>
      <c r="C3" s="14" t="str">
        <f t="array" aca="1" ref="C3" ca="1">INDEX('Rooms Master'!U:U,MATCH(B3,'Rooms Master'!D:D,0))</f>
        <v>N</v>
      </c>
      <c r="D3" s="15">
        <v>29</v>
      </c>
      <c r="E3" s="15">
        <v>68</v>
      </c>
      <c r="F3" s="15">
        <v>39</v>
      </c>
      <c r="G3" s="16">
        <v>3</v>
      </c>
      <c r="H3" s="15">
        <v>1</v>
      </c>
      <c r="I3" s="15">
        <v>1</v>
      </c>
      <c r="J3" s="15">
        <v>1</v>
      </c>
      <c r="K3" s="15">
        <v>1</v>
      </c>
      <c r="L3" s="1" t="s">
        <v>20</v>
      </c>
      <c r="M3" s="17">
        <f t="shared" si="1"/>
        <v>0.57352941176470584</v>
      </c>
      <c r="N3" s="18">
        <f t="shared" si="2"/>
        <v>1.4705882352941176E-2</v>
      </c>
      <c r="O3" s="17">
        <f t="shared" si="3"/>
        <v>1</v>
      </c>
      <c r="P3" s="17">
        <f t="shared" si="4"/>
        <v>1</v>
      </c>
      <c r="Q3" s="17">
        <f t="shared" si="5"/>
        <v>1</v>
      </c>
      <c r="R3" s="17">
        <f t="shared" si="6"/>
        <v>2.0763358778625954E-2</v>
      </c>
    </row>
    <row r="4" spans="1:25" ht="12.75">
      <c r="A4" s="12">
        <f t="shared" si="0"/>
        <v>3</v>
      </c>
      <c r="B4" s="13" t="s">
        <v>21</v>
      </c>
      <c r="C4" s="14" t="str">
        <f t="array" aca="1" ref="C4" ca="1">INDEX('Rooms Master'!U:U,MATCH(B4,'Rooms Master'!D:D,0))</f>
        <v>Y</v>
      </c>
      <c r="D4" s="15">
        <v>68</v>
      </c>
      <c r="E4" s="15">
        <v>49</v>
      </c>
      <c r="F4" s="15">
        <v>39</v>
      </c>
      <c r="G4" s="16">
        <v>4</v>
      </c>
      <c r="H4" s="15">
        <v>2</v>
      </c>
      <c r="I4" s="15"/>
      <c r="J4" s="15"/>
      <c r="K4" s="15"/>
      <c r="L4" s="1" t="s">
        <v>20</v>
      </c>
      <c r="M4" s="17">
        <f t="shared" si="1"/>
        <v>0.79591836734693877</v>
      </c>
      <c r="N4" s="18">
        <f t="shared" si="2"/>
        <v>4.0816326530612242E-2</v>
      </c>
      <c r="O4" s="17">
        <f t="shared" si="3"/>
        <v>0</v>
      </c>
      <c r="P4" s="17" t="str">
        <f t="shared" si="4"/>
        <v xml:space="preserve"> </v>
      </c>
      <c r="Q4" s="17" t="str">
        <f t="shared" si="5"/>
        <v xml:space="preserve"> </v>
      </c>
      <c r="R4" s="17">
        <f t="shared" si="6"/>
        <v>1.4961832061068702E-2</v>
      </c>
    </row>
    <row r="5" spans="1:25" ht="12.75">
      <c r="A5" s="12">
        <f t="shared" si="0"/>
        <v>4</v>
      </c>
      <c r="B5" s="13" t="s">
        <v>22</v>
      </c>
      <c r="C5" s="14" t="str">
        <f t="array" aca="1" ref="C5" ca="1">INDEX('Rooms Master'!U:U,MATCH(B5,'Rooms Master'!D:D,0))</f>
        <v>Y</v>
      </c>
      <c r="D5" s="15">
        <v>27</v>
      </c>
      <c r="E5" s="15">
        <v>79</v>
      </c>
      <c r="F5" s="15">
        <v>37</v>
      </c>
      <c r="G5" s="16">
        <v>1</v>
      </c>
      <c r="H5" s="15">
        <v>3</v>
      </c>
      <c r="I5" s="15">
        <v>1</v>
      </c>
      <c r="J5" s="15">
        <v>1</v>
      </c>
      <c r="K5" s="15"/>
      <c r="L5" s="1" t="s">
        <v>20</v>
      </c>
      <c r="M5" s="17">
        <f t="shared" si="1"/>
        <v>0.46835443037974683</v>
      </c>
      <c r="N5" s="18">
        <f t="shared" si="2"/>
        <v>3.7974683544303799E-2</v>
      </c>
      <c r="O5" s="17">
        <f t="shared" si="3"/>
        <v>0</v>
      </c>
      <c r="P5" s="17">
        <f t="shared" si="4"/>
        <v>0</v>
      </c>
      <c r="Q5" s="17">
        <f t="shared" si="5"/>
        <v>0</v>
      </c>
      <c r="R5" s="17">
        <f t="shared" si="6"/>
        <v>2.4122137404580152E-2</v>
      </c>
    </row>
    <row r="6" spans="1:25" ht="12.75">
      <c r="A6" s="12">
        <f t="shared" si="0"/>
        <v>5</v>
      </c>
      <c r="B6" s="13" t="s">
        <v>23</v>
      </c>
      <c r="C6" s="14" t="str">
        <f t="array" aca="1" ref="C6" ca="1">INDEX('Rooms Master'!U:U,MATCH(B6,'Rooms Master'!D:D,0))</f>
        <v>Y</v>
      </c>
      <c r="D6" s="15">
        <v>10</v>
      </c>
      <c r="E6" s="15">
        <v>76</v>
      </c>
      <c r="F6" s="15">
        <v>33</v>
      </c>
      <c r="G6" s="16">
        <v>7</v>
      </c>
      <c r="H6" s="15">
        <v>1</v>
      </c>
      <c r="I6" s="15">
        <v>2</v>
      </c>
      <c r="J6" s="15">
        <v>1</v>
      </c>
      <c r="K6" s="15"/>
      <c r="L6" s="1" t="s">
        <v>24</v>
      </c>
      <c r="M6" s="17">
        <f t="shared" si="1"/>
        <v>0.43421052631578949</v>
      </c>
      <c r="N6" s="18">
        <f t="shared" si="2"/>
        <v>1.3157894736842105E-2</v>
      </c>
      <c r="O6" s="17">
        <f t="shared" si="3"/>
        <v>0</v>
      </c>
      <c r="P6" s="17">
        <f t="shared" si="4"/>
        <v>0</v>
      </c>
      <c r="Q6" s="17">
        <f t="shared" si="5"/>
        <v>0</v>
      </c>
      <c r="R6" s="17">
        <f t="shared" si="6"/>
        <v>2.3206106870229008E-2</v>
      </c>
      <c r="U6" s="13"/>
      <c r="V6" s="19"/>
      <c r="W6" s="19"/>
      <c r="X6" s="19"/>
      <c r="Y6" s="20"/>
    </row>
    <row r="7" spans="1:25" ht="12.75">
      <c r="A7" s="12">
        <f t="shared" si="0"/>
        <v>6</v>
      </c>
      <c r="B7" s="13" t="s">
        <v>25</v>
      </c>
      <c r="C7" s="14" t="str">
        <f t="array" aca="1" ref="C7" ca="1">INDEX('Rooms Master'!U:U,MATCH(B7,'Rooms Master'!D:D,0))</f>
        <v>Y</v>
      </c>
      <c r="D7" s="15">
        <v>3</v>
      </c>
      <c r="E7" s="15">
        <v>165</v>
      </c>
      <c r="F7" s="15">
        <v>30</v>
      </c>
      <c r="G7" s="16">
        <v>6</v>
      </c>
      <c r="H7" s="15">
        <v>2</v>
      </c>
      <c r="I7" s="15">
        <v>2</v>
      </c>
      <c r="J7" s="15"/>
      <c r="K7" s="15"/>
      <c r="L7" s="21" t="s">
        <v>20</v>
      </c>
      <c r="M7" s="17">
        <f t="shared" si="1"/>
        <v>0.18181818181818182</v>
      </c>
      <c r="N7" s="18">
        <f t="shared" si="2"/>
        <v>1.2121212121212121E-2</v>
      </c>
      <c r="O7" s="17">
        <f t="shared" si="3"/>
        <v>0</v>
      </c>
      <c r="P7" s="17">
        <f t="shared" si="4"/>
        <v>0</v>
      </c>
      <c r="Q7" s="17" t="str">
        <f t="shared" si="5"/>
        <v xml:space="preserve"> </v>
      </c>
      <c r="R7" s="17">
        <f t="shared" si="6"/>
        <v>5.0381679389312976E-2</v>
      </c>
    </row>
    <row r="8" spans="1:25" ht="12.75">
      <c r="A8" s="12">
        <f t="shared" si="0"/>
        <v>7</v>
      </c>
      <c r="B8" s="13" t="s">
        <v>26</v>
      </c>
      <c r="C8" s="14" t="str">
        <f t="array" aca="1" ref="C8" ca="1">INDEX('Rooms Master'!U:U,MATCH(B8,'Rooms Master'!D:D,0))</f>
        <v>Y</v>
      </c>
      <c r="D8" s="15">
        <v>2</v>
      </c>
      <c r="E8" s="15">
        <v>163</v>
      </c>
      <c r="F8" s="15">
        <v>29</v>
      </c>
      <c r="G8" s="16">
        <v>4</v>
      </c>
      <c r="H8" s="15">
        <v>5</v>
      </c>
      <c r="I8" s="15">
        <v>2</v>
      </c>
      <c r="J8" s="15"/>
      <c r="K8" s="15"/>
      <c r="L8" s="1" t="s">
        <v>20</v>
      </c>
      <c r="M8" s="17">
        <f t="shared" si="1"/>
        <v>0.17791411042944785</v>
      </c>
      <c r="N8" s="18">
        <f t="shared" si="2"/>
        <v>3.0674846625766871E-2</v>
      </c>
      <c r="O8" s="17">
        <f t="shared" si="3"/>
        <v>0</v>
      </c>
      <c r="P8" s="17">
        <f t="shared" si="4"/>
        <v>0</v>
      </c>
      <c r="Q8" s="17" t="str">
        <f t="shared" si="5"/>
        <v xml:space="preserve"> </v>
      </c>
      <c r="R8" s="17">
        <f t="shared" si="6"/>
        <v>4.9770992366412213E-2</v>
      </c>
    </row>
    <row r="9" spans="1:25" ht="12.75">
      <c r="A9" s="12">
        <f t="shared" si="0"/>
        <v>8</v>
      </c>
      <c r="B9" s="13" t="s">
        <v>27</v>
      </c>
      <c r="C9" s="14" t="str">
        <f t="array" aca="1" ref="C9" ca="1">INDEX('Rooms Master'!U:U,MATCH(B9,'Rooms Master'!D:D,0))</f>
        <v>Y</v>
      </c>
      <c r="D9" s="15">
        <v>28</v>
      </c>
      <c r="E9" s="15">
        <v>49</v>
      </c>
      <c r="F9" s="15">
        <v>26</v>
      </c>
      <c r="G9" s="16">
        <v>2</v>
      </c>
      <c r="H9" s="15">
        <v>1</v>
      </c>
      <c r="I9" s="15"/>
      <c r="J9" s="15"/>
      <c r="K9" s="15"/>
      <c r="L9" s="1" t="s">
        <v>20</v>
      </c>
      <c r="M9" s="17">
        <f t="shared" si="1"/>
        <v>0.53061224489795922</v>
      </c>
      <c r="N9" s="18">
        <f t="shared" si="2"/>
        <v>2.0408163265306121E-2</v>
      </c>
      <c r="O9" s="17">
        <f t="shared" si="3"/>
        <v>0</v>
      </c>
      <c r="P9" s="17" t="str">
        <f t="shared" si="4"/>
        <v xml:space="preserve"> </v>
      </c>
      <c r="Q9" s="17" t="str">
        <f t="shared" si="5"/>
        <v xml:space="preserve"> </v>
      </c>
      <c r="R9" s="17">
        <f t="shared" si="6"/>
        <v>1.4961832061068702E-2</v>
      </c>
    </row>
    <row r="10" spans="1:25" ht="12.75">
      <c r="A10" s="12">
        <f t="shared" si="0"/>
        <v>9</v>
      </c>
      <c r="B10" s="13" t="s">
        <v>28</v>
      </c>
      <c r="C10" s="14" t="str">
        <f t="array" aca="1" ref="C10" ca="1">INDEX('Rooms Master'!U:U,MATCH(B10,'Rooms Master'!D:D,0))</f>
        <v>Y</v>
      </c>
      <c r="D10" s="15">
        <v>11</v>
      </c>
      <c r="E10" s="15">
        <v>94</v>
      </c>
      <c r="F10" s="15">
        <v>25</v>
      </c>
      <c r="G10" s="16">
        <v>4</v>
      </c>
      <c r="H10" s="15">
        <v>4</v>
      </c>
      <c r="I10" s="15">
        <v>1</v>
      </c>
      <c r="J10" s="15">
        <v>1</v>
      </c>
      <c r="K10" s="15">
        <v>1</v>
      </c>
      <c r="L10" s="1" t="s">
        <v>29</v>
      </c>
      <c r="M10" s="17">
        <f t="shared" si="1"/>
        <v>0.26595744680851063</v>
      </c>
      <c r="N10" s="18">
        <f t="shared" si="2"/>
        <v>4.2553191489361701E-2</v>
      </c>
      <c r="O10" s="17">
        <f t="shared" si="3"/>
        <v>0.25</v>
      </c>
      <c r="P10" s="17">
        <f t="shared" si="4"/>
        <v>1</v>
      </c>
      <c r="Q10" s="17">
        <f t="shared" si="5"/>
        <v>1</v>
      </c>
      <c r="R10" s="17">
        <f t="shared" si="6"/>
        <v>2.8702290076335877E-2</v>
      </c>
    </row>
    <row r="11" spans="1:25" ht="12.75">
      <c r="A11" s="12">
        <f t="shared" si="0"/>
        <v>10</v>
      </c>
      <c r="B11" s="13" t="s">
        <v>30</v>
      </c>
      <c r="C11" s="14" t="str">
        <f t="array" aca="1" ref="C11" ca="1">INDEX('Rooms Master'!U:U,MATCH(B11,'Rooms Master'!D:D,0))</f>
        <v>Y</v>
      </c>
      <c r="D11" s="15">
        <v>70</v>
      </c>
      <c r="E11" s="15">
        <v>46</v>
      </c>
      <c r="F11" s="15">
        <v>24</v>
      </c>
      <c r="G11" s="16">
        <v>2</v>
      </c>
      <c r="H11" s="15">
        <v>3</v>
      </c>
      <c r="I11" s="15"/>
      <c r="J11" s="15"/>
      <c r="K11" s="15"/>
      <c r="L11" s="1" t="s">
        <v>20</v>
      </c>
      <c r="M11" s="17">
        <f t="shared" si="1"/>
        <v>0.52173913043478259</v>
      </c>
      <c r="N11" s="18">
        <f t="shared" si="2"/>
        <v>6.5217391304347824E-2</v>
      </c>
      <c r="O11" s="17">
        <f t="shared" si="3"/>
        <v>0</v>
      </c>
      <c r="P11" s="17" t="str">
        <f t="shared" si="4"/>
        <v xml:space="preserve"> </v>
      </c>
      <c r="Q11" s="17" t="str">
        <f t="shared" si="5"/>
        <v xml:space="preserve"> </v>
      </c>
      <c r="R11" s="17">
        <f t="shared" si="6"/>
        <v>1.4045801526717557E-2</v>
      </c>
    </row>
    <row r="12" spans="1:25" ht="12.75">
      <c r="A12" s="12">
        <f t="shared" si="0"/>
        <v>11</v>
      </c>
      <c r="B12" s="13" t="s">
        <v>31</v>
      </c>
      <c r="C12" s="14" t="str">
        <f t="array" aca="1" ref="C12" ca="1">INDEX('Rooms Master'!U:U,MATCH(B12,'Rooms Master'!D:D,0))</f>
        <v>Y</v>
      </c>
      <c r="D12" s="15">
        <v>29</v>
      </c>
      <c r="E12" s="15">
        <v>66</v>
      </c>
      <c r="F12" s="15">
        <v>22</v>
      </c>
      <c r="G12" s="16">
        <v>4</v>
      </c>
      <c r="H12" s="15">
        <v>0</v>
      </c>
      <c r="I12" s="15"/>
      <c r="J12" s="15"/>
      <c r="K12" s="15"/>
      <c r="L12" s="1" t="s">
        <v>20</v>
      </c>
      <c r="M12" s="17">
        <f t="shared" si="1"/>
        <v>0.33333333333333331</v>
      </c>
      <c r="N12" s="18">
        <f t="shared" si="2"/>
        <v>0</v>
      </c>
      <c r="O12" s="17" t="str">
        <f t="shared" si="3"/>
        <v xml:space="preserve"> </v>
      </c>
      <c r="P12" s="17" t="str">
        <f t="shared" si="4"/>
        <v xml:space="preserve"> </v>
      </c>
      <c r="Q12" s="17" t="str">
        <f t="shared" si="5"/>
        <v xml:space="preserve"> </v>
      </c>
      <c r="R12" s="17">
        <f t="shared" si="6"/>
        <v>2.0152671755725191E-2</v>
      </c>
    </row>
    <row r="13" spans="1:25" ht="12.75">
      <c r="A13" s="12">
        <f t="shared" si="0"/>
        <v>12</v>
      </c>
      <c r="B13" s="13" t="s">
        <v>32</v>
      </c>
      <c r="C13" s="14" t="str">
        <f t="array" aca="1" ref="C13" ca="1">INDEX('Rooms Master'!U:U,MATCH(B13,'Rooms Master'!D:D,0))</f>
        <v>Y</v>
      </c>
      <c r="D13" s="15">
        <v>33</v>
      </c>
      <c r="E13" s="15">
        <v>57</v>
      </c>
      <c r="F13" s="15">
        <v>22</v>
      </c>
      <c r="G13" s="16">
        <v>2</v>
      </c>
      <c r="H13" s="15">
        <v>2</v>
      </c>
      <c r="I13" s="15"/>
      <c r="J13" s="15"/>
      <c r="K13" s="15"/>
      <c r="L13" s="1" t="s">
        <v>20</v>
      </c>
      <c r="M13" s="17">
        <f t="shared" si="1"/>
        <v>0.38596491228070173</v>
      </c>
      <c r="N13" s="18">
        <f t="shared" si="2"/>
        <v>3.5087719298245612E-2</v>
      </c>
      <c r="O13" s="17">
        <f t="shared" si="3"/>
        <v>0</v>
      </c>
      <c r="P13" s="17" t="str">
        <f t="shared" si="4"/>
        <v xml:space="preserve"> </v>
      </c>
      <c r="Q13" s="17" t="str">
        <f t="shared" si="5"/>
        <v xml:space="preserve"> </v>
      </c>
      <c r="R13" s="17">
        <f t="shared" si="6"/>
        <v>1.7404580152671757E-2</v>
      </c>
    </row>
    <row r="14" spans="1:25" ht="12.75">
      <c r="A14" s="12">
        <f t="shared" si="0"/>
        <v>13</v>
      </c>
      <c r="B14" s="13" t="s">
        <v>33</v>
      </c>
      <c r="C14" s="14" t="str">
        <f t="array" aca="1" ref="C14" ca="1">INDEX('Rooms Master'!U:U,MATCH(B14,'Rooms Master'!D:D,0))</f>
        <v>Y</v>
      </c>
      <c r="D14" s="15">
        <v>6</v>
      </c>
      <c r="E14" s="15">
        <v>58</v>
      </c>
      <c r="F14" s="15">
        <v>20</v>
      </c>
      <c r="G14" s="16">
        <v>4</v>
      </c>
      <c r="H14" s="15">
        <v>6</v>
      </c>
      <c r="I14" s="15">
        <v>1</v>
      </c>
      <c r="J14" s="15">
        <v>1</v>
      </c>
      <c r="K14" s="15">
        <v>1</v>
      </c>
      <c r="L14" s="1" t="s">
        <v>34</v>
      </c>
      <c r="M14" s="17">
        <f t="shared" si="1"/>
        <v>0.34482758620689657</v>
      </c>
      <c r="N14" s="18">
        <f t="shared" si="2"/>
        <v>0.10344827586206896</v>
      </c>
      <c r="O14" s="17">
        <f t="shared" si="3"/>
        <v>0.16666666666666666</v>
      </c>
      <c r="P14" s="17">
        <f t="shared" si="4"/>
        <v>1</v>
      </c>
      <c r="Q14" s="17">
        <f t="shared" si="5"/>
        <v>1</v>
      </c>
      <c r="R14" s="17">
        <f t="shared" si="6"/>
        <v>1.7709923664122138E-2</v>
      </c>
    </row>
    <row r="15" spans="1:25" ht="12.75">
      <c r="A15" s="12">
        <f t="shared" si="0"/>
        <v>14</v>
      </c>
      <c r="B15" s="13" t="s">
        <v>35</v>
      </c>
      <c r="C15" s="14" t="str">
        <f t="array" aca="1" ref="C15" ca="1">INDEX('Rooms Master'!U:U,MATCH(B15,'Rooms Master'!D:D,0))</f>
        <v>Y</v>
      </c>
      <c r="D15" s="15">
        <v>14</v>
      </c>
      <c r="E15" s="15">
        <v>67</v>
      </c>
      <c r="F15" s="15">
        <v>20</v>
      </c>
      <c r="G15" s="16">
        <v>3</v>
      </c>
      <c r="H15" s="15">
        <v>4</v>
      </c>
      <c r="I15" s="15"/>
      <c r="J15" s="15">
        <v>1</v>
      </c>
      <c r="K15" s="15">
        <v>1</v>
      </c>
      <c r="L15" s="1" t="s">
        <v>20</v>
      </c>
      <c r="M15" s="17">
        <f t="shared" si="1"/>
        <v>0.29850746268656714</v>
      </c>
      <c r="N15" s="18">
        <f t="shared" si="2"/>
        <v>5.9701492537313432E-2</v>
      </c>
      <c r="O15" s="17">
        <f t="shared" si="3"/>
        <v>0.25</v>
      </c>
      <c r="P15" s="17" t="str">
        <f t="shared" si="4"/>
        <v xml:space="preserve"> </v>
      </c>
      <c r="Q15" s="17">
        <f t="shared" si="5"/>
        <v>1</v>
      </c>
      <c r="R15" s="17">
        <f t="shared" si="6"/>
        <v>2.0458015267175573E-2</v>
      </c>
    </row>
    <row r="16" spans="1:25" ht="12.75">
      <c r="A16" s="12">
        <f t="shared" si="0"/>
        <v>15</v>
      </c>
      <c r="B16" s="13" t="s">
        <v>36</v>
      </c>
      <c r="C16" s="14" t="str">
        <f t="array" aca="1" ref="C16" ca="1">INDEX('Rooms Master'!U:U,MATCH(B16,'Rooms Master'!D:D,0))</f>
        <v>Y</v>
      </c>
      <c r="D16" s="15">
        <v>23</v>
      </c>
      <c r="E16" s="15">
        <v>67</v>
      </c>
      <c r="F16" s="15">
        <v>20</v>
      </c>
      <c r="G16" s="16">
        <v>1</v>
      </c>
      <c r="H16" s="15">
        <v>4</v>
      </c>
      <c r="I16" s="15">
        <v>1</v>
      </c>
      <c r="J16" s="15">
        <v>1</v>
      </c>
      <c r="K16" s="15">
        <v>1</v>
      </c>
      <c r="L16" s="1" t="s">
        <v>37</v>
      </c>
      <c r="M16" s="17">
        <f t="shared" si="1"/>
        <v>0.29850746268656714</v>
      </c>
      <c r="N16" s="18">
        <f t="shared" si="2"/>
        <v>5.9701492537313432E-2</v>
      </c>
      <c r="O16" s="17">
        <f t="shared" si="3"/>
        <v>0.25</v>
      </c>
      <c r="P16" s="17">
        <f t="shared" si="4"/>
        <v>1</v>
      </c>
      <c r="Q16" s="17">
        <f t="shared" si="5"/>
        <v>1</v>
      </c>
      <c r="R16" s="17">
        <f t="shared" si="6"/>
        <v>2.0458015267175573E-2</v>
      </c>
    </row>
    <row r="17" spans="1:18" ht="12.75">
      <c r="A17" s="12">
        <f t="shared" si="0"/>
        <v>16</v>
      </c>
      <c r="B17" s="13" t="s">
        <v>38</v>
      </c>
      <c r="C17" s="14" t="str">
        <f t="array" aca="1" ref="C17" ca="1">INDEX('Rooms Master'!U:U,MATCH(B17,'Rooms Master'!D:D,0))</f>
        <v>Y</v>
      </c>
      <c r="D17" s="15">
        <v>68</v>
      </c>
      <c r="E17" s="15">
        <v>33</v>
      </c>
      <c r="F17" s="15">
        <v>20</v>
      </c>
      <c r="G17" s="16">
        <v>5</v>
      </c>
      <c r="H17" s="15">
        <v>4</v>
      </c>
      <c r="I17" s="15"/>
      <c r="J17" s="15"/>
      <c r="K17" s="15"/>
      <c r="L17" s="1" t="s">
        <v>39</v>
      </c>
      <c r="M17" s="17">
        <f t="shared" si="1"/>
        <v>0.60606060606060608</v>
      </c>
      <c r="N17" s="18">
        <f t="shared" si="2"/>
        <v>0.12121212121212122</v>
      </c>
      <c r="O17" s="17">
        <f t="shared" si="3"/>
        <v>0</v>
      </c>
      <c r="P17" s="17" t="str">
        <f t="shared" si="4"/>
        <v xml:space="preserve"> </v>
      </c>
      <c r="Q17" s="17" t="str">
        <f t="shared" si="5"/>
        <v xml:space="preserve"> </v>
      </c>
      <c r="R17" s="17">
        <f t="shared" si="6"/>
        <v>1.0076335877862596E-2</v>
      </c>
    </row>
    <row r="18" spans="1:18" ht="12.75">
      <c r="A18" s="12">
        <f t="shared" si="0"/>
        <v>17</v>
      </c>
      <c r="B18" s="13" t="s">
        <v>40</v>
      </c>
      <c r="C18" s="14" t="str">
        <f t="array" aca="1" ref="C18" ca="1">INDEX('Rooms Master'!U:U,MATCH(B18,'Rooms Master'!D:D,0))</f>
        <v>Y</v>
      </c>
      <c r="D18" s="15">
        <v>43</v>
      </c>
      <c r="E18" s="15">
        <v>34</v>
      </c>
      <c r="F18" s="15">
        <v>19</v>
      </c>
      <c r="G18" s="16">
        <v>3</v>
      </c>
      <c r="H18" s="15">
        <v>0</v>
      </c>
      <c r="I18" s="15"/>
      <c r="J18" s="15"/>
      <c r="K18" s="15"/>
      <c r="L18" s="1" t="s">
        <v>20</v>
      </c>
      <c r="M18" s="17">
        <f t="shared" si="1"/>
        <v>0.55882352941176472</v>
      </c>
      <c r="N18" s="18">
        <f t="shared" si="2"/>
        <v>0</v>
      </c>
      <c r="O18" s="17" t="str">
        <f t="shared" si="3"/>
        <v xml:space="preserve"> </v>
      </c>
      <c r="P18" s="17" t="str">
        <f t="shared" si="4"/>
        <v xml:space="preserve"> </v>
      </c>
      <c r="Q18" s="17" t="str">
        <f t="shared" si="5"/>
        <v xml:space="preserve"> </v>
      </c>
      <c r="R18" s="17">
        <f t="shared" si="6"/>
        <v>1.0381679389312977E-2</v>
      </c>
    </row>
    <row r="19" spans="1:18" ht="12.75">
      <c r="A19" s="12">
        <f t="shared" si="0"/>
        <v>18</v>
      </c>
      <c r="B19" s="13" t="s">
        <v>41</v>
      </c>
      <c r="C19" s="14" t="str">
        <f t="array" aca="1" ref="C19" ca="1">INDEX('Rooms Master'!U:U,MATCH(B19,'Rooms Master'!D:D,0))</f>
        <v>Y</v>
      </c>
      <c r="D19" s="15">
        <v>66</v>
      </c>
      <c r="E19" s="15">
        <v>30</v>
      </c>
      <c r="F19" s="15">
        <v>17</v>
      </c>
      <c r="G19" s="16">
        <v>3</v>
      </c>
      <c r="H19" s="15">
        <v>2</v>
      </c>
      <c r="I19" s="15"/>
      <c r="J19" s="15"/>
      <c r="K19" s="15"/>
      <c r="L19" s="1" t="s">
        <v>34</v>
      </c>
      <c r="M19" s="17">
        <f t="shared" si="1"/>
        <v>0.56666666666666665</v>
      </c>
      <c r="N19" s="18">
        <f t="shared" si="2"/>
        <v>6.6666666666666666E-2</v>
      </c>
      <c r="O19" s="17">
        <f t="shared" si="3"/>
        <v>0</v>
      </c>
      <c r="P19" s="17" t="str">
        <f t="shared" si="4"/>
        <v xml:space="preserve"> </v>
      </c>
      <c r="Q19" s="17" t="str">
        <f t="shared" si="5"/>
        <v xml:space="preserve"> </v>
      </c>
      <c r="R19" s="17">
        <f t="shared" si="6"/>
        <v>9.1603053435114507E-3</v>
      </c>
    </row>
    <row r="20" spans="1:18" ht="12.75">
      <c r="A20" s="12">
        <f t="shared" si="0"/>
        <v>19</v>
      </c>
      <c r="B20" s="13" t="s">
        <v>42</v>
      </c>
      <c r="C20" s="14" t="str">
        <f t="array" aca="1" ref="C20" ca="1">INDEX('Rooms Master'!U:U,MATCH(B20,'Rooms Master'!D:D,0))</f>
        <v>Y</v>
      </c>
      <c r="D20" s="15">
        <v>60</v>
      </c>
      <c r="E20" s="15">
        <v>58</v>
      </c>
      <c r="F20" s="15">
        <v>16</v>
      </c>
      <c r="G20" s="16">
        <v>2</v>
      </c>
      <c r="H20" s="15">
        <v>4</v>
      </c>
      <c r="I20" s="15"/>
      <c r="J20" s="15"/>
      <c r="K20" s="15"/>
      <c r="L20" s="1" t="s">
        <v>20</v>
      </c>
      <c r="M20" s="17">
        <f t="shared" si="1"/>
        <v>0.27586206896551724</v>
      </c>
      <c r="N20" s="18">
        <f t="shared" si="2"/>
        <v>6.8965517241379309E-2</v>
      </c>
      <c r="O20" s="17">
        <f t="shared" si="3"/>
        <v>0</v>
      </c>
      <c r="P20" s="17" t="str">
        <f t="shared" si="4"/>
        <v xml:space="preserve"> </v>
      </c>
      <c r="Q20" s="17" t="str">
        <f t="shared" si="5"/>
        <v xml:space="preserve"> </v>
      </c>
      <c r="R20" s="17">
        <f t="shared" si="6"/>
        <v>1.7709923664122138E-2</v>
      </c>
    </row>
    <row r="21" spans="1:18" ht="12.75">
      <c r="A21" s="12">
        <f t="shared" si="0"/>
        <v>20</v>
      </c>
      <c r="B21" s="1" t="s">
        <v>43</v>
      </c>
      <c r="C21" s="14" t="str">
        <f t="array" aca="1" ref="C21" ca="1">INDEX('Rooms Master'!U:U,MATCH(B21,'Rooms Master'!D:D,0))</f>
        <v>Y</v>
      </c>
      <c r="D21" s="15">
        <v>13</v>
      </c>
      <c r="E21" s="15">
        <v>72</v>
      </c>
      <c r="F21" s="15">
        <v>15</v>
      </c>
      <c r="G21" s="16">
        <v>3</v>
      </c>
      <c r="H21" s="15">
        <v>0</v>
      </c>
      <c r="I21" s="15"/>
      <c r="J21" s="15"/>
      <c r="K21" s="15"/>
      <c r="L21" s="21" t="s">
        <v>34</v>
      </c>
      <c r="M21" s="17">
        <f t="shared" si="1"/>
        <v>0.20833333333333334</v>
      </c>
      <c r="N21" s="18">
        <f t="shared" si="2"/>
        <v>0</v>
      </c>
      <c r="O21" s="17" t="str">
        <f t="shared" si="3"/>
        <v xml:space="preserve"> </v>
      </c>
      <c r="P21" s="17" t="str">
        <f t="shared" si="4"/>
        <v xml:space="preserve"> </v>
      </c>
      <c r="Q21" s="17" t="str">
        <f t="shared" si="5"/>
        <v xml:space="preserve"> </v>
      </c>
      <c r="R21" s="17">
        <f t="shared" si="6"/>
        <v>2.1984732824427481E-2</v>
      </c>
    </row>
    <row r="22" spans="1:18" ht="12.75">
      <c r="A22" s="12">
        <f t="shared" si="0"/>
        <v>21</v>
      </c>
      <c r="B22" s="13" t="s">
        <v>44</v>
      </c>
      <c r="C22" s="14" t="str">
        <f t="array" aca="1" ref="C22" ca="1">INDEX('Rooms Master'!U:U,MATCH(B22,'Rooms Master'!D:D,0))</f>
        <v>Y</v>
      </c>
      <c r="D22" s="15">
        <v>31</v>
      </c>
      <c r="E22" s="15">
        <v>32</v>
      </c>
      <c r="F22" s="15">
        <v>15</v>
      </c>
      <c r="G22" s="16">
        <v>3</v>
      </c>
      <c r="H22" s="15">
        <v>0</v>
      </c>
      <c r="I22" s="15"/>
      <c r="J22" s="15"/>
      <c r="K22" s="15"/>
      <c r="L22" s="21" t="s">
        <v>20</v>
      </c>
      <c r="M22" s="17">
        <f t="shared" si="1"/>
        <v>0.46875</v>
      </c>
      <c r="N22" s="18">
        <f t="shared" si="2"/>
        <v>0</v>
      </c>
      <c r="O22" s="17" t="str">
        <f t="shared" si="3"/>
        <v xml:space="preserve"> </v>
      </c>
      <c r="P22" s="17" t="str">
        <f t="shared" si="4"/>
        <v xml:space="preserve"> </v>
      </c>
      <c r="Q22" s="17" t="str">
        <f t="shared" si="5"/>
        <v xml:space="preserve"> </v>
      </c>
      <c r="R22" s="17">
        <f t="shared" si="6"/>
        <v>9.770992366412214E-3</v>
      </c>
    </row>
    <row r="23" spans="1:18" ht="12.75">
      <c r="A23" s="12">
        <f t="shared" si="0"/>
        <v>22</v>
      </c>
      <c r="B23" s="13" t="s">
        <v>45</v>
      </c>
      <c r="C23" s="14" t="str">
        <f t="array" aca="1" ref="C23" ca="1">INDEX('Rooms Master'!U:U,MATCH(B23,'Rooms Master'!D:D,0))</f>
        <v>Y</v>
      </c>
      <c r="D23" s="15">
        <v>25</v>
      </c>
      <c r="E23" s="15">
        <v>40</v>
      </c>
      <c r="F23" s="15">
        <v>14</v>
      </c>
      <c r="G23" s="16">
        <v>4</v>
      </c>
      <c r="H23" s="15">
        <v>2</v>
      </c>
      <c r="I23" s="15"/>
      <c r="J23" s="15"/>
      <c r="K23" s="15"/>
      <c r="L23" s="1" t="s">
        <v>20</v>
      </c>
      <c r="M23" s="17">
        <f t="shared" si="1"/>
        <v>0.35</v>
      </c>
      <c r="N23" s="18">
        <f t="shared" si="2"/>
        <v>0.05</v>
      </c>
      <c r="O23" s="17">
        <f t="shared" si="3"/>
        <v>0</v>
      </c>
      <c r="P23" s="17" t="str">
        <f t="shared" si="4"/>
        <v xml:space="preserve"> </v>
      </c>
      <c r="Q23" s="17" t="str">
        <f t="shared" si="5"/>
        <v xml:space="preserve"> </v>
      </c>
      <c r="R23" s="17">
        <f t="shared" si="6"/>
        <v>1.2213740458015267E-2</v>
      </c>
    </row>
    <row r="24" spans="1:18" ht="12.75">
      <c r="A24" s="12">
        <f t="shared" si="0"/>
        <v>23</v>
      </c>
      <c r="B24" s="13" t="s">
        <v>46</v>
      </c>
      <c r="C24" s="14" t="str">
        <f t="array" aca="1" ref="C24" ca="1">INDEX('Rooms Master'!U:U,MATCH(B24,'Rooms Master'!D:D,0))</f>
        <v>Y</v>
      </c>
      <c r="D24" s="15">
        <v>32</v>
      </c>
      <c r="E24" s="15">
        <v>52</v>
      </c>
      <c r="F24" s="15">
        <v>14</v>
      </c>
      <c r="G24" s="16">
        <v>4</v>
      </c>
      <c r="H24" s="15">
        <v>3</v>
      </c>
      <c r="I24" s="15">
        <v>1</v>
      </c>
      <c r="J24" s="15"/>
      <c r="K24" s="15"/>
      <c r="L24" s="1" t="s">
        <v>37</v>
      </c>
      <c r="M24" s="17">
        <f t="shared" si="1"/>
        <v>0.26923076923076922</v>
      </c>
      <c r="N24" s="18">
        <f t="shared" si="2"/>
        <v>5.7692307692307696E-2</v>
      </c>
      <c r="O24" s="17">
        <f t="shared" si="3"/>
        <v>0</v>
      </c>
      <c r="P24" s="17">
        <f t="shared" si="4"/>
        <v>0</v>
      </c>
      <c r="Q24" s="17" t="str">
        <f t="shared" si="5"/>
        <v xml:space="preserve"> </v>
      </c>
      <c r="R24" s="17">
        <f t="shared" si="6"/>
        <v>1.5877862595419848E-2</v>
      </c>
    </row>
    <row r="25" spans="1:18" ht="12.75">
      <c r="A25" s="12">
        <f t="shared" si="0"/>
        <v>24</v>
      </c>
      <c r="B25" s="13" t="s">
        <v>47</v>
      </c>
      <c r="C25" s="14" t="str">
        <f t="array" aca="1" ref="C25" ca="1">INDEX('Rooms Master'!U:U,MATCH(B25,'Rooms Master'!D:D,0))</f>
        <v>Y</v>
      </c>
      <c r="D25" s="15">
        <v>62</v>
      </c>
      <c r="E25" s="15">
        <v>57</v>
      </c>
      <c r="F25" s="15">
        <v>14</v>
      </c>
      <c r="G25" s="16">
        <v>2</v>
      </c>
      <c r="H25" s="15">
        <v>3</v>
      </c>
      <c r="I25" s="15">
        <v>2</v>
      </c>
      <c r="J25" s="15"/>
      <c r="K25" s="15"/>
      <c r="L25" s="1" t="s">
        <v>20</v>
      </c>
      <c r="M25" s="17">
        <f t="shared" si="1"/>
        <v>0.24561403508771928</v>
      </c>
      <c r="N25" s="18">
        <f t="shared" si="2"/>
        <v>5.2631578947368418E-2</v>
      </c>
      <c r="O25" s="17">
        <f t="shared" si="3"/>
        <v>0</v>
      </c>
      <c r="P25" s="17">
        <f t="shared" si="4"/>
        <v>0</v>
      </c>
      <c r="Q25" s="17" t="str">
        <f t="shared" si="5"/>
        <v xml:space="preserve"> </v>
      </c>
      <c r="R25" s="17">
        <f t="shared" si="6"/>
        <v>1.7404580152671757E-2</v>
      </c>
    </row>
    <row r="26" spans="1:18" ht="12.75">
      <c r="A26" s="12">
        <f t="shared" si="0"/>
        <v>25</v>
      </c>
      <c r="B26" s="13" t="s">
        <v>48</v>
      </c>
      <c r="C26" s="14" t="str">
        <f t="array" aca="1" ref="C26" ca="1">INDEX('Rooms Master'!U:U,MATCH(B26,'Rooms Master'!D:D,0))</f>
        <v>Y</v>
      </c>
      <c r="D26" s="15">
        <v>34</v>
      </c>
      <c r="E26" s="15">
        <v>51</v>
      </c>
      <c r="F26" s="15">
        <v>13</v>
      </c>
      <c r="G26" s="16">
        <v>2</v>
      </c>
      <c r="H26" s="15">
        <v>4</v>
      </c>
      <c r="I26" s="15"/>
      <c r="J26" s="15"/>
      <c r="K26" s="15"/>
      <c r="L26" s="1" t="s">
        <v>20</v>
      </c>
      <c r="M26" s="17">
        <f t="shared" si="1"/>
        <v>0.25490196078431371</v>
      </c>
      <c r="N26" s="18">
        <f t="shared" si="2"/>
        <v>7.8431372549019607E-2</v>
      </c>
      <c r="O26" s="17">
        <f t="shared" si="3"/>
        <v>0</v>
      </c>
      <c r="P26" s="17" t="str">
        <f t="shared" si="4"/>
        <v xml:space="preserve"> </v>
      </c>
      <c r="Q26" s="17" t="str">
        <f t="shared" si="5"/>
        <v xml:space="preserve"> </v>
      </c>
      <c r="R26" s="17">
        <f t="shared" si="6"/>
        <v>1.5572519083969465E-2</v>
      </c>
    </row>
    <row r="27" spans="1:18" ht="12.75">
      <c r="A27" s="12">
        <f t="shared" si="0"/>
        <v>26</v>
      </c>
      <c r="B27" s="13" t="s">
        <v>49</v>
      </c>
      <c r="C27" s="14" t="str">
        <f t="array" aca="1" ref="C27" ca="1">INDEX('Rooms Master'!U:U,MATCH(B27,'Rooms Master'!D:D,0))</f>
        <v>Y</v>
      </c>
      <c r="D27" s="15">
        <v>53</v>
      </c>
      <c r="E27" s="15">
        <v>36</v>
      </c>
      <c r="F27" s="15">
        <v>13</v>
      </c>
      <c r="G27" s="16">
        <v>1</v>
      </c>
      <c r="H27" s="15">
        <v>0</v>
      </c>
      <c r="I27" s="15"/>
      <c r="J27" s="15"/>
      <c r="K27" s="15"/>
      <c r="L27" s="1" t="s">
        <v>37</v>
      </c>
      <c r="M27" s="17">
        <f t="shared" si="1"/>
        <v>0.3611111111111111</v>
      </c>
      <c r="N27" s="18">
        <f t="shared" si="2"/>
        <v>0</v>
      </c>
      <c r="O27" s="17" t="str">
        <f t="shared" si="3"/>
        <v xml:space="preserve"> </v>
      </c>
      <c r="P27" s="17" t="str">
        <f t="shared" si="4"/>
        <v xml:space="preserve"> </v>
      </c>
      <c r="Q27" s="17" t="str">
        <f t="shared" si="5"/>
        <v xml:space="preserve"> </v>
      </c>
      <c r="R27" s="17">
        <f t="shared" si="6"/>
        <v>1.0992366412213741E-2</v>
      </c>
    </row>
    <row r="28" spans="1:18" ht="12.75">
      <c r="A28" s="12">
        <f t="shared" si="0"/>
        <v>27</v>
      </c>
      <c r="B28" s="13" t="s">
        <v>50</v>
      </c>
      <c r="C28" s="14" t="str">
        <f t="array" aca="1" ref="C28" ca="1">INDEX('Rooms Master'!U:U,MATCH(B28,'Rooms Master'!D:D,0))</f>
        <v>Y</v>
      </c>
      <c r="D28" s="15">
        <v>55</v>
      </c>
      <c r="E28" s="15">
        <v>37</v>
      </c>
      <c r="F28" s="15">
        <v>13</v>
      </c>
      <c r="G28" s="16">
        <v>3</v>
      </c>
      <c r="H28" s="15">
        <v>0</v>
      </c>
      <c r="I28" s="15"/>
      <c r="J28" s="15"/>
      <c r="K28" s="15"/>
      <c r="L28" s="1" t="s">
        <v>34</v>
      </c>
      <c r="M28" s="17">
        <f t="shared" si="1"/>
        <v>0.35135135135135137</v>
      </c>
      <c r="N28" s="18">
        <f t="shared" si="2"/>
        <v>0</v>
      </c>
      <c r="O28" s="17" t="str">
        <f t="shared" si="3"/>
        <v xml:space="preserve"> </v>
      </c>
      <c r="P28" s="17" t="str">
        <f t="shared" si="4"/>
        <v xml:space="preserve"> </v>
      </c>
      <c r="Q28" s="17" t="str">
        <f t="shared" si="5"/>
        <v xml:space="preserve"> </v>
      </c>
      <c r="R28" s="17">
        <f t="shared" si="6"/>
        <v>1.1297709923664122E-2</v>
      </c>
    </row>
    <row r="29" spans="1:18" ht="12.75">
      <c r="A29" s="12">
        <f t="shared" si="0"/>
        <v>28</v>
      </c>
      <c r="B29" s="13" t="s">
        <v>51</v>
      </c>
      <c r="C29" s="14" t="str">
        <f t="array" aca="1" ref="C29" ca="1">INDEX('Rooms Master'!U:U,MATCH(B29,'Rooms Master'!D:D,0))</f>
        <v>Y</v>
      </c>
      <c r="D29" s="15">
        <v>18</v>
      </c>
      <c r="E29" s="15">
        <v>41</v>
      </c>
      <c r="F29" s="15">
        <v>12</v>
      </c>
      <c r="G29" s="16">
        <v>3</v>
      </c>
      <c r="H29" s="15">
        <v>2</v>
      </c>
      <c r="I29" s="15">
        <v>1</v>
      </c>
      <c r="J29" s="15"/>
      <c r="K29" s="15"/>
      <c r="L29" s="1" t="s">
        <v>20</v>
      </c>
      <c r="M29" s="17">
        <f t="shared" si="1"/>
        <v>0.29268292682926828</v>
      </c>
      <c r="N29" s="18">
        <f t="shared" si="2"/>
        <v>4.878048780487805E-2</v>
      </c>
      <c r="O29" s="17">
        <f t="shared" si="3"/>
        <v>0</v>
      </c>
      <c r="P29" s="17">
        <f t="shared" si="4"/>
        <v>0</v>
      </c>
      <c r="Q29" s="17" t="str">
        <f t="shared" si="5"/>
        <v xml:space="preserve"> </v>
      </c>
      <c r="R29" s="17">
        <f t="shared" si="6"/>
        <v>1.2519083969465649E-2</v>
      </c>
    </row>
    <row r="30" spans="1:18" ht="12.75">
      <c r="A30" s="12">
        <f t="shared" si="0"/>
        <v>29</v>
      </c>
      <c r="B30" s="13" t="s">
        <v>52</v>
      </c>
      <c r="C30" s="14" t="str">
        <f t="array" aca="1" ref="C30" ca="1">INDEX('Rooms Master'!U:U,MATCH(B30,'Rooms Master'!D:D,0))</f>
        <v>Y</v>
      </c>
      <c r="D30" s="15">
        <v>46</v>
      </c>
      <c r="E30" s="15">
        <v>42</v>
      </c>
      <c r="F30" s="15">
        <v>12</v>
      </c>
      <c r="G30" s="16">
        <v>2</v>
      </c>
      <c r="H30" s="15">
        <v>0</v>
      </c>
      <c r="I30" s="15"/>
      <c r="J30" s="15"/>
      <c r="K30" s="15"/>
      <c r="L30" s="1" t="s">
        <v>24</v>
      </c>
      <c r="M30" s="17">
        <f t="shared" si="1"/>
        <v>0.2857142857142857</v>
      </c>
      <c r="N30" s="18">
        <f t="shared" si="2"/>
        <v>0</v>
      </c>
      <c r="O30" s="17" t="str">
        <f t="shared" si="3"/>
        <v xml:space="preserve"> </v>
      </c>
      <c r="P30" s="17" t="str">
        <f t="shared" si="4"/>
        <v xml:space="preserve"> </v>
      </c>
      <c r="Q30" s="17" t="str">
        <f t="shared" si="5"/>
        <v xml:space="preserve"> </v>
      </c>
      <c r="R30" s="17">
        <f t="shared" si="6"/>
        <v>1.282442748091603E-2</v>
      </c>
    </row>
    <row r="31" spans="1:18" ht="12.75">
      <c r="A31" s="12">
        <f t="shared" si="0"/>
        <v>30</v>
      </c>
      <c r="B31" s="1" t="s">
        <v>53</v>
      </c>
      <c r="C31" s="14" t="str">
        <f t="array" aca="1" ref="C31" ca="1">INDEX('Rooms Master'!U:U,MATCH(B31,'Rooms Master'!D:D,0))</f>
        <v>Y</v>
      </c>
      <c r="D31" s="15">
        <v>56</v>
      </c>
      <c r="E31" s="15">
        <v>45</v>
      </c>
      <c r="F31" s="15">
        <v>11</v>
      </c>
      <c r="G31" s="16">
        <v>1</v>
      </c>
      <c r="H31" s="15">
        <v>1</v>
      </c>
      <c r="I31" s="22"/>
      <c r="J31" s="15"/>
      <c r="K31" s="15"/>
      <c r="L31" s="1" t="s">
        <v>20</v>
      </c>
      <c r="M31" s="17">
        <f t="shared" si="1"/>
        <v>0.24444444444444444</v>
      </c>
      <c r="N31" s="18">
        <f t="shared" si="2"/>
        <v>2.2222222222222223E-2</v>
      </c>
      <c r="O31" s="17">
        <f t="shared" si="3"/>
        <v>0</v>
      </c>
      <c r="P31" s="17" t="str">
        <f>IFERROR(K31/I33, " ")</f>
        <v xml:space="preserve"> </v>
      </c>
      <c r="Q31" s="17" t="str">
        <f t="shared" si="5"/>
        <v xml:space="preserve"> </v>
      </c>
      <c r="R31" s="17">
        <f t="shared" si="6"/>
        <v>1.3740458015267175E-2</v>
      </c>
    </row>
    <row r="32" spans="1:18" ht="12.75">
      <c r="A32" s="12">
        <f t="shared" si="0"/>
        <v>31</v>
      </c>
      <c r="B32" s="13" t="s">
        <v>54</v>
      </c>
      <c r="C32" s="14" t="str">
        <f t="array" aca="1" ref="C32" ca="1">INDEX('Rooms Master'!U:U,MATCH(B32,'Rooms Master'!D:D,0))</f>
        <v>N</v>
      </c>
      <c r="D32" s="15">
        <v>1</v>
      </c>
      <c r="E32" s="15">
        <v>40</v>
      </c>
      <c r="F32" s="15">
        <v>10</v>
      </c>
      <c r="G32" s="16">
        <v>1</v>
      </c>
      <c r="H32" s="15">
        <v>3</v>
      </c>
      <c r="I32" s="15">
        <v>1</v>
      </c>
      <c r="J32" s="15"/>
      <c r="K32" s="15">
        <v>1</v>
      </c>
      <c r="L32" s="1" t="s">
        <v>20</v>
      </c>
      <c r="M32" s="17" t="str">
        <f>IFERROR(F32/#REF!, " ")</f>
        <v xml:space="preserve"> </v>
      </c>
      <c r="N32" s="18" t="str">
        <f>IFERROR(H32/#REF!," ")</f>
        <v xml:space="preserve"> </v>
      </c>
      <c r="O32" s="17">
        <f t="shared" si="3"/>
        <v>0.33333333333333331</v>
      </c>
      <c r="P32" s="17">
        <f t="shared" ref="P32:P44" si="7">IFERROR(K32/I32, " ")</f>
        <v>1</v>
      </c>
      <c r="Q32" s="17" t="str">
        <f t="shared" si="5"/>
        <v xml:space="preserve"> </v>
      </c>
      <c r="R32" s="17">
        <f t="shared" si="6"/>
        <v>1.2213740458015267E-2</v>
      </c>
    </row>
    <row r="33" spans="1:18" ht="12.75">
      <c r="A33" s="12">
        <f t="shared" si="0"/>
        <v>32</v>
      </c>
      <c r="B33" s="13" t="s">
        <v>55</v>
      </c>
      <c r="C33" s="14" t="str">
        <f t="array" aca="1" ref="C33" ca="1">INDEX('Rooms Master'!U:U,MATCH(B33,'Rooms Master'!D:D,0))</f>
        <v>Y</v>
      </c>
      <c r="D33" s="15">
        <v>19</v>
      </c>
      <c r="E33" s="15">
        <v>56</v>
      </c>
      <c r="F33" s="15">
        <v>10</v>
      </c>
      <c r="G33" s="16">
        <v>3</v>
      </c>
      <c r="H33" s="15">
        <v>3</v>
      </c>
      <c r="I33" s="15"/>
      <c r="J33" s="15"/>
      <c r="K33" s="15"/>
      <c r="L33" s="1" t="s">
        <v>24</v>
      </c>
      <c r="M33" s="17">
        <f t="shared" ref="M33:M37" si="8">IFERROR(F33/E33, " ")</f>
        <v>0.17857142857142858</v>
      </c>
      <c r="N33" s="18">
        <f t="shared" ref="N33:N37" si="9">IFERROR(H33/E33," ")</f>
        <v>5.3571428571428568E-2</v>
      </c>
      <c r="O33" s="17">
        <f t="shared" si="3"/>
        <v>0</v>
      </c>
      <c r="P33" s="17" t="str">
        <f t="shared" si="7"/>
        <v xml:space="preserve"> </v>
      </c>
      <c r="Q33" s="17" t="str">
        <f t="shared" si="5"/>
        <v xml:space="preserve"> </v>
      </c>
      <c r="R33" s="17">
        <f t="shared" si="6"/>
        <v>1.7099236641221375E-2</v>
      </c>
    </row>
    <row r="34" spans="1:18" ht="12.75">
      <c r="A34" s="12">
        <f t="shared" si="0"/>
        <v>33</v>
      </c>
      <c r="B34" s="13" t="s">
        <v>56</v>
      </c>
      <c r="C34" s="14" t="str">
        <f t="array" aca="1" ref="C34" ca="1">INDEX('Rooms Master'!U:U,MATCH(B34,'Rooms Master'!D:D,0))</f>
        <v>Y</v>
      </c>
      <c r="D34" s="15">
        <v>24</v>
      </c>
      <c r="E34" s="15">
        <v>22</v>
      </c>
      <c r="F34" s="15">
        <v>10</v>
      </c>
      <c r="G34" s="16">
        <v>1</v>
      </c>
      <c r="H34" s="15">
        <v>0</v>
      </c>
      <c r="I34" s="15"/>
      <c r="J34" s="15"/>
      <c r="K34" s="15"/>
      <c r="L34" s="1" t="s">
        <v>37</v>
      </c>
      <c r="M34" s="17">
        <f t="shared" si="8"/>
        <v>0.45454545454545453</v>
      </c>
      <c r="N34" s="18">
        <f t="shared" si="9"/>
        <v>0</v>
      </c>
      <c r="O34" s="17" t="str">
        <f t="shared" si="3"/>
        <v xml:space="preserve"> </v>
      </c>
      <c r="P34" s="17" t="str">
        <f t="shared" si="7"/>
        <v xml:space="preserve"> </v>
      </c>
      <c r="Q34" s="17" t="str">
        <f t="shared" si="5"/>
        <v xml:space="preserve"> </v>
      </c>
      <c r="R34" s="17">
        <f t="shared" si="6"/>
        <v>6.7175572519083968E-3</v>
      </c>
    </row>
    <row r="35" spans="1:18" ht="13.5">
      <c r="A35" s="21">
        <v>1</v>
      </c>
      <c r="B35" s="13" t="s">
        <v>57</v>
      </c>
      <c r="C35" s="14" t="str">
        <f t="array" aca="1" ref="C35" ca="1">INDEX('Rooms Master'!U:U,MATCH(B35,'Rooms Master'!D:D,0))</f>
        <v>Y</v>
      </c>
      <c r="D35" s="15">
        <v>42</v>
      </c>
      <c r="E35" s="15">
        <v>29</v>
      </c>
      <c r="F35" s="15">
        <v>10</v>
      </c>
      <c r="G35" s="16">
        <v>3</v>
      </c>
      <c r="H35" s="15">
        <v>0</v>
      </c>
      <c r="I35" s="15"/>
      <c r="J35" s="15"/>
      <c r="K35" s="15">
        <v>1</v>
      </c>
      <c r="L35" s="23" t="str">
        <f t="array" aca="1" ref="L35" ca="1">INDEX('Rooms Master'!P:P,MATCH(B35,'Rooms Master'!D:D,0))</f>
        <v>April</v>
      </c>
      <c r="M35" s="17">
        <f t="shared" si="8"/>
        <v>0.34482758620689657</v>
      </c>
      <c r="N35" s="18">
        <f t="shared" si="9"/>
        <v>0</v>
      </c>
      <c r="O35" s="24" t="str">
        <f t="shared" si="3"/>
        <v xml:space="preserve"> </v>
      </c>
      <c r="P35" s="18" t="str">
        <f t="shared" si="7"/>
        <v xml:space="preserve"> </v>
      </c>
      <c r="Q35" s="18" t="str">
        <f t="shared" si="5"/>
        <v xml:space="preserve"> </v>
      </c>
      <c r="R35" s="17">
        <f t="shared" si="6"/>
        <v>8.8549618320610691E-3</v>
      </c>
    </row>
    <row r="36" spans="1:18" ht="12.75">
      <c r="A36" s="12">
        <f t="shared" ref="A36:A116" si="10">A35+1</f>
        <v>2</v>
      </c>
      <c r="B36" s="13" t="s">
        <v>58</v>
      </c>
      <c r="C36" s="14" t="str">
        <f t="array" aca="1" ref="C36" ca="1">INDEX('Rooms Master'!U:U,MATCH(B36,'Rooms Master'!D:D,0))</f>
        <v>Y</v>
      </c>
      <c r="D36" s="15">
        <v>26</v>
      </c>
      <c r="E36" s="15">
        <v>60</v>
      </c>
      <c r="F36" s="15">
        <v>9</v>
      </c>
      <c r="G36" s="16">
        <v>1</v>
      </c>
      <c r="H36" s="15">
        <v>2</v>
      </c>
      <c r="I36" s="15"/>
      <c r="J36" s="15"/>
      <c r="K36" s="15"/>
      <c r="L36" s="1" t="s">
        <v>20</v>
      </c>
      <c r="M36" s="17">
        <f t="shared" si="8"/>
        <v>0.15</v>
      </c>
      <c r="N36" s="18">
        <f t="shared" si="9"/>
        <v>3.3333333333333333E-2</v>
      </c>
      <c r="O36" s="17">
        <f t="shared" si="3"/>
        <v>0</v>
      </c>
      <c r="P36" s="17" t="str">
        <f t="shared" si="7"/>
        <v xml:space="preserve"> </v>
      </c>
      <c r="Q36" s="17" t="str">
        <f t="shared" si="5"/>
        <v xml:space="preserve"> </v>
      </c>
      <c r="R36" s="17">
        <f t="shared" si="6"/>
        <v>1.8320610687022901E-2</v>
      </c>
    </row>
    <row r="37" spans="1:18" ht="12.75">
      <c r="A37" s="12">
        <f t="shared" si="10"/>
        <v>3</v>
      </c>
      <c r="B37" s="13" t="s">
        <v>59</v>
      </c>
      <c r="C37" s="14" t="str">
        <f t="array" aca="1" ref="C37" ca="1">INDEX('Rooms Master'!U:U,MATCH(B37,'Rooms Master'!D:D,0))</f>
        <v>Y</v>
      </c>
      <c r="D37" s="15">
        <v>51</v>
      </c>
      <c r="E37" s="15">
        <v>23</v>
      </c>
      <c r="F37" s="15">
        <v>9</v>
      </c>
      <c r="G37" s="16">
        <v>2</v>
      </c>
      <c r="H37" s="15">
        <v>2</v>
      </c>
      <c r="I37" s="15"/>
      <c r="J37" s="15"/>
      <c r="K37" s="15"/>
      <c r="L37" s="1" t="s">
        <v>34</v>
      </c>
      <c r="M37" s="17">
        <f t="shared" si="8"/>
        <v>0.39130434782608697</v>
      </c>
      <c r="N37" s="18">
        <f t="shared" si="9"/>
        <v>8.6956521739130432E-2</v>
      </c>
      <c r="O37" s="17">
        <f t="shared" si="3"/>
        <v>0</v>
      </c>
      <c r="P37" s="17" t="str">
        <f t="shared" si="7"/>
        <v xml:space="preserve"> </v>
      </c>
      <c r="Q37" s="17" t="str">
        <f t="shared" si="5"/>
        <v xml:space="preserve"> </v>
      </c>
      <c r="R37" s="17">
        <f t="shared" si="6"/>
        <v>7.0229007633587784E-3</v>
      </c>
    </row>
    <row r="38" spans="1:18" ht="12.75">
      <c r="A38" s="12">
        <f t="shared" si="10"/>
        <v>4</v>
      </c>
      <c r="B38" s="13" t="s">
        <v>60</v>
      </c>
      <c r="C38" s="14" t="str">
        <f t="array" aca="1" ref="C38" ca="1">INDEX('Rooms Master'!U:U,MATCH(B38,'Rooms Master'!D:D,0))</f>
        <v>Y</v>
      </c>
      <c r="D38" s="15">
        <v>5</v>
      </c>
      <c r="E38" s="22">
        <v>45</v>
      </c>
      <c r="F38" s="15">
        <v>8</v>
      </c>
      <c r="G38" s="16">
        <v>3</v>
      </c>
      <c r="H38" s="15">
        <v>3</v>
      </c>
      <c r="I38" s="15"/>
      <c r="J38" s="15"/>
      <c r="K38" s="15"/>
      <c r="L38" s="1" t="s">
        <v>20</v>
      </c>
      <c r="M38" s="17">
        <f>IFERROR(F38/E39, " ")</f>
        <v>0.15094339622641509</v>
      </c>
      <c r="N38" s="18">
        <f>IFERROR(H38/E39," ")</f>
        <v>5.6603773584905662E-2</v>
      </c>
      <c r="O38" s="17">
        <f t="shared" si="3"/>
        <v>0</v>
      </c>
      <c r="P38" s="17" t="str">
        <f t="shared" si="7"/>
        <v xml:space="preserve"> </v>
      </c>
      <c r="Q38" s="17" t="str">
        <f t="shared" si="5"/>
        <v xml:space="preserve"> </v>
      </c>
      <c r="R38" s="17">
        <f>IFERROR(E39/$E$118," ")</f>
        <v>1.618320610687023E-2</v>
      </c>
    </row>
    <row r="39" spans="1:18" ht="12.75">
      <c r="A39" s="12">
        <f t="shared" si="10"/>
        <v>5</v>
      </c>
      <c r="B39" s="13" t="s">
        <v>61</v>
      </c>
      <c r="C39" s="14" t="str">
        <f t="array" aca="1" ref="C39" ca="1">INDEX('Rooms Master'!U:U,MATCH(B39,'Rooms Master'!D:D,0))</f>
        <v>Y</v>
      </c>
      <c r="D39" s="15">
        <v>37</v>
      </c>
      <c r="E39" s="15">
        <v>53</v>
      </c>
      <c r="F39" s="15">
        <v>8</v>
      </c>
      <c r="G39" s="16">
        <v>1</v>
      </c>
      <c r="H39" s="15">
        <v>0</v>
      </c>
      <c r="I39" s="15"/>
      <c r="J39" s="15"/>
      <c r="K39" s="15"/>
      <c r="L39" s="1" t="s">
        <v>20</v>
      </c>
      <c r="M39" s="17">
        <f t="shared" ref="M39:M45" si="11">IFERROR(F39/E39, " ")</f>
        <v>0.15094339622641509</v>
      </c>
      <c r="N39" s="18">
        <f t="shared" ref="N39:N45" si="12">IFERROR(H39/E39," ")</f>
        <v>0</v>
      </c>
      <c r="O39" s="17" t="str">
        <f t="shared" si="3"/>
        <v xml:space="preserve"> </v>
      </c>
      <c r="P39" s="17" t="str">
        <f t="shared" si="7"/>
        <v xml:space="preserve"> </v>
      </c>
      <c r="Q39" s="17" t="str">
        <f t="shared" si="5"/>
        <v xml:space="preserve"> </v>
      </c>
      <c r="R39" s="17">
        <f t="shared" ref="R39:R45" si="13">IFERROR(E39/$E$118," ")</f>
        <v>1.618320610687023E-2</v>
      </c>
    </row>
    <row r="40" spans="1:18" ht="12.75">
      <c r="A40" s="12">
        <f t="shared" si="10"/>
        <v>6</v>
      </c>
      <c r="B40" s="13" t="s">
        <v>62</v>
      </c>
      <c r="C40" s="14" t="str">
        <f t="array" aca="1" ref="C40" ca="1">INDEX('Rooms Master'!U:U,MATCH(B40,'Rooms Master'!D:D,0))</f>
        <v>N</v>
      </c>
      <c r="D40" s="15">
        <v>37</v>
      </c>
      <c r="E40" s="15">
        <v>31</v>
      </c>
      <c r="F40" s="15">
        <v>8</v>
      </c>
      <c r="G40" s="16">
        <v>2</v>
      </c>
      <c r="H40" s="15">
        <v>0</v>
      </c>
      <c r="I40" s="15">
        <v>1</v>
      </c>
      <c r="J40" s="15"/>
      <c r="K40" s="15"/>
      <c r="L40" s="1" t="s">
        <v>20</v>
      </c>
      <c r="M40" s="17">
        <f t="shared" si="11"/>
        <v>0.25806451612903225</v>
      </c>
      <c r="N40" s="18">
        <f t="shared" si="12"/>
        <v>0</v>
      </c>
      <c r="O40" s="17" t="str">
        <f t="shared" si="3"/>
        <v xml:space="preserve"> </v>
      </c>
      <c r="P40" s="18">
        <f t="shared" si="7"/>
        <v>0</v>
      </c>
      <c r="Q40" s="18" t="str">
        <f t="shared" si="5"/>
        <v xml:space="preserve"> </v>
      </c>
      <c r="R40" s="17">
        <f t="shared" si="13"/>
        <v>9.4656488549618324E-3</v>
      </c>
    </row>
    <row r="41" spans="1:18" ht="12.75">
      <c r="A41" s="12">
        <f t="shared" si="10"/>
        <v>7</v>
      </c>
      <c r="B41" s="13" t="s">
        <v>63</v>
      </c>
      <c r="C41" s="14" t="str">
        <f t="array" aca="1" ref="C41" ca="1">INDEX('Rooms Master'!U:U,MATCH(B41,'Rooms Master'!D:D,0))</f>
        <v>Y</v>
      </c>
      <c r="D41" s="15">
        <v>39</v>
      </c>
      <c r="E41" s="15">
        <v>44</v>
      </c>
      <c r="F41" s="15">
        <v>8</v>
      </c>
      <c r="G41" s="16">
        <v>3</v>
      </c>
      <c r="H41" s="15">
        <v>2</v>
      </c>
      <c r="I41" s="15"/>
      <c r="J41" s="15"/>
      <c r="K41" s="15"/>
      <c r="L41" s="1" t="s">
        <v>64</v>
      </c>
      <c r="M41" s="17">
        <f t="shared" si="11"/>
        <v>0.18181818181818182</v>
      </c>
      <c r="N41" s="18">
        <f t="shared" si="12"/>
        <v>4.5454545454545456E-2</v>
      </c>
      <c r="O41" s="17">
        <f t="shared" si="3"/>
        <v>0</v>
      </c>
      <c r="P41" s="17" t="str">
        <f t="shared" si="7"/>
        <v xml:space="preserve"> </v>
      </c>
      <c r="Q41" s="17" t="str">
        <f t="shared" si="5"/>
        <v xml:space="preserve"> </v>
      </c>
      <c r="R41" s="17">
        <f t="shared" si="13"/>
        <v>1.3435114503816794E-2</v>
      </c>
    </row>
    <row r="42" spans="1:18" ht="12.75">
      <c r="A42" s="12">
        <f t="shared" si="10"/>
        <v>8</v>
      </c>
      <c r="B42" s="13" t="s">
        <v>65</v>
      </c>
      <c r="C42" s="14" t="str">
        <f t="array" aca="1" ref="C42" ca="1">INDEX('Rooms Master'!U:U,MATCH(B42,'Rooms Master'!D:D,0))</f>
        <v>Y</v>
      </c>
      <c r="D42" s="15">
        <v>52</v>
      </c>
      <c r="E42" s="15">
        <v>31</v>
      </c>
      <c r="F42" s="15">
        <v>8</v>
      </c>
      <c r="G42" s="16">
        <v>1</v>
      </c>
      <c r="H42" s="15">
        <v>0</v>
      </c>
      <c r="I42" s="15"/>
      <c r="J42" s="15"/>
      <c r="K42" s="15"/>
      <c r="L42" s="1" t="s">
        <v>20</v>
      </c>
      <c r="M42" s="17">
        <f t="shared" si="11"/>
        <v>0.25806451612903225</v>
      </c>
      <c r="N42" s="18">
        <f t="shared" si="12"/>
        <v>0</v>
      </c>
      <c r="O42" s="17" t="str">
        <f t="shared" si="3"/>
        <v xml:space="preserve"> </v>
      </c>
      <c r="P42" s="17" t="str">
        <f t="shared" si="7"/>
        <v xml:space="preserve"> </v>
      </c>
      <c r="Q42" s="17" t="str">
        <f t="shared" si="5"/>
        <v xml:space="preserve"> </v>
      </c>
      <c r="R42" s="17">
        <f t="shared" si="13"/>
        <v>9.4656488549618324E-3</v>
      </c>
    </row>
    <row r="43" spans="1:18" ht="12.75">
      <c r="A43" s="12">
        <f t="shared" si="10"/>
        <v>9</v>
      </c>
      <c r="B43" s="13" t="s">
        <v>66</v>
      </c>
      <c r="C43" s="14" t="str">
        <f t="array" aca="1" ref="C43" ca="1">INDEX('Rooms Master'!U:U,MATCH(B43,'Rooms Master'!D:D,0))</f>
        <v>Y</v>
      </c>
      <c r="D43" s="15">
        <v>54</v>
      </c>
      <c r="E43" s="15">
        <v>30</v>
      </c>
      <c r="F43" s="15">
        <v>8</v>
      </c>
      <c r="G43" s="16">
        <v>1</v>
      </c>
      <c r="H43" s="15">
        <v>0</v>
      </c>
      <c r="I43" s="15"/>
      <c r="J43" s="15"/>
      <c r="K43" s="15"/>
      <c r="L43" s="1" t="s">
        <v>34</v>
      </c>
      <c r="M43" s="17">
        <f t="shared" si="11"/>
        <v>0.26666666666666666</v>
      </c>
      <c r="N43" s="18">
        <f t="shared" si="12"/>
        <v>0</v>
      </c>
      <c r="O43" s="17" t="str">
        <f t="shared" si="3"/>
        <v xml:space="preserve"> </v>
      </c>
      <c r="P43" s="17" t="str">
        <f t="shared" si="7"/>
        <v xml:space="preserve"> </v>
      </c>
      <c r="Q43" s="17" t="str">
        <f t="shared" si="5"/>
        <v xml:space="preserve"> </v>
      </c>
      <c r="R43" s="17">
        <f t="shared" si="13"/>
        <v>9.1603053435114507E-3</v>
      </c>
    </row>
    <row r="44" spans="1:18" ht="12.75">
      <c r="A44" s="12">
        <f t="shared" si="10"/>
        <v>10</v>
      </c>
      <c r="B44" s="13" t="s">
        <v>67</v>
      </c>
      <c r="C44" s="14" t="str">
        <f t="array" aca="1" ref="C44" ca="1">INDEX('Rooms Master'!U:U,MATCH(B44,'Rooms Master'!D:D,0))</f>
        <v>Y</v>
      </c>
      <c r="D44" s="15">
        <v>9</v>
      </c>
      <c r="E44" s="15">
        <v>40</v>
      </c>
      <c r="F44" s="15">
        <v>7</v>
      </c>
      <c r="G44" s="16">
        <v>6</v>
      </c>
      <c r="H44" s="15">
        <v>0</v>
      </c>
      <c r="I44" s="15"/>
      <c r="J44" s="15"/>
      <c r="K44" s="15"/>
      <c r="L44" s="21" t="s">
        <v>20</v>
      </c>
      <c r="M44" s="17">
        <f t="shared" si="11"/>
        <v>0.17499999999999999</v>
      </c>
      <c r="N44" s="18">
        <f t="shared" si="12"/>
        <v>0</v>
      </c>
      <c r="O44" s="17" t="str">
        <f t="shared" si="3"/>
        <v xml:space="preserve"> </v>
      </c>
      <c r="P44" s="17" t="str">
        <f t="shared" si="7"/>
        <v xml:space="preserve"> </v>
      </c>
      <c r="Q44" s="17" t="str">
        <f t="shared" si="5"/>
        <v xml:space="preserve"> </v>
      </c>
      <c r="R44" s="17">
        <f t="shared" si="13"/>
        <v>1.2213740458015267E-2</v>
      </c>
    </row>
    <row r="45" spans="1:18" ht="12.75">
      <c r="A45" s="12">
        <f t="shared" si="10"/>
        <v>11</v>
      </c>
      <c r="B45" s="13" t="s">
        <v>68</v>
      </c>
      <c r="C45" s="14" t="str">
        <f t="array" aca="1" ref="C45" ca="1">INDEX('Rooms Master'!U:U,MATCH(B45,'Rooms Master'!D:D,0))</f>
        <v>Y</v>
      </c>
      <c r="D45" s="15">
        <v>12</v>
      </c>
      <c r="E45" s="15">
        <v>40</v>
      </c>
      <c r="F45" s="15">
        <v>7</v>
      </c>
      <c r="G45" s="16">
        <v>4</v>
      </c>
      <c r="H45" s="15">
        <v>0</v>
      </c>
      <c r="I45" s="15"/>
      <c r="J45" s="15"/>
      <c r="K45" s="15"/>
      <c r="L45" s="1" t="s">
        <v>20</v>
      </c>
      <c r="M45" s="17">
        <f t="shared" si="11"/>
        <v>0.17499999999999999</v>
      </c>
      <c r="N45" s="18">
        <f t="shared" si="12"/>
        <v>0</v>
      </c>
      <c r="O45" s="17" t="str">
        <f t="shared" si="3"/>
        <v xml:space="preserve"> </v>
      </c>
      <c r="P45" s="17" t="str">
        <f>IFERROR(K45/I47, " ")</f>
        <v xml:space="preserve"> </v>
      </c>
      <c r="Q45" s="17" t="str">
        <f t="shared" si="5"/>
        <v xml:space="preserve"> </v>
      </c>
      <c r="R45" s="17">
        <f t="shared" si="13"/>
        <v>1.2213740458015267E-2</v>
      </c>
    </row>
    <row r="46" spans="1:18" ht="12.75">
      <c r="A46" s="12">
        <f t="shared" si="10"/>
        <v>12</v>
      </c>
      <c r="B46" s="13" t="s">
        <v>69</v>
      </c>
      <c r="C46" s="14" t="str">
        <f t="array" aca="1" ref="C46" ca="1">INDEX('Rooms Master'!U:U,MATCH(B46,'Rooms Master'!D:D,0))</f>
        <v>Y</v>
      </c>
      <c r="D46" s="15">
        <v>16</v>
      </c>
      <c r="E46" s="22">
        <v>27</v>
      </c>
      <c r="F46" s="15">
        <v>7</v>
      </c>
      <c r="G46" s="16">
        <v>2</v>
      </c>
      <c r="H46" s="15">
        <v>0</v>
      </c>
      <c r="I46" s="15"/>
      <c r="J46" s="15"/>
      <c r="K46" s="15"/>
      <c r="L46" s="1" t="s">
        <v>20</v>
      </c>
      <c r="M46" s="17">
        <f>IFERROR(F46/E47, " ")</f>
        <v>0.36842105263157893</v>
      </c>
      <c r="N46" s="18">
        <f>IFERROR(H46/E47," ")</f>
        <v>0</v>
      </c>
      <c r="O46" s="17" t="str">
        <f t="shared" si="3"/>
        <v xml:space="preserve"> </v>
      </c>
      <c r="P46" s="17" t="str">
        <f t="shared" ref="P46:P58" si="14">IFERROR(K46/I46, " ")</f>
        <v xml:space="preserve"> </v>
      </c>
      <c r="Q46" s="17" t="str">
        <f t="shared" si="5"/>
        <v xml:space="preserve"> </v>
      </c>
      <c r="R46" s="17">
        <f>IFERROR(E47/$E$118," ")</f>
        <v>5.8015267175572519E-3</v>
      </c>
    </row>
    <row r="47" spans="1:18" ht="12.75">
      <c r="A47" s="12">
        <f t="shared" si="10"/>
        <v>13</v>
      </c>
      <c r="B47" s="13" t="s">
        <v>70</v>
      </c>
      <c r="C47" s="14" t="str">
        <f t="array" aca="1" ref="C47" ca="1">INDEX('Rooms Master'!U:U,MATCH(B47,'Rooms Master'!D:D,0))</f>
        <v>N</v>
      </c>
      <c r="D47" s="15">
        <v>30</v>
      </c>
      <c r="E47" s="15">
        <v>19</v>
      </c>
      <c r="F47" s="15">
        <v>7</v>
      </c>
      <c r="G47" s="16">
        <v>1</v>
      </c>
      <c r="H47" s="15">
        <v>0</v>
      </c>
      <c r="I47" s="15"/>
      <c r="J47" s="15">
        <v>1</v>
      </c>
      <c r="K47" s="15">
        <v>1</v>
      </c>
      <c r="L47" s="1" t="s">
        <v>20</v>
      </c>
      <c r="M47" s="17">
        <f t="shared" ref="M47:M63" si="15">IFERROR(F47/E47, " ")</f>
        <v>0.36842105263157893</v>
      </c>
      <c r="N47" s="18">
        <f t="shared" ref="N47:N59" si="16">IFERROR(H47/E47," ")</f>
        <v>0</v>
      </c>
      <c r="O47" s="17" t="str">
        <f t="shared" si="3"/>
        <v xml:space="preserve"> </v>
      </c>
      <c r="P47" s="17" t="str">
        <f t="shared" si="14"/>
        <v xml:space="preserve"> </v>
      </c>
      <c r="Q47" s="17">
        <f t="shared" si="5"/>
        <v>1</v>
      </c>
      <c r="R47" s="17">
        <f t="shared" ref="R47:R63" si="17">IFERROR(E47/$E$118," ")</f>
        <v>5.8015267175572519E-3</v>
      </c>
    </row>
    <row r="48" spans="1:18" ht="12.75">
      <c r="A48" s="12">
        <f t="shared" si="10"/>
        <v>14</v>
      </c>
      <c r="B48" s="13" t="s">
        <v>71</v>
      </c>
      <c r="C48" s="14" t="str">
        <f t="array" aca="1" ref="C48" ca="1">INDEX('Rooms Master'!U:U,MATCH(B48,'Rooms Master'!D:D,0))</f>
        <v>Y</v>
      </c>
      <c r="D48" s="15">
        <v>67</v>
      </c>
      <c r="E48" s="15">
        <v>38</v>
      </c>
      <c r="F48" s="15">
        <v>7</v>
      </c>
      <c r="G48" s="16">
        <v>3</v>
      </c>
      <c r="H48" s="15">
        <v>3</v>
      </c>
      <c r="I48" s="15"/>
      <c r="J48" s="15"/>
      <c r="K48" s="15"/>
      <c r="L48" s="1" t="s">
        <v>20</v>
      </c>
      <c r="M48" s="17">
        <f t="shared" si="15"/>
        <v>0.18421052631578946</v>
      </c>
      <c r="N48" s="18">
        <f t="shared" si="16"/>
        <v>7.8947368421052627E-2</v>
      </c>
      <c r="O48" s="17">
        <f t="shared" si="3"/>
        <v>0</v>
      </c>
      <c r="P48" s="17" t="str">
        <f t="shared" si="14"/>
        <v xml:space="preserve"> </v>
      </c>
      <c r="Q48" s="17" t="str">
        <f t="shared" si="5"/>
        <v xml:space="preserve"> </v>
      </c>
      <c r="R48" s="17">
        <f t="shared" si="17"/>
        <v>1.1603053435114504E-2</v>
      </c>
    </row>
    <row r="49" spans="1:18" ht="12.75">
      <c r="A49" s="12">
        <f t="shared" si="10"/>
        <v>15</v>
      </c>
      <c r="B49" s="13" t="s">
        <v>72</v>
      </c>
      <c r="C49" s="14" t="str">
        <f t="array" aca="1" ref="C49" ca="1">INDEX('Rooms Master'!U:U,MATCH(B49,'Rooms Master'!D:D,0))</f>
        <v>N</v>
      </c>
      <c r="D49" s="15"/>
      <c r="E49" s="15">
        <v>20</v>
      </c>
      <c r="F49" s="15">
        <v>7</v>
      </c>
      <c r="G49" s="16">
        <v>1</v>
      </c>
      <c r="H49" s="15">
        <v>0</v>
      </c>
      <c r="I49" s="15"/>
      <c r="J49" s="15"/>
      <c r="K49" s="15"/>
      <c r="M49" s="17">
        <f t="shared" si="15"/>
        <v>0.35</v>
      </c>
      <c r="N49" s="18">
        <f t="shared" si="16"/>
        <v>0</v>
      </c>
      <c r="O49" s="17" t="str">
        <f t="shared" si="3"/>
        <v xml:space="preserve"> </v>
      </c>
      <c r="P49" s="17" t="str">
        <f t="shared" si="14"/>
        <v xml:space="preserve"> </v>
      </c>
      <c r="Q49" s="17" t="str">
        <f t="shared" si="5"/>
        <v xml:space="preserve"> </v>
      </c>
      <c r="R49" s="17">
        <f t="shared" si="17"/>
        <v>6.1068702290076335E-3</v>
      </c>
    </row>
    <row r="50" spans="1:18" ht="12.75">
      <c r="A50" s="12">
        <f t="shared" si="10"/>
        <v>16</v>
      </c>
      <c r="B50" s="13" t="s">
        <v>73</v>
      </c>
      <c r="C50" s="14" t="str">
        <f t="array" aca="1" ref="C50" ca="1">INDEX('Rooms Master'!U:U,MATCH(B50,'Rooms Master'!D:D,0))</f>
        <v>Y</v>
      </c>
      <c r="D50" s="15">
        <v>21</v>
      </c>
      <c r="E50" s="15">
        <v>24</v>
      </c>
      <c r="F50" s="15">
        <v>6</v>
      </c>
      <c r="G50" s="16">
        <v>1</v>
      </c>
      <c r="H50" s="15">
        <v>0</v>
      </c>
      <c r="I50" s="15"/>
      <c r="J50" s="15"/>
      <c r="K50" s="15"/>
      <c r="L50" s="1" t="s">
        <v>20</v>
      </c>
      <c r="M50" s="17">
        <f t="shared" si="15"/>
        <v>0.25</v>
      </c>
      <c r="N50" s="18">
        <f t="shared" si="16"/>
        <v>0</v>
      </c>
      <c r="O50" s="17" t="str">
        <f t="shared" si="3"/>
        <v xml:space="preserve"> </v>
      </c>
      <c r="P50" s="17" t="str">
        <f t="shared" si="14"/>
        <v xml:space="preserve"> </v>
      </c>
      <c r="Q50" s="17" t="str">
        <f t="shared" si="5"/>
        <v xml:space="preserve"> </v>
      </c>
      <c r="R50" s="17">
        <f t="shared" si="17"/>
        <v>7.3282442748091601E-3</v>
      </c>
    </row>
    <row r="51" spans="1:18" ht="12.75">
      <c r="A51" s="12">
        <f t="shared" si="10"/>
        <v>17</v>
      </c>
      <c r="B51" s="13" t="s">
        <v>74</v>
      </c>
      <c r="C51" s="14" t="str">
        <f t="array" aca="1" ref="C51" ca="1">INDEX('Rooms Master'!U:U,MATCH(B51,'Rooms Master'!D:D,0))</f>
        <v>Y</v>
      </c>
      <c r="D51" s="15">
        <v>57</v>
      </c>
      <c r="E51" s="15">
        <v>13</v>
      </c>
      <c r="F51" s="15">
        <v>6</v>
      </c>
      <c r="G51" s="16">
        <v>3</v>
      </c>
      <c r="H51" s="15">
        <v>2</v>
      </c>
      <c r="I51" s="15"/>
      <c r="J51" s="15"/>
      <c r="K51" s="15"/>
      <c r="L51" s="1" t="s">
        <v>20</v>
      </c>
      <c r="M51" s="17">
        <f t="shared" si="15"/>
        <v>0.46153846153846156</v>
      </c>
      <c r="N51" s="18">
        <f t="shared" si="16"/>
        <v>0.15384615384615385</v>
      </c>
      <c r="O51" s="17">
        <f t="shared" si="3"/>
        <v>0</v>
      </c>
      <c r="P51" s="17" t="str">
        <f t="shared" si="14"/>
        <v xml:space="preserve"> </v>
      </c>
      <c r="Q51" s="17" t="str">
        <f t="shared" si="5"/>
        <v xml:space="preserve"> </v>
      </c>
      <c r="R51" s="17">
        <f t="shared" si="17"/>
        <v>3.9694656488549621E-3</v>
      </c>
    </row>
    <row r="52" spans="1:18" ht="12.75">
      <c r="A52" s="12">
        <f t="shared" si="10"/>
        <v>18</v>
      </c>
      <c r="B52" s="13" t="s">
        <v>75</v>
      </c>
      <c r="C52" s="14" t="str">
        <f t="array" aca="1" ref="C52" ca="1">INDEX('Rooms Master'!U:U,MATCH(B52,'Rooms Master'!D:D,0))</f>
        <v>N</v>
      </c>
      <c r="D52" s="14"/>
      <c r="E52" s="15">
        <v>6</v>
      </c>
      <c r="F52" s="15">
        <v>6</v>
      </c>
      <c r="G52" s="16">
        <v>0</v>
      </c>
      <c r="H52" s="15">
        <v>0</v>
      </c>
      <c r="I52" s="15"/>
      <c r="J52" s="15"/>
      <c r="K52" s="15"/>
      <c r="L52" s="1" t="s">
        <v>24</v>
      </c>
      <c r="M52" s="17">
        <f t="shared" si="15"/>
        <v>1</v>
      </c>
      <c r="N52" s="18">
        <f t="shared" si="16"/>
        <v>0</v>
      </c>
      <c r="O52" s="17" t="str">
        <f t="shared" si="3"/>
        <v xml:space="preserve"> </v>
      </c>
      <c r="P52" s="17" t="str">
        <f t="shared" si="14"/>
        <v xml:space="preserve"> </v>
      </c>
      <c r="Q52" s="17" t="str">
        <f t="shared" si="5"/>
        <v xml:space="preserve"> </v>
      </c>
      <c r="R52" s="17">
        <f t="shared" si="17"/>
        <v>1.83206106870229E-3</v>
      </c>
    </row>
    <row r="53" spans="1:18" ht="12.75">
      <c r="A53" s="12">
        <f t="shared" si="10"/>
        <v>19</v>
      </c>
      <c r="B53" s="13" t="s">
        <v>76</v>
      </c>
      <c r="C53" s="14" t="str">
        <f t="array" aca="1" ref="C53" ca="1">INDEX('Rooms Master'!U:U,MATCH(B53,'Rooms Master'!D:D,0))</f>
        <v>N</v>
      </c>
      <c r="D53" s="15"/>
      <c r="E53" s="15">
        <v>7</v>
      </c>
      <c r="F53" s="15">
        <v>6</v>
      </c>
      <c r="G53" s="16">
        <v>2</v>
      </c>
      <c r="H53" s="15">
        <v>0</v>
      </c>
      <c r="I53" s="15"/>
      <c r="J53" s="15"/>
      <c r="K53" s="15"/>
      <c r="L53" s="1" t="s">
        <v>34</v>
      </c>
      <c r="M53" s="17">
        <f t="shared" si="15"/>
        <v>0.8571428571428571</v>
      </c>
      <c r="N53" s="18">
        <f t="shared" si="16"/>
        <v>0</v>
      </c>
      <c r="O53" s="17" t="str">
        <f t="shared" si="3"/>
        <v xml:space="preserve"> </v>
      </c>
      <c r="P53" s="17" t="str">
        <f t="shared" si="14"/>
        <v xml:space="preserve"> </v>
      </c>
      <c r="Q53" s="17" t="str">
        <f t="shared" si="5"/>
        <v xml:space="preserve"> </v>
      </c>
      <c r="R53" s="17">
        <f t="shared" si="17"/>
        <v>2.1374045801526719E-3</v>
      </c>
    </row>
    <row r="54" spans="1:18" ht="12.75">
      <c r="A54" s="12">
        <f t="shared" si="10"/>
        <v>20</v>
      </c>
      <c r="B54" s="13" t="s">
        <v>77</v>
      </c>
      <c r="C54" s="14" t="str">
        <f t="array" aca="1" ref="C54" ca="1">INDEX('Rooms Master'!U:U,MATCH(B54,'Rooms Master'!D:D,0))</f>
        <v>N</v>
      </c>
      <c r="D54" s="15"/>
      <c r="E54" s="15">
        <v>10</v>
      </c>
      <c r="F54" s="15">
        <v>6</v>
      </c>
      <c r="G54" s="16">
        <v>1</v>
      </c>
      <c r="H54" s="15">
        <v>0</v>
      </c>
      <c r="I54" s="15"/>
      <c r="J54" s="15"/>
      <c r="K54" s="15">
        <v>1</v>
      </c>
      <c r="L54" s="1" t="s">
        <v>20</v>
      </c>
      <c r="M54" s="17">
        <f t="shared" si="15"/>
        <v>0.6</v>
      </c>
      <c r="N54" s="18">
        <f t="shared" si="16"/>
        <v>0</v>
      </c>
      <c r="O54" s="17" t="str">
        <f t="shared" si="3"/>
        <v xml:space="preserve"> </v>
      </c>
      <c r="P54" s="17" t="str">
        <f t="shared" si="14"/>
        <v xml:space="preserve"> </v>
      </c>
      <c r="Q54" s="17" t="str">
        <f t="shared" si="5"/>
        <v xml:space="preserve"> </v>
      </c>
      <c r="R54" s="17">
        <f t="shared" si="17"/>
        <v>3.0534351145038168E-3</v>
      </c>
    </row>
    <row r="55" spans="1:18" ht="12.75">
      <c r="A55" s="12">
        <f t="shared" si="10"/>
        <v>21</v>
      </c>
      <c r="B55" s="13" t="s">
        <v>78</v>
      </c>
      <c r="C55" s="14" t="str">
        <f t="array" aca="1" ref="C55" ca="1">INDEX('Rooms Master'!U:U,MATCH(B55,'Rooms Master'!D:D,0))</f>
        <v>Y</v>
      </c>
      <c r="D55" s="15">
        <v>7</v>
      </c>
      <c r="E55" s="15">
        <v>51</v>
      </c>
      <c r="F55" s="15">
        <v>5</v>
      </c>
      <c r="G55" s="16">
        <v>4</v>
      </c>
      <c r="H55" s="15">
        <v>4</v>
      </c>
      <c r="I55" s="15"/>
      <c r="J55" s="15"/>
      <c r="K55" s="15"/>
      <c r="L55" s="1" t="s">
        <v>20</v>
      </c>
      <c r="M55" s="17">
        <f t="shared" si="15"/>
        <v>9.8039215686274508E-2</v>
      </c>
      <c r="N55" s="18">
        <f t="shared" si="16"/>
        <v>7.8431372549019607E-2</v>
      </c>
      <c r="O55" s="17">
        <f t="shared" si="3"/>
        <v>0</v>
      </c>
      <c r="P55" s="17" t="str">
        <f t="shared" si="14"/>
        <v xml:space="preserve"> </v>
      </c>
      <c r="Q55" s="17" t="str">
        <f t="shared" si="5"/>
        <v xml:space="preserve"> </v>
      </c>
      <c r="R55" s="17">
        <f t="shared" si="17"/>
        <v>1.5572519083969465E-2</v>
      </c>
    </row>
    <row r="56" spans="1:18" ht="12.75">
      <c r="A56" s="12">
        <f t="shared" si="10"/>
        <v>22</v>
      </c>
      <c r="B56" s="13" t="s">
        <v>79</v>
      </c>
      <c r="C56" s="14" t="str">
        <f t="array" aca="1" ref="C56" ca="1">INDEX('Rooms Master'!U:U,MATCH(B56,'Rooms Master'!D:D,0))</f>
        <v>Y</v>
      </c>
      <c r="D56" s="15">
        <v>20</v>
      </c>
      <c r="E56" s="15">
        <v>18</v>
      </c>
      <c r="F56" s="15">
        <v>5</v>
      </c>
      <c r="G56" s="16">
        <v>4</v>
      </c>
      <c r="H56" s="15">
        <v>1</v>
      </c>
      <c r="I56" s="15"/>
      <c r="J56" s="15"/>
      <c r="K56" s="15"/>
      <c r="L56" s="1" t="s">
        <v>64</v>
      </c>
      <c r="M56" s="17">
        <f t="shared" si="15"/>
        <v>0.27777777777777779</v>
      </c>
      <c r="N56" s="18">
        <f t="shared" si="16"/>
        <v>5.5555555555555552E-2</v>
      </c>
      <c r="O56" s="17">
        <f t="shared" si="3"/>
        <v>0</v>
      </c>
      <c r="P56" s="17" t="str">
        <f t="shared" si="14"/>
        <v xml:space="preserve"> </v>
      </c>
      <c r="Q56" s="17" t="str">
        <f t="shared" si="5"/>
        <v xml:space="preserve"> </v>
      </c>
      <c r="R56" s="17">
        <f t="shared" si="17"/>
        <v>5.4961832061068703E-3</v>
      </c>
    </row>
    <row r="57" spans="1:18" ht="12.75">
      <c r="A57" s="12">
        <f t="shared" si="10"/>
        <v>23</v>
      </c>
      <c r="B57" s="13" t="s">
        <v>80</v>
      </c>
      <c r="C57" s="14" t="str">
        <f t="array" aca="1" ref="C57" ca="1">INDEX('Rooms Master'!U:U,MATCH(B57,'Rooms Master'!D:D,0))</f>
        <v>Y</v>
      </c>
      <c r="D57" s="15">
        <v>22</v>
      </c>
      <c r="E57" s="15">
        <v>33</v>
      </c>
      <c r="F57" s="15">
        <v>5</v>
      </c>
      <c r="G57" s="16">
        <v>1</v>
      </c>
      <c r="H57" s="15">
        <v>2</v>
      </c>
      <c r="I57" s="15"/>
      <c r="J57" s="15"/>
      <c r="K57" s="15"/>
      <c r="L57" s="1" t="s">
        <v>39</v>
      </c>
      <c r="M57" s="17">
        <f t="shared" si="15"/>
        <v>0.15151515151515152</v>
      </c>
      <c r="N57" s="18">
        <f t="shared" si="16"/>
        <v>6.0606060606060608E-2</v>
      </c>
      <c r="O57" s="17">
        <f t="shared" si="3"/>
        <v>0</v>
      </c>
      <c r="P57" s="17" t="str">
        <f t="shared" si="14"/>
        <v xml:space="preserve"> </v>
      </c>
      <c r="Q57" s="17" t="str">
        <f t="shared" si="5"/>
        <v xml:space="preserve"> </v>
      </c>
      <c r="R57" s="17">
        <f t="shared" si="17"/>
        <v>1.0076335877862596E-2</v>
      </c>
    </row>
    <row r="58" spans="1:18" ht="12.75">
      <c r="A58" s="12">
        <f t="shared" si="10"/>
        <v>24</v>
      </c>
      <c r="B58" s="13" t="s">
        <v>81</v>
      </c>
      <c r="C58" s="14" t="str">
        <f t="array" aca="1" ref="C58" ca="1">INDEX('Rooms Master'!U:U,MATCH(B58,'Rooms Master'!D:D,0))</f>
        <v>Y</v>
      </c>
      <c r="D58" s="15">
        <v>40</v>
      </c>
      <c r="E58" s="15">
        <v>30</v>
      </c>
      <c r="F58" s="15">
        <v>5</v>
      </c>
      <c r="G58" s="16">
        <v>1</v>
      </c>
      <c r="H58" s="15">
        <v>4</v>
      </c>
      <c r="I58" s="15"/>
      <c r="J58" s="15"/>
      <c r="K58" s="15"/>
      <c r="L58" s="1" t="s">
        <v>64</v>
      </c>
      <c r="M58" s="17">
        <f t="shared" si="15"/>
        <v>0.16666666666666666</v>
      </c>
      <c r="N58" s="18">
        <f t="shared" si="16"/>
        <v>0.13333333333333333</v>
      </c>
      <c r="O58" s="17">
        <f t="shared" si="3"/>
        <v>0</v>
      </c>
      <c r="P58" s="17" t="str">
        <f t="shared" si="14"/>
        <v xml:space="preserve"> </v>
      </c>
      <c r="Q58" s="17" t="str">
        <f t="shared" si="5"/>
        <v xml:space="preserve"> </v>
      </c>
      <c r="R58" s="17">
        <f t="shared" si="17"/>
        <v>9.1603053435114507E-3</v>
      </c>
    </row>
    <row r="59" spans="1:18" ht="12.75">
      <c r="A59" s="12">
        <f t="shared" si="10"/>
        <v>25</v>
      </c>
      <c r="B59" s="13" t="s">
        <v>82</v>
      </c>
      <c r="C59" s="14" t="str">
        <f t="array" aca="1" ref="C59" ca="1">INDEX('Rooms Master'!U:U,MATCH(B59,'Rooms Master'!D:D,0))</f>
        <v>Y</v>
      </c>
      <c r="D59" s="15">
        <v>49</v>
      </c>
      <c r="E59" s="15">
        <v>16</v>
      </c>
      <c r="F59" s="15">
        <v>5</v>
      </c>
      <c r="G59" s="16">
        <v>4</v>
      </c>
      <c r="H59" s="15">
        <v>0</v>
      </c>
      <c r="I59" s="15"/>
      <c r="J59" s="15"/>
      <c r="K59" s="15"/>
      <c r="L59" s="1" t="s">
        <v>20</v>
      </c>
      <c r="M59" s="17">
        <f t="shared" si="15"/>
        <v>0.3125</v>
      </c>
      <c r="N59" s="18">
        <f t="shared" si="16"/>
        <v>0</v>
      </c>
      <c r="O59" s="17" t="str">
        <f t="shared" si="3"/>
        <v xml:space="preserve"> </v>
      </c>
      <c r="P59" s="17" t="str">
        <f>IFERROR(K59/I61, " ")</f>
        <v xml:space="preserve"> </v>
      </c>
      <c r="Q59" s="17" t="str">
        <f t="shared" si="5"/>
        <v xml:space="preserve"> </v>
      </c>
      <c r="R59" s="17">
        <f t="shared" si="17"/>
        <v>4.885496183206107E-3</v>
      </c>
    </row>
    <row r="60" spans="1:18" ht="12.75">
      <c r="A60" s="12">
        <f t="shared" si="10"/>
        <v>26</v>
      </c>
      <c r="B60" s="13" t="s">
        <v>83</v>
      </c>
      <c r="C60" s="14" t="str">
        <f t="array" aca="1" ref="C60" ca="1">INDEX('Rooms Master'!U:U,MATCH(B60,'Rooms Master'!D:D,0))</f>
        <v>Y</v>
      </c>
      <c r="D60" s="15">
        <v>58</v>
      </c>
      <c r="E60" s="15">
        <v>43</v>
      </c>
      <c r="F60" s="15">
        <v>5</v>
      </c>
      <c r="G60" s="16">
        <v>0</v>
      </c>
      <c r="H60" s="15">
        <v>0</v>
      </c>
      <c r="I60" s="15">
        <v>2</v>
      </c>
      <c r="J60" s="15">
        <v>1</v>
      </c>
      <c r="K60" s="15"/>
      <c r="L60" s="1"/>
      <c r="M60" s="17">
        <f t="shared" si="15"/>
        <v>0.11627906976744186</v>
      </c>
      <c r="N60" s="18"/>
      <c r="O60" s="17"/>
      <c r="P60" s="17"/>
      <c r="Q60" s="17"/>
      <c r="R60" s="17">
        <f t="shared" si="17"/>
        <v>1.3129770992366412E-2</v>
      </c>
    </row>
    <row r="61" spans="1:18" ht="12.75">
      <c r="A61" s="12">
        <f t="shared" si="10"/>
        <v>27</v>
      </c>
      <c r="B61" s="13" t="s">
        <v>84</v>
      </c>
      <c r="C61" s="14" t="str">
        <f t="array" aca="1" ref="C61" ca="1">INDEX('Rooms Master'!U:U,MATCH(B61,'Rooms Master'!D:D,0))</f>
        <v>Y</v>
      </c>
      <c r="D61" s="15">
        <v>63</v>
      </c>
      <c r="E61" s="15">
        <v>20</v>
      </c>
      <c r="F61" s="15">
        <v>5</v>
      </c>
      <c r="G61" s="16">
        <v>3</v>
      </c>
      <c r="H61" s="15">
        <v>0</v>
      </c>
      <c r="I61" s="15"/>
      <c r="J61" s="15"/>
      <c r="K61" s="15"/>
      <c r="L61" s="1" t="s">
        <v>20</v>
      </c>
      <c r="M61" s="17">
        <f t="shared" si="15"/>
        <v>0.25</v>
      </c>
      <c r="N61" s="18">
        <f t="shared" ref="N61:N63" si="18">IFERROR(H61/E61," ")</f>
        <v>0</v>
      </c>
      <c r="O61" s="17" t="str">
        <f t="shared" ref="O61:O116" si="19">IFERROR(K61/H61, " ")</f>
        <v xml:space="preserve"> </v>
      </c>
      <c r="P61" s="17" t="str">
        <f t="shared" ref="P61:P67" si="20">IFERROR(K61/I61, " ")</f>
        <v xml:space="preserve"> </v>
      </c>
      <c r="Q61" s="17" t="str">
        <f t="shared" ref="Q61:Q116" si="21">IFERROR(K61/J61, " ")</f>
        <v xml:space="preserve"> </v>
      </c>
      <c r="R61" s="17">
        <f t="shared" si="17"/>
        <v>6.1068702290076335E-3</v>
      </c>
    </row>
    <row r="62" spans="1:18" ht="12.75">
      <c r="A62" s="12">
        <f t="shared" si="10"/>
        <v>28</v>
      </c>
      <c r="B62" s="13" t="s">
        <v>85</v>
      </c>
      <c r="C62" s="14" t="str">
        <f t="array" aca="1" ref="C62" ca="1">INDEX('Rooms Master'!U:U,MATCH(B62,'Rooms Master'!D:D,0))</f>
        <v>N</v>
      </c>
      <c r="D62" s="15"/>
      <c r="E62" s="15">
        <v>8</v>
      </c>
      <c r="F62" s="15">
        <v>5</v>
      </c>
      <c r="G62" s="16">
        <v>1</v>
      </c>
      <c r="H62" s="15">
        <v>0</v>
      </c>
      <c r="I62" s="15"/>
      <c r="J62" s="15"/>
      <c r="K62" s="15"/>
      <c r="L62" s="1" t="s">
        <v>37</v>
      </c>
      <c r="M62" s="17">
        <f t="shared" si="15"/>
        <v>0.625</v>
      </c>
      <c r="N62" s="18">
        <f t="shared" si="18"/>
        <v>0</v>
      </c>
      <c r="O62" s="17" t="str">
        <f t="shared" si="19"/>
        <v xml:space="preserve"> </v>
      </c>
      <c r="P62" s="17" t="str">
        <f t="shared" si="20"/>
        <v xml:space="preserve"> </v>
      </c>
      <c r="Q62" s="17" t="str">
        <f t="shared" si="21"/>
        <v xml:space="preserve"> </v>
      </c>
      <c r="R62" s="17">
        <f t="shared" si="17"/>
        <v>2.4427480916030535E-3</v>
      </c>
    </row>
    <row r="63" spans="1:18" ht="12.75">
      <c r="A63" s="12">
        <f t="shared" si="10"/>
        <v>29</v>
      </c>
      <c r="B63" s="13" t="s">
        <v>86</v>
      </c>
      <c r="C63" s="14" t="str">
        <f t="array" aca="1" ref="C63" ca="1">INDEX('Rooms Master'!U:U,MATCH(B63,'Rooms Master'!D:D,0))</f>
        <v>Y</v>
      </c>
      <c r="D63" s="15">
        <v>8</v>
      </c>
      <c r="E63" s="15">
        <v>70</v>
      </c>
      <c r="F63" s="15">
        <v>4</v>
      </c>
      <c r="G63" s="16">
        <v>4</v>
      </c>
      <c r="H63" s="15">
        <v>4</v>
      </c>
      <c r="I63" s="15"/>
      <c r="J63" s="15">
        <v>1</v>
      </c>
      <c r="K63" s="15">
        <v>1</v>
      </c>
      <c r="L63" s="1" t="s">
        <v>20</v>
      </c>
      <c r="M63" s="17">
        <f t="shared" si="15"/>
        <v>5.7142857142857141E-2</v>
      </c>
      <c r="N63" s="18">
        <f t="shared" si="18"/>
        <v>5.7142857142857141E-2</v>
      </c>
      <c r="O63" s="17">
        <f t="shared" si="19"/>
        <v>0.25</v>
      </c>
      <c r="P63" s="17" t="str">
        <f t="shared" si="20"/>
        <v xml:space="preserve"> </v>
      </c>
      <c r="Q63" s="17">
        <f t="shared" si="21"/>
        <v>1</v>
      </c>
      <c r="R63" s="17">
        <f t="shared" si="17"/>
        <v>2.1374045801526718E-2</v>
      </c>
    </row>
    <row r="64" spans="1:18" ht="12.75">
      <c r="A64" s="12">
        <f t="shared" si="10"/>
        <v>30</v>
      </c>
      <c r="B64" s="13" t="s">
        <v>87</v>
      </c>
      <c r="C64" s="14" t="str">
        <f t="array" aca="1" ref="C64" ca="1">INDEX('Rooms Master'!U:U,MATCH(B64,'Rooms Master'!D:D,0))</f>
        <v>Y</v>
      </c>
      <c r="D64" s="15">
        <v>41</v>
      </c>
      <c r="E64" s="22">
        <v>17</v>
      </c>
      <c r="F64" s="15">
        <v>4</v>
      </c>
      <c r="G64" s="16">
        <v>3</v>
      </c>
      <c r="H64" s="15">
        <v>0</v>
      </c>
      <c r="I64" s="15"/>
      <c r="J64" s="15"/>
      <c r="K64" s="15"/>
      <c r="L64" s="1" t="s">
        <v>34</v>
      </c>
      <c r="M64" s="17">
        <f>IFERROR(F64/E63, " ")</f>
        <v>5.7142857142857141E-2</v>
      </c>
      <c r="N64" s="18">
        <f>IFERROR(H64/E63," ")</f>
        <v>0</v>
      </c>
      <c r="O64" s="17" t="str">
        <f t="shared" si="19"/>
        <v xml:space="preserve"> </v>
      </c>
      <c r="P64" s="17" t="str">
        <f t="shared" si="20"/>
        <v xml:space="preserve"> </v>
      </c>
      <c r="Q64" s="17" t="str">
        <f t="shared" si="21"/>
        <v xml:space="preserve"> </v>
      </c>
      <c r="R64" s="17">
        <f>IFERROR(E63/$E$118," ")</f>
        <v>2.1374045801526718E-2</v>
      </c>
    </row>
    <row r="65" spans="1:25" ht="12.75">
      <c r="A65" s="12">
        <f t="shared" si="10"/>
        <v>31</v>
      </c>
      <c r="B65" s="13" t="s">
        <v>88</v>
      </c>
      <c r="C65" s="14" t="str">
        <f t="array" aca="1" ref="C65" ca="1">INDEX('Rooms Master'!U:U,MATCH(B65,'Rooms Master'!D:D,0))</f>
        <v>N</v>
      </c>
      <c r="D65" s="15">
        <v>48</v>
      </c>
      <c r="E65" s="15">
        <v>31</v>
      </c>
      <c r="F65" s="15">
        <v>4</v>
      </c>
      <c r="G65" s="16">
        <v>2</v>
      </c>
      <c r="H65" s="15">
        <v>0</v>
      </c>
      <c r="I65" s="15"/>
      <c r="J65" s="15"/>
      <c r="K65" s="15"/>
      <c r="L65" s="1" t="s">
        <v>24</v>
      </c>
      <c r="M65" s="17">
        <f t="shared" ref="M65:M79" si="22">IFERROR(F65/E65, " ")</f>
        <v>0.12903225806451613</v>
      </c>
      <c r="N65" s="18">
        <f t="shared" ref="N65:N79" si="23">IFERROR(H65/E65," ")</f>
        <v>0</v>
      </c>
      <c r="O65" s="17" t="str">
        <f t="shared" si="19"/>
        <v xml:space="preserve"> </v>
      </c>
      <c r="P65" s="17" t="str">
        <f t="shared" si="20"/>
        <v xml:space="preserve"> </v>
      </c>
      <c r="Q65" s="17" t="str">
        <f t="shared" si="21"/>
        <v xml:space="preserve"> </v>
      </c>
      <c r="R65" s="17">
        <f t="shared" ref="R65:R79" si="24">IFERROR(E65/$E$118," ")</f>
        <v>9.4656488549618324E-3</v>
      </c>
      <c r="U65" s="25"/>
      <c r="V65" s="25"/>
      <c r="W65" s="25"/>
      <c r="X65" s="25"/>
      <c r="Y65" s="25"/>
    </row>
    <row r="66" spans="1:25" ht="12.75">
      <c r="A66" s="12">
        <f t="shared" si="10"/>
        <v>32</v>
      </c>
      <c r="B66" s="13" t="s">
        <v>89</v>
      </c>
      <c r="C66" s="14" t="str">
        <f t="array" aca="1" ref="C66" ca="1">INDEX('Rooms Master'!U:U,MATCH(B66,'Rooms Master'!D:D,0))</f>
        <v>Y</v>
      </c>
      <c r="D66" s="15">
        <v>50</v>
      </c>
      <c r="E66" s="15">
        <v>9</v>
      </c>
      <c r="F66" s="15">
        <v>4</v>
      </c>
      <c r="G66" s="16">
        <v>3</v>
      </c>
      <c r="H66" s="15">
        <v>0</v>
      </c>
      <c r="I66" s="15"/>
      <c r="J66" s="15"/>
      <c r="K66" s="15"/>
      <c r="L66" s="1" t="s">
        <v>39</v>
      </c>
      <c r="M66" s="17">
        <f t="shared" si="22"/>
        <v>0.44444444444444442</v>
      </c>
      <c r="N66" s="18">
        <f t="shared" si="23"/>
        <v>0</v>
      </c>
      <c r="O66" s="17" t="str">
        <f t="shared" si="19"/>
        <v xml:space="preserve"> </v>
      </c>
      <c r="P66" s="17" t="str">
        <f t="shared" si="20"/>
        <v xml:space="preserve"> </v>
      </c>
      <c r="Q66" s="17" t="str">
        <f t="shared" si="21"/>
        <v xml:space="preserve"> </v>
      </c>
      <c r="R66" s="17">
        <f t="shared" si="24"/>
        <v>2.7480916030534351E-3</v>
      </c>
    </row>
    <row r="67" spans="1:25" ht="12.75">
      <c r="A67" s="12">
        <f t="shared" si="10"/>
        <v>33</v>
      </c>
      <c r="B67" s="13" t="s">
        <v>90</v>
      </c>
      <c r="C67" s="14" t="str">
        <f t="array" aca="1" ref="C67" ca="1">INDEX('Rooms Master'!U:U,MATCH(B67,'Rooms Master'!D:D,0))</f>
        <v>N</v>
      </c>
      <c r="D67" s="15"/>
      <c r="E67" s="15">
        <v>5</v>
      </c>
      <c r="F67" s="15">
        <v>4</v>
      </c>
      <c r="G67" s="16">
        <v>1</v>
      </c>
      <c r="H67" s="15">
        <v>0</v>
      </c>
      <c r="I67" s="15"/>
      <c r="J67" s="15"/>
      <c r="K67" s="15"/>
      <c r="L67" s="1" t="s">
        <v>20</v>
      </c>
      <c r="M67" s="17">
        <f t="shared" si="22"/>
        <v>0.8</v>
      </c>
      <c r="N67" s="18">
        <f t="shared" si="23"/>
        <v>0</v>
      </c>
      <c r="O67" s="17" t="str">
        <f t="shared" si="19"/>
        <v xml:space="preserve"> </v>
      </c>
      <c r="P67" s="17" t="str">
        <f t="shared" si="20"/>
        <v xml:space="preserve"> </v>
      </c>
      <c r="Q67" s="17" t="str">
        <f t="shared" si="21"/>
        <v xml:space="preserve"> </v>
      </c>
      <c r="R67" s="17">
        <f t="shared" si="24"/>
        <v>1.5267175572519084E-3</v>
      </c>
    </row>
    <row r="68" spans="1:25" ht="12.75">
      <c r="A68" s="12">
        <f t="shared" si="10"/>
        <v>34</v>
      </c>
      <c r="B68" s="13" t="s">
        <v>91</v>
      </c>
      <c r="C68" s="14" t="str">
        <f t="array" aca="1" ref="C68" ca="1">INDEX('Rooms Master'!U:U,MATCH(B68,'Rooms Master'!D:D,0))</f>
        <v>N</v>
      </c>
      <c r="D68" s="15"/>
      <c r="E68" s="15">
        <v>6</v>
      </c>
      <c r="F68" s="15">
        <v>4</v>
      </c>
      <c r="G68" s="16">
        <v>3</v>
      </c>
      <c r="H68" s="15">
        <v>0</v>
      </c>
      <c r="I68" s="26"/>
      <c r="J68" s="15"/>
      <c r="K68" s="15"/>
      <c r="L68" s="1" t="s">
        <v>20</v>
      </c>
      <c r="M68" s="17">
        <f t="shared" si="22"/>
        <v>0.66666666666666663</v>
      </c>
      <c r="N68" s="18">
        <f t="shared" si="23"/>
        <v>0</v>
      </c>
      <c r="O68" s="17" t="str">
        <f t="shared" si="19"/>
        <v xml:space="preserve"> </v>
      </c>
      <c r="P68" s="17" t="str">
        <f>IFERROR(K68/#REF!, " ")</f>
        <v xml:space="preserve"> </v>
      </c>
      <c r="Q68" s="17" t="str">
        <f t="shared" si="21"/>
        <v xml:space="preserve"> </v>
      </c>
      <c r="R68" s="17">
        <f t="shared" si="24"/>
        <v>1.83206106870229E-3</v>
      </c>
    </row>
    <row r="69" spans="1:25" ht="12.75">
      <c r="A69" s="12">
        <f t="shared" si="10"/>
        <v>35</v>
      </c>
      <c r="B69" s="13" t="s">
        <v>92</v>
      </c>
      <c r="C69" s="14" t="str">
        <f t="array" aca="1" ref="C69" ca="1">INDEX('Rooms Master'!U:U,MATCH(B69,'Rooms Master'!D:D,0))</f>
        <v>Y</v>
      </c>
      <c r="D69" s="15">
        <v>1</v>
      </c>
      <c r="E69" s="15">
        <v>82</v>
      </c>
      <c r="F69" s="15">
        <v>3</v>
      </c>
      <c r="G69" s="16">
        <v>1</v>
      </c>
      <c r="H69" s="15">
        <v>4</v>
      </c>
      <c r="I69" s="15">
        <v>2</v>
      </c>
      <c r="J69" s="15">
        <v>1</v>
      </c>
      <c r="K69" s="15"/>
      <c r="L69" s="1" t="s">
        <v>64</v>
      </c>
      <c r="M69" s="17">
        <f t="shared" si="22"/>
        <v>3.6585365853658534E-2</v>
      </c>
      <c r="N69" s="18">
        <f t="shared" si="23"/>
        <v>4.878048780487805E-2</v>
      </c>
      <c r="O69" s="17">
        <f t="shared" si="19"/>
        <v>0</v>
      </c>
      <c r="P69" s="17">
        <f t="shared" ref="P69:P75" si="25">IFERROR(K69/I69, " ")</f>
        <v>0</v>
      </c>
      <c r="Q69" s="17">
        <f t="shared" si="21"/>
        <v>0</v>
      </c>
      <c r="R69" s="17">
        <f t="shared" si="24"/>
        <v>2.5038167938931297E-2</v>
      </c>
    </row>
    <row r="70" spans="1:25" ht="12.75">
      <c r="A70" s="12">
        <f t="shared" si="10"/>
        <v>36</v>
      </c>
      <c r="B70" s="13" t="s">
        <v>93</v>
      </c>
      <c r="C70" s="14" t="str">
        <f t="array" aca="1" ref="C70" ca="1">INDEX('Rooms Master'!U:U,MATCH(B70,'Rooms Master'!D:D,0))</f>
        <v>Y</v>
      </c>
      <c r="D70" s="15">
        <v>15</v>
      </c>
      <c r="E70" s="15">
        <v>28</v>
      </c>
      <c r="F70" s="15">
        <v>3</v>
      </c>
      <c r="G70" s="16">
        <v>2</v>
      </c>
      <c r="H70" s="15">
        <v>0</v>
      </c>
      <c r="I70" s="15"/>
      <c r="J70" s="15"/>
      <c r="K70" s="15"/>
      <c r="L70" s="1" t="s">
        <v>20</v>
      </c>
      <c r="M70" s="17">
        <f t="shared" si="22"/>
        <v>0.10714285714285714</v>
      </c>
      <c r="N70" s="18">
        <f t="shared" si="23"/>
        <v>0</v>
      </c>
      <c r="O70" s="17" t="str">
        <f t="shared" si="19"/>
        <v xml:space="preserve"> </v>
      </c>
      <c r="P70" s="17" t="str">
        <f t="shared" si="25"/>
        <v xml:space="preserve"> </v>
      </c>
      <c r="Q70" s="17" t="str">
        <f t="shared" si="21"/>
        <v xml:space="preserve"> </v>
      </c>
      <c r="R70" s="17">
        <f t="shared" si="24"/>
        <v>8.5496183206106875E-3</v>
      </c>
    </row>
    <row r="71" spans="1:25" ht="12.75">
      <c r="A71" s="12">
        <f t="shared" si="10"/>
        <v>37</v>
      </c>
      <c r="B71" s="13" t="s">
        <v>94</v>
      </c>
      <c r="C71" s="14" t="str">
        <f t="array" aca="1" ref="C71" ca="1">INDEX('Rooms Master'!U:U,MATCH(B71,'Rooms Master'!D:D,0))</f>
        <v>Y</v>
      </c>
      <c r="D71" s="15">
        <v>35</v>
      </c>
      <c r="E71" s="15">
        <v>19</v>
      </c>
      <c r="F71" s="15">
        <v>3</v>
      </c>
      <c r="G71" s="16">
        <v>2</v>
      </c>
      <c r="H71" s="15">
        <v>2</v>
      </c>
      <c r="I71" s="15"/>
      <c r="J71" s="15"/>
      <c r="K71" s="15"/>
      <c r="L71" s="27" t="s">
        <v>24</v>
      </c>
      <c r="M71" s="17">
        <f t="shared" si="22"/>
        <v>0.15789473684210525</v>
      </c>
      <c r="N71" s="18">
        <f t="shared" si="23"/>
        <v>0.10526315789473684</v>
      </c>
      <c r="O71" s="17">
        <f t="shared" si="19"/>
        <v>0</v>
      </c>
      <c r="P71" s="17" t="str">
        <f t="shared" si="25"/>
        <v xml:space="preserve"> </v>
      </c>
      <c r="Q71" s="17" t="str">
        <f t="shared" si="21"/>
        <v xml:space="preserve"> </v>
      </c>
      <c r="R71" s="17">
        <f t="shared" si="24"/>
        <v>5.8015267175572519E-3</v>
      </c>
    </row>
    <row r="72" spans="1:25" ht="12.75">
      <c r="A72" s="12">
        <f t="shared" si="10"/>
        <v>38</v>
      </c>
      <c r="B72" s="13" t="s">
        <v>95</v>
      </c>
      <c r="C72" s="14" t="str">
        <f t="array" aca="1" ref="C72" ca="1">INDEX('Rooms Master'!U:U,MATCH(B72,'Rooms Master'!D:D,0))</f>
        <v>N</v>
      </c>
      <c r="D72" s="15"/>
      <c r="E72" s="15">
        <v>5</v>
      </c>
      <c r="F72" s="15">
        <v>3</v>
      </c>
      <c r="G72" s="16">
        <v>2</v>
      </c>
      <c r="H72" s="15">
        <v>0</v>
      </c>
      <c r="I72" s="15">
        <v>1</v>
      </c>
      <c r="J72" s="15"/>
      <c r="K72" s="15"/>
      <c r="M72" s="17">
        <f t="shared" si="22"/>
        <v>0.6</v>
      </c>
      <c r="N72" s="18">
        <f t="shared" si="23"/>
        <v>0</v>
      </c>
      <c r="O72" s="17" t="str">
        <f t="shared" si="19"/>
        <v xml:space="preserve"> </v>
      </c>
      <c r="P72" s="17">
        <f t="shared" si="25"/>
        <v>0</v>
      </c>
      <c r="Q72" s="17" t="str">
        <f t="shared" si="21"/>
        <v xml:space="preserve"> </v>
      </c>
      <c r="R72" s="17">
        <f t="shared" si="24"/>
        <v>1.5267175572519084E-3</v>
      </c>
    </row>
    <row r="73" spans="1:25" ht="12.75">
      <c r="A73" s="12">
        <f t="shared" si="10"/>
        <v>39</v>
      </c>
      <c r="B73" s="13" t="s">
        <v>96</v>
      </c>
      <c r="C73" s="14" t="str">
        <f t="array" aca="1" ref="C73" ca="1">INDEX('Rooms Master'!U:U,MATCH(B73,'Rooms Master'!D:D,0))</f>
        <v>N</v>
      </c>
      <c r="D73" s="15"/>
      <c r="E73" s="15">
        <v>6</v>
      </c>
      <c r="F73" s="15">
        <v>3</v>
      </c>
      <c r="G73" s="16">
        <v>1</v>
      </c>
      <c r="H73" s="15">
        <v>0</v>
      </c>
      <c r="I73" s="15"/>
      <c r="J73" s="15"/>
      <c r="K73" s="15"/>
      <c r="L73" s="1" t="s">
        <v>20</v>
      </c>
      <c r="M73" s="17">
        <f t="shared" si="22"/>
        <v>0.5</v>
      </c>
      <c r="N73" s="18">
        <f t="shared" si="23"/>
        <v>0</v>
      </c>
      <c r="O73" s="17" t="str">
        <f t="shared" si="19"/>
        <v xml:space="preserve"> </v>
      </c>
      <c r="P73" s="17" t="str">
        <f t="shared" si="25"/>
        <v xml:space="preserve"> </v>
      </c>
      <c r="Q73" s="17" t="str">
        <f t="shared" si="21"/>
        <v xml:space="preserve"> </v>
      </c>
      <c r="R73" s="17">
        <f t="shared" si="24"/>
        <v>1.83206106870229E-3</v>
      </c>
    </row>
    <row r="74" spans="1:25" ht="12.75">
      <c r="A74" s="12">
        <f t="shared" si="10"/>
        <v>40</v>
      </c>
      <c r="B74" s="13" t="s">
        <v>97</v>
      </c>
      <c r="C74" s="14" t="str">
        <f t="array" aca="1" ref="C74" ca="1">INDEX('Rooms Master'!U:U,MATCH(B74,'Rooms Master'!D:D,0))</f>
        <v>N</v>
      </c>
      <c r="D74" s="15"/>
      <c r="E74" s="15">
        <v>4</v>
      </c>
      <c r="F74" s="15">
        <v>3</v>
      </c>
      <c r="G74" s="16">
        <v>1</v>
      </c>
      <c r="H74" s="15">
        <v>0</v>
      </c>
      <c r="I74" s="15"/>
      <c r="J74" s="15"/>
      <c r="K74" s="15"/>
      <c r="L74" s="1" t="s">
        <v>20</v>
      </c>
      <c r="M74" s="17">
        <f t="shared" si="22"/>
        <v>0.75</v>
      </c>
      <c r="N74" s="18">
        <f t="shared" si="23"/>
        <v>0</v>
      </c>
      <c r="O74" s="17" t="str">
        <f t="shared" si="19"/>
        <v xml:space="preserve"> </v>
      </c>
      <c r="P74" s="17" t="str">
        <f t="shared" si="25"/>
        <v xml:space="preserve"> </v>
      </c>
      <c r="Q74" s="17" t="str">
        <f t="shared" si="21"/>
        <v xml:space="preserve"> </v>
      </c>
      <c r="R74" s="17">
        <f t="shared" si="24"/>
        <v>1.2213740458015267E-3</v>
      </c>
    </row>
    <row r="75" spans="1:25" ht="13.5">
      <c r="A75" s="12">
        <f t="shared" si="10"/>
        <v>41</v>
      </c>
      <c r="B75" s="13" t="s">
        <v>98</v>
      </c>
      <c r="C75" s="14" t="str">
        <f t="array" aca="1" ref="C75" ca="1">INDEX('Rooms Master'!U:U,MATCH(B75,'Rooms Master'!D:D,0))</f>
        <v>N</v>
      </c>
      <c r="D75" s="15"/>
      <c r="E75" s="15">
        <v>5</v>
      </c>
      <c r="F75" s="15">
        <v>3</v>
      </c>
      <c r="G75" s="16">
        <v>2</v>
      </c>
      <c r="H75" s="15">
        <v>0</v>
      </c>
      <c r="I75" s="15"/>
      <c r="J75" s="15"/>
      <c r="K75" s="28"/>
      <c r="L75" s="1" t="s">
        <v>34</v>
      </c>
      <c r="M75" s="17">
        <f t="shared" si="22"/>
        <v>0.6</v>
      </c>
      <c r="N75" s="18">
        <f t="shared" si="23"/>
        <v>0</v>
      </c>
      <c r="O75" s="17" t="str">
        <f t="shared" si="19"/>
        <v xml:space="preserve"> </v>
      </c>
      <c r="P75" s="17" t="str">
        <f t="shared" si="25"/>
        <v xml:space="preserve"> </v>
      </c>
      <c r="Q75" s="17" t="str">
        <f t="shared" si="21"/>
        <v xml:space="preserve"> </v>
      </c>
      <c r="R75" s="17">
        <f t="shared" si="24"/>
        <v>1.5267175572519084E-3</v>
      </c>
    </row>
    <row r="76" spans="1:25" ht="12.75">
      <c r="A76" s="12">
        <f t="shared" si="10"/>
        <v>42</v>
      </c>
      <c r="B76" s="13" t="s">
        <v>99</v>
      </c>
      <c r="C76" s="14" t="str">
        <f t="array" aca="1" ref="C76" ca="1">INDEX('Rooms Master'!U:U,MATCH(B76,'Rooms Master'!D:D,0))</f>
        <v>N</v>
      </c>
      <c r="D76" s="15"/>
      <c r="E76" s="15">
        <v>12</v>
      </c>
      <c r="F76" s="15">
        <v>3</v>
      </c>
      <c r="G76" s="16">
        <v>3</v>
      </c>
      <c r="H76" s="15">
        <v>0</v>
      </c>
      <c r="I76" s="22"/>
      <c r="J76" s="15">
        <v>1</v>
      </c>
      <c r="K76" s="15">
        <v>1</v>
      </c>
      <c r="L76" s="1" t="s">
        <v>20</v>
      </c>
      <c r="M76" s="17">
        <f t="shared" si="22"/>
        <v>0.25</v>
      </c>
      <c r="N76" s="18">
        <f t="shared" si="23"/>
        <v>0</v>
      </c>
      <c r="O76" s="17" t="str">
        <f t="shared" si="19"/>
        <v xml:space="preserve"> </v>
      </c>
      <c r="P76" s="17" t="str">
        <f>IFERROR(K76/I78, " ")</f>
        <v xml:space="preserve"> </v>
      </c>
      <c r="Q76" s="17">
        <f t="shared" si="21"/>
        <v>1</v>
      </c>
      <c r="R76" s="17">
        <f t="shared" si="24"/>
        <v>3.66412213740458E-3</v>
      </c>
    </row>
    <row r="77" spans="1:25" ht="12.75">
      <c r="A77" s="12">
        <f t="shared" si="10"/>
        <v>43</v>
      </c>
      <c r="B77" s="13" t="s">
        <v>100</v>
      </c>
      <c r="C77" s="14" t="str">
        <f t="array" aca="1" ref="C77" ca="1">INDEX('Rooms Master'!U:U,MATCH(B77,'Rooms Master'!D:D,0))</f>
        <v>N</v>
      </c>
      <c r="D77" s="14"/>
      <c r="E77" s="15">
        <v>4</v>
      </c>
      <c r="F77" s="15">
        <v>2</v>
      </c>
      <c r="G77" s="15">
        <v>0</v>
      </c>
      <c r="H77" s="15">
        <v>0</v>
      </c>
      <c r="I77" s="15"/>
      <c r="J77" s="15"/>
      <c r="K77" s="15"/>
      <c r="L77" s="1" t="s">
        <v>24</v>
      </c>
      <c r="M77" s="17">
        <f t="shared" si="22"/>
        <v>0.5</v>
      </c>
      <c r="N77" s="18">
        <f t="shared" si="23"/>
        <v>0</v>
      </c>
      <c r="O77" s="17" t="str">
        <f t="shared" si="19"/>
        <v xml:space="preserve"> </v>
      </c>
      <c r="P77" s="17" t="str">
        <f t="shared" ref="P77:P116" si="26">IFERROR(K77/I77, " ")</f>
        <v xml:space="preserve"> </v>
      </c>
      <c r="Q77" s="17" t="str">
        <f t="shared" si="21"/>
        <v xml:space="preserve"> </v>
      </c>
      <c r="R77" s="17">
        <f t="shared" si="24"/>
        <v>1.2213740458015267E-3</v>
      </c>
    </row>
    <row r="78" spans="1:25" ht="12.75">
      <c r="A78" s="12">
        <f t="shared" si="10"/>
        <v>44</v>
      </c>
      <c r="B78" s="13" t="s">
        <v>101</v>
      </c>
      <c r="C78" s="14" t="str">
        <f t="array" aca="1" ref="C78" ca="1">INDEX('Rooms Master'!U:U,MATCH(B78,'Rooms Master'!D:D,0))</f>
        <v>N</v>
      </c>
      <c r="D78" s="15"/>
      <c r="E78" s="15">
        <v>3</v>
      </c>
      <c r="F78" s="15">
        <v>2</v>
      </c>
      <c r="G78" s="16">
        <v>1</v>
      </c>
      <c r="H78" s="15">
        <v>0</v>
      </c>
      <c r="I78" s="15"/>
      <c r="J78" s="15"/>
      <c r="K78" s="15"/>
      <c r="L78" s="1" t="s">
        <v>34</v>
      </c>
      <c r="M78" s="17">
        <f t="shared" si="22"/>
        <v>0.66666666666666663</v>
      </c>
      <c r="N78" s="18">
        <f t="shared" si="23"/>
        <v>0</v>
      </c>
      <c r="O78" s="17" t="str">
        <f t="shared" si="19"/>
        <v xml:space="preserve"> </v>
      </c>
      <c r="P78" s="17" t="str">
        <f t="shared" si="26"/>
        <v xml:space="preserve"> </v>
      </c>
      <c r="Q78" s="17" t="str">
        <f t="shared" si="21"/>
        <v xml:space="preserve"> </v>
      </c>
      <c r="R78" s="17">
        <f t="shared" si="24"/>
        <v>9.1603053435114501E-4</v>
      </c>
    </row>
    <row r="79" spans="1:25" ht="12.75">
      <c r="A79" s="12">
        <f t="shared" si="10"/>
        <v>45</v>
      </c>
      <c r="B79" s="13" t="s">
        <v>102</v>
      </c>
      <c r="C79" s="14" t="str">
        <f t="array" aca="1" ref="C79" ca="1">INDEX('Rooms Master'!U:U,MATCH(B79,'Rooms Master'!D:D,0))</f>
        <v>N</v>
      </c>
      <c r="D79" s="15"/>
      <c r="E79" s="15">
        <v>2</v>
      </c>
      <c r="F79" s="15">
        <v>2</v>
      </c>
      <c r="G79" s="16">
        <v>2</v>
      </c>
      <c r="H79" s="15">
        <v>0</v>
      </c>
      <c r="I79" s="15"/>
      <c r="J79" s="15"/>
      <c r="K79" s="15"/>
      <c r="L79" s="1" t="s">
        <v>29</v>
      </c>
      <c r="M79" s="17">
        <f t="shared" si="22"/>
        <v>1</v>
      </c>
      <c r="N79" s="18">
        <f t="shared" si="23"/>
        <v>0</v>
      </c>
      <c r="O79" s="17" t="str">
        <f t="shared" si="19"/>
        <v xml:space="preserve"> </v>
      </c>
      <c r="P79" s="17" t="str">
        <f t="shared" si="26"/>
        <v xml:space="preserve"> </v>
      </c>
      <c r="Q79" s="17" t="str">
        <f t="shared" si="21"/>
        <v xml:space="preserve"> </v>
      </c>
      <c r="R79" s="17">
        <f t="shared" si="24"/>
        <v>6.1068702290076337E-4</v>
      </c>
    </row>
    <row r="80" spans="1:25" ht="12.75">
      <c r="A80" s="12">
        <f t="shared" si="10"/>
        <v>46</v>
      </c>
      <c r="B80" s="13" t="s">
        <v>103</v>
      </c>
      <c r="C80" s="14" t="str">
        <f t="array" aca="1" ref="C80" ca="1">INDEX('Rooms Master'!U:U,MATCH(B80,'Rooms Master'!D:D,0))</f>
        <v>N</v>
      </c>
      <c r="D80" s="15"/>
      <c r="E80" s="15">
        <v>2</v>
      </c>
      <c r="F80" s="15">
        <v>2</v>
      </c>
      <c r="G80" s="16">
        <v>1</v>
      </c>
      <c r="H80" s="15">
        <v>0</v>
      </c>
      <c r="I80" s="15"/>
      <c r="J80" s="15"/>
      <c r="K80" s="15"/>
      <c r="L80" s="1" t="s">
        <v>20</v>
      </c>
      <c r="M80" s="17" t="str">
        <f t="shared" ref="M80:M81" si="27">IFERROR(F80/#REF!, " ")</f>
        <v xml:space="preserve"> </v>
      </c>
      <c r="N80" s="18" t="str">
        <f t="shared" ref="N80:N81" si="28">IFERROR(H80/#REF!," ")</f>
        <v xml:space="preserve"> </v>
      </c>
      <c r="O80" s="17" t="str">
        <f t="shared" si="19"/>
        <v xml:space="preserve"> </v>
      </c>
      <c r="P80" s="17" t="str">
        <f t="shared" si="26"/>
        <v xml:space="preserve"> </v>
      </c>
      <c r="Q80" s="17" t="str">
        <f t="shared" si="21"/>
        <v xml:space="preserve"> </v>
      </c>
      <c r="R80" s="17" t="str">
        <f>IFERROR(#REF!/$E$118," ")</f>
        <v xml:space="preserve"> </v>
      </c>
    </row>
    <row r="81" spans="1:18" ht="12.75">
      <c r="A81" s="12">
        <f t="shared" si="10"/>
        <v>47</v>
      </c>
      <c r="B81" s="13" t="s">
        <v>104</v>
      </c>
      <c r="C81" s="14" t="str">
        <f t="array" aca="1" ref="C81" ca="1">INDEX('Rooms Master'!U:U,MATCH(B81,'Rooms Master'!D:D,0))</f>
        <v>N</v>
      </c>
      <c r="D81" s="15">
        <v>1</v>
      </c>
      <c r="E81" s="15">
        <v>8</v>
      </c>
      <c r="F81" s="15">
        <v>1</v>
      </c>
      <c r="G81" s="16">
        <v>3</v>
      </c>
      <c r="H81" s="15">
        <v>0</v>
      </c>
      <c r="I81" s="15"/>
      <c r="J81" s="15"/>
      <c r="K81" s="15">
        <v>1</v>
      </c>
      <c r="L81" s="1" t="s">
        <v>20</v>
      </c>
      <c r="M81" s="17" t="str">
        <f t="shared" si="27"/>
        <v xml:space="preserve"> </v>
      </c>
      <c r="N81" s="18" t="str">
        <f t="shared" si="28"/>
        <v xml:space="preserve"> </v>
      </c>
      <c r="O81" s="17" t="str">
        <f t="shared" si="19"/>
        <v xml:space="preserve"> </v>
      </c>
      <c r="P81" s="17" t="str">
        <f t="shared" si="26"/>
        <v xml:space="preserve"> </v>
      </c>
      <c r="Q81" s="17" t="str">
        <f t="shared" si="21"/>
        <v xml:space="preserve"> </v>
      </c>
      <c r="R81" s="17">
        <f t="shared" ref="R81:R96" si="29">IFERROR(E81/$E$118," ")</f>
        <v>2.4427480916030535E-3</v>
      </c>
    </row>
    <row r="82" spans="1:18" ht="12.75">
      <c r="A82" s="12">
        <f t="shared" si="10"/>
        <v>48</v>
      </c>
      <c r="B82" s="13" t="s">
        <v>105</v>
      </c>
      <c r="C82" s="14" t="str">
        <f t="array" aca="1" ref="C82" ca="1">INDEX('Rooms Master'!U:U,MATCH(B82,'Rooms Master'!D:D,0))</f>
        <v>Y</v>
      </c>
      <c r="D82" s="15">
        <v>4</v>
      </c>
      <c r="E82" s="15">
        <v>29</v>
      </c>
      <c r="F82" s="15">
        <v>1</v>
      </c>
      <c r="G82" s="16">
        <v>1</v>
      </c>
      <c r="H82" s="15">
        <v>0</v>
      </c>
      <c r="I82" s="15"/>
      <c r="J82" s="15"/>
      <c r="K82" s="15"/>
      <c r="L82" s="21" t="s">
        <v>20</v>
      </c>
      <c r="M82" s="17">
        <f t="shared" ref="M82:M92" si="30">IFERROR(F82/E82, " ")</f>
        <v>3.4482758620689655E-2</v>
      </c>
      <c r="N82" s="18">
        <f t="shared" ref="N82:N92" si="31">IFERROR(H82/E82," ")</f>
        <v>0</v>
      </c>
      <c r="O82" s="17" t="str">
        <f t="shared" si="19"/>
        <v xml:space="preserve"> </v>
      </c>
      <c r="P82" s="17" t="str">
        <f t="shared" si="26"/>
        <v xml:space="preserve"> </v>
      </c>
      <c r="Q82" s="17" t="str">
        <f t="shared" si="21"/>
        <v xml:space="preserve"> </v>
      </c>
      <c r="R82" s="17">
        <f t="shared" si="29"/>
        <v>8.8549618320610691E-3</v>
      </c>
    </row>
    <row r="83" spans="1:18" ht="12.75">
      <c r="A83" s="12">
        <f t="shared" si="10"/>
        <v>49</v>
      </c>
      <c r="B83" s="13" t="s">
        <v>106</v>
      </c>
      <c r="C83" s="14" t="str">
        <f t="array" aca="1" ref="C83" ca="1">INDEX('Rooms Master'!U:U,MATCH(B83,'Rooms Master'!D:D,0))</f>
        <v>N</v>
      </c>
      <c r="D83" s="15">
        <v>17</v>
      </c>
      <c r="E83" s="15">
        <v>10</v>
      </c>
      <c r="F83" s="15">
        <v>1</v>
      </c>
      <c r="G83" s="16">
        <v>3</v>
      </c>
      <c r="H83" s="15">
        <v>0</v>
      </c>
      <c r="I83" s="15"/>
      <c r="J83" s="15"/>
      <c r="K83" s="15"/>
      <c r="L83" s="1" t="s">
        <v>24</v>
      </c>
      <c r="M83" s="17">
        <f t="shared" si="30"/>
        <v>0.1</v>
      </c>
      <c r="N83" s="18">
        <f t="shared" si="31"/>
        <v>0</v>
      </c>
      <c r="O83" s="17" t="str">
        <f t="shared" si="19"/>
        <v xml:space="preserve"> </v>
      </c>
      <c r="P83" s="17" t="str">
        <f t="shared" si="26"/>
        <v xml:space="preserve"> </v>
      </c>
      <c r="Q83" s="17" t="str">
        <f t="shared" si="21"/>
        <v xml:space="preserve"> </v>
      </c>
      <c r="R83" s="17">
        <f t="shared" si="29"/>
        <v>3.0534351145038168E-3</v>
      </c>
    </row>
    <row r="84" spans="1:18" ht="12.75">
      <c r="A84" s="12">
        <f t="shared" si="10"/>
        <v>50</v>
      </c>
      <c r="B84" s="13" t="s">
        <v>107</v>
      </c>
      <c r="C84" s="14" t="str">
        <f t="array" aca="1" ref="C84" ca="1">INDEX('Rooms Master'!U:U,MATCH(B84,'Rooms Master'!D:D,0))</f>
        <v>Y</v>
      </c>
      <c r="D84" s="15">
        <v>44</v>
      </c>
      <c r="E84" s="15">
        <v>15</v>
      </c>
      <c r="F84" s="15">
        <v>1</v>
      </c>
      <c r="G84" s="16">
        <v>0</v>
      </c>
      <c r="H84" s="15">
        <v>0</v>
      </c>
      <c r="I84" s="15"/>
      <c r="J84" s="15"/>
      <c r="K84" s="15"/>
      <c r="L84" s="1" t="s">
        <v>24</v>
      </c>
      <c r="M84" s="17">
        <f t="shared" si="30"/>
        <v>6.6666666666666666E-2</v>
      </c>
      <c r="N84" s="18">
        <f t="shared" si="31"/>
        <v>0</v>
      </c>
      <c r="O84" s="17" t="str">
        <f t="shared" si="19"/>
        <v xml:space="preserve"> </v>
      </c>
      <c r="P84" s="17" t="str">
        <f t="shared" si="26"/>
        <v xml:space="preserve"> </v>
      </c>
      <c r="Q84" s="17" t="str">
        <f t="shared" si="21"/>
        <v xml:space="preserve"> </v>
      </c>
      <c r="R84" s="17">
        <f t="shared" si="29"/>
        <v>4.5801526717557254E-3</v>
      </c>
    </row>
    <row r="85" spans="1:18" ht="12.75">
      <c r="A85" s="12">
        <f t="shared" si="10"/>
        <v>51</v>
      </c>
      <c r="B85" s="13" t="s">
        <v>108</v>
      </c>
      <c r="C85" s="14" t="str">
        <f t="array" aca="1" ref="C85" ca="1">INDEX('Rooms Master'!U:U,MATCH(B85,'Rooms Master'!D:D,0))</f>
        <v>Y</v>
      </c>
      <c r="D85" s="15">
        <v>45</v>
      </c>
      <c r="E85" s="15">
        <v>10</v>
      </c>
      <c r="F85" s="15">
        <v>1</v>
      </c>
      <c r="G85" s="16">
        <v>2</v>
      </c>
      <c r="H85" s="15">
        <v>0</v>
      </c>
      <c r="I85" s="15"/>
      <c r="J85" s="15"/>
      <c r="K85" s="15"/>
      <c r="L85" s="1" t="s">
        <v>24</v>
      </c>
      <c r="M85" s="17">
        <f t="shared" si="30"/>
        <v>0.1</v>
      </c>
      <c r="N85" s="18">
        <f t="shared" si="31"/>
        <v>0</v>
      </c>
      <c r="O85" s="17" t="str">
        <f t="shared" si="19"/>
        <v xml:space="preserve"> </v>
      </c>
      <c r="P85" s="17" t="str">
        <f t="shared" si="26"/>
        <v xml:space="preserve"> </v>
      </c>
      <c r="Q85" s="17" t="str">
        <f t="shared" si="21"/>
        <v xml:space="preserve"> </v>
      </c>
      <c r="R85" s="17">
        <f t="shared" si="29"/>
        <v>3.0534351145038168E-3</v>
      </c>
    </row>
    <row r="86" spans="1:18" ht="12.75">
      <c r="A86" s="12">
        <f t="shared" si="10"/>
        <v>52</v>
      </c>
      <c r="B86" s="13" t="s">
        <v>109</v>
      </c>
      <c r="C86" s="14" t="str">
        <f t="array" aca="1" ref="C86" ca="1">INDEX('Rooms Master'!U:U,MATCH(B86,'Rooms Master'!D:D,0))</f>
        <v>Y</v>
      </c>
      <c r="D86" s="15">
        <v>47</v>
      </c>
      <c r="E86" s="15">
        <v>27</v>
      </c>
      <c r="F86" s="15">
        <v>1</v>
      </c>
      <c r="G86" s="16">
        <v>1</v>
      </c>
      <c r="H86" s="15">
        <v>1</v>
      </c>
      <c r="I86" s="15"/>
      <c r="J86" s="15"/>
      <c r="K86" s="15"/>
      <c r="L86" s="1" t="s">
        <v>37</v>
      </c>
      <c r="M86" s="17">
        <f t="shared" si="30"/>
        <v>3.7037037037037035E-2</v>
      </c>
      <c r="N86" s="18">
        <f t="shared" si="31"/>
        <v>3.7037037037037035E-2</v>
      </c>
      <c r="O86" s="17">
        <f t="shared" si="19"/>
        <v>0</v>
      </c>
      <c r="P86" s="17" t="str">
        <f t="shared" si="26"/>
        <v xml:space="preserve"> </v>
      </c>
      <c r="Q86" s="17" t="str">
        <f t="shared" si="21"/>
        <v xml:space="preserve"> </v>
      </c>
      <c r="R86" s="17">
        <f t="shared" si="29"/>
        <v>8.2442748091603058E-3</v>
      </c>
    </row>
    <row r="87" spans="1:18" ht="12.75">
      <c r="A87" s="12">
        <f t="shared" si="10"/>
        <v>53</v>
      </c>
      <c r="B87" s="13" t="s">
        <v>110</v>
      </c>
      <c r="C87" s="14" t="str">
        <f t="array" aca="1" ref="C87" ca="1">INDEX('Rooms Master'!U:U,MATCH(B87,'Rooms Master'!D:D,0))</f>
        <v>Y</v>
      </c>
      <c r="D87" s="15">
        <v>69</v>
      </c>
      <c r="E87" s="15">
        <v>19</v>
      </c>
      <c r="F87" s="15">
        <v>1</v>
      </c>
      <c r="G87" s="16">
        <v>2</v>
      </c>
      <c r="H87" s="15">
        <v>3</v>
      </c>
      <c r="I87" s="15"/>
      <c r="J87" s="15"/>
      <c r="K87" s="15"/>
      <c r="L87" s="1" t="s">
        <v>34</v>
      </c>
      <c r="M87" s="17">
        <f t="shared" si="30"/>
        <v>5.2631578947368418E-2</v>
      </c>
      <c r="N87" s="18">
        <f t="shared" si="31"/>
        <v>0.15789473684210525</v>
      </c>
      <c r="O87" s="17">
        <f t="shared" si="19"/>
        <v>0</v>
      </c>
      <c r="P87" s="17" t="str">
        <f t="shared" si="26"/>
        <v xml:space="preserve"> </v>
      </c>
      <c r="Q87" s="17" t="str">
        <f t="shared" si="21"/>
        <v xml:space="preserve"> </v>
      </c>
      <c r="R87" s="17">
        <f t="shared" si="29"/>
        <v>5.8015267175572519E-3</v>
      </c>
    </row>
    <row r="88" spans="1:18" ht="12.75">
      <c r="A88" s="12">
        <f t="shared" si="10"/>
        <v>54</v>
      </c>
      <c r="B88" s="13" t="s">
        <v>111</v>
      </c>
      <c r="C88" s="14" t="str">
        <f t="array" aca="1" ref="C88" ca="1">INDEX('Rooms Master'!U:U,MATCH(B88,'Rooms Master'!D:D,0))</f>
        <v>N</v>
      </c>
      <c r="D88" s="15"/>
      <c r="E88" s="15">
        <v>14</v>
      </c>
      <c r="F88" s="15">
        <v>1</v>
      </c>
      <c r="G88" s="16">
        <v>0</v>
      </c>
      <c r="H88" s="15">
        <v>0</v>
      </c>
      <c r="I88" s="15"/>
      <c r="J88" s="15"/>
      <c r="K88" s="15"/>
      <c r="L88" s="1" t="s">
        <v>24</v>
      </c>
      <c r="M88" s="17">
        <f t="shared" si="30"/>
        <v>7.1428571428571425E-2</v>
      </c>
      <c r="N88" s="18">
        <f t="shared" si="31"/>
        <v>0</v>
      </c>
      <c r="O88" s="17" t="str">
        <f t="shared" si="19"/>
        <v xml:space="preserve"> </v>
      </c>
      <c r="P88" s="17" t="str">
        <f t="shared" si="26"/>
        <v xml:space="preserve"> </v>
      </c>
      <c r="Q88" s="17" t="str">
        <f t="shared" si="21"/>
        <v xml:space="preserve"> </v>
      </c>
      <c r="R88" s="17">
        <f t="shared" si="29"/>
        <v>4.2748091603053437E-3</v>
      </c>
    </row>
    <row r="89" spans="1:18" ht="12.75">
      <c r="A89" s="12">
        <f t="shared" si="10"/>
        <v>55</v>
      </c>
      <c r="B89" s="13" t="s">
        <v>112</v>
      </c>
      <c r="C89" s="14" t="str">
        <f t="array" aca="1" ref="C89" ca="1">INDEX('Rooms Master'!U:U,MATCH(B89,'Rooms Master'!D:D,0))</f>
        <v>Y</v>
      </c>
      <c r="D89" s="15">
        <v>38</v>
      </c>
      <c r="E89" s="15">
        <v>9</v>
      </c>
      <c r="F89" s="15">
        <v>0</v>
      </c>
      <c r="G89" s="16">
        <v>3</v>
      </c>
      <c r="H89" s="15">
        <v>2</v>
      </c>
      <c r="I89" s="15"/>
      <c r="J89" s="15"/>
      <c r="K89" s="15"/>
      <c r="L89" s="1" t="s">
        <v>37</v>
      </c>
      <c r="M89" s="17">
        <f t="shared" si="30"/>
        <v>0</v>
      </c>
      <c r="N89" s="18">
        <f t="shared" si="31"/>
        <v>0.22222222222222221</v>
      </c>
      <c r="O89" s="17">
        <f t="shared" si="19"/>
        <v>0</v>
      </c>
      <c r="P89" s="17" t="str">
        <f t="shared" si="26"/>
        <v xml:space="preserve"> </v>
      </c>
      <c r="Q89" s="17" t="str">
        <f t="shared" si="21"/>
        <v xml:space="preserve"> </v>
      </c>
      <c r="R89" s="17">
        <f t="shared" si="29"/>
        <v>2.7480916030534351E-3</v>
      </c>
    </row>
    <row r="90" spans="1:18" ht="12.75">
      <c r="A90" s="12">
        <f t="shared" si="10"/>
        <v>56</v>
      </c>
      <c r="B90" s="13" t="s">
        <v>113</v>
      </c>
      <c r="C90" s="14" t="str">
        <f t="array" aca="1" ref="C90" ca="1">INDEX('Rooms Master'!U:U,MATCH(B90,'Rooms Master'!D:D,0))</f>
        <v>Y</v>
      </c>
      <c r="D90" s="15">
        <v>59</v>
      </c>
      <c r="E90" s="15">
        <v>9</v>
      </c>
      <c r="F90" s="15">
        <v>0</v>
      </c>
      <c r="G90" s="16">
        <v>1</v>
      </c>
      <c r="H90" s="15">
        <v>0</v>
      </c>
      <c r="I90" s="15"/>
      <c r="J90" s="15"/>
      <c r="K90" s="15"/>
      <c r="L90" s="1" t="s">
        <v>24</v>
      </c>
      <c r="M90" s="17">
        <f t="shared" si="30"/>
        <v>0</v>
      </c>
      <c r="N90" s="18">
        <f t="shared" si="31"/>
        <v>0</v>
      </c>
      <c r="O90" s="17" t="str">
        <f t="shared" si="19"/>
        <v xml:space="preserve"> </v>
      </c>
      <c r="P90" s="17" t="str">
        <f t="shared" si="26"/>
        <v xml:space="preserve"> </v>
      </c>
      <c r="Q90" s="17" t="str">
        <f t="shared" si="21"/>
        <v xml:space="preserve"> </v>
      </c>
      <c r="R90" s="17">
        <f t="shared" si="29"/>
        <v>2.7480916030534351E-3</v>
      </c>
    </row>
    <row r="91" spans="1:18" ht="12.75">
      <c r="A91" s="12">
        <f t="shared" si="10"/>
        <v>57</v>
      </c>
      <c r="B91" s="13" t="s">
        <v>114</v>
      </c>
      <c r="C91" s="14" t="str">
        <f t="array" aca="1" ref="C91" ca="1">INDEX('Rooms Master'!U:U,MATCH(B91,'Rooms Master'!D:D,0))</f>
        <v>Y</v>
      </c>
      <c r="D91" s="15">
        <v>61</v>
      </c>
      <c r="E91" s="15">
        <v>12</v>
      </c>
      <c r="F91" s="15">
        <v>0</v>
      </c>
      <c r="G91" s="16">
        <v>1</v>
      </c>
      <c r="H91" s="15">
        <v>0</v>
      </c>
      <c r="I91" s="15"/>
      <c r="J91" s="15"/>
      <c r="K91" s="15"/>
      <c r="L91" s="1" t="s">
        <v>24</v>
      </c>
      <c r="M91" s="17">
        <f t="shared" si="30"/>
        <v>0</v>
      </c>
      <c r="N91" s="18">
        <f t="shared" si="31"/>
        <v>0</v>
      </c>
      <c r="O91" s="17" t="str">
        <f t="shared" si="19"/>
        <v xml:space="preserve"> </v>
      </c>
      <c r="P91" s="17" t="str">
        <f t="shared" si="26"/>
        <v xml:space="preserve"> </v>
      </c>
      <c r="Q91" s="17" t="str">
        <f t="shared" si="21"/>
        <v xml:space="preserve"> </v>
      </c>
      <c r="R91" s="17">
        <f t="shared" si="29"/>
        <v>3.66412213740458E-3</v>
      </c>
    </row>
    <row r="92" spans="1:18" ht="12.75">
      <c r="A92" s="12">
        <f t="shared" si="10"/>
        <v>58</v>
      </c>
      <c r="B92" s="13" t="s">
        <v>115</v>
      </c>
      <c r="C92" s="14" t="str">
        <f t="array" aca="1" ref="C92" ca="1">INDEX('Rooms Master'!U:U,MATCH(B92,'Rooms Master'!D:D,0))</f>
        <v>Y</v>
      </c>
      <c r="D92" s="15">
        <v>65</v>
      </c>
      <c r="E92" s="15">
        <v>26</v>
      </c>
      <c r="F92" s="15">
        <v>0</v>
      </c>
      <c r="G92" s="16">
        <v>1</v>
      </c>
      <c r="H92" s="15">
        <v>0</v>
      </c>
      <c r="I92" s="15"/>
      <c r="J92" s="15">
        <v>1</v>
      </c>
      <c r="K92" s="15">
        <v>1</v>
      </c>
      <c r="L92" s="1" t="s">
        <v>29</v>
      </c>
      <c r="M92" s="17">
        <f t="shared" si="30"/>
        <v>0</v>
      </c>
      <c r="N92" s="18">
        <f t="shared" si="31"/>
        <v>0</v>
      </c>
      <c r="O92" s="17" t="str">
        <f t="shared" si="19"/>
        <v xml:space="preserve"> </v>
      </c>
      <c r="P92" s="17" t="str">
        <f t="shared" si="26"/>
        <v xml:space="preserve"> </v>
      </c>
      <c r="Q92" s="17">
        <f t="shared" si="21"/>
        <v>1</v>
      </c>
      <c r="R92" s="17">
        <f t="shared" si="29"/>
        <v>7.9389312977099242E-3</v>
      </c>
    </row>
    <row r="93" spans="1:18" ht="12.75">
      <c r="A93" s="12">
        <f t="shared" si="10"/>
        <v>59</v>
      </c>
      <c r="B93" s="13" t="s">
        <v>116</v>
      </c>
      <c r="C93" s="14" t="str">
        <f t="array" aca="1" ref="C93" ca="1">INDEX('Rooms Master'!U:U,MATCH(B93,'Rooms Master'!D:D,0))</f>
        <v>Y</v>
      </c>
      <c r="D93" s="15">
        <v>71</v>
      </c>
      <c r="E93" s="22">
        <v>14</v>
      </c>
      <c r="F93" s="15">
        <v>0</v>
      </c>
      <c r="G93" s="16">
        <v>1</v>
      </c>
      <c r="H93" s="15">
        <v>0</v>
      </c>
      <c r="I93" s="15"/>
      <c r="J93" s="15"/>
      <c r="K93" s="15"/>
      <c r="L93" s="1" t="s">
        <v>64</v>
      </c>
      <c r="M93" s="17" t="str">
        <f>IFERROR(F93/#REF!, " ")</f>
        <v xml:space="preserve"> </v>
      </c>
      <c r="N93" s="18" t="str">
        <f>IFERROR(H93/#REF!," ")</f>
        <v xml:space="preserve"> </v>
      </c>
      <c r="O93" s="17" t="str">
        <f t="shared" si="19"/>
        <v xml:space="preserve"> </v>
      </c>
      <c r="P93" s="17" t="str">
        <f t="shared" si="26"/>
        <v xml:space="preserve"> </v>
      </c>
      <c r="Q93" s="17" t="str">
        <f t="shared" si="21"/>
        <v xml:space="preserve"> </v>
      </c>
      <c r="R93" s="17">
        <f t="shared" si="29"/>
        <v>4.2748091603053437E-3</v>
      </c>
    </row>
    <row r="94" spans="1:18" ht="12.75">
      <c r="A94" s="12">
        <f t="shared" si="10"/>
        <v>60</v>
      </c>
      <c r="B94" s="13" t="s">
        <v>117</v>
      </c>
      <c r="C94" s="14" t="str">
        <f t="array" aca="1" ref="C94" ca="1">INDEX('Rooms Master'!U:U,MATCH(B94,'Rooms Master'!D:D,0))</f>
        <v>N</v>
      </c>
      <c r="D94" s="15"/>
      <c r="E94" s="15">
        <v>1</v>
      </c>
      <c r="F94" s="15">
        <v>0</v>
      </c>
      <c r="G94" s="15">
        <v>0</v>
      </c>
      <c r="H94" s="15">
        <v>0</v>
      </c>
      <c r="I94" s="15"/>
      <c r="J94" s="15"/>
      <c r="K94" s="15"/>
      <c r="M94" s="17">
        <f t="shared" ref="M94:M96" si="32">IFERROR(F94/E94, " ")</f>
        <v>0</v>
      </c>
      <c r="N94" s="18">
        <f t="shared" ref="N94:N96" si="33">IFERROR(H94/E94," ")</f>
        <v>0</v>
      </c>
      <c r="O94" s="17" t="str">
        <f t="shared" si="19"/>
        <v xml:space="preserve"> </v>
      </c>
      <c r="P94" s="17" t="str">
        <f t="shared" si="26"/>
        <v xml:space="preserve"> </v>
      </c>
      <c r="Q94" s="17" t="str">
        <f t="shared" si="21"/>
        <v xml:space="preserve"> </v>
      </c>
      <c r="R94" s="17">
        <f t="shared" si="29"/>
        <v>3.0534351145038169E-4</v>
      </c>
    </row>
    <row r="95" spans="1:18" ht="12.75">
      <c r="A95" s="12">
        <f t="shared" si="10"/>
        <v>61</v>
      </c>
      <c r="B95" s="13" t="s">
        <v>118</v>
      </c>
      <c r="C95" s="14" t="str">
        <f t="array" aca="1" ref="C95" ca="1">INDEX('Rooms Master'!U:U,MATCH(B95,'Rooms Master'!D:D,0))</f>
        <v>N</v>
      </c>
      <c r="D95" s="14"/>
      <c r="E95" s="15">
        <v>0</v>
      </c>
      <c r="F95" s="15">
        <v>0</v>
      </c>
      <c r="G95" s="15">
        <v>0</v>
      </c>
      <c r="H95" s="15">
        <v>0</v>
      </c>
      <c r="I95" s="15"/>
      <c r="J95" s="15"/>
      <c r="K95" s="15"/>
      <c r="L95" s="1" t="s">
        <v>24</v>
      </c>
      <c r="M95" s="17" t="str">
        <f t="shared" si="32"/>
        <v xml:space="preserve"> </v>
      </c>
      <c r="N95" s="18" t="str">
        <f t="shared" si="33"/>
        <v xml:space="preserve"> </v>
      </c>
      <c r="O95" s="17" t="str">
        <f t="shared" si="19"/>
        <v xml:space="preserve"> </v>
      </c>
      <c r="P95" s="17" t="str">
        <f t="shared" si="26"/>
        <v xml:space="preserve"> </v>
      </c>
      <c r="Q95" s="17" t="str">
        <f t="shared" si="21"/>
        <v xml:space="preserve"> </v>
      </c>
      <c r="R95" s="17">
        <f t="shared" si="29"/>
        <v>0</v>
      </c>
    </row>
    <row r="96" spans="1:18" ht="12.75">
      <c r="A96" s="12">
        <f t="shared" si="10"/>
        <v>62</v>
      </c>
      <c r="B96" s="13" t="s">
        <v>119</v>
      </c>
      <c r="C96" s="14" t="str">
        <f t="array" aca="1" ref="C96" ca="1">INDEX('Rooms Master'!U:U,MATCH(B96,'Rooms Master'!D:D,0))</f>
        <v>N</v>
      </c>
      <c r="D96" s="14"/>
      <c r="E96" s="15">
        <v>0</v>
      </c>
      <c r="F96" s="15">
        <v>0</v>
      </c>
      <c r="G96" s="16">
        <v>0</v>
      </c>
      <c r="H96" s="15">
        <v>0</v>
      </c>
      <c r="I96" s="15"/>
      <c r="J96" s="15"/>
      <c r="K96" s="15"/>
      <c r="L96" s="1" t="s">
        <v>24</v>
      </c>
      <c r="M96" s="17" t="str">
        <f t="shared" si="32"/>
        <v xml:space="preserve"> </v>
      </c>
      <c r="N96" s="18" t="str">
        <f t="shared" si="33"/>
        <v xml:space="preserve"> </v>
      </c>
      <c r="O96" s="17" t="str">
        <f t="shared" si="19"/>
        <v xml:space="preserve"> </v>
      </c>
      <c r="P96" s="17" t="str">
        <f t="shared" si="26"/>
        <v xml:space="preserve"> </v>
      </c>
      <c r="Q96" s="17" t="str">
        <f t="shared" si="21"/>
        <v xml:space="preserve"> </v>
      </c>
      <c r="R96" s="17">
        <f t="shared" si="29"/>
        <v>0</v>
      </c>
    </row>
    <row r="97" spans="1:18" ht="12.75">
      <c r="A97" s="12">
        <f t="shared" si="10"/>
        <v>63</v>
      </c>
      <c r="B97" s="13" t="s">
        <v>120</v>
      </c>
      <c r="C97" s="14" t="str">
        <f t="array" aca="1" ref="C97" ca="1">INDEX('Rooms Master'!U:U,MATCH(B97,'Rooms Master'!D:D,0))</f>
        <v>N</v>
      </c>
      <c r="D97" s="14"/>
      <c r="E97" s="15">
        <v>0</v>
      </c>
      <c r="F97" s="15">
        <v>0</v>
      </c>
      <c r="G97" s="16">
        <v>0</v>
      </c>
      <c r="H97" s="15">
        <v>0</v>
      </c>
      <c r="I97" s="15"/>
      <c r="J97" s="15"/>
      <c r="K97" s="15"/>
      <c r="L97" s="1" t="s">
        <v>24</v>
      </c>
      <c r="M97" s="17" t="str">
        <f>IFERROR(F97/E96, " ")</f>
        <v xml:space="preserve"> </v>
      </c>
      <c r="N97" s="18" t="str">
        <f>IFERROR(H97/E96," ")</f>
        <v xml:space="preserve"> </v>
      </c>
      <c r="O97" s="17" t="str">
        <f t="shared" si="19"/>
        <v xml:space="preserve"> </v>
      </c>
      <c r="P97" s="17" t="str">
        <f t="shared" si="26"/>
        <v xml:space="preserve"> </v>
      </c>
      <c r="Q97" s="17" t="str">
        <f t="shared" si="21"/>
        <v xml:space="preserve"> </v>
      </c>
      <c r="R97" s="17">
        <f>IFERROR(E96/$E$118," ")</f>
        <v>0</v>
      </c>
    </row>
    <row r="98" spans="1:18" ht="12.75">
      <c r="A98" s="12">
        <f t="shared" si="10"/>
        <v>64</v>
      </c>
      <c r="B98" s="13" t="s">
        <v>121</v>
      </c>
      <c r="C98" s="14" t="str">
        <f t="array" aca="1" ref="C98" ca="1">INDEX('Rooms Master'!U:U,MATCH(B98,'Rooms Master'!D:D,0))</f>
        <v>N</v>
      </c>
      <c r="D98" s="14"/>
      <c r="E98" s="15">
        <v>0</v>
      </c>
      <c r="F98" s="15">
        <v>0</v>
      </c>
      <c r="G98" s="16">
        <v>0</v>
      </c>
      <c r="H98" s="15">
        <v>0</v>
      </c>
      <c r="I98" s="15"/>
      <c r="J98" s="15"/>
      <c r="K98" s="15"/>
      <c r="L98" s="1" t="s">
        <v>24</v>
      </c>
      <c r="M98" s="17" t="str">
        <f t="shared" ref="M98:M100" si="34">IFERROR(F98/E98, " ")</f>
        <v xml:space="preserve"> </v>
      </c>
      <c r="N98" s="18" t="str">
        <f t="shared" ref="N98:N100" si="35">IFERROR(H98/E98," ")</f>
        <v xml:space="preserve"> </v>
      </c>
      <c r="O98" s="17" t="str">
        <f t="shared" si="19"/>
        <v xml:space="preserve"> </v>
      </c>
      <c r="P98" s="17" t="str">
        <f t="shared" si="26"/>
        <v xml:space="preserve"> </v>
      </c>
      <c r="Q98" s="17" t="str">
        <f t="shared" si="21"/>
        <v xml:space="preserve"> </v>
      </c>
      <c r="R98" s="17">
        <f t="shared" ref="R98:R100" si="36">IFERROR(E98/$E$118," ")</f>
        <v>0</v>
      </c>
    </row>
    <row r="99" spans="1:18" ht="12.75">
      <c r="A99" s="12">
        <f t="shared" si="10"/>
        <v>65</v>
      </c>
      <c r="B99" s="13" t="s">
        <v>122</v>
      </c>
      <c r="C99" s="14" t="str">
        <f t="array" aca="1" ref="C99" ca="1">INDEX('Rooms Master'!U:U,MATCH(B99,'Rooms Master'!D:D,0))</f>
        <v>N</v>
      </c>
      <c r="D99" s="15"/>
      <c r="E99" s="15"/>
      <c r="F99" s="15"/>
      <c r="G99" s="15">
        <v>0</v>
      </c>
      <c r="H99" s="15">
        <v>0</v>
      </c>
      <c r="I99" s="15"/>
      <c r="J99" s="15"/>
      <c r="K99" s="15"/>
      <c r="L99" s="21" t="s">
        <v>20</v>
      </c>
      <c r="M99" s="17" t="str">
        <f t="shared" si="34"/>
        <v xml:space="preserve"> </v>
      </c>
      <c r="N99" s="18" t="str">
        <f t="shared" si="35"/>
        <v xml:space="preserve"> </v>
      </c>
      <c r="O99" s="18" t="str">
        <f t="shared" si="19"/>
        <v xml:space="preserve"> </v>
      </c>
      <c r="P99" s="17" t="str">
        <f t="shared" si="26"/>
        <v xml:space="preserve"> </v>
      </c>
      <c r="Q99" s="17" t="str">
        <f t="shared" si="21"/>
        <v xml:space="preserve"> </v>
      </c>
      <c r="R99" s="17">
        <f t="shared" si="36"/>
        <v>0</v>
      </c>
    </row>
    <row r="100" spans="1:18" ht="12.75">
      <c r="A100" s="12">
        <f t="shared" si="10"/>
        <v>66</v>
      </c>
      <c r="B100" s="13" t="s">
        <v>123</v>
      </c>
      <c r="C100" s="14" t="str">
        <f t="array" aca="1" ref="C100" ca="1">INDEX('Rooms Master'!U:U,MATCH(B100,'Rooms Master'!D:D,0))</f>
        <v>N</v>
      </c>
      <c r="D100" s="15"/>
      <c r="E100" s="15"/>
      <c r="F100" s="15"/>
      <c r="G100" s="15">
        <v>0</v>
      </c>
      <c r="H100" s="15">
        <v>0</v>
      </c>
      <c r="I100" s="15"/>
      <c r="J100" s="15"/>
      <c r="K100" s="15"/>
      <c r="L100" s="1" t="s">
        <v>34</v>
      </c>
      <c r="M100" s="17" t="str">
        <f t="shared" si="34"/>
        <v xml:space="preserve"> </v>
      </c>
      <c r="N100" s="18" t="str">
        <f t="shared" si="35"/>
        <v xml:space="preserve"> </v>
      </c>
      <c r="O100" s="17" t="str">
        <f t="shared" si="19"/>
        <v xml:space="preserve"> </v>
      </c>
      <c r="P100" s="17" t="str">
        <f t="shared" si="26"/>
        <v xml:space="preserve"> </v>
      </c>
      <c r="Q100" s="17" t="str">
        <f t="shared" si="21"/>
        <v xml:space="preserve"> </v>
      </c>
      <c r="R100" s="17">
        <f t="shared" si="36"/>
        <v>0</v>
      </c>
    </row>
    <row r="101" spans="1:18" ht="12.75">
      <c r="A101" s="12">
        <f t="shared" si="10"/>
        <v>67</v>
      </c>
      <c r="B101" s="13" t="s">
        <v>124</v>
      </c>
      <c r="C101" s="14" t="str">
        <f t="array" aca="1" ref="C101" ca="1">INDEX('Rooms Master'!U:U,MATCH(B101,'Rooms Master'!D:D,0))</f>
        <v>N</v>
      </c>
      <c r="D101" s="15"/>
      <c r="E101" s="15"/>
      <c r="F101" s="15"/>
      <c r="G101" s="16">
        <v>1</v>
      </c>
      <c r="H101" s="15">
        <v>0</v>
      </c>
      <c r="I101" s="15"/>
      <c r="J101" s="15"/>
      <c r="K101" s="15"/>
      <c r="L101" s="1" t="s">
        <v>34</v>
      </c>
      <c r="M101" s="17" t="str">
        <f>IFERROR(F101/#REF!, " ")</f>
        <v xml:space="preserve"> </v>
      </c>
      <c r="N101" s="18" t="str">
        <f>IFERROR(H101/#REF!," ")</f>
        <v xml:space="preserve"> </v>
      </c>
      <c r="O101" s="17" t="str">
        <f t="shared" si="19"/>
        <v xml:space="preserve"> </v>
      </c>
      <c r="P101" s="17" t="str">
        <f t="shared" si="26"/>
        <v xml:space="preserve"> </v>
      </c>
      <c r="Q101" s="17" t="str">
        <f t="shared" si="21"/>
        <v xml:space="preserve"> </v>
      </c>
      <c r="R101" s="17" t="str">
        <f>IFERROR(#REF!/$E$118," ")</f>
        <v xml:space="preserve"> </v>
      </c>
    </row>
    <row r="102" spans="1:18" ht="12.75">
      <c r="A102" s="12">
        <f t="shared" si="10"/>
        <v>68</v>
      </c>
      <c r="B102" s="13" t="s">
        <v>125</v>
      </c>
      <c r="C102" s="14" t="str">
        <f t="array" aca="1" ref="C102" ca="1">INDEX('Rooms Master'!U:U,MATCH(B102,'Rooms Master'!D:D,0))</f>
        <v>N</v>
      </c>
      <c r="D102" s="15"/>
      <c r="E102" s="15"/>
      <c r="F102" s="15"/>
      <c r="G102" s="16">
        <v>1</v>
      </c>
      <c r="H102" s="15">
        <v>0</v>
      </c>
      <c r="I102" s="15"/>
      <c r="J102" s="15"/>
      <c r="K102" s="15"/>
      <c r="L102" s="1" t="s">
        <v>126</v>
      </c>
      <c r="M102" s="17" t="str">
        <f t="shared" ref="M102:M116" si="37">IFERROR(F102/E102, " ")</f>
        <v xml:space="preserve"> </v>
      </c>
      <c r="N102" s="18" t="str">
        <f t="shared" ref="N102:N118" si="38">IFERROR(H102/E102," ")</f>
        <v xml:space="preserve"> </v>
      </c>
      <c r="O102" s="17" t="str">
        <f t="shared" si="19"/>
        <v xml:space="preserve"> </v>
      </c>
      <c r="P102" s="17" t="str">
        <f t="shared" si="26"/>
        <v xml:space="preserve"> </v>
      </c>
      <c r="Q102" s="17" t="str">
        <f t="shared" si="21"/>
        <v xml:space="preserve"> </v>
      </c>
      <c r="R102" s="17">
        <f t="shared" ref="R102:R116" si="39">IFERROR(E102/$E$118," ")</f>
        <v>0</v>
      </c>
    </row>
    <row r="103" spans="1:18" ht="12.75">
      <c r="A103" s="12">
        <f t="shared" si="10"/>
        <v>69</v>
      </c>
      <c r="B103" s="13" t="s">
        <v>127</v>
      </c>
      <c r="C103" s="14" t="str">
        <f t="array" aca="1" ref="C103" ca="1">INDEX('Rooms Master'!U:U,MATCH(B103,'Rooms Master'!D:D,0))</f>
        <v>N</v>
      </c>
      <c r="D103" s="14"/>
      <c r="E103" s="15"/>
      <c r="F103" s="15"/>
      <c r="G103" s="16">
        <v>0</v>
      </c>
      <c r="H103" s="15">
        <v>0</v>
      </c>
      <c r="I103" s="15"/>
      <c r="J103" s="15"/>
      <c r="K103" s="15"/>
      <c r="L103" s="1" t="s">
        <v>24</v>
      </c>
      <c r="M103" s="17" t="str">
        <f t="shared" si="37"/>
        <v xml:space="preserve"> </v>
      </c>
      <c r="N103" s="18" t="str">
        <f t="shared" si="38"/>
        <v xml:space="preserve"> </v>
      </c>
      <c r="O103" s="17" t="str">
        <f t="shared" si="19"/>
        <v xml:space="preserve"> </v>
      </c>
      <c r="P103" s="17" t="str">
        <f t="shared" si="26"/>
        <v xml:space="preserve"> </v>
      </c>
      <c r="Q103" s="17" t="str">
        <f t="shared" si="21"/>
        <v xml:space="preserve"> </v>
      </c>
      <c r="R103" s="17">
        <f t="shared" si="39"/>
        <v>0</v>
      </c>
    </row>
    <row r="104" spans="1:18" ht="12.75">
      <c r="A104" s="12">
        <f t="shared" si="10"/>
        <v>70</v>
      </c>
      <c r="B104" s="13" t="s">
        <v>128</v>
      </c>
      <c r="C104" s="14" t="str">
        <f t="array" aca="1" ref="C104" ca="1">INDEX('Rooms Master'!U:U,MATCH(B104,'Rooms Master'!D:D,0))</f>
        <v>N</v>
      </c>
      <c r="D104" s="14"/>
      <c r="E104" s="15"/>
      <c r="F104" s="15"/>
      <c r="G104" s="16">
        <v>1</v>
      </c>
      <c r="H104" s="15">
        <v>0</v>
      </c>
      <c r="I104" s="15"/>
      <c r="J104" s="15"/>
      <c r="K104" s="15"/>
      <c r="L104" s="1" t="s">
        <v>24</v>
      </c>
      <c r="M104" s="17" t="str">
        <f t="shared" si="37"/>
        <v xml:space="preserve"> </v>
      </c>
      <c r="N104" s="18" t="str">
        <f t="shared" si="38"/>
        <v xml:space="preserve"> </v>
      </c>
      <c r="O104" s="17" t="str">
        <f t="shared" si="19"/>
        <v xml:space="preserve"> </v>
      </c>
      <c r="P104" s="17" t="str">
        <f t="shared" si="26"/>
        <v xml:space="preserve"> </v>
      </c>
      <c r="Q104" s="17" t="str">
        <f t="shared" si="21"/>
        <v xml:space="preserve"> </v>
      </c>
      <c r="R104" s="17">
        <f t="shared" si="39"/>
        <v>0</v>
      </c>
    </row>
    <row r="105" spans="1:18" ht="12.75">
      <c r="A105" s="12">
        <f t="shared" si="10"/>
        <v>71</v>
      </c>
      <c r="B105" s="13" t="s">
        <v>129</v>
      </c>
      <c r="C105" s="14" t="str">
        <f t="array" aca="1" ref="C105" ca="1">INDEX('Rooms Master'!U:U,MATCH(B105,'Rooms Master'!D:D,0))</f>
        <v>N</v>
      </c>
      <c r="D105" s="15"/>
      <c r="E105" s="15"/>
      <c r="F105" s="15"/>
      <c r="G105" s="16">
        <v>3</v>
      </c>
      <c r="H105" s="15">
        <v>0</v>
      </c>
      <c r="I105" s="15"/>
      <c r="J105" s="15"/>
      <c r="K105" s="15"/>
      <c r="L105" s="1" t="s">
        <v>20</v>
      </c>
      <c r="M105" s="17" t="str">
        <f t="shared" si="37"/>
        <v xml:space="preserve"> </v>
      </c>
      <c r="N105" s="18" t="str">
        <f t="shared" si="38"/>
        <v xml:space="preserve"> </v>
      </c>
      <c r="O105" s="17" t="str">
        <f t="shared" si="19"/>
        <v xml:space="preserve"> </v>
      </c>
      <c r="P105" s="17" t="str">
        <f t="shared" si="26"/>
        <v xml:space="preserve"> </v>
      </c>
      <c r="Q105" s="17" t="str">
        <f t="shared" si="21"/>
        <v xml:space="preserve"> </v>
      </c>
      <c r="R105" s="17">
        <f t="shared" si="39"/>
        <v>0</v>
      </c>
    </row>
    <row r="106" spans="1:18" ht="12.75">
      <c r="A106" s="12">
        <f t="shared" si="10"/>
        <v>72</v>
      </c>
      <c r="B106" s="13" t="s">
        <v>130</v>
      </c>
      <c r="C106" s="14" t="str">
        <f t="array" aca="1" ref="C106" ca="1">INDEX('Rooms Master'!U:U,MATCH(B106,'Rooms Master'!D:D,0))</f>
        <v>N</v>
      </c>
      <c r="D106" s="15"/>
      <c r="E106" s="15"/>
      <c r="F106" s="15"/>
      <c r="G106" s="16">
        <v>0</v>
      </c>
      <c r="H106" s="15">
        <v>0</v>
      </c>
      <c r="I106" s="15"/>
      <c r="J106" s="15"/>
      <c r="K106" s="15"/>
      <c r="L106" s="21" t="s">
        <v>20</v>
      </c>
      <c r="M106" s="17" t="str">
        <f t="shared" si="37"/>
        <v xml:space="preserve"> </v>
      </c>
      <c r="N106" s="18" t="str">
        <f t="shared" si="38"/>
        <v xml:space="preserve"> </v>
      </c>
      <c r="O106" s="17" t="str">
        <f t="shared" si="19"/>
        <v xml:space="preserve"> </v>
      </c>
      <c r="P106" s="18" t="str">
        <f t="shared" si="26"/>
        <v xml:space="preserve"> </v>
      </c>
      <c r="Q106" s="18" t="str">
        <f t="shared" si="21"/>
        <v xml:space="preserve"> </v>
      </c>
      <c r="R106" s="17">
        <f t="shared" si="39"/>
        <v>0</v>
      </c>
    </row>
    <row r="107" spans="1:18" ht="12.75">
      <c r="A107" s="12">
        <f t="shared" si="10"/>
        <v>73</v>
      </c>
      <c r="B107" s="13" t="s">
        <v>131</v>
      </c>
      <c r="C107" s="14" t="str">
        <f t="array" aca="1" ref="C107" ca="1">INDEX('Rooms Master'!U:U,MATCH(B107,'Rooms Master'!D:D,0))</f>
        <v>N</v>
      </c>
      <c r="D107" s="14"/>
      <c r="E107" s="15"/>
      <c r="F107" s="15"/>
      <c r="G107" s="16">
        <v>0</v>
      </c>
      <c r="H107" s="15">
        <v>0</v>
      </c>
      <c r="I107" s="15"/>
      <c r="J107" s="15"/>
      <c r="K107" s="15"/>
      <c r="L107" s="1" t="s">
        <v>24</v>
      </c>
      <c r="M107" s="17" t="str">
        <f t="shared" si="37"/>
        <v xml:space="preserve"> </v>
      </c>
      <c r="N107" s="18" t="str">
        <f t="shared" si="38"/>
        <v xml:space="preserve"> </v>
      </c>
      <c r="O107" s="17" t="str">
        <f t="shared" si="19"/>
        <v xml:space="preserve"> </v>
      </c>
      <c r="P107" s="17" t="str">
        <f t="shared" si="26"/>
        <v xml:space="preserve"> </v>
      </c>
      <c r="Q107" s="17" t="str">
        <f t="shared" si="21"/>
        <v xml:space="preserve"> </v>
      </c>
      <c r="R107" s="17">
        <f t="shared" si="39"/>
        <v>0</v>
      </c>
    </row>
    <row r="108" spans="1:18" ht="12.75">
      <c r="A108" s="12">
        <f t="shared" si="10"/>
        <v>74</v>
      </c>
      <c r="B108" s="13" t="s">
        <v>132</v>
      </c>
      <c r="C108" s="14" t="str">
        <f t="array" aca="1" ref="C108" ca="1">INDEX('Rooms Master'!U:U,MATCH(B108,'Rooms Master'!D:D,0))</f>
        <v>N</v>
      </c>
      <c r="D108" s="15"/>
      <c r="E108" s="15"/>
      <c r="F108" s="15"/>
      <c r="G108" s="16">
        <v>0</v>
      </c>
      <c r="H108" s="15">
        <v>0</v>
      </c>
      <c r="I108" s="15"/>
      <c r="J108" s="15"/>
      <c r="K108" s="15"/>
      <c r="L108" s="1" t="s">
        <v>24</v>
      </c>
      <c r="M108" s="17" t="str">
        <f t="shared" si="37"/>
        <v xml:space="preserve"> </v>
      </c>
      <c r="N108" s="18" t="str">
        <f t="shared" si="38"/>
        <v xml:space="preserve"> </v>
      </c>
      <c r="O108" s="17" t="str">
        <f t="shared" si="19"/>
        <v xml:space="preserve"> </v>
      </c>
      <c r="P108" s="17" t="str">
        <f t="shared" si="26"/>
        <v xml:space="preserve"> </v>
      </c>
      <c r="Q108" s="17" t="str">
        <f t="shared" si="21"/>
        <v xml:space="preserve"> </v>
      </c>
      <c r="R108" s="17">
        <f t="shared" si="39"/>
        <v>0</v>
      </c>
    </row>
    <row r="109" spans="1:18" ht="12.75">
      <c r="A109" s="12">
        <f t="shared" si="10"/>
        <v>75</v>
      </c>
      <c r="B109" s="13" t="s">
        <v>133</v>
      </c>
      <c r="C109" s="14" t="str">
        <f t="array" aca="1" ref="C109" ca="1">INDEX('Rooms Master'!U:U,MATCH(B109,'Rooms Master'!D:D,0))</f>
        <v>N</v>
      </c>
      <c r="D109" s="14"/>
      <c r="E109" s="15"/>
      <c r="F109" s="15"/>
      <c r="G109" s="16">
        <v>0</v>
      </c>
      <c r="H109" s="15">
        <v>0</v>
      </c>
      <c r="I109" s="15"/>
      <c r="J109" s="15"/>
      <c r="K109" s="15"/>
      <c r="L109" s="1" t="s">
        <v>24</v>
      </c>
      <c r="M109" s="17" t="str">
        <f t="shared" si="37"/>
        <v xml:space="preserve"> </v>
      </c>
      <c r="N109" s="18" t="str">
        <f t="shared" si="38"/>
        <v xml:space="preserve"> </v>
      </c>
      <c r="O109" s="17" t="str">
        <f t="shared" si="19"/>
        <v xml:space="preserve"> </v>
      </c>
      <c r="P109" s="17" t="str">
        <f t="shared" si="26"/>
        <v xml:space="preserve"> </v>
      </c>
      <c r="Q109" s="17" t="str">
        <f t="shared" si="21"/>
        <v xml:space="preserve"> </v>
      </c>
      <c r="R109" s="17">
        <f t="shared" si="39"/>
        <v>0</v>
      </c>
    </row>
    <row r="110" spans="1:18" ht="12.75">
      <c r="A110" s="12">
        <f t="shared" si="10"/>
        <v>76</v>
      </c>
      <c r="B110" s="13" t="s">
        <v>134</v>
      </c>
      <c r="C110" s="14" t="str">
        <f t="array" aca="1" ref="C110" ca="1">INDEX('Rooms Master'!U:U,MATCH(B110,'Rooms Master'!D:D,0))</f>
        <v>N</v>
      </c>
      <c r="D110" s="14"/>
      <c r="E110" s="15"/>
      <c r="F110" s="15"/>
      <c r="G110" s="16">
        <v>0</v>
      </c>
      <c r="H110" s="15">
        <v>0</v>
      </c>
      <c r="I110" s="15"/>
      <c r="J110" s="15"/>
      <c r="K110" s="15"/>
      <c r="L110" s="1" t="s">
        <v>24</v>
      </c>
      <c r="M110" s="17" t="str">
        <f t="shared" si="37"/>
        <v xml:space="preserve"> </v>
      </c>
      <c r="N110" s="18" t="str">
        <f t="shared" si="38"/>
        <v xml:space="preserve"> </v>
      </c>
      <c r="O110" s="17" t="str">
        <f t="shared" si="19"/>
        <v xml:space="preserve"> </v>
      </c>
      <c r="P110" s="17" t="str">
        <f t="shared" si="26"/>
        <v xml:space="preserve"> </v>
      </c>
      <c r="Q110" s="17" t="str">
        <f t="shared" si="21"/>
        <v xml:space="preserve"> </v>
      </c>
      <c r="R110" s="17">
        <f t="shared" si="39"/>
        <v>0</v>
      </c>
    </row>
    <row r="111" spans="1:18" ht="12.75">
      <c r="A111" s="12">
        <f t="shared" si="10"/>
        <v>77</v>
      </c>
      <c r="B111" s="13" t="s">
        <v>135</v>
      </c>
      <c r="C111" s="14" t="str">
        <f t="array" aca="1" ref="C111" ca="1">INDEX('Rooms Master'!U:U,MATCH(B111,'Rooms Master'!D:D,0))</f>
        <v>N</v>
      </c>
      <c r="D111" s="15"/>
      <c r="E111" s="15"/>
      <c r="F111" s="15"/>
      <c r="G111" s="16">
        <v>1</v>
      </c>
      <c r="H111" s="15">
        <v>0</v>
      </c>
      <c r="I111" s="15"/>
      <c r="J111" s="15"/>
      <c r="K111" s="15"/>
      <c r="L111" s="1" t="s">
        <v>20</v>
      </c>
      <c r="M111" s="17" t="str">
        <f t="shared" si="37"/>
        <v xml:space="preserve"> </v>
      </c>
      <c r="N111" s="18" t="str">
        <f t="shared" si="38"/>
        <v xml:space="preserve"> </v>
      </c>
      <c r="O111" s="17" t="str">
        <f t="shared" si="19"/>
        <v xml:space="preserve"> </v>
      </c>
      <c r="P111" s="17" t="str">
        <f t="shared" si="26"/>
        <v xml:space="preserve"> </v>
      </c>
      <c r="Q111" s="17" t="str">
        <f t="shared" si="21"/>
        <v xml:space="preserve"> </v>
      </c>
      <c r="R111" s="17">
        <f t="shared" si="39"/>
        <v>0</v>
      </c>
    </row>
    <row r="112" spans="1:18" ht="12.75">
      <c r="A112" s="12">
        <f t="shared" si="10"/>
        <v>78</v>
      </c>
      <c r="B112" s="13" t="s">
        <v>136</v>
      </c>
      <c r="C112" s="14" t="str">
        <f t="array" aca="1" ref="C112" ca="1">INDEX('Rooms Master'!U:U,MATCH(B112,'Rooms Master'!D:D,0))</f>
        <v>N</v>
      </c>
      <c r="D112" s="15"/>
      <c r="E112" s="15"/>
      <c r="F112" s="15"/>
      <c r="G112" s="16">
        <v>1</v>
      </c>
      <c r="H112" s="15">
        <v>0</v>
      </c>
      <c r="I112" s="15"/>
      <c r="J112" s="15"/>
      <c r="K112" s="15"/>
      <c r="L112" s="1" t="s">
        <v>34</v>
      </c>
      <c r="M112" s="17" t="str">
        <f t="shared" si="37"/>
        <v xml:space="preserve"> </v>
      </c>
      <c r="N112" s="18" t="str">
        <f t="shared" si="38"/>
        <v xml:space="preserve"> </v>
      </c>
      <c r="O112" s="17" t="str">
        <f t="shared" si="19"/>
        <v xml:space="preserve"> </v>
      </c>
      <c r="P112" s="17" t="str">
        <f t="shared" si="26"/>
        <v xml:space="preserve"> </v>
      </c>
      <c r="Q112" s="17" t="str">
        <f t="shared" si="21"/>
        <v xml:space="preserve"> </v>
      </c>
      <c r="R112" s="17">
        <f t="shared" si="39"/>
        <v>0</v>
      </c>
    </row>
    <row r="113" spans="1:29" ht="12.75">
      <c r="A113" s="12">
        <f t="shared" si="10"/>
        <v>79</v>
      </c>
      <c r="B113" s="13" t="s">
        <v>137</v>
      </c>
      <c r="C113" s="14" t="str">
        <f t="array" aca="1" ref="C113" ca="1">INDEX('Rooms Master'!U:U,MATCH(B113,'Rooms Master'!D:D,0))</f>
        <v>N</v>
      </c>
      <c r="D113" s="15"/>
      <c r="E113" s="15"/>
      <c r="F113" s="15"/>
      <c r="G113" s="16">
        <v>1</v>
      </c>
      <c r="H113" s="15">
        <v>0</v>
      </c>
      <c r="I113" s="15"/>
      <c r="J113" s="15"/>
      <c r="K113" s="15"/>
      <c r="L113" s="1" t="s">
        <v>138</v>
      </c>
      <c r="M113" s="17" t="str">
        <f t="shared" si="37"/>
        <v xml:space="preserve"> </v>
      </c>
      <c r="N113" s="18" t="str">
        <f t="shared" si="38"/>
        <v xml:space="preserve"> </v>
      </c>
      <c r="O113" s="17" t="str">
        <f t="shared" si="19"/>
        <v xml:space="preserve"> </v>
      </c>
      <c r="P113" s="17" t="str">
        <f t="shared" si="26"/>
        <v xml:space="preserve"> </v>
      </c>
      <c r="Q113" s="17" t="str">
        <f t="shared" si="21"/>
        <v xml:space="preserve"> </v>
      </c>
      <c r="R113" s="17">
        <f t="shared" si="39"/>
        <v>0</v>
      </c>
    </row>
    <row r="114" spans="1:29" ht="12.75">
      <c r="A114" s="12">
        <f t="shared" si="10"/>
        <v>80</v>
      </c>
      <c r="B114" s="13" t="s">
        <v>139</v>
      </c>
      <c r="C114" s="14" t="str">
        <f t="array" aca="1" ref="C114" ca="1">INDEX('Rooms Master'!U:U,MATCH(B114,'Rooms Master'!D:D,0))</f>
        <v>N</v>
      </c>
      <c r="D114" s="14"/>
      <c r="E114" s="15"/>
      <c r="F114" s="15"/>
      <c r="G114" s="16">
        <v>0</v>
      </c>
      <c r="H114" s="15">
        <v>0</v>
      </c>
      <c r="I114" s="15"/>
      <c r="J114" s="15"/>
      <c r="K114" s="15"/>
      <c r="L114" s="1" t="s">
        <v>24</v>
      </c>
      <c r="M114" s="17" t="str">
        <f t="shared" si="37"/>
        <v xml:space="preserve"> </v>
      </c>
      <c r="N114" s="18" t="str">
        <f t="shared" si="38"/>
        <v xml:space="preserve"> </v>
      </c>
      <c r="O114" s="17" t="str">
        <f t="shared" si="19"/>
        <v xml:space="preserve"> </v>
      </c>
      <c r="P114" s="17" t="str">
        <f t="shared" si="26"/>
        <v xml:space="preserve"> </v>
      </c>
      <c r="Q114" s="17" t="str">
        <f t="shared" si="21"/>
        <v xml:space="preserve"> </v>
      </c>
      <c r="R114" s="17">
        <f t="shared" si="39"/>
        <v>0</v>
      </c>
    </row>
    <row r="115" spans="1:29" ht="12.75">
      <c r="A115" s="12">
        <f t="shared" si="10"/>
        <v>81</v>
      </c>
      <c r="B115" s="13" t="s">
        <v>140</v>
      </c>
      <c r="C115" s="14" t="str">
        <f t="array" aca="1" ref="C115" ca="1">INDEX('Rooms Master'!U:U,MATCH(B115,'Rooms Master'!D:D,0))</f>
        <v>N</v>
      </c>
      <c r="D115" s="14"/>
      <c r="E115" s="15"/>
      <c r="F115" s="15"/>
      <c r="G115" s="16">
        <v>1</v>
      </c>
      <c r="H115" s="15">
        <v>0</v>
      </c>
      <c r="I115" s="15"/>
      <c r="J115" s="15"/>
      <c r="K115" s="15"/>
      <c r="L115" s="1" t="s">
        <v>24</v>
      </c>
      <c r="M115" s="17" t="str">
        <f t="shared" si="37"/>
        <v xml:space="preserve"> </v>
      </c>
      <c r="N115" s="18" t="str">
        <f t="shared" si="38"/>
        <v xml:space="preserve"> </v>
      </c>
      <c r="O115" s="17" t="str">
        <f t="shared" si="19"/>
        <v xml:space="preserve"> </v>
      </c>
      <c r="P115" s="17" t="str">
        <f t="shared" si="26"/>
        <v xml:space="preserve"> </v>
      </c>
      <c r="Q115" s="17" t="str">
        <f t="shared" si="21"/>
        <v xml:space="preserve"> </v>
      </c>
      <c r="R115" s="17">
        <f t="shared" si="39"/>
        <v>0</v>
      </c>
    </row>
    <row r="116" spans="1:29" ht="12.75">
      <c r="A116" s="12">
        <f t="shared" si="10"/>
        <v>82</v>
      </c>
      <c r="B116" s="13" t="s">
        <v>141</v>
      </c>
      <c r="C116" s="15" t="s">
        <v>142</v>
      </c>
      <c r="D116" s="14"/>
      <c r="E116" s="15"/>
      <c r="F116" s="15"/>
      <c r="G116" s="16">
        <v>1</v>
      </c>
      <c r="H116" s="15">
        <v>0</v>
      </c>
      <c r="I116" s="15"/>
      <c r="J116" s="15"/>
      <c r="K116" s="15"/>
      <c r="L116" s="1" t="s">
        <v>24</v>
      </c>
      <c r="M116" s="17" t="str">
        <f t="shared" si="37"/>
        <v xml:space="preserve"> </v>
      </c>
      <c r="N116" s="18" t="str">
        <f t="shared" si="38"/>
        <v xml:space="preserve"> </v>
      </c>
      <c r="O116" s="17" t="str">
        <f t="shared" si="19"/>
        <v xml:space="preserve"> </v>
      </c>
      <c r="P116" s="17" t="str">
        <f t="shared" si="26"/>
        <v xml:space="preserve"> </v>
      </c>
      <c r="Q116" s="17" t="str">
        <f t="shared" si="21"/>
        <v xml:space="preserve"> </v>
      </c>
      <c r="R116" s="17">
        <f t="shared" si="39"/>
        <v>0</v>
      </c>
    </row>
    <row r="117" spans="1:29" ht="12.75">
      <c r="C117" s="29"/>
      <c r="D117" s="29"/>
      <c r="E117" s="29"/>
      <c r="F117" s="29"/>
      <c r="G117" s="29"/>
      <c r="H117" s="29"/>
      <c r="I117" s="29"/>
      <c r="J117" s="29"/>
      <c r="K117" s="29"/>
      <c r="M117" s="17"/>
      <c r="N117" s="18" t="str">
        <f t="shared" si="38"/>
        <v xml:space="preserve"> </v>
      </c>
      <c r="R117" s="17"/>
    </row>
    <row r="118" spans="1:29" ht="13.15">
      <c r="A118" s="30"/>
      <c r="B118" s="31" t="s">
        <v>143</v>
      </c>
      <c r="C118" s="32"/>
      <c r="D118" s="32"/>
      <c r="E118" s="32">
        <f t="shared" ref="E118:K118" si="40">SUM(E2:E116)</f>
        <v>3275</v>
      </c>
      <c r="F118" s="32">
        <f t="shared" si="40"/>
        <v>938</v>
      </c>
      <c r="G118" s="32">
        <f t="shared" si="40"/>
        <v>217</v>
      </c>
      <c r="H118" s="32">
        <f t="shared" si="40"/>
        <v>110</v>
      </c>
      <c r="I118" s="32">
        <f t="shared" si="40"/>
        <v>22</v>
      </c>
      <c r="J118" s="32">
        <f t="shared" si="40"/>
        <v>13</v>
      </c>
      <c r="K118" s="32">
        <f t="shared" si="40"/>
        <v>13</v>
      </c>
      <c r="L118" s="30"/>
      <c r="M118" s="33"/>
      <c r="N118" s="34">
        <f t="shared" si="38"/>
        <v>3.3587786259541987E-2</v>
      </c>
      <c r="O118" s="33">
        <f>K118/H118</f>
        <v>0.11818181818181818</v>
      </c>
      <c r="P118" s="33">
        <f>K118/I118</f>
        <v>0.59090909090909094</v>
      </c>
      <c r="Q118" s="33">
        <f>K118/J118</f>
        <v>1</v>
      </c>
      <c r="R118" s="33"/>
      <c r="S118" s="33">
        <f>K118/E118</f>
        <v>3.9694656488549621E-3</v>
      </c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 spans="1:29" ht="12.75">
      <c r="M119" s="17"/>
      <c r="N119" s="35"/>
      <c r="R119" s="17"/>
    </row>
    <row r="120" spans="1:29" ht="13.5">
      <c r="B120" s="21" t="s">
        <v>144</v>
      </c>
      <c r="C120" s="36">
        <f ca="1">IFERROR(__xludf.DUMMYFUNCTION("AVERAGE(FILTER($E$2:$E$116,$C2:$C$116=""Y""))"),43.3529411764705)</f>
        <v>43.352941176470502</v>
      </c>
      <c r="K120" s="37"/>
      <c r="M120" s="17"/>
      <c r="N120" s="35"/>
      <c r="R120" s="17"/>
    </row>
    <row r="121" spans="1:29" ht="12.75">
      <c r="M121" s="17"/>
      <c r="N121" s="35"/>
      <c r="R121" s="17"/>
    </row>
    <row r="122" spans="1:29" ht="12.75">
      <c r="M122" s="17"/>
      <c r="N122" s="35"/>
      <c r="R122" s="17"/>
    </row>
    <row r="123" spans="1:29" ht="12.75">
      <c r="M123" s="17"/>
      <c r="N123" s="35"/>
      <c r="R123" s="17"/>
    </row>
    <row r="124" spans="1:29" ht="12.75">
      <c r="B124" s="13"/>
      <c r="C124" s="25"/>
      <c r="D124" s="25"/>
      <c r="F124" s="38"/>
      <c r="G124" s="38"/>
      <c r="H124" s="38"/>
      <c r="I124" s="38"/>
      <c r="J124" s="38"/>
      <c r="K124" s="38"/>
      <c r="M124" s="17"/>
      <c r="N124" s="35"/>
      <c r="R124" s="17"/>
    </row>
    <row r="125" spans="1:29" ht="12.75">
      <c r="B125" s="13"/>
      <c r="C125" s="25"/>
      <c r="D125" s="25"/>
      <c r="F125" s="38"/>
      <c r="G125" s="38"/>
      <c r="H125" s="38"/>
      <c r="I125" s="38"/>
      <c r="J125" s="38"/>
      <c r="K125" s="38"/>
      <c r="M125" s="17"/>
      <c r="N125" s="35"/>
      <c r="R125" s="17"/>
    </row>
    <row r="126" spans="1:29" ht="12.75">
      <c r="B126" s="13"/>
      <c r="C126" s="25"/>
      <c r="D126" s="25"/>
      <c r="F126" s="38"/>
      <c r="G126" s="38"/>
      <c r="H126" s="38"/>
      <c r="I126" s="38"/>
      <c r="J126" s="38"/>
      <c r="K126" s="38"/>
      <c r="M126" s="17"/>
      <c r="N126" s="35"/>
      <c r="R126" s="17"/>
    </row>
    <row r="127" spans="1:29" ht="12.75">
      <c r="B127" s="13"/>
      <c r="C127" s="25"/>
      <c r="D127" s="25"/>
      <c r="F127" s="38"/>
      <c r="G127" s="38"/>
      <c r="H127" s="38"/>
      <c r="I127" s="38"/>
      <c r="J127" s="38"/>
      <c r="K127" s="38"/>
      <c r="M127" s="17"/>
      <c r="N127" s="35"/>
      <c r="R127" s="17"/>
    </row>
    <row r="128" spans="1:29" ht="12.75">
      <c r="B128" s="13"/>
      <c r="C128" s="25"/>
      <c r="D128" s="25"/>
      <c r="F128" s="38"/>
      <c r="G128" s="38"/>
      <c r="H128" s="38"/>
      <c r="I128" s="38"/>
      <c r="J128" s="38"/>
      <c r="K128" s="38"/>
      <c r="M128" s="17"/>
      <c r="N128" s="35"/>
      <c r="R128" s="17"/>
    </row>
    <row r="129" spans="2:18" ht="12.75">
      <c r="B129" s="13"/>
      <c r="C129" s="25"/>
      <c r="D129" s="25"/>
      <c r="F129" s="38"/>
      <c r="G129" s="38"/>
      <c r="H129" s="38"/>
      <c r="I129" s="38"/>
      <c r="J129" s="38"/>
      <c r="K129" s="38"/>
      <c r="M129" s="17"/>
      <c r="N129" s="35"/>
      <c r="R129" s="17"/>
    </row>
    <row r="130" spans="2:18" ht="12.75">
      <c r="B130" s="13"/>
      <c r="C130" s="25"/>
      <c r="D130" s="25"/>
      <c r="F130" s="38"/>
      <c r="G130" s="38"/>
      <c r="H130" s="38"/>
      <c r="I130" s="38"/>
      <c r="J130" s="38"/>
      <c r="K130" s="38"/>
      <c r="M130" s="17"/>
      <c r="N130" s="35"/>
      <c r="R130" s="17"/>
    </row>
    <row r="131" spans="2:18" ht="12.75">
      <c r="B131" s="13"/>
      <c r="C131" s="25"/>
      <c r="D131" s="25"/>
      <c r="F131" s="38"/>
      <c r="G131" s="38"/>
      <c r="H131" s="38"/>
      <c r="I131" s="38"/>
      <c r="J131" s="38"/>
      <c r="K131" s="38"/>
      <c r="M131" s="17"/>
      <c r="N131" s="35"/>
      <c r="R131" s="17"/>
    </row>
    <row r="132" spans="2:18" ht="12.75">
      <c r="B132" s="13"/>
      <c r="C132" s="25"/>
      <c r="D132" s="25"/>
      <c r="F132" s="38"/>
      <c r="G132" s="38"/>
      <c r="H132" s="38"/>
      <c r="I132" s="38"/>
      <c r="J132" s="38"/>
      <c r="K132" s="38"/>
      <c r="M132" s="17"/>
      <c r="N132" s="35"/>
      <c r="R132" s="17"/>
    </row>
    <row r="133" spans="2:18" ht="12.75">
      <c r="B133" s="13"/>
      <c r="C133" s="25"/>
      <c r="D133" s="25"/>
      <c r="F133" s="38"/>
      <c r="G133" s="38"/>
      <c r="H133" s="38"/>
      <c r="I133" s="38"/>
      <c r="J133" s="38"/>
      <c r="K133" s="38"/>
      <c r="M133" s="17"/>
      <c r="N133" s="35"/>
      <c r="R133" s="17"/>
    </row>
    <row r="134" spans="2:18" ht="12.75">
      <c r="B134" s="13"/>
      <c r="C134" s="25"/>
      <c r="D134" s="25"/>
      <c r="F134" s="38"/>
      <c r="G134" s="38"/>
      <c r="H134" s="38"/>
      <c r="I134" s="38"/>
      <c r="J134" s="38"/>
      <c r="K134" s="38"/>
      <c r="M134" s="17"/>
      <c r="N134" s="35"/>
      <c r="R134" s="17"/>
    </row>
    <row r="135" spans="2:18" ht="12.75">
      <c r="B135" s="13"/>
      <c r="C135" s="25"/>
      <c r="D135" s="25"/>
      <c r="F135" s="38"/>
      <c r="G135" s="38"/>
      <c r="H135" s="38"/>
      <c r="I135" s="38"/>
      <c r="J135" s="38"/>
      <c r="K135" s="38"/>
      <c r="M135" s="17"/>
      <c r="N135" s="35"/>
      <c r="R135" s="17"/>
    </row>
    <row r="136" spans="2:18" ht="12.75">
      <c r="B136" s="13"/>
      <c r="C136" s="25"/>
      <c r="D136" s="25"/>
      <c r="F136" s="38"/>
      <c r="G136" s="38"/>
      <c r="H136" s="38"/>
      <c r="I136" s="38"/>
      <c r="J136" s="38"/>
      <c r="K136" s="38"/>
      <c r="M136" s="17"/>
      <c r="N136" s="35"/>
      <c r="R136" s="17"/>
    </row>
    <row r="137" spans="2:18" ht="12.75">
      <c r="B137" s="13"/>
      <c r="C137" s="25"/>
      <c r="D137" s="25"/>
      <c r="F137" s="38"/>
      <c r="G137" s="38"/>
      <c r="H137" s="38"/>
      <c r="I137" s="38"/>
      <c r="J137" s="38"/>
      <c r="K137" s="38"/>
      <c r="M137" s="17"/>
      <c r="N137" s="35"/>
      <c r="R137" s="17"/>
    </row>
    <row r="138" spans="2:18" ht="12.75">
      <c r="B138" s="13"/>
      <c r="C138" s="25"/>
      <c r="D138" s="25"/>
      <c r="F138" s="38"/>
      <c r="G138" s="38"/>
      <c r="H138" s="38"/>
      <c r="I138" s="38"/>
      <c r="J138" s="38"/>
      <c r="K138" s="38"/>
      <c r="M138" s="17"/>
      <c r="N138" s="35"/>
      <c r="R138" s="17"/>
    </row>
    <row r="139" spans="2:18" ht="12.75">
      <c r="B139" s="13"/>
      <c r="C139" s="25"/>
      <c r="D139" s="25"/>
      <c r="F139" s="38"/>
      <c r="G139" s="38"/>
      <c r="H139" s="38"/>
      <c r="I139" s="38"/>
      <c r="J139" s="38"/>
      <c r="K139" s="38"/>
      <c r="M139" s="17"/>
      <c r="N139" s="35"/>
      <c r="R139" s="17"/>
    </row>
    <row r="140" spans="2:18" ht="12.75">
      <c r="B140" s="13"/>
      <c r="C140" s="13"/>
      <c r="D140" s="13"/>
      <c r="F140" s="38"/>
      <c r="G140" s="38"/>
      <c r="H140" s="38"/>
      <c r="I140" s="38"/>
      <c r="J140" s="38"/>
      <c r="K140" s="38"/>
      <c r="M140" s="17"/>
      <c r="N140" s="35"/>
      <c r="R140" s="17"/>
    </row>
    <row r="141" spans="2:18" ht="12.75">
      <c r="B141" s="13"/>
      <c r="C141" s="25"/>
      <c r="D141" s="25"/>
      <c r="F141" s="38"/>
      <c r="G141" s="38"/>
      <c r="H141" s="38"/>
      <c r="I141" s="38"/>
      <c r="J141" s="38"/>
      <c r="K141" s="38"/>
      <c r="M141" s="17"/>
      <c r="N141" s="35"/>
      <c r="R141" s="17"/>
    </row>
    <row r="142" spans="2:18" ht="12.75">
      <c r="B142" s="13"/>
      <c r="C142" s="25"/>
      <c r="D142" s="25"/>
      <c r="F142" s="38"/>
      <c r="G142" s="38"/>
      <c r="H142" s="38"/>
      <c r="I142" s="38"/>
      <c r="J142" s="38"/>
      <c r="K142" s="38"/>
      <c r="M142" s="17"/>
      <c r="N142" s="35"/>
      <c r="R142" s="17"/>
    </row>
    <row r="143" spans="2:18" ht="12.75">
      <c r="B143" s="13"/>
      <c r="C143" s="25"/>
      <c r="D143" s="25"/>
      <c r="F143" s="38"/>
      <c r="G143" s="38"/>
      <c r="H143" s="38"/>
      <c r="I143" s="38"/>
      <c r="J143" s="38"/>
      <c r="K143" s="38"/>
      <c r="M143" s="17"/>
      <c r="N143" s="35"/>
      <c r="R143" s="17"/>
    </row>
    <row r="144" spans="2:18" ht="12.75">
      <c r="B144" s="13"/>
      <c r="C144" s="25"/>
      <c r="D144" s="25"/>
      <c r="F144" s="38"/>
      <c r="G144" s="38"/>
      <c r="H144" s="38"/>
      <c r="I144" s="38"/>
      <c r="J144" s="38"/>
      <c r="K144" s="38"/>
      <c r="M144" s="17"/>
      <c r="N144" s="35"/>
      <c r="R144" s="17"/>
    </row>
    <row r="145" spans="2:18" ht="12.75">
      <c r="B145" s="13"/>
      <c r="C145" s="25"/>
      <c r="D145" s="25"/>
      <c r="F145" s="38"/>
      <c r="G145" s="38"/>
      <c r="H145" s="38"/>
      <c r="I145" s="38"/>
      <c r="J145" s="38"/>
      <c r="K145" s="38"/>
      <c r="M145" s="17"/>
      <c r="N145" s="35"/>
      <c r="R145" s="17"/>
    </row>
    <row r="146" spans="2:18" ht="12.75">
      <c r="B146" s="13"/>
      <c r="C146" s="25"/>
      <c r="D146" s="25"/>
      <c r="F146" s="38"/>
      <c r="G146" s="38"/>
      <c r="H146" s="38"/>
      <c r="I146" s="38"/>
      <c r="J146" s="38"/>
      <c r="K146" s="38"/>
      <c r="M146" s="17"/>
      <c r="N146" s="35"/>
      <c r="R146" s="17"/>
    </row>
    <row r="147" spans="2:18" ht="12.75">
      <c r="B147" s="13"/>
      <c r="C147" s="25"/>
      <c r="D147" s="25"/>
      <c r="F147" s="38"/>
      <c r="G147" s="38"/>
      <c r="H147" s="38"/>
      <c r="I147" s="38"/>
      <c r="J147" s="38"/>
      <c r="K147" s="38"/>
      <c r="M147" s="17"/>
      <c r="N147" s="35"/>
      <c r="R147" s="17"/>
    </row>
    <row r="148" spans="2:18" ht="12.75">
      <c r="B148" s="13"/>
      <c r="C148" s="13"/>
      <c r="D148" s="13"/>
      <c r="F148" s="38"/>
      <c r="G148" s="38"/>
      <c r="H148" s="38"/>
      <c r="I148" s="38"/>
      <c r="J148" s="38"/>
      <c r="K148" s="38"/>
      <c r="M148" s="17"/>
      <c r="N148" s="35"/>
      <c r="R148" s="17"/>
    </row>
    <row r="149" spans="2:18" ht="12.75">
      <c r="B149" s="13"/>
      <c r="C149" s="25"/>
      <c r="D149" s="25"/>
      <c r="F149" s="38"/>
      <c r="G149" s="38"/>
      <c r="H149" s="38"/>
      <c r="I149" s="38"/>
      <c r="J149" s="38"/>
      <c r="K149" s="38"/>
      <c r="M149" s="17"/>
      <c r="N149" s="35"/>
      <c r="R149" s="17"/>
    </row>
    <row r="150" spans="2:18" ht="12.75">
      <c r="B150" s="13"/>
      <c r="C150" s="25"/>
      <c r="D150" s="25"/>
      <c r="F150" s="38"/>
      <c r="G150" s="38"/>
      <c r="H150" s="38"/>
      <c r="I150" s="38"/>
      <c r="J150" s="38"/>
      <c r="K150" s="38"/>
      <c r="M150" s="17"/>
      <c r="N150" s="35"/>
      <c r="R150" s="17"/>
    </row>
    <row r="151" spans="2:18" ht="12.75">
      <c r="B151" s="13"/>
      <c r="C151" s="25"/>
      <c r="D151" s="25"/>
      <c r="F151" s="38"/>
      <c r="G151" s="38"/>
      <c r="H151" s="38"/>
      <c r="I151" s="38"/>
      <c r="J151" s="38"/>
      <c r="K151" s="38"/>
      <c r="M151" s="17"/>
      <c r="N151" s="35"/>
      <c r="R151" s="17"/>
    </row>
    <row r="152" spans="2:18" ht="12.75">
      <c r="B152" s="13"/>
      <c r="C152" s="25"/>
      <c r="D152" s="25"/>
      <c r="F152" s="38"/>
      <c r="G152" s="38"/>
      <c r="H152" s="38"/>
      <c r="I152" s="38"/>
      <c r="J152" s="38"/>
      <c r="K152" s="38"/>
      <c r="M152" s="17"/>
      <c r="N152" s="35"/>
      <c r="R152" s="17"/>
    </row>
    <row r="153" spans="2:18" ht="12.75">
      <c r="B153" s="13"/>
      <c r="C153" s="25"/>
      <c r="D153" s="25"/>
      <c r="F153" s="38"/>
      <c r="G153" s="38"/>
      <c r="H153" s="38"/>
      <c r="I153" s="38"/>
      <c r="J153" s="38"/>
      <c r="K153" s="38"/>
      <c r="M153" s="17"/>
      <c r="N153" s="35"/>
      <c r="R153" s="17"/>
    </row>
    <row r="154" spans="2:18" ht="12.75">
      <c r="B154" s="13"/>
      <c r="C154" s="25"/>
      <c r="D154" s="25"/>
      <c r="F154" s="38"/>
      <c r="G154" s="38"/>
      <c r="H154" s="38"/>
      <c r="I154" s="38"/>
      <c r="J154" s="38"/>
      <c r="K154" s="38"/>
      <c r="M154" s="17"/>
      <c r="N154" s="35"/>
      <c r="R154" s="17"/>
    </row>
    <row r="155" spans="2:18" ht="12.75">
      <c r="B155" s="13"/>
      <c r="C155" s="25"/>
      <c r="D155" s="25"/>
      <c r="F155" s="38"/>
      <c r="G155" s="38"/>
      <c r="H155" s="38"/>
      <c r="I155" s="38"/>
      <c r="J155" s="38"/>
      <c r="K155" s="38"/>
      <c r="M155" s="17"/>
      <c r="N155" s="35"/>
      <c r="R155" s="17"/>
    </row>
    <row r="156" spans="2:18" ht="12.75">
      <c r="B156" s="13"/>
      <c r="C156" s="25"/>
      <c r="D156" s="25"/>
      <c r="F156" s="38"/>
      <c r="G156" s="38"/>
      <c r="H156" s="38"/>
      <c r="I156" s="38"/>
      <c r="J156" s="38"/>
      <c r="K156" s="38"/>
      <c r="M156" s="17"/>
      <c r="N156" s="35"/>
      <c r="R156" s="17"/>
    </row>
    <row r="157" spans="2:18" ht="12.75">
      <c r="B157" s="13"/>
      <c r="C157" s="25"/>
      <c r="D157" s="25"/>
      <c r="F157" s="38"/>
      <c r="G157" s="38"/>
      <c r="H157" s="38"/>
      <c r="I157" s="38"/>
      <c r="J157" s="38"/>
      <c r="K157" s="38"/>
      <c r="M157" s="17"/>
      <c r="N157" s="35"/>
      <c r="R157" s="17"/>
    </row>
    <row r="158" spans="2:18" ht="12.75">
      <c r="B158" s="13"/>
      <c r="C158" s="25"/>
      <c r="D158" s="25"/>
      <c r="F158" s="38"/>
      <c r="G158" s="38"/>
      <c r="H158" s="38"/>
      <c r="I158" s="38"/>
      <c r="J158" s="38"/>
      <c r="K158" s="38"/>
      <c r="M158" s="17"/>
      <c r="N158" s="35"/>
      <c r="R158" s="17"/>
    </row>
    <row r="159" spans="2:18" ht="12.75">
      <c r="B159" s="13"/>
      <c r="C159" s="25"/>
      <c r="D159" s="25"/>
      <c r="F159" s="38"/>
      <c r="G159" s="38"/>
      <c r="H159" s="38"/>
      <c r="I159" s="38"/>
      <c r="J159" s="38"/>
      <c r="K159" s="38"/>
      <c r="M159" s="17"/>
      <c r="N159" s="35"/>
      <c r="R159" s="17"/>
    </row>
    <row r="160" spans="2:18" ht="12.75">
      <c r="B160" s="13"/>
      <c r="C160" s="25"/>
      <c r="D160" s="25"/>
      <c r="F160" s="38"/>
      <c r="G160" s="38"/>
      <c r="H160" s="38"/>
      <c r="I160" s="38"/>
      <c r="J160" s="38"/>
      <c r="K160" s="38"/>
      <c r="M160" s="17"/>
      <c r="N160" s="35"/>
      <c r="R160" s="17"/>
    </row>
    <row r="161" spans="2:18" ht="12.75">
      <c r="B161" s="13"/>
      <c r="C161" s="25"/>
      <c r="D161" s="25"/>
      <c r="F161" s="38"/>
      <c r="G161" s="38"/>
      <c r="H161" s="38"/>
      <c r="I161" s="38"/>
      <c r="J161" s="38"/>
      <c r="K161" s="38"/>
      <c r="M161" s="17"/>
      <c r="N161" s="35"/>
      <c r="R161" s="17"/>
    </row>
    <row r="162" spans="2:18" ht="12.75">
      <c r="B162" s="13"/>
      <c r="C162" s="25"/>
      <c r="D162" s="25"/>
      <c r="F162" s="38"/>
      <c r="G162" s="38"/>
      <c r="H162" s="38"/>
      <c r="I162" s="38"/>
      <c r="J162" s="38"/>
      <c r="K162" s="38"/>
      <c r="M162" s="17"/>
      <c r="N162" s="35"/>
      <c r="R162" s="17"/>
    </row>
    <row r="163" spans="2:18" ht="12.75">
      <c r="B163" s="13"/>
      <c r="C163" s="25"/>
      <c r="D163" s="25"/>
      <c r="F163" s="38"/>
      <c r="G163" s="38"/>
      <c r="H163" s="38"/>
      <c r="I163" s="38"/>
      <c r="J163" s="38"/>
      <c r="K163" s="38"/>
      <c r="M163" s="17"/>
      <c r="N163" s="35"/>
      <c r="R163" s="17"/>
    </row>
    <row r="164" spans="2:18" ht="12.75">
      <c r="B164" s="13"/>
      <c r="C164" s="25"/>
      <c r="D164" s="25"/>
      <c r="F164" s="38"/>
      <c r="G164" s="38"/>
      <c r="H164" s="38"/>
      <c r="I164" s="38"/>
      <c r="J164" s="38"/>
      <c r="K164" s="38"/>
      <c r="M164" s="17"/>
      <c r="N164" s="35"/>
      <c r="R164" s="17"/>
    </row>
    <row r="165" spans="2:18" ht="12.75">
      <c r="B165" s="13"/>
      <c r="C165" s="25"/>
      <c r="D165" s="25"/>
      <c r="F165" s="38"/>
      <c r="G165" s="38"/>
      <c r="H165" s="38"/>
      <c r="I165" s="38"/>
      <c r="J165" s="38"/>
      <c r="K165" s="38"/>
      <c r="M165" s="17"/>
      <c r="N165" s="35"/>
      <c r="R165" s="17"/>
    </row>
    <row r="166" spans="2:18" ht="12.75">
      <c r="B166" s="13"/>
      <c r="C166" s="25"/>
      <c r="D166" s="25"/>
      <c r="F166" s="38"/>
      <c r="G166" s="38"/>
      <c r="H166" s="38"/>
      <c r="I166" s="38"/>
      <c r="J166" s="38"/>
      <c r="K166" s="38"/>
      <c r="M166" s="17"/>
      <c r="N166" s="35"/>
      <c r="R166" s="17"/>
    </row>
    <row r="167" spans="2:18" ht="12.75">
      <c r="B167" s="13"/>
      <c r="C167" s="25"/>
      <c r="D167" s="25"/>
      <c r="F167" s="38"/>
      <c r="G167" s="38"/>
      <c r="H167" s="38"/>
      <c r="I167" s="38"/>
      <c r="J167" s="38"/>
      <c r="K167" s="38"/>
      <c r="M167" s="17"/>
      <c r="N167" s="35"/>
      <c r="R167" s="17"/>
    </row>
    <row r="168" spans="2:18" ht="12.75">
      <c r="B168" s="13"/>
      <c r="C168" s="25"/>
      <c r="D168" s="25"/>
      <c r="F168" s="38"/>
      <c r="G168" s="38"/>
      <c r="H168" s="38"/>
      <c r="I168" s="38"/>
      <c r="J168" s="38"/>
      <c r="K168" s="38"/>
      <c r="M168" s="17"/>
      <c r="N168" s="35"/>
      <c r="R168" s="17"/>
    </row>
    <row r="169" spans="2:18" ht="12.75">
      <c r="B169" s="13"/>
      <c r="C169" s="25"/>
      <c r="D169" s="25"/>
      <c r="F169" s="38"/>
      <c r="G169" s="38"/>
      <c r="H169" s="38"/>
      <c r="I169" s="38"/>
      <c r="J169" s="38"/>
      <c r="K169" s="38"/>
      <c r="M169" s="17"/>
      <c r="N169" s="35"/>
      <c r="R169" s="17"/>
    </row>
    <row r="170" spans="2:18" ht="12.75">
      <c r="B170" s="13"/>
      <c r="C170" s="25"/>
      <c r="D170" s="25"/>
      <c r="F170" s="38"/>
      <c r="G170" s="38"/>
      <c r="H170" s="38"/>
      <c r="I170" s="38"/>
      <c r="J170" s="38"/>
      <c r="K170" s="38"/>
      <c r="M170" s="17"/>
      <c r="N170" s="35"/>
      <c r="R170" s="17"/>
    </row>
    <row r="171" spans="2:18" ht="12.75">
      <c r="B171" s="13"/>
      <c r="C171" s="25"/>
      <c r="D171" s="25"/>
      <c r="F171" s="38"/>
      <c r="G171" s="38"/>
      <c r="H171" s="38"/>
      <c r="I171" s="38"/>
      <c r="J171" s="38"/>
      <c r="K171" s="38"/>
      <c r="M171" s="17"/>
      <c r="N171" s="35"/>
      <c r="R171" s="17"/>
    </row>
    <row r="172" spans="2:18" ht="12.75">
      <c r="B172" s="13"/>
      <c r="C172" s="25"/>
      <c r="D172" s="25"/>
      <c r="F172" s="38"/>
      <c r="G172" s="38"/>
      <c r="H172" s="38"/>
      <c r="I172" s="38"/>
      <c r="J172" s="38"/>
      <c r="K172" s="38"/>
      <c r="M172" s="17"/>
      <c r="N172" s="35"/>
      <c r="R172" s="17"/>
    </row>
    <row r="173" spans="2:18" ht="12.75">
      <c r="B173" s="13"/>
      <c r="C173" s="25"/>
      <c r="D173" s="25"/>
      <c r="F173" s="38"/>
      <c r="G173" s="38"/>
      <c r="H173" s="38"/>
      <c r="I173" s="38"/>
      <c r="J173" s="38"/>
      <c r="K173" s="38"/>
      <c r="M173" s="17"/>
      <c r="N173" s="35"/>
      <c r="R173" s="17"/>
    </row>
    <row r="174" spans="2:18" ht="12.75">
      <c r="B174" s="13"/>
      <c r="C174" s="25"/>
      <c r="D174" s="25"/>
      <c r="F174" s="38"/>
      <c r="G174" s="38"/>
      <c r="H174" s="38"/>
      <c r="I174" s="38"/>
      <c r="J174" s="38"/>
      <c r="K174" s="38"/>
      <c r="M174" s="17"/>
      <c r="N174" s="35"/>
      <c r="R174" s="17"/>
    </row>
    <row r="175" spans="2:18" ht="12.75">
      <c r="B175" s="13"/>
      <c r="C175" s="25"/>
      <c r="D175" s="25"/>
      <c r="F175" s="38"/>
      <c r="G175" s="38"/>
      <c r="H175" s="38"/>
      <c r="I175" s="38"/>
      <c r="J175" s="38"/>
      <c r="K175" s="38"/>
      <c r="M175" s="17"/>
      <c r="N175" s="35"/>
      <c r="R175" s="17"/>
    </row>
    <row r="176" spans="2:18" ht="12.75">
      <c r="B176" s="13"/>
      <c r="C176" s="25"/>
      <c r="D176" s="25"/>
      <c r="F176" s="38"/>
      <c r="G176" s="38"/>
      <c r="H176" s="38"/>
      <c r="I176" s="38"/>
      <c r="J176" s="38"/>
      <c r="K176" s="38"/>
      <c r="M176" s="17"/>
      <c r="N176" s="35"/>
      <c r="R176" s="17"/>
    </row>
    <row r="177" spans="2:18" ht="12.75">
      <c r="B177" s="13"/>
      <c r="C177" s="25"/>
      <c r="D177" s="25"/>
      <c r="F177" s="38"/>
      <c r="G177" s="38"/>
      <c r="H177" s="38"/>
      <c r="I177" s="38"/>
      <c r="J177" s="38"/>
      <c r="K177" s="38"/>
      <c r="M177" s="17"/>
      <c r="N177" s="35"/>
      <c r="R177" s="17"/>
    </row>
    <row r="178" spans="2:18" ht="12.75">
      <c r="B178" s="13"/>
      <c r="C178" s="25"/>
      <c r="D178" s="25"/>
      <c r="F178" s="38"/>
      <c r="G178" s="38"/>
      <c r="H178" s="38"/>
      <c r="I178" s="38"/>
      <c r="J178" s="38"/>
      <c r="K178" s="38"/>
      <c r="M178" s="17"/>
      <c r="N178" s="35"/>
      <c r="R178" s="17"/>
    </row>
    <row r="179" spans="2:18" ht="12.75">
      <c r="B179" s="13"/>
      <c r="C179" s="25"/>
      <c r="D179" s="25"/>
      <c r="F179" s="38"/>
      <c r="G179" s="38"/>
      <c r="H179" s="38"/>
      <c r="I179" s="38"/>
      <c r="J179" s="38"/>
      <c r="K179" s="38"/>
      <c r="M179" s="17"/>
      <c r="N179" s="35"/>
      <c r="R179" s="17"/>
    </row>
    <row r="180" spans="2:18" ht="12.75">
      <c r="B180" s="13"/>
      <c r="C180" s="25"/>
      <c r="D180" s="25"/>
      <c r="F180" s="38"/>
      <c r="G180" s="38"/>
      <c r="H180" s="38"/>
      <c r="I180" s="38"/>
      <c r="J180" s="38"/>
      <c r="K180" s="38"/>
      <c r="M180" s="17"/>
      <c r="N180" s="35"/>
      <c r="R180" s="17"/>
    </row>
    <row r="181" spans="2:18" ht="12.75">
      <c r="B181" s="13"/>
      <c r="C181" s="25"/>
      <c r="D181" s="25"/>
      <c r="F181" s="38"/>
      <c r="G181" s="38"/>
      <c r="H181" s="38"/>
      <c r="I181" s="38"/>
      <c r="J181" s="38"/>
      <c r="K181" s="38"/>
      <c r="M181" s="17"/>
      <c r="N181" s="35"/>
      <c r="R181" s="17"/>
    </row>
    <row r="182" spans="2:18" ht="12.75">
      <c r="B182" s="13"/>
      <c r="C182" s="25"/>
      <c r="D182" s="25"/>
      <c r="F182" s="38"/>
      <c r="G182" s="38"/>
      <c r="H182" s="38"/>
      <c r="I182" s="38"/>
      <c r="J182" s="38"/>
      <c r="K182" s="38"/>
      <c r="M182" s="17"/>
      <c r="N182" s="35"/>
      <c r="R182" s="17"/>
    </row>
    <row r="183" spans="2:18" ht="12.75">
      <c r="B183" s="13"/>
      <c r="C183" s="25"/>
      <c r="D183" s="25"/>
      <c r="F183" s="38"/>
      <c r="G183" s="38"/>
      <c r="H183" s="38"/>
      <c r="I183" s="38"/>
      <c r="J183" s="38"/>
      <c r="K183" s="38"/>
      <c r="M183" s="17"/>
      <c r="N183" s="35"/>
      <c r="R183" s="17"/>
    </row>
    <row r="184" spans="2:18" ht="12.75">
      <c r="B184" s="13"/>
      <c r="C184" s="25"/>
      <c r="D184" s="25"/>
      <c r="F184" s="38"/>
      <c r="G184" s="38"/>
      <c r="H184" s="38"/>
      <c r="I184" s="38"/>
      <c r="J184" s="38"/>
      <c r="K184" s="38"/>
      <c r="M184" s="17"/>
      <c r="N184" s="35"/>
      <c r="R184" s="17"/>
    </row>
    <row r="185" spans="2:18" ht="12.75">
      <c r="B185" s="13"/>
      <c r="C185" s="25"/>
      <c r="D185" s="25"/>
      <c r="F185" s="38"/>
      <c r="G185" s="38"/>
      <c r="H185" s="38"/>
      <c r="I185" s="38"/>
      <c r="J185" s="38"/>
      <c r="K185" s="38"/>
      <c r="M185" s="17"/>
      <c r="N185" s="35"/>
      <c r="R185" s="17"/>
    </row>
    <row r="186" spans="2:18" ht="12.75">
      <c r="B186" s="13"/>
      <c r="C186" s="25"/>
      <c r="D186" s="25"/>
      <c r="F186" s="38"/>
      <c r="G186" s="38"/>
      <c r="H186" s="38"/>
      <c r="I186" s="38"/>
      <c r="J186" s="38"/>
      <c r="K186" s="38"/>
      <c r="M186" s="17"/>
      <c r="N186" s="35"/>
      <c r="R186" s="17"/>
    </row>
    <row r="187" spans="2:18" ht="12.75">
      <c r="B187" s="13"/>
      <c r="C187" s="25"/>
      <c r="D187" s="25"/>
      <c r="F187" s="38"/>
      <c r="G187" s="38"/>
      <c r="H187" s="38"/>
      <c r="I187" s="38"/>
      <c r="J187" s="38"/>
      <c r="K187" s="38"/>
      <c r="M187" s="17"/>
      <c r="N187" s="35"/>
      <c r="R187" s="17"/>
    </row>
    <row r="188" spans="2:18" ht="12.75">
      <c r="B188" s="13"/>
      <c r="C188" s="25"/>
      <c r="D188" s="25"/>
      <c r="F188" s="38"/>
      <c r="G188" s="38"/>
      <c r="H188" s="38"/>
      <c r="I188" s="38"/>
      <c r="J188" s="38"/>
      <c r="K188" s="38"/>
      <c r="M188" s="17"/>
      <c r="N188" s="35"/>
      <c r="R188" s="17"/>
    </row>
    <row r="189" spans="2:18" ht="12.75">
      <c r="B189" s="13"/>
      <c r="C189" s="25"/>
      <c r="D189" s="25"/>
      <c r="F189" s="38"/>
      <c r="G189" s="38"/>
      <c r="H189" s="38"/>
      <c r="I189" s="38"/>
      <c r="J189" s="38"/>
      <c r="K189" s="38"/>
      <c r="M189" s="17"/>
      <c r="N189" s="35"/>
      <c r="R189" s="17"/>
    </row>
    <row r="190" spans="2:18" ht="12.75">
      <c r="B190" s="13"/>
      <c r="C190" s="25"/>
      <c r="D190" s="25"/>
      <c r="F190" s="38"/>
      <c r="G190" s="38"/>
      <c r="H190" s="38"/>
      <c r="I190" s="38"/>
      <c r="J190" s="38"/>
      <c r="K190" s="38"/>
      <c r="M190" s="17"/>
      <c r="N190" s="35"/>
      <c r="R190" s="17"/>
    </row>
    <row r="191" spans="2:18" ht="12.75">
      <c r="B191" s="13"/>
      <c r="C191" s="25"/>
      <c r="D191" s="25"/>
      <c r="F191" s="38"/>
      <c r="G191" s="38"/>
      <c r="H191" s="38"/>
      <c r="I191" s="38"/>
      <c r="J191" s="38"/>
      <c r="K191" s="38"/>
      <c r="M191" s="17"/>
      <c r="N191" s="35"/>
      <c r="R191" s="17"/>
    </row>
    <row r="192" spans="2:18" ht="12.75">
      <c r="B192" s="13"/>
      <c r="C192" s="25"/>
      <c r="D192" s="25"/>
      <c r="F192" s="38"/>
      <c r="G192" s="38"/>
      <c r="H192" s="38"/>
      <c r="I192" s="38"/>
      <c r="J192" s="38"/>
      <c r="K192" s="38"/>
      <c r="M192" s="17"/>
      <c r="N192" s="35"/>
      <c r="R192" s="17"/>
    </row>
    <row r="193" spans="2:18" ht="12.75">
      <c r="B193" s="13"/>
      <c r="C193" s="25"/>
      <c r="D193" s="25"/>
      <c r="F193" s="38"/>
      <c r="G193" s="38"/>
      <c r="H193" s="38"/>
      <c r="I193" s="38"/>
      <c r="J193" s="38"/>
      <c r="K193" s="38"/>
      <c r="M193" s="17"/>
      <c r="N193" s="35"/>
      <c r="R193" s="17"/>
    </row>
    <row r="194" spans="2:18" ht="12.75">
      <c r="B194" s="13"/>
      <c r="C194" s="25"/>
      <c r="D194" s="25"/>
      <c r="F194" s="38"/>
      <c r="G194" s="38"/>
      <c r="H194" s="38"/>
      <c r="I194" s="38"/>
      <c r="J194" s="38"/>
      <c r="K194" s="38"/>
      <c r="M194" s="17"/>
      <c r="N194" s="35"/>
      <c r="R194" s="17"/>
    </row>
    <row r="195" spans="2:18" ht="12.75">
      <c r="B195" s="13"/>
      <c r="C195" s="25"/>
      <c r="D195" s="25"/>
      <c r="F195" s="38"/>
      <c r="G195" s="38"/>
      <c r="H195" s="38"/>
      <c r="I195" s="38"/>
      <c r="J195" s="38"/>
      <c r="K195" s="38"/>
      <c r="M195" s="17"/>
      <c r="N195" s="35"/>
      <c r="R195" s="17"/>
    </row>
    <row r="196" spans="2:18" ht="12.75">
      <c r="B196" s="13"/>
      <c r="C196" s="25"/>
      <c r="D196" s="25"/>
      <c r="F196" s="38"/>
      <c r="G196" s="38"/>
      <c r="H196" s="38"/>
      <c r="I196" s="38"/>
      <c r="J196" s="38"/>
      <c r="K196" s="38"/>
      <c r="M196" s="17"/>
      <c r="N196" s="35"/>
      <c r="R196" s="17"/>
    </row>
    <row r="197" spans="2:18" ht="12.75">
      <c r="B197" s="13"/>
      <c r="C197" s="25"/>
      <c r="D197" s="25"/>
      <c r="F197" s="38"/>
      <c r="G197" s="38"/>
      <c r="H197" s="38"/>
      <c r="I197" s="38"/>
      <c r="J197" s="38"/>
      <c r="K197" s="38"/>
      <c r="M197" s="17"/>
      <c r="N197" s="35"/>
      <c r="R197" s="17"/>
    </row>
    <row r="198" spans="2:18" ht="12.75">
      <c r="B198" s="13"/>
      <c r="C198" s="25"/>
      <c r="D198" s="25"/>
      <c r="F198" s="38"/>
      <c r="G198" s="38"/>
      <c r="H198" s="38"/>
      <c r="I198" s="38"/>
      <c r="J198" s="38"/>
      <c r="K198" s="38"/>
      <c r="M198" s="17"/>
      <c r="N198" s="35"/>
      <c r="R198" s="17"/>
    </row>
    <row r="199" spans="2:18" ht="12.75">
      <c r="B199" s="13"/>
      <c r="C199" s="25"/>
      <c r="D199" s="25"/>
      <c r="F199" s="38"/>
      <c r="G199" s="38"/>
      <c r="H199" s="38"/>
      <c r="I199" s="38"/>
      <c r="J199" s="38"/>
      <c r="K199" s="38"/>
      <c r="M199" s="17"/>
      <c r="N199" s="35"/>
      <c r="R199" s="17"/>
    </row>
    <row r="200" spans="2:18" ht="12.75">
      <c r="B200" s="13"/>
      <c r="C200" s="13"/>
      <c r="D200" s="13"/>
      <c r="F200" s="38"/>
      <c r="G200" s="38"/>
      <c r="H200" s="38"/>
      <c r="I200" s="38"/>
      <c r="J200" s="38"/>
      <c r="K200" s="38"/>
      <c r="M200" s="17"/>
      <c r="N200" s="35"/>
      <c r="R200" s="17"/>
    </row>
    <row r="201" spans="2:18" ht="12.75">
      <c r="B201" s="13"/>
      <c r="C201" s="25"/>
      <c r="D201" s="25"/>
      <c r="F201" s="38"/>
      <c r="G201" s="38"/>
      <c r="H201" s="38"/>
      <c r="I201" s="38"/>
      <c r="J201" s="38"/>
      <c r="K201" s="38"/>
      <c r="M201" s="17"/>
      <c r="N201" s="35"/>
      <c r="R201" s="17"/>
    </row>
    <row r="202" spans="2:18" ht="12.75">
      <c r="B202" s="13"/>
      <c r="C202" s="25"/>
      <c r="D202" s="25"/>
      <c r="F202" s="38"/>
      <c r="G202" s="38"/>
      <c r="H202" s="38"/>
      <c r="I202" s="38"/>
      <c r="J202" s="38"/>
      <c r="K202" s="38"/>
      <c r="M202" s="17"/>
      <c r="N202" s="35"/>
      <c r="R202" s="17"/>
    </row>
    <row r="203" spans="2:18" ht="12.75">
      <c r="B203" s="13"/>
      <c r="C203" s="25"/>
      <c r="D203" s="25"/>
      <c r="F203" s="38"/>
      <c r="G203" s="38"/>
      <c r="H203" s="38"/>
      <c r="I203" s="38"/>
      <c r="J203" s="38"/>
      <c r="K203" s="38"/>
      <c r="M203" s="17"/>
      <c r="N203" s="35"/>
      <c r="R203" s="17"/>
    </row>
    <row r="204" spans="2:18" ht="12.75">
      <c r="B204" s="13"/>
      <c r="C204" s="25"/>
      <c r="D204" s="25"/>
      <c r="F204" s="38"/>
      <c r="G204" s="38"/>
      <c r="H204" s="38"/>
      <c r="I204" s="38"/>
      <c r="J204" s="38"/>
      <c r="K204" s="38"/>
      <c r="M204" s="17"/>
      <c r="N204" s="35"/>
      <c r="R204" s="17"/>
    </row>
    <row r="205" spans="2:18" ht="12.75">
      <c r="B205" s="13"/>
      <c r="C205" s="25"/>
      <c r="D205" s="25"/>
      <c r="F205" s="38"/>
      <c r="G205" s="38"/>
      <c r="H205" s="38"/>
      <c r="I205" s="38"/>
      <c r="J205" s="38"/>
      <c r="K205" s="38"/>
      <c r="M205" s="17"/>
      <c r="N205" s="35"/>
      <c r="R205" s="17"/>
    </row>
    <row r="206" spans="2:18" ht="12.75">
      <c r="B206" s="13"/>
      <c r="C206" s="25"/>
      <c r="D206" s="25"/>
      <c r="F206" s="38"/>
      <c r="G206" s="38"/>
      <c r="H206" s="38"/>
      <c r="I206" s="38"/>
      <c r="J206" s="38"/>
      <c r="K206" s="38"/>
      <c r="M206" s="17"/>
      <c r="N206" s="35"/>
      <c r="R206" s="17"/>
    </row>
    <row r="207" spans="2:18" ht="12.75">
      <c r="B207" s="13"/>
      <c r="C207" s="25"/>
      <c r="D207" s="25"/>
      <c r="F207" s="38"/>
      <c r="G207" s="38"/>
      <c r="H207" s="38"/>
      <c r="I207" s="38"/>
      <c r="J207" s="38"/>
      <c r="K207" s="38"/>
      <c r="M207" s="17"/>
      <c r="N207" s="35"/>
      <c r="R207" s="17"/>
    </row>
    <row r="208" spans="2:18" ht="12.75">
      <c r="B208" s="13"/>
      <c r="C208" s="25"/>
      <c r="D208" s="25"/>
      <c r="F208" s="38"/>
      <c r="G208" s="38"/>
      <c r="H208" s="38"/>
      <c r="I208" s="38"/>
      <c r="J208" s="38"/>
      <c r="K208" s="38"/>
      <c r="M208" s="17"/>
      <c r="N208" s="35"/>
      <c r="R208" s="17"/>
    </row>
    <row r="209" spans="2:18" ht="12.75">
      <c r="B209" s="13"/>
      <c r="C209" s="25"/>
      <c r="D209" s="25"/>
      <c r="F209" s="38"/>
      <c r="G209" s="38"/>
      <c r="H209" s="38"/>
      <c r="I209" s="38"/>
      <c r="J209" s="38"/>
      <c r="K209" s="38"/>
      <c r="M209" s="17"/>
      <c r="N209" s="35"/>
      <c r="R209" s="17"/>
    </row>
    <row r="210" spans="2:18" ht="12.75">
      <c r="B210" s="13"/>
      <c r="C210" s="25"/>
      <c r="D210" s="25"/>
      <c r="F210" s="38"/>
      <c r="G210" s="38"/>
      <c r="H210" s="38"/>
      <c r="I210" s="38"/>
      <c r="J210" s="38"/>
      <c r="K210" s="38"/>
      <c r="M210" s="17"/>
      <c r="N210" s="35"/>
      <c r="R210" s="17"/>
    </row>
    <row r="211" spans="2:18" ht="12.75">
      <c r="B211" s="13"/>
      <c r="C211" s="25"/>
      <c r="D211" s="25"/>
      <c r="F211" s="38"/>
      <c r="G211" s="38"/>
      <c r="H211" s="38"/>
      <c r="I211" s="38"/>
      <c r="J211" s="38"/>
      <c r="K211" s="38"/>
      <c r="M211" s="17"/>
      <c r="N211" s="35"/>
      <c r="R211" s="17"/>
    </row>
    <row r="212" spans="2:18" ht="12.75">
      <c r="B212" s="13"/>
      <c r="C212" s="25"/>
      <c r="D212" s="25"/>
      <c r="F212" s="38"/>
      <c r="G212" s="38"/>
      <c r="H212" s="38"/>
      <c r="I212" s="38"/>
      <c r="J212" s="38"/>
      <c r="K212" s="38"/>
      <c r="M212" s="17"/>
      <c r="N212" s="35"/>
      <c r="R212" s="17"/>
    </row>
    <row r="213" spans="2:18" ht="12.75">
      <c r="B213" s="13"/>
      <c r="C213" s="25"/>
      <c r="D213" s="25"/>
      <c r="F213" s="38"/>
      <c r="G213" s="38"/>
      <c r="H213" s="38"/>
      <c r="I213" s="38"/>
      <c r="J213" s="38"/>
      <c r="K213" s="38"/>
      <c r="M213" s="17"/>
      <c r="N213" s="35"/>
      <c r="R213" s="17"/>
    </row>
    <row r="214" spans="2:18" ht="12.75">
      <c r="B214" s="13"/>
      <c r="C214" s="25"/>
      <c r="D214" s="25"/>
      <c r="F214" s="38"/>
      <c r="G214" s="38"/>
      <c r="H214" s="38"/>
      <c r="I214" s="38"/>
      <c r="J214" s="38"/>
      <c r="K214" s="38"/>
      <c r="M214" s="17"/>
      <c r="N214" s="35"/>
      <c r="R214" s="17"/>
    </row>
    <row r="215" spans="2:18" ht="12.75">
      <c r="B215" s="13"/>
      <c r="C215" s="25"/>
      <c r="D215" s="25"/>
      <c r="F215" s="38"/>
      <c r="G215" s="38"/>
      <c r="H215" s="38"/>
      <c r="I215" s="38"/>
      <c r="J215" s="38"/>
      <c r="K215" s="38"/>
      <c r="M215" s="17"/>
      <c r="N215" s="35"/>
      <c r="R215" s="17"/>
    </row>
    <row r="216" spans="2:18" ht="12.75">
      <c r="B216" s="13"/>
      <c r="C216" s="25"/>
      <c r="D216" s="25"/>
      <c r="F216" s="38"/>
      <c r="G216" s="38"/>
      <c r="H216" s="38"/>
      <c r="I216" s="38"/>
      <c r="J216" s="38"/>
      <c r="K216" s="38"/>
      <c r="M216" s="17"/>
      <c r="N216" s="35"/>
      <c r="R216" s="17"/>
    </row>
    <row r="217" spans="2:18" ht="12.75">
      <c r="B217" s="13"/>
      <c r="C217" s="25"/>
      <c r="D217" s="25"/>
      <c r="F217" s="38"/>
      <c r="G217" s="38"/>
      <c r="H217" s="38"/>
      <c r="I217" s="38"/>
      <c r="J217" s="38"/>
      <c r="K217" s="38"/>
      <c r="M217" s="17"/>
      <c r="N217" s="35"/>
      <c r="R217" s="17"/>
    </row>
    <row r="218" spans="2:18" ht="12.75">
      <c r="B218" s="13"/>
      <c r="C218" s="25"/>
      <c r="D218" s="25"/>
      <c r="F218" s="38"/>
      <c r="G218" s="38"/>
      <c r="H218" s="38"/>
      <c r="I218" s="38"/>
      <c r="J218" s="38"/>
      <c r="K218" s="38"/>
      <c r="M218" s="17"/>
      <c r="N218" s="35"/>
      <c r="R218" s="17"/>
    </row>
    <row r="219" spans="2:18" ht="12.75">
      <c r="B219" s="13"/>
      <c r="C219" s="25"/>
      <c r="D219" s="25"/>
      <c r="F219" s="38"/>
      <c r="G219" s="38"/>
      <c r="H219" s="38"/>
      <c r="I219" s="38"/>
      <c r="J219" s="38"/>
      <c r="K219" s="38"/>
      <c r="M219" s="17"/>
      <c r="N219" s="35"/>
      <c r="R219" s="17"/>
    </row>
    <row r="220" spans="2:18" ht="12.75">
      <c r="B220" s="13"/>
      <c r="C220" s="25"/>
      <c r="D220" s="25"/>
      <c r="F220" s="38"/>
      <c r="G220" s="38"/>
      <c r="H220" s="38"/>
      <c r="I220" s="38"/>
      <c r="J220" s="38"/>
      <c r="K220" s="38"/>
      <c r="M220" s="17"/>
      <c r="N220" s="35"/>
      <c r="R220" s="17"/>
    </row>
    <row r="221" spans="2:18" ht="12.75">
      <c r="B221" s="13"/>
      <c r="C221" s="25"/>
      <c r="D221" s="25"/>
      <c r="F221" s="38"/>
      <c r="G221" s="38"/>
      <c r="H221" s="38"/>
      <c r="I221" s="38"/>
      <c r="J221" s="38"/>
      <c r="K221" s="38"/>
      <c r="M221" s="17"/>
      <c r="N221" s="35"/>
      <c r="R221" s="17"/>
    </row>
    <row r="222" spans="2:18" ht="12.75">
      <c r="B222" s="13"/>
      <c r="C222" s="25"/>
      <c r="D222" s="25"/>
      <c r="F222" s="38"/>
      <c r="G222" s="38"/>
      <c r="H222" s="38"/>
      <c r="I222" s="38"/>
      <c r="J222" s="38"/>
      <c r="K222" s="38"/>
      <c r="M222" s="17"/>
      <c r="N222" s="35"/>
      <c r="R222" s="17"/>
    </row>
    <row r="223" spans="2:18" ht="12.75">
      <c r="B223" s="13"/>
      <c r="C223" s="25"/>
      <c r="D223" s="25"/>
      <c r="F223" s="38"/>
      <c r="G223" s="38"/>
      <c r="H223" s="38"/>
      <c r="I223" s="38"/>
      <c r="J223" s="38"/>
      <c r="K223" s="38"/>
      <c r="M223" s="17"/>
      <c r="N223" s="35"/>
      <c r="R223" s="17"/>
    </row>
    <row r="224" spans="2:18" ht="12.75">
      <c r="B224" s="13"/>
      <c r="C224" s="25"/>
      <c r="D224" s="25"/>
      <c r="F224" s="38"/>
      <c r="G224" s="38"/>
      <c r="H224" s="38"/>
      <c r="I224" s="38"/>
      <c r="J224" s="38"/>
      <c r="K224" s="38"/>
      <c r="M224" s="17"/>
      <c r="N224" s="35"/>
      <c r="R224" s="17"/>
    </row>
    <row r="225" spans="1:29" ht="12.75">
      <c r="B225" s="13"/>
      <c r="C225" s="25"/>
      <c r="D225" s="25"/>
      <c r="F225" s="38"/>
      <c r="G225" s="38"/>
      <c r="H225" s="38"/>
      <c r="I225" s="38"/>
      <c r="J225" s="38"/>
      <c r="K225" s="38"/>
      <c r="M225" s="17"/>
      <c r="N225" s="35"/>
      <c r="R225" s="17"/>
    </row>
    <row r="226" spans="1:29" ht="12.75">
      <c r="B226" s="13"/>
      <c r="C226" s="25"/>
      <c r="D226" s="25"/>
      <c r="F226" s="38"/>
      <c r="G226" s="38"/>
      <c r="H226" s="38"/>
      <c r="I226" s="38"/>
      <c r="J226" s="38"/>
      <c r="K226" s="38"/>
      <c r="M226" s="17"/>
      <c r="N226" s="35"/>
      <c r="R226" s="17"/>
    </row>
    <row r="227" spans="1:29" ht="12.75">
      <c r="B227" s="13"/>
      <c r="C227" s="25"/>
      <c r="D227" s="25"/>
      <c r="F227" s="38"/>
      <c r="G227" s="38"/>
      <c r="H227" s="38"/>
      <c r="I227" s="38"/>
      <c r="J227" s="38"/>
      <c r="K227" s="38"/>
      <c r="M227" s="17"/>
      <c r="N227" s="35"/>
      <c r="R227" s="17"/>
    </row>
    <row r="228" spans="1:29" ht="12.75">
      <c r="B228" s="13"/>
      <c r="C228" s="25"/>
      <c r="D228" s="25"/>
      <c r="F228" s="38"/>
      <c r="G228" s="38"/>
      <c r="H228" s="38"/>
      <c r="I228" s="38"/>
      <c r="J228" s="38"/>
      <c r="K228" s="38"/>
      <c r="M228" s="17"/>
      <c r="N228" s="35"/>
      <c r="R228" s="17"/>
    </row>
    <row r="229" spans="1:29" ht="12.75">
      <c r="B229" s="13"/>
      <c r="C229" s="25"/>
      <c r="D229" s="25"/>
      <c r="F229" s="38"/>
      <c r="G229" s="38"/>
      <c r="H229" s="38"/>
      <c r="I229" s="38"/>
      <c r="J229" s="38"/>
      <c r="K229" s="38"/>
      <c r="M229" s="17"/>
      <c r="N229" s="35"/>
      <c r="R229" s="17"/>
    </row>
    <row r="230" spans="1:29" ht="12.75">
      <c r="B230" s="13"/>
      <c r="C230" s="25"/>
      <c r="D230" s="25"/>
      <c r="F230" s="38"/>
      <c r="G230" s="38"/>
      <c r="H230" s="38"/>
      <c r="I230" s="38"/>
      <c r="J230" s="38"/>
      <c r="K230" s="38"/>
      <c r="M230" s="17"/>
      <c r="N230" s="35"/>
      <c r="R230" s="17"/>
    </row>
    <row r="231" spans="1:29" ht="12.75">
      <c r="B231" s="13"/>
      <c r="C231" s="25"/>
      <c r="D231" s="25"/>
      <c r="F231" s="38"/>
      <c r="G231" s="38"/>
      <c r="H231" s="38"/>
      <c r="I231" s="38"/>
      <c r="J231" s="38"/>
      <c r="K231" s="38"/>
      <c r="M231" s="17"/>
      <c r="N231" s="35"/>
      <c r="R231" s="17"/>
    </row>
    <row r="232" spans="1:29" ht="12.75">
      <c r="B232" s="13"/>
      <c r="C232" s="25"/>
      <c r="D232" s="25"/>
      <c r="F232" s="38"/>
      <c r="G232" s="38"/>
      <c r="H232" s="38"/>
      <c r="I232" s="38"/>
      <c r="J232" s="38"/>
      <c r="K232" s="38"/>
      <c r="M232" s="17"/>
      <c r="N232" s="35"/>
      <c r="R232" s="17"/>
    </row>
    <row r="233" spans="1:29" ht="12.75">
      <c r="F233" s="38"/>
      <c r="G233" s="38"/>
      <c r="H233" s="38"/>
      <c r="I233" s="38"/>
      <c r="J233" s="38"/>
      <c r="K233" s="38"/>
      <c r="M233" s="17"/>
      <c r="N233" s="35"/>
      <c r="R233" s="17"/>
    </row>
    <row r="234" spans="1:29" ht="13.15">
      <c r="A234" s="30"/>
      <c r="B234" s="31"/>
      <c r="C234" s="30"/>
      <c r="D234" s="30"/>
      <c r="E234" s="30"/>
      <c r="F234" s="39"/>
      <c r="G234" s="39"/>
      <c r="H234" s="38"/>
      <c r="I234" s="38"/>
      <c r="J234" s="38"/>
      <c r="K234" s="38"/>
      <c r="L234" s="30"/>
      <c r="M234" s="33"/>
      <c r="N234" s="40"/>
      <c r="O234" s="30"/>
      <c r="P234" s="30"/>
      <c r="Q234" s="30"/>
      <c r="R234" s="33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 spans="1:29" ht="12.75">
      <c r="F235" s="38"/>
      <c r="G235" s="38"/>
      <c r="M235" s="17"/>
      <c r="N235" s="35"/>
      <c r="R235" s="17"/>
    </row>
    <row r="236" spans="1:29" ht="12.75">
      <c r="F236" s="38"/>
      <c r="G236" s="38"/>
      <c r="M236" s="17"/>
      <c r="N236" s="35"/>
      <c r="R236" s="17"/>
    </row>
    <row r="237" spans="1:29" ht="12.75">
      <c r="F237" s="38"/>
      <c r="G237" s="38"/>
      <c r="M237" s="17"/>
      <c r="N237" s="35"/>
      <c r="R237" s="17"/>
    </row>
    <row r="238" spans="1:29" ht="12.75">
      <c r="F238" s="38"/>
      <c r="G238" s="38"/>
      <c r="M238" s="17"/>
      <c r="N238" s="35"/>
      <c r="R238" s="17"/>
    </row>
    <row r="239" spans="1:29" ht="12.75">
      <c r="M239" s="17"/>
      <c r="N239" s="35"/>
      <c r="R239" s="17"/>
    </row>
    <row r="240" spans="1:29" ht="12.75">
      <c r="M240" s="17"/>
      <c r="N240" s="35"/>
      <c r="R240" s="17"/>
    </row>
    <row r="241" spans="13:18" ht="12.75">
      <c r="M241" s="17"/>
      <c r="N241" s="35"/>
      <c r="R241" s="17"/>
    </row>
    <row r="242" spans="13:18" ht="12.75">
      <c r="M242" s="17"/>
      <c r="N242" s="35"/>
      <c r="R242" s="17"/>
    </row>
    <row r="243" spans="13:18" ht="12.75">
      <c r="M243" s="17"/>
      <c r="N243" s="35"/>
      <c r="R243" s="17"/>
    </row>
    <row r="244" spans="13:18" ht="12.75">
      <c r="M244" s="17"/>
      <c r="N244" s="35"/>
      <c r="R244" s="17"/>
    </row>
    <row r="245" spans="13:18" ht="12.75">
      <c r="M245" s="17"/>
      <c r="N245" s="35"/>
      <c r="R245" s="17"/>
    </row>
    <row r="246" spans="13:18" ht="12.75">
      <c r="M246" s="17"/>
      <c r="N246" s="35"/>
      <c r="R246" s="17"/>
    </row>
    <row r="247" spans="13:18" ht="12.75">
      <c r="M247" s="17"/>
      <c r="N247" s="35"/>
      <c r="R247" s="17"/>
    </row>
    <row r="248" spans="13:18" ht="12.75">
      <c r="M248" s="17"/>
      <c r="N248" s="35"/>
      <c r="R248" s="17"/>
    </row>
    <row r="249" spans="13:18" ht="12.75">
      <c r="M249" s="17"/>
      <c r="N249" s="35"/>
      <c r="R249" s="17"/>
    </row>
    <row r="250" spans="13:18" ht="12.75">
      <c r="M250" s="17"/>
      <c r="N250" s="35"/>
      <c r="R250" s="17"/>
    </row>
    <row r="251" spans="13:18" ht="12.75">
      <c r="M251" s="17"/>
      <c r="N251" s="35"/>
      <c r="R251" s="17"/>
    </row>
    <row r="252" spans="13:18" ht="12.75">
      <c r="M252" s="17"/>
      <c r="N252" s="35"/>
      <c r="R252" s="17"/>
    </row>
    <row r="253" spans="13:18" ht="12.75">
      <c r="M253" s="17"/>
      <c r="N253" s="35"/>
      <c r="R253" s="17"/>
    </row>
    <row r="254" spans="13:18" ht="12.75">
      <c r="M254" s="17"/>
      <c r="N254" s="35"/>
      <c r="R254" s="17"/>
    </row>
    <row r="255" spans="13:18" ht="12.75">
      <c r="M255" s="17"/>
      <c r="N255" s="35"/>
      <c r="R255" s="17"/>
    </row>
    <row r="256" spans="13:18" ht="12.75">
      <c r="M256" s="17"/>
      <c r="N256" s="35"/>
      <c r="R256" s="17"/>
    </row>
    <row r="257" spans="13:18" ht="12.75">
      <c r="M257" s="17"/>
      <c r="N257" s="35"/>
      <c r="R257" s="17"/>
    </row>
    <row r="258" spans="13:18" ht="12.75">
      <c r="M258" s="17"/>
      <c r="N258" s="35"/>
      <c r="R258" s="17"/>
    </row>
    <row r="259" spans="13:18" ht="12.75">
      <c r="M259" s="17"/>
      <c r="N259" s="35"/>
      <c r="R259" s="17"/>
    </row>
    <row r="260" spans="13:18" ht="12.75">
      <c r="M260" s="17"/>
      <c r="N260" s="35"/>
      <c r="R260" s="17"/>
    </row>
    <row r="261" spans="13:18" ht="12.75">
      <c r="M261" s="17"/>
      <c r="N261" s="35"/>
      <c r="R261" s="17"/>
    </row>
    <row r="262" spans="13:18" ht="12.75">
      <c r="M262" s="17"/>
      <c r="N262" s="35"/>
      <c r="R262" s="17"/>
    </row>
    <row r="263" spans="13:18" ht="12.75">
      <c r="M263" s="17"/>
      <c r="N263" s="35"/>
      <c r="R263" s="17"/>
    </row>
    <row r="264" spans="13:18" ht="12.75">
      <c r="M264" s="17"/>
      <c r="N264" s="35"/>
      <c r="R264" s="17"/>
    </row>
    <row r="265" spans="13:18" ht="12.75">
      <c r="M265" s="17"/>
      <c r="N265" s="35"/>
      <c r="R265" s="17"/>
    </row>
    <row r="266" spans="13:18" ht="12.75">
      <c r="M266" s="17"/>
      <c r="N266" s="35"/>
      <c r="R266" s="17"/>
    </row>
    <row r="267" spans="13:18" ht="12.75">
      <c r="M267" s="17"/>
      <c r="N267" s="35"/>
      <c r="R267" s="17"/>
    </row>
    <row r="268" spans="13:18" ht="12.75">
      <c r="M268" s="17"/>
      <c r="N268" s="35"/>
      <c r="R268" s="17"/>
    </row>
    <row r="269" spans="13:18" ht="12.75">
      <c r="M269" s="17"/>
      <c r="N269" s="35"/>
      <c r="R269" s="17"/>
    </row>
    <row r="270" spans="13:18" ht="12.75">
      <c r="M270" s="17"/>
      <c r="N270" s="35"/>
      <c r="R270" s="17"/>
    </row>
    <row r="271" spans="13:18" ht="12.75">
      <c r="M271" s="17"/>
      <c r="N271" s="35"/>
      <c r="R271" s="17"/>
    </row>
    <row r="272" spans="13:18" ht="12.75">
      <c r="M272" s="17"/>
      <c r="N272" s="35"/>
      <c r="R272" s="17"/>
    </row>
    <row r="273" spans="13:18" ht="12.75">
      <c r="M273" s="17"/>
      <c r="N273" s="35"/>
      <c r="R273" s="17"/>
    </row>
    <row r="274" spans="13:18" ht="12.75">
      <c r="M274" s="17"/>
      <c r="N274" s="35"/>
      <c r="R274" s="17"/>
    </row>
    <row r="275" spans="13:18" ht="12.75">
      <c r="M275" s="17"/>
      <c r="N275" s="35"/>
      <c r="R275" s="17"/>
    </row>
    <row r="276" spans="13:18" ht="12.75">
      <c r="M276" s="17"/>
      <c r="N276" s="35"/>
      <c r="R276" s="17"/>
    </row>
    <row r="277" spans="13:18" ht="12.75">
      <c r="M277" s="17"/>
      <c r="N277" s="35"/>
      <c r="R277" s="17"/>
    </row>
    <row r="278" spans="13:18" ht="12.75">
      <c r="M278" s="17"/>
      <c r="N278" s="35"/>
      <c r="R278" s="17"/>
    </row>
    <row r="279" spans="13:18" ht="12.75">
      <c r="M279" s="17"/>
      <c r="N279" s="35"/>
      <c r="R279" s="17"/>
    </row>
    <row r="280" spans="13:18" ht="12.75">
      <c r="M280" s="17"/>
      <c r="N280" s="35"/>
      <c r="R280" s="17"/>
    </row>
    <row r="281" spans="13:18" ht="12.75">
      <c r="M281" s="17"/>
      <c r="N281" s="35"/>
      <c r="R281" s="17"/>
    </row>
    <row r="282" spans="13:18" ht="12.75">
      <c r="M282" s="17"/>
      <c r="N282" s="35"/>
      <c r="R282" s="17"/>
    </row>
    <row r="283" spans="13:18" ht="12.75">
      <c r="M283" s="17"/>
      <c r="N283" s="35"/>
      <c r="R283" s="17"/>
    </row>
    <row r="284" spans="13:18" ht="12.75">
      <c r="M284" s="17"/>
      <c r="N284" s="35"/>
      <c r="R284" s="17"/>
    </row>
    <row r="285" spans="13:18" ht="12.75">
      <c r="M285" s="17"/>
      <c r="N285" s="35"/>
      <c r="R285" s="17"/>
    </row>
    <row r="286" spans="13:18" ht="12.75">
      <c r="M286" s="17"/>
      <c r="N286" s="35"/>
      <c r="R286" s="17"/>
    </row>
    <row r="287" spans="13:18" ht="12.75">
      <c r="M287" s="17"/>
      <c r="N287" s="35"/>
      <c r="R287" s="17"/>
    </row>
    <row r="288" spans="13:18" ht="12.75">
      <c r="M288" s="17"/>
      <c r="N288" s="35"/>
      <c r="R288" s="17"/>
    </row>
    <row r="289" spans="13:18" ht="12.75">
      <c r="M289" s="17"/>
      <c r="N289" s="35"/>
      <c r="R289" s="17"/>
    </row>
    <row r="290" spans="13:18" ht="12.75">
      <c r="M290" s="17"/>
      <c r="N290" s="35"/>
      <c r="R290" s="17"/>
    </row>
    <row r="291" spans="13:18" ht="12.75">
      <c r="M291" s="17"/>
      <c r="N291" s="35"/>
      <c r="R291" s="17"/>
    </row>
    <row r="292" spans="13:18" ht="12.75">
      <c r="M292" s="17"/>
      <c r="N292" s="35"/>
      <c r="R292" s="17"/>
    </row>
    <row r="293" spans="13:18" ht="12.75">
      <c r="M293" s="17"/>
      <c r="N293" s="35"/>
      <c r="R293" s="17"/>
    </row>
    <row r="294" spans="13:18" ht="12.75">
      <c r="M294" s="17"/>
      <c r="N294" s="35"/>
      <c r="R294" s="17"/>
    </row>
    <row r="295" spans="13:18" ht="12.75">
      <c r="M295" s="17"/>
      <c r="N295" s="35"/>
      <c r="R295" s="17"/>
    </row>
    <row r="296" spans="13:18" ht="12.75">
      <c r="M296" s="17"/>
      <c r="N296" s="35"/>
      <c r="R296" s="17"/>
    </row>
    <row r="297" spans="13:18" ht="12.75">
      <c r="M297" s="17"/>
      <c r="N297" s="35"/>
      <c r="R297" s="17"/>
    </row>
    <row r="298" spans="13:18" ht="12.75">
      <c r="M298" s="17"/>
      <c r="N298" s="35"/>
      <c r="R298" s="17"/>
    </row>
    <row r="299" spans="13:18" ht="12.75">
      <c r="M299" s="17"/>
      <c r="N299" s="35"/>
      <c r="R299" s="17"/>
    </row>
    <row r="300" spans="13:18" ht="12.75">
      <c r="M300" s="17"/>
      <c r="N300" s="35"/>
      <c r="R300" s="17"/>
    </row>
    <row r="301" spans="13:18" ht="12.75">
      <c r="M301" s="17"/>
      <c r="N301" s="35"/>
      <c r="R301" s="17"/>
    </row>
    <row r="302" spans="13:18" ht="12.75">
      <c r="M302" s="17"/>
      <c r="N302" s="35"/>
      <c r="R302" s="17"/>
    </row>
    <row r="303" spans="13:18" ht="12.75">
      <c r="M303" s="17"/>
      <c r="N303" s="35"/>
      <c r="R303" s="17"/>
    </row>
    <row r="304" spans="13:18" ht="12.75">
      <c r="M304" s="17"/>
      <c r="N304" s="35"/>
      <c r="R304" s="17"/>
    </row>
    <row r="305" spans="13:18" ht="12.75">
      <c r="M305" s="17"/>
      <c r="N305" s="35"/>
      <c r="R305" s="17"/>
    </row>
    <row r="306" spans="13:18" ht="12.75">
      <c r="M306" s="17"/>
      <c r="N306" s="35"/>
      <c r="R306" s="17"/>
    </row>
    <row r="307" spans="13:18" ht="12.75">
      <c r="M307" s="17"/>
      <c r="N307" s="35"/>
      <c r="R307" s="17"/>
    </row>
    <row r="308" spans="13:18" ht="12.75">
      <c r="M308" s="17"/>
      <c r="N308" s="35"/>
      <c r="R308" s="17"/>
    </row>
    <row r="309" spans="13:18" ht="12.75">
      <c r="M309" s="17"/>
      <c r="N309" s="35"/>
      <c r="R309" s="17"/>
    </row>
    <row r="310" spans="13:18" ht="12.75">
      <c r="M310" s="17"/>
      <c r="N310" s="35"/>
      <c r="R310" s="17"/>
    </row>
    <row r="311" spans="13:18" ht="12.75">
      <c r="M311" s="17"/>
      <c r="N311" s="35"/>
      <c r="R311" s="17"/>
    </row>
    <row r="312" spans="13:18" ht="12.75">
      <c r="M312" s="17"/>
      <c r="N312" s="35"/>
      <c r="R312" s="17"/>
    </row>
    <row r="313" spans="13:18" ht="12.75">
      <c r="M313" s="17"/>
      <c r="N313" s="35"/>
      <c r="R313" s="17"/>
    </row>
    <row r="314" spans="13:18" ht="12.75">
      <c r="M314" s="17"/>
      <c r="N314" s="35"/>
      <c r="R314" s="17"/>
    </row>
    <row r="315" spans="13:18" ht="12.75">
      <c r="M315" s="17"/>
      <c r="N315" s="35"/>
      <c r="R315" s="17"/>
    </row>
    <row r="316" spans="13:18" ht="12.75">
      <c r="M316" s="17"/>
      <c r="N316" s="35"/>
      <c r="R316" s="17"/>
    </row>
    <row r="317" spans="13:18" ht="12.75">
      <c r="M317" s="17"/>
      <c r="N317" s="35"/>
      <c r="R317" s="17"/>
    </row>
    <row r="318" spans="13:18" ht="12.75">
      <c r="M318" s="17"/>
      <c r="N318" s="35"/>
      <c r="R318" s="17"/>
    </row>
    <row r="319" spans="13:18" ht="12.75">
      <c r="M319" s="17"/>
      <c r="N319" s="35"/>
      <c r="R319" s="17"/>
    </row>
    <row r="320" spans="13:18" ht="12.75">
      <c r="M320" s="17"/>
      <c r="N320" s="35"/>
      <c r="R320" s="17"/>
    </row>
    <row r="321" spans="13:18" ht="12.75">
      <c r="M321" s="17"/>
      <c r="N321" s="35"/>
      <c r="R321" s="17"/>
    </row>
    <row r="322" spans="13:18" ht="12.75">
      <c r="M322" s="17"/>
      <c r="N322" s="35"/>
      <c r="R322" s="17"/>
    </row>
    <row r="323" spans="13:18" ht="12.75">
      <c r="M323" s="17"/>
      <c r="N323" s="35"/>
      <c r="R323" s="17"/>
    </row>
    <row r="324" spans="13:18" ht="12.75">
      <c r="M324" s="17"/>
      <c r="N324" s="35"/>
      <c r="R324" s="17"/>
    </row>
    <row r="325" spans="13:18" ht="12.75">
      <c r="M325" s="17"/>
      <c r="N325" s="35"/>
      <c r="R325" s="17"/>
    </row>
    <row r="326" spans="13:18" ht="12.75">
      <c r="M326" s="17"/>
      <c r="N326" s="35"/>
      <c r="R326" s="17"/>
    </row>
    <row r="327" spans="13:18" ht="12.75">
      <c r="M327" s="17"/>
      <c r="N327" s="35"/>
      <c r="R327" s="17"/>
    </row>
    <row r="328" spans="13:18" ht="12.75">
      <c r="M328" s="17"/>
      <c r="N328" s="35"/>
      <c r="R328" s="17"/>
    </row>
    <row r="329" spans="13:18" ht="12.75">
      <c r="M329" s="17"/>
      <c r="N329" s="35"/>
      <c r="R329" s="17"/>
    </row>
    <row r="330" spans="13:18" ht="12.75">
      <c r="M330" s="17"/>
      <c r="N330" s="35"/>
      <c r="R330" s="17"/>
    </row>
    <row r="331" spans="13:18" ht="12.75">
      <c r="M331" s="17"/>
      <c r="N331" s="35"/>
      <c r="R331" s="17"/>
    </row>
    <row r="332" spans="13:18" ht="12.75">
      <c r="M332" s="17"/>
      <c r="N332" s="35"/>
      <c r="R332" s="17"/>
    </row>
    <row r="333" spans="13:18" ht="12.75">
      <c r="M333" s="17"/>
      <c r="N333" s="35"/>
      <c r="R333" s="17"/>
    </row>
    <row r="334" spans="13:18" ht="12.75">
      <c r="M334" s="17"/>
      <c r="N334" s="35"/>
      <c r="R334" s="17"/>
    </row>
    <row r="335" spans="13:18" ht="12.75">
      <c r="M335" s="17"/>
      <c r="N335" s="35"/>
      <c r="R335" s="17"/>
    </row>
    <row r="336" spans="13:18" ht="12.75">
      <c r="M336" s="17"/>
      <c r="N336" s="35"/>
      <c r="R336" s="17"/>
    </row>
    <row r="337" spans="13:18" ht="12.75">
      <c r="M337" s="17"/>
      <c r="N337" s="35"/>
      <c r="R337" s="17"/>
    </row>
    <row r="338" spans="13:18" ht="12.75">
      <c r="M338" s="17"/>
      <c r="N338" s="35"/>
      <c r="R338" s="17"/>
    </row>
    <row r="339" spans="13:18" ht="12.75">
      <c r="M339" s="17"/>
      <c r="N339" s="35"/>
      <c r="R339" s="17"/>
    </row>
    <row r="340" spans="13:18" ht="12.75">
      <c r="M340" s="17"/>
      <c r="N340" s="35"/>
      <c r="R340" s="17"/>
    </row>
    <row r="341" spans="13:18" ht="12.75">
      <c r="M341" s="17"/>
      <c r="N341" s="35"/>
      <c r="R341" s="17"/>
    </row>
    <row r="342" spans="13:18" ht="12.75">
      <c r="M342" s="17"/>
      <c r="N342" s="35"/>
      <c r="R342" s="17"/>
    </row>
    <row r="343" spans="13:18" ht="12.75">
      <c r="M343" s="17"/>
      <c r="N343" s="35"/>
      <c r="R343" s="17"/>
    </row>
    <row r="344" spans="13:18" ht="12.75">
      <c r="M344" s="17"/>
      <c r="N344" s="35"/>
      <c r="R344" s="17"/>
    </row>
    <row r="345" spans="13:18" ht="12.75">
      <c r="M345" s="17"/>
      <c r="N345" s="35"/>
      <c r="R345" s="17"/>
    </row>
    <row r="346" spans="13:18" ht="12.75">
      <c r="M346" s="17"/>
      <c r="N346" s="35"/>
      <c r="R346" s="17"/>
    </row>
    <row r="347" spans="13:18" ht="12.75">
      <c r="M347" s="17"/>
      <c r="N347" s="35"/>
      <c r="R347" s="17"/>
    </row>
    <row r="348" spans="13:18" ht="12.75">
      <c r="M348" s="17"/>
      <c r="N348" s="35"/>
      <c r="R348" s="17"/>
    </row>
    <row r="349" spans="13:18" ht="12.75">
      <c r="M349" s="17"/>
      <c r="N349" s="35"/>
      <c r="R349" s="17"/>
    </row>
    <row r="350" spans="13:18" ht="12.75">
      <c r="M350" s="17"/>
      <c r="N350" s="35"/>
      <c r="R350" s="17"/>
    </row>
    <row r="351" spans="13:18" ht="12.75">
      <c r="M351" s="17"/>
      <c r="N351" s="35"/>
      <c r="R351" s="17"/>
    </row>
    <row r="352" spans="13:18" ht="12.75">
      <c r="M352" s="17"/>
      <c r="N352" s="35"/>
      <c r="R352" s="17"/>
    </row>
    <row r="353" spans="13:18" ht="12.75">
      <c r="M353" s="17"/>
      <c r="N353" s="35"/>
      <c r="R353" s="17"/>
    </row>
    <row r="354" spans="13:18" ht="12.75">
      <c r="M354" s="17"/>
      <c r="N354" s="35"/>
      <c r="R354" s="17"/>
    </row>
    <row r="355" spans="13:18" ht="12.75">
      <c r="M355" s="17"/>
      <c r="N355" s="35"/>
      <c r="R355" s="17"/>
    </row>
    <row r="356" spans="13:18" ht="12.75">
      <c r="M356" s="17"/>
      <c r="N356" s="35"/>
      <c r="R356" s="17"/>
    </row>
    <row r="357" spans="13:18" ht="12.75">
      <c r="M357" s="17"/>
      <c r="N357" s="35"/>
      <c r="R357" s="17"/>
    </row>
    <row r="358" spans="13:18" ht="12.75">
      <c r="M358" s="17"/>
      <c r="N358" s="35"/>
      <c r="R358" s="17"/>
    </row>
    <row r="359" spans="13:18" ht="12.75">
      <c r="M359" s="17"/>
      <c r="N359" s="35"/>
      <c r="R359" s="17"/>
    </row>
    <row r="360" spans="13:18" ht="12.75">
      <c r="M360" s="17"/>
      <c r="N360" s="35"/>
      <c r="R360" s="17"/>
    </row>
    <row r="361" spans="13:18" ht="12.75">
      <c r="M361" s="17"/>
      <c r="N361" s="35"/>
      <c r="R361" s="17"/>
    </row>
    <row r="362" spans="13:18" ht="12.75">
      <c r="M362" s="17"/>
      <c r="N362" s="35"/>
      <c r="R362" s="17"/>
    </row>
    <row r="363" spans="13:18" ht="12.75">
      <c r="M363" s="17"/>
      <c r="N363" s="35"/>
      <c r="R363" s="17"/>
    </row>
    <row r="364" spans="13:18" ht="12.75">
      <c r="M364" s="17"/>
      <c r="N364" s="35"/>
      <c r="R364" s="17"/>
    </row>
    <row r="365" spans="13:18" ht="12.75">
      <c r="M365" s="17"/>
      <c r="N365" s="35"/>
      <c r="R365" s="17"/>
    </row>
    <row r="366" spans="13:18" ht="12.75">
      <c r="M366" s="17"/>
      <c r="N366" s="35"/>
      <c r="R366" s="17"/>
    </row>
    <row r="367" spans="13:18" ht="12.75">
      <c r="M367" s="17"/>
      <c r="N367" s="35"/>
      <c r="R367" s="17"/>
    </row>
    <row r="368" spans="13:18" ht="12.75">
      <c r="M368" s="17"/>
      <c r="N368" s="35"/>
      <c r="R368" s="17"/>
    </row>
    <row r="369" spans="13:18" ht="12.75">
      <c r="M369" s="17"/>
      <c r="N369" s="35"/>
      <c r="R369" s="17"/>
    </row>
    <row r="370" spans="13:18" ht="12.75">
      <c r="M370" s="17"/>
      <c r="N370" s="35"/>
      <c r="R370" s="17"/>
    </row>
    <row r="371" spans="13:18" ht="12.75">
      <c r="M371" s="17"/>
      <c r="N371" s="35"/>
      <c r="R371" s="17"/>
    </row>
    <row r="372" spans="13:18" ht="12.75">
      <c r="M372" s="17"/>
      <c r="N372" s="35"/>
      <c r="R372" s="17"/>
    </row>
    <row r="373" spans="13:18" ht="12.75">
      <c r="M373" s="17"/>
      <c r="N373" s="35"/>
      <c r="R373" s="17"/>
    </row>
    <row r="374" spans="13:18" ht="12.75">
      <c r="M374" s="17"/>
      <c r="N374" s="35"/>
      <c r="R374" s="17"/>
    </row>
    <row r="375" spans="13:18" ht="12.75">
      <c r="M375" s="17"/>
      <c r="N375" s="35"/>
      <c r="R375" s="17"/>
    </row>
    <row r="376" spans="13:18" ht="12.75">
      <c r="M376" s="17"/>
      <c r="N376" s="35"/>
      <c r="R376" s="17"/>
    </row>
    <row r="377" spans="13:18" ht="12.75">
      <c r="M377" s="17"/>
      <c r="N377" s="35"/>
      <c r="R377" s="17"/>
    </row>
    <row r="378" spans="13:18" ht="12.75">
      <c r="M378" s="17"/>
      <c r="N378" s="35"/>
      <c r="R378" s="17"/>
    </row>
    <row r="379" spans="13:18" ht="12.75">
      <c r="M379" s="17"/>
      <c r="N379" s="35"/>
      <c r="R379" s="17"/>
    </row>
    <row r="380" spans="13:18" ht="12.75">
      <c r="M380" s="17"/>
      <c r="N380" s="35"/>
      <c r="R380" s="17"/>
    </row>
    <row r="381" spans="13:18" ht="12.75">
      <c r="M381" s="17"/>
      <c r="N381" s="35"/>
      <c r="R381" s="17"/>
    </row>
    <row r="382" spans="13:18" ht="12.75">
      <c r="M382" s="17"/>
      <c r="N382" s="35"/>
      <c r="R382" s="17"/>
    </row>
    <row r="383" spans="13:18" ht="12.75">
      <c r="M383" s="17"/>
      <c r="N383" s="35"/>
      <c r="R383" s="17"/>
    </row>
    <row r="384" spans="13:18" ht="12.75">
      <c r="M384" s="17"/>
      <c r="N384" s="35"/>
      <c r="R384" s="17"/>
    </row>
    <row r="385" spans="13:18" ht="12.75">
      <c r="M385" s="17"/>
      <c r="N385" s="35"/>
      <c r="R385" s="17"/>
    </row>
    <row r="386" spans="13:18" ht="12.75">
      <c r="M386" s="17"/>
      <c r="N386" s="35"/>
      <c r="R386" s="17"/>
    </row>
    <row r="387" spans="13:18" ht="12.75">
      <c r="M387" s="17"/>
      <c r="N387" s="35"/>
      <c r="R387" s="17"/>
    </row>
    <row r="388" spans="13:18" ht="12.75">
      <c r="M388" s="17"/>
      <c r="N388" s="35"/>
      <c r="R388" s="17"/>
    </row>
    <row r="389" spans="13:18" ht="12.75">
      <c r="M389" s="17"/>
      <c r="N389" s="35"/>
      <c r="R389" s="17"/>
    </row>
    <row r="390" spans="13:18" ht="12.75">
      <c r="M390" s="17"/>
      <c r="N390" s="35"/>
      <c r="R390" s="17"/>
    </row>
    <row r="391" spans="13:18" ht="12.75">
      <c r="M391" s="17"/>
      <c r="N391" s="35"/>
      <c r="R391" s="17"/>
    </row>
    <row r="392" spans="13:18" ht="12.75">
      <c r="M392" s="17"/>
      <c r="N392" s="35"/>
      <c r="R392" s="17"/>
    </row>
    <row r="393" spans="13:18" ht="12.75">
      <c r="M393" s="17"/>
      <c r="N393" s="35"/>
      <c r="R393" s="17"/>
    </row>
    <row r="394" spans="13:18" ht="12.75">
      <c r="M394" s="17"/>
      <c r="N394" s="35"/>
      <c r="R394" s="17"/>
    </row>
    <row r="395" spans="13:18" ht="12.75">
      <c r="M395" s="17"/>
      <c r="N395" s="35"/>
      <c r="R395" s="17"/>
    </row>
    <row r="396" spans="13:18" ht="12.75">
      <c r="M396" s="17"/>
      <c r="N396" s="35"/>
      <c r="R396" s="17"/>
    </row>
    <row r="397" spans="13:18" ht="12.75">
      <c r="M397" s="17"/>
      <c r="N397" s="35"/>
      <c r="R397" s="17"/>
    </row>
    <row r="398" spans="13:18" ht="12.75">
      <c r="M398" s="17"/>
      <c r="N398" s="35"/>
      <c r="R398" s="17"/>
    </row>
    <row r="399" spans="13:18" ht="12.75">
      <c r="M399" s="17"/>
      <c r="N399" s="35"/>
      <c r="R399" s="17"/>
    </row>
    <row r="400" spans="13:18" ht="12.75">
      <c r="M400" s="17"/>
      <c r="N400" s="35"/>
      <c r="R400" s="17"/>
    </row>
    <row r="401" spans="13:18" ht="12.75">
      <c r="M401" s="17"/>
      <c r="N401" s="35"/>
      <c r="R401" s="17"/>
    </row>
    <row r="402" spans="13:18" ht="12.75">
      <c r="M402" s="17"/>
      <c r="N402" s="35"/>
      <c r="R402" s="17"/>
    </row>
    <row r="403" spans="13:18" ht="12.75">
      <c r="M403" s="17"/>
      <c r="N403" s="35"/>
      <c r="R403" s="17"/>
    </row>
    <row r="404" spans="13:18" ht="12.75">
      <c r="M404" s="17"/>
      <c r="N404" s="35"/>
      <c r="R404" s="17"/>
    </row>
    <row r="405" spans="13:18" ht="12.75">
      <c r="M405" s="17"/>
      <c r="N405" s="35"/>
      <c r="R405" s="17"/>
    </row>
    <row r="406" spans="13:18" ht="12.75">
      <c r="M406" s="17"/>
      <c r="N406" s="35"/>
      <c r="R406" s="17"/>
    </row>
    <row r="407" spans="13:18" ht="12.75">
      <c r="M407" s="17"/>
      <c r="N407" s="35"/>
      <c r="R407" s="17"/>
    </row>
    <row r="408" spans="13:18" ht="12.75">
      <c r="M408" s="17"/>
      <c r="N408" s="35"/>
      <c r="R408" s="17"/>
    </row>
    <row r="409" spans="13:18" ht="12.75">
      <c r="M409" s="17"/>
      <c r="N409" s="35"/>
      <c r="R409" s="17"/>
    </row>
    <row r="410" spans="13:18" ht="12.75">
      <c r="M410" s="17"/>
      <c r="N410" s="35"/>
      <c r="R410" s="17"/>
    </row>
    <row r="411" spans="13:18" ht="12.75">
      <c r="M411" s="17"/>
      <c r="N411" s="35"/>
      <c r="R411" s="17"/>
    </row>
    <row r="412" spans="13:18" ht="12.75">
      <c r="M412" s="17"/>
      <c r="N412" s="35"/>
      <c r="R412" s="17"/>
    </row>
    <row r="413" spans="13:18" ht="12.75">
      <c r="M413" s="17"/>
      <c r="N413" s="35"/>
      <c r="R413" s="17"/>
    </row>
    <row r="414" spans="13:18" ht="12.75">
      <c r="M414" s="17"/>
      <c r="N414" s="35"/>
      <c r="R414" s="17"/>
    </row>
    <row r="415" spans="13:18" ht="12.75">
      <c r="M415" s="17"/>
      <c r="N415" s="35"/>
      <c r="R415" s="17"/>
    </row>
    <row r="416" spans="13:18" ht="12.75">
      <c r="M416" s="17"/>
      <c r="N416" s="35"/>
      <c r="R416" s="17"/>
    </row>
    <row r="417" spans="13:18" ht="12.75">
      <c r="M417" s="17"/>
      <c r="N417" s="35"/>
      <c r="R417" s="17"/>
    </row>
    <row r="418" spans="13:18" ht="12.75">
      <c r="M418" s="17"/>
      <c r="N418" s="35"/>
      <c r="R418" s="17"/>
    </row>
    <row r="419" spans="13:18" ht="12.75">
      <c r="M419" s="17"/>
      <c r="N419" s="35"/>
      <c r="R419" s="17"/>
    </row>
    <row r="420" spans="13:18" ht="12.75">
      <c r="M420" s="17"/>
      <c r="N420" s="35"/>
      <c r="R420" s="17"/>
    </row>
    <row r="421" spans="13:18" ht="12.75">
      <c r="M421" s="17"/>
      <c r="N421" s="35"/>
      <c r="R421" s="17"/>
    </row>
    <row r="422" spans="13:18" ht="12.75">
      <c r="M422" s="17"/>
      <c r="N422" s="35"/>
      <c r="R422" s="17"/>
    </row>
    <row r="423" spans="13:18" ht="12.75">
      <c r="M423" s="17"/>
      <c r="N423" s="35"/>
      <c r="R423" s="17"/>
    </row>
    <row r="424" spans="13:18" ht="12.75">
      <c r="M424" s="17"/>
      <c r="N424" s="35"/>
      <c r="R424" s="17"/>
    </row>
    <row r="425" spans="13:18" ht="12.75">
      <c r="M425" s="17"/>
      <c r="N425" s="35"/>
      <c r="R425" s="17"/>
    </row>
    <row r="426" spans="13:18" ht="12.75">
      <c r="M426" s="17"/>
      <c r="N426" s="35"/>
      <c r="R426" s="17"/>
    </row>
    <row r="427" spans="13:18" ht="12.75">
      <c r="M427" s="17"/>
      <c r="N427" s="35"/>
      <c r="R427" s="17"/>
    </row>
    <row r="428" spans="13:18" ht="12.75">
      <c r="M428" s="17"/>
      <c r="N428" s="35"/>
      <c r="R428" s="17"/>
    </row>
    <row r="429" spans="13:18" ht="12.75">
      <c r="M429" s="17"/>
      <c r="N429" s="35"/>
      <c r="R429" s="17"/>
    </row>
    <row r="430" spans="13:18" ht="12.75">
      <c r="M430" s="17"/>
      <c r="N430" s="35"/>
      <c r="R430" s="17"/>
    </row>
    <row r="431" spans="13:18" ht="12.75">
      <c r="M431" s="17"/>
      <c r="N431" s="35"/>
      <c r="R431" s="17"/>
    </row>
    <row r="432" spans="13:18" ht="12.75">
      <c r="M432" s="17"/>
      <c r="N432" s="35"/>
      <c r="R432" s="17"/>
    </row>
    <row r="433" spans="13:18" ht="12.75">
      <c r="M433" s="17"/>
      <c r="N433" s="35"/>
      <c r="R433" s="17"/>
    </row>
    <row r="434" spans="13:18" ht="12.75">
      <c r="M434" s="17"/>
      <c r="N434" s="35"/>
      <c r="R434" s="17"/>
    </row>
    <row r="435" spans="13:18" ht="12.75">
      <c r="M435" s="17"/>
      <c r="N435" s="35"/>
      <c r="R435" s="17"/>
    </row>
    <row r="436" spans="13:18" ht="12.75">
      <c r="M436" s="17"/>
      <c r="N436" s="35"/>
      <c r="R436" s="17"/>
    </row>
    <row r="437" spans="13:18" ht="12.75">
      <c r="M437" s="17"/>
      <c r="N437" s="35"/>
      <c r="R437" s="17"/>
    </row>
    <row r="438" spans="13:18" ht="12.75">
      <c r="M438" s="17"/>
      <c r="N438" s="35"/>
      <c r="R438" s="17"/>
    </row>
    <row r="439" spans="13:18" ht="12.75">
      <c r="M439" s="17"/>
      <c r="N439" s="35"/>
      <c r="R439" s="17"/>
    </row>
    <row r="440" spans="13:18" ht="12.75">
      <c r="M440" s="17"/>
      <c r="N440" s="35"/>
      <c r="R440" s="17"/>
    </row>
    <row r="441" spans="13:18" ht="12.75">
      <c r="M441" s="17"/>
      <c r="N441" s="35"/>
      <c r="R441" s="17"/>
    </row>
    <row r="442" spans="13:18" ht="12.75">
      <c r="M442" s="17"/>
      <c r="N442" s="35"/>
      <c r="R442" s="17"/>
    </row>
    <row r="443" spans="13:18" ht="12.75">
      <c r="M443" s="17"/>
      <c r="N443" s="35"/>
      <c r="R443" s="17"/>
    </row>
    <row r="444" spans="13:18" ht="12.75">
      <c r="M444" s="17"/>
      <c r="N444" s="35"/>
      <c r="R444" s="17"/>
    </row>
    <row r="445" spans="13:18" ht="12.75">
      <c r="M445" s="17"/>
      <c r="N445" s="35"/>
      <c r="R445" s="17"/>
    </row>
    <row r="446" spans="13:18" ht="12.75">
      <c r="M446" s="17"/>
      <c r="N446" s="35"/>
      <c r="R446" s="17"/>
    </row>
    <row r="447" spans="13:18" ht="12.75">
      <c r="M447" s="17"/>
      <c r="N447" s="35"/>
      <c r="R447" s="17"/>
    </row>
    <row r="448" spans="13:18" ht="12.75">
      <c r="M448" s="17"/>
      <c r="N448" s="35"/>
      <c r="R448" s="17"/>
    </row>
    <row r="449" spans="13:18" ht="12.75">
      <c r="M449" s="17"/>
      <c r="N449" s="35"/>
      <c r="R449" s="17"/>
    </row>
    <row r="450" spans="13:18" ht="12.75">
      <c r="M450" s="17"/>
      <c r="N450" s="35"/>
      <c r="R450" s="17"/>
    </row>
    <row r="451" spans="13:18" ht="12.75">
      <c r="M451" s="17"/>
      <c r="N451" s="35"/>
      <c r="R451" s="17"/>
    </row>
    <row r="452" spans="13:18" ht="12.75">
      <c r="M452" s="17"/>
      <c r="N452" s="35"/>
      <c r="R452" s="17"/>
    </row>
    <row r="453" spans="13:18" ht="12.75">
      <c r="M453" s="17"/>
      <c r="N453" s="35"/>
      <c r="R453" s="17"/>
    </row>
    <row r="454" spans="13:18" ht="12.75">
      <c r="M454" s="17"/>
      <c r="N454" s="35"/>
      <c r="R454" s="17"/>
    </row>
    <row r="455" spans="13:18" ht="12.75">
      <c r="M455" s="17"/>
      <c r="N455" s="35"/>
      <c r="R455" s="17"/>
    </row>
    <row r="456" spans="13:18" ht="12.75">
      <c r="M456" s="17"/>
      <c r="N456" s="35"/>
      <c r="R456" s="17"/>
    </row>
    <row r="457" spans="13:18" ht="12.75">
      <c r="M457" s="17"/>
      <c r="N457" s="35"/>
      <c r="R457" s="17"/>
    </row>
    <row r="458" spans="13:18" ht="12.75">
      <c r="M458" s="17"/>
      <c r="N458" s="35"/>
      <c r="R458" s="17"/>
    </row>
    <row r="459" spans="13:18" ht="12.75">
      <c r="M459" s="17"/>
      <c r="N459" s="35"/>
      <c r="R459" s="17"/>
    </row>
    <row r="460" spans="13:18" ht="12.75">
      <c r="M460" s="17"/>
      <c r="N460" s="35"/>
      <c r="R460" s="17"/>
    </row>
    <row r="461" spans="13:18" ht="12.75">
      <c r="M461" s="17"/>
      <c r="N461" s="35"/>
      <c r="R461" s="17"/>
    </row>
    <row r="462" spans="13:18" ht="12.75">
      <c r="M462" s="17"/>
      <c r="N462" s="35"/>
      <c r="R462" s="17"/>
    </row>
    <row r="463" spans="13:18" ht="12.75">
      <c r="M463" s="17"/>
      <c r="N463" s="35"/>
      <c r="R463" s="17"/>
    </row>
    <row r="464" spans="13:18" ht="12.75">
      <c r="M464" s="17"/>
      <c r="N464" s="35"/>
      <c r="R464" s="17"/>
    </row>
    <row r="465" spans="13:18" ht="12.75">
      <c r="M465" s="17"/>
      <c r="N465" s="35"/>
      <c r="R465" s="17"/>
    </row>
    <row r="466" spans="13:18" ht="12.75">
      <c r="M466" s="17"/>
      <c r="N466" s="35"/>
      <c r="R466" s="17"/>
    </row>
    <row r="467" spans="13:18" ht="12.75">
      <c r="M467" s="17"/>
      <c r="N467" s="35"/>
      <c r="R467" s="17"/>
    </row>
    <row r="468" spans="13:18" ht="12.75">
      <c r="M468" s="17"/>
      <c r="N468" s="35"/>
      <c r="R468" s="17"/>
    </row>
    <row r="469" spans="13:18" ht="12.75">
      <c r="M469" s="17"/>
      <c r="N469" s="35"/>
      <c r="R469" s="17"/>
    </row>
    <row r="470" spans="13:18" ht="12.75">
      <c r="M470" s="17"/>
      <c r="N470" s="35"/>
      <c r="R470" s="17"/>
    </row>
    <row r="471" spans="13:18" ht="12.75">
      <c r="M471" s="17"/>
      <c r="N471" s="35"/>
      <c r="R471" s="17"/>
    </row>
    <row r="472" spans="13:18" ht="12.75">
      <c r="M472" s="17"/>
      <c r="N472" s="35"/>
      <c r="R472" s="17"/>
    </row>
    <row r="473" spans="13:18" ht="12.75">
      <c r="M473" s="17"/>
      <c r="N473" s="35"/>
      <c r="R473" s="17"/>
    </row>
    <row r="474" spans="13:18" ht="12.75">
      <c r="M474" s="17"/>
      <c r="N474" s="35"/>
      <c r="R474" s="17"/>
    </row>
    <row r="475" spans="13:18" ht="12.75">
      <c r="M475" s="17"/>
      <c r="N475" s="35"/>
      <c r="R475" s="17"/>
    </row>
    <row r="476" spans="13:18" ht="12.75">
      <c r="M476" s="17"/>
      <c r="N476" s="35"/>
      <c r="R476" s="17"/>
    </row>
    <row r="477" spans="13:18" ht="12.75">
      <c r="M477" s="17"/>
      <c r="N477" s="35"/>
      <c r="R477" s="17"/>
    </row>
    <row r="478" spans="13:18" ht="12.75">
      <c r="M478" s="17"/>
      <c r="N478" s="35"/>
      <c r="R478" s="17"/>
    </row>
    <row r="479" spans="13:18" ht="12.75">
      <c r="M479" s="17"/>
      <c r="N479" s="35"/>
      <c r="R479" s="17"/>
    </row>
    <row r="480" spans="13:18" ht="12.75">
      <c r="M480" s="17"/>
      <c r="N480" s="35"/>
      <c r="R480" s="17"/>
    </row>
    <row r="481" spans="13:18" ht="12.75">
      <c r="M481" s="17"/>
      <c r="N481" s="35"/>
      <c r="R481" s="17"/>
    </row>
    <row r="482" spans="13:18" ht="12.75">
      <c r="M482" s="17"/>
      <c r="N482" s="35"/>
      <c r="R482" s="17"/>
    </row>
    <row r="483" spans="13:18" ht="12.75">
      <c r="M483" s="17"/>
      <c r="N483" s="35"/>
      <c r="R483" s="17"/>
    </row>
    <row r="484" spans="13:18" ht="12.75">
      <c r="M484" s="17"/>
      <c r="N484" s="35"/>
      <c r="R484" s="17"/>
    </row>
    <row r="485" spans="13:18" ht="12.75">
      <c r="M485" s="17"/>
      <c r="N485" s="35"/>
      <c r="R485" s="17"/>
    </row>
    <row r="486" spans="13:18" ht="12.75">
      <c r="M486" s="17"/>
      <c r="N486" s="35"/>
      <c r="R486" s="17"/>
    </row>
    <row r="487" spans="13:18" ht="12.75">
      <c r="M487" s="17"/>
      <c r="N487" s="35"/>
      <c r="R487" s="17"/>
    </row>
    <row r="488" spans="13:18" ht="12.75">
      <c r="M488" s="17"/>
      <c r="N488" s="35"/>
      <c r="R488" s="17"/>
    </row>
    <row r="489" spans="13:18" ht="12.75">
      <c r="M489" s="17"/>
      <c r="N489" s="35"/>
      <c r="R489" s="17"/>
    </row>
    <row r="490" spans="13:18" ht="12.75">
      <c r="M490" s="17"/>
      <c r="N490" s="35"/>
      <c r="R490" s="17"/>
    </row>
    <row r="491" spans="13:18" ht="12.75">
      <c r="M491" s="17"/>
      <c r="N491" s="35"/>
      <c r="R491" s="17"/>
    </row>
    <row r="492" spans="13:18" ht="12.75">
      <c r="M492" s="17"/>
      <c r="N492" s="35"/>
      <c r="R492" s="17"/>
    </row>
    <row r="493" spans="13:18" ht="12.75">
      <c r="M493" s="17"/>
      <c r="N493" s="35"/>
      <c r="R493" s="17"/>
    </row>
    <row r="494" spans="13:18" ht="12.75">
      <c r="M494" s="17"/>
      <c r="N494" s="35"/>
      <c r="R494" s="17"/>
    </row>
    <row r="495" spans="13:18" ht="12.75">
      <c r="M495" s="17"/>
      <c r="N495" s="35"/>
      <c r="R495" s="17"/>
    </row>
    <row r="496" spans="13:18" ht="12.75">
      <c r="M496" s="17"/>
      <c r="N496" s="35"/>
      <c r="R496" s="17"/>
    </row>
    <row r="497" spans="13:18" ht="12.75">
      <c r="M497" s="17"/>
      <c r="N497" s="35"/>
      <c r="R497" s="17"/>
    </row>
    <row r="498" spans="13:18" ht="12.75">
      <c r="M498" s="17"/>
      <c r="N498" s="35"/>
      <c r="R498" s="17"/>
    </row>
    <row r="499" spans="13:18" ht="12.75">
      <c r="M499" s="17"/>
      <c r="N499" s="35"/>
      <c r="R499" s="17"/>
    </row>
    <row r="500" spans="13:18" ht="12.75">
      <c r="M500" s="17"/>
      <c r="N500" s="35"/>
      <c r="R500" s="17"/>
    </row>
    <row r="501" spans="13:18" ht="12.75">
      <c r="M501" s="17"/>
      <c r="N501" s="35"/>
      <c r="R501" s="17"/>
    </row>
    <row r="502" spans="13:18" ht="12.75">
      <c r="M502" s="17"/>
      <c r="N502" s="35"/>
      <c r="R502" s="17"/>
    </row>
    <row r="503" spans="13:18" ht="12.75">
      <c r="M503" s="17"/>
      <c r="N503" s="35"/>
      <c r="R503" s="17"/>
    </row>
    <row r="504" spans="13:18" ht="12.75">
      <c r="M504" s="17"/>
      <c r="N504" s="35"/>
      <c r="R504" s="17"/>
    </row>
    <row r="505" spans="13:18" ht="12.75">
      <c r="M505" s="17"/>
      <c r="N505" s="35"/>
      <c r="R505" s="17"/>
    </row>
    <row r="506" spans="13:18" ht="12.75">
      <c r="M506" s="17"/>
      <c r="N506" s="35"/>
      <c r="R506" s="17"/>
    </row>
    <row r="507" spans="13:18" ht="12.75">
      <c r="M507" s="17"/>
      <c r="N507" s="35"/>
      <c r="R507" s="17"/>
    </row>
    <row r="508" spans="13:18" ht="12.75">
      <c r="M508" s="17"/>
      <c r="N508" s="35"/>
      <c r="R508" s="17"/>
    </row>
    <row r="509" spans="13:18" ht="12.75">
      <c r="M509" s="17"/>
      <c r="N509" s="35"/>
      <c r="R509" s="17"/>
    </row>
    <row r="510" spans="13:18" ht="12.75">
      <c r="M510" s="17"/>
      <c r="N510" s="35"/>
      <c r="R510" s="17"/>
    </row>
    <row r="511" spans="13:18" ht="12.75">
      <c r="M511" s="17"/>
      <c r="N511" s="35"/>
      <c r="R511" s="17"/>
    </row>
    <row r="512" spans="13:18" ht="12.75">
      <c r="M512" s="17"/>
      <c r="N512" s="35"/>
      <c r="R512" s="17"/>
    </row>
    <row r="513" spans="13:18" ht="12.75">
      <c r="M513" s="17"/>
      <c r="N513" s="35"/>
      <c r="R513" s="17"/>
    </row>
    <row r="514" spans="13:18" ht="12.75">
      <c r="M514" s="17"/>
      <c r="N514" s="35"/>
      <c r="R514" s="17"/>
    </row>
    <row r="515" spans="13:18" ht="12.75">
      <c r="M515" s="17"/>
      <c r="N515" s="35"/>
      <c r="R515" s="17"/>
    </row>
    <row r="516" spans="13:18" ht="12.75">
      <c r="M516" s="17"/>
      <c r="N516" s="35"/>
      <c r="R516" s="17"/>
    </row>
    <row r="517" spans="13:18" ht="12.75">
      <c r="M517" s="17"/>
      <c r="N517" s="35"/>
      <c r="R517" s="17"/>
    </row>
    <row r="518" spans="13:18" ht="12.75">
      <c r="M518" s="17"/>
      <c r="N518" s="35"/>
      <c r="R518" s="17"/>
    </row>
    <row r="519" spans="13:18" ht="12.75">
      <c r="M519" s="17"/>
      <c r="N519" s="35"/>
      <c r="R519" s="17"/>
    </row>
    <row r="520" spans="13:18" ht="12.75">
      <c r="M520" s="17"/>
      <c r="N520" s="35"/>
      <c r="R520" s="17"/>
    </row>
    <row r="521" spans="13:18" ht="12.75">
      <c r="M521" s="17"/>
      <c r="N521" s="35"/>
      <c r="R521" s="17"/>
    </row>
    <row r="522" spans="13:18" ht="12.75">
      <c r="M522" s="17"/>
      <c r="N522" s="35"/>
      <c r="R522" s="17"/>
    </row>
    <row r="523" spans="13:18" ht="12.75">
      <c r="M523" s="17"/>
      <c r="N523" s="35"/>
      <c r="R523" s="17"/>
    </row>
    <row r="524" spans="13:18" ht="12.75">
      <c r="M524" s="17"/>
      <c r="N524" s="35"/>
      <c r="R524" s="17"/>
    </row>
    <row r="525" spans="13:18" ht="12.75">
      <c r="M525" s="17"/>
      <c r="N525" s="35"/>
      <c r="R525" s="17"/>
    </row>
    <row r="526" spans="13:18" ht="12.75">
      <c r="M526" s="17"/>
      <c r="N526" s="35"/>
      <c r="R526" s="17"/>
    </row>
    <row r="527" spans="13:18" ht="12.75">
      <c r="M527" s="17"/>
      <c r="N527" s="35"/>
      <c r="R527" s="17"/>
    </row>
    <row r="528" spans="13:18" ht="12.75">
      <c r="M528" s="17"/>
      <c r="N528" s="35"/>
      <c r="R528" s="17"/>
    </row>
    <row r="529" spans="13:18" ht="12.75">
      <c r="M529" s="17"/>
      <c r="N529" s="35"/>
      <c r="R529" s="17"/>
    </row>
    <row r="530" spans="13:18" ht="12.75">
      <c r="M530" s="17"/>
      <c r="N530" s="35"/>
      <c r="R530" s="17"/>
    </row>
    <row r="531" spans="13:18" ht="12.75">
      <c r="M531" s="17"/>
      <c r="N531" s="35"/>
      <c r="R531" s="17"/>
    </row>
    <row r="532" spans="13:18" ht="12.75">
      <c r="M532" s="17"/>
      <c r="N532" s="35"/>
      <c r="R532" s="17"/>
    </row>
    <row r="533" spans="13:18" ht="12.75">
      <c r="M533" s="17"/>
      <c r="N533" s="35"/>
      <c r="R533" s="17"/>
    </row>
    <row r="534" spans="13:18" ht="12.75">
      <c r="M534" s="17"/>
      <c r="N534" s="35"/>
      <c r="R534" s="17"/>
    </row>
    <row r="535" spans="13:18" ht="12.75">
      <c r="M535" s="17"/>
      <c r="N535" s="35"/>
      <c r="R535" s="17"/>
    </row>
    <row r="536" spans="13:18" ht="12.75">
      <c r="M536" s="17"/>
      <c r="N536" s="35"/>
      <c r="R536" s="17"/>
    </row>
    <row r="537" spans="13:18" ht="12.75">
      <c r="M537" s="17"/>
      <c r="N537" s="35"/>
      <c r="R537" s="17"/>
    </row>
    <row r="538" spans="13:18" ht="12.75">
      <c r="M538" s="17"/>
      <c r="N538" s="35"/>
      <c r="R538" s="17"/>
    </row>
    <row r="539" spans="13:18" ht="12.75">
      <c r="M539" s="17"/>
      <c r="N539" s="35"/>
      <c r="R539" s="17"/>
    </row>
    <row r="540" spans="13:18" ht="12.75">
      <c r="M540" s="17"/>
      <c r="N540" s="35"/>
      <c r="R540" s="17"/>
    </row>
    <row r="541" spans="13:18" ht="12.75">
      <c r="M541" s="17"/>
      <c r="N541" s="35"/>
      <c r="R541" s="17"/>
    </row>
    <row r="542" spans="13:18" ht="12.75">
      <c r="M542" s="17"/>
      <c r="N542" s="35"/>
      <c r="R542" s="17"/>
    </row>
    <row r="543" spans="13:18" ht="12.75">
      <c r="M543" s="17"/>
      <c r="N543" s="35"/>
      <c r="R543" s="17"/>
    </row>
    <row r="544" spans="13:18" ht="12.75">
      <c r="M544" s="17"/>
      <c r="N544" s="35"/>
      <c r="R544" s="17"/>
    </row>
    <row r="545" spans="13:18" ht="12.75">
      <c r="M545" s="17"/>
      <c r="N545" s="35"/>
      <c r="R545" s="17"/>
    </row>
    <row r="546" spans="13:18" ht="12.75">
      <c r="M546" s="17"/>
      <c r="N546" s="35"/>
      <c r="R546" s="17"/>
    </row>
    <row r="547" spans="13:18" ht="12.75">
      <c r="M547" s="17"/>
      <c r="N547" s="35"/>
      <c r="R547" s="17"/>
    </row>
    <row r="548" spans="13:18" ht="12.75">
      <c r="M548" s="17"/>
      <c r="N548" s="35"/>
      <c r="R548" s="17"/>
    </row>
    <row r="549" spans="13:18" ht="12.75">
      <c r="M549" s="17"/>
      <c r="N549" s="35"/>
      <c r="R549" s="17"/>
    </row>
    <row r="550" spans="13:18" ht="12.75">
      <c r="M550" s="17"/>
      <c r="N550" s="35"/>
      <c r="R550" s="17"/>
    </row>
    <row r="551" spans="13:18" ht="12.75">
      <c r="M551" s="17"/>
      <c r="N551" s="35"/>
      <c r="R551" s="17"/>
    </row>
    <row r="552" spans="13:18" ht="12.75">
      <c r="M552" s="17"/>
      <c r="N552" s="35"/>
      <c r="R552" s="17"/>
    </row>
    <row r="553" spans="13:18" ht="12.75">
      <c r="M553" s="17"/>
      <c r="N553" s="35"/>
      <c r="R553" s="17"/>
    </row>
    <row r="554" spans="13:18" ht="12.75">
      <c r="M554" s="17"/>
      <c r="N554" s="35"/>
      <c r="R554" s="17"/>
    </row>
    <row r="555" spans="13:18" ht="12.75">
      <c r="M555" s="17"/>
      <c r="N555" s="35"/>
      <c r="R555" s="17"/>
    </row>
    <row r="556" spans="13:18" ht="12.75">
      <c r="M556" s="17"/>
      <c r="N556" s="35"/>
      <c r="R556" s="17"/>
    </row>
    <row r="557" spans="13:18" ht="12.75">
      <c r="M557" s="17"/>
      <c r="N557" s="35"/>
      <c r="R557" s="17"/>
    </row>
    <row r="558" spans="13:18" ht="12.75">
      <c r="M558" s="17"/>
      <c r="N558" s="35"/>
      <c r="R558" s="17"/>
    </row>
    <row r="559" spans="13:18" ht="12.75">
      <c r="M559" s="17"/>
      <c r="N559" s="35"/>
      <c r="R559" s="17"/>
    </row>
    <row r="560" spans="13:18" ht="12.75">
      <c r="M560" s="17"/>
      <c r="N560" s="35"/>
      <c r="R560" s="17"/>
    </row>
    <row r="561" spans="13:18" ht="12.75">
      <c r="M561" s="17"/>
      <c r="N561" s="35"/>
      <c r="R561" s="17"/>
    </row>
    <row r="562" spans="13:18" ht="12.75">
      <c r="M562" s="17"/>
      <c r="N562" s="35"/>
      <c r="R562" s="17"/>
    </row>
    <row r="563" spans="13:18" ht="12.75">
      <c r="M563" s="17"/>
      <c r="N563" s="35"/>
      <c r="R563" s="17"/>
    </row>
    <row r="564" spans="13:18" ht="12.75">
      <c r="M564" s="17"/>
      <c r="N564" s="35"/>
      <c r="R564" s="17"/>
    </row>
    <row r="565" spans="13:18" ht="12.75">
      <c r="M565" s="17"/>
      <c r="N565" s="35"/>
      <c r="R565" s="17"/>
    </row>
    <row r="566" spans="13:18" ht="12.75">
      <c r="M566" s="17"/>
      <c r="N566" s="35"/>
      <c r="R566" s="17"/>
    </row>
    <row r="567" spans="13:18" ht="12.75">
      <c r="M567" s="17"/>
      <c r="N567" s="35"/>
      <c r="R567" s="17"/>
    </row>
    <row r="568" spans="13:18" ht="12.75">
      <c r="M568" s="17"/>
      <c r="N568" s="35"/>
      <c r="R568" s="17"/>
    </row>
    <row r="569" spans="13:18" ht="12.75">
      <c r="M569" s="17"/>
      <c r="N569" s="35"/>
      <c r="R569" s="17"/>
    </row>
    <row r="570" spans="13:18" ht="12.75">
      <c r="M570" s="17"/>
      <c r="N570" s="35"/>
      <c r="R570" s="17"/>
    </row>
    <row r="571" spans="13:18" ht="12.75">
      <c r="M571" s="17"/>
      <c r="N571" s="35"/>
      <c r="R571" s="17"/>
    </row>
    <row r="572" spans="13:18" ht="12.75">
      <c r="M572" s="17"/>
      <c r="N572" s="35"/>
      <c r="R572" s="17"/>
    </row>
    <row r="573" spans="13:18" ht="12.75">
      <c r="M573" s="17"/>
      <c r="N573" s="35"/>
      <c r="R573" s="17"/>
    </row>
    <row r="574" spans="13:18" ht="12.75">
      <c r="M574" s="17"/>
      <c r="N574" s="35"/>
      <c r="R574" s="17"/>
    </row>
    <row r="575" spans="13:18" ht="12.75">
      <c r="M575" s="17"/>
      <c r="N575" s="35"/>
      <c r="R575" s="17"/>
    </row>
    <row r="576" spans="13:18" ht="12.75">
      <c r="M576" s="17"/>
      <c r="N576" s="35"/>
      <c r="R576" s="17"/>
    </row>
    <row r="577" spans="13:18" ht="12.75">
      <c r="M577" s="17"/>
      <c r="N577" s="35"/>
      <c r="R577" s="17"/>
    </row>
    <row r="578" spans="13:18" ht="12.75">
      <c r="M578" s="17"/>
      <c r="N578" s="35"/>
      <c r="R578" s="17"/>
    </row>
    <row r="579" spans="13:18" ht="12.75">
      <c r="M579" s="17"/>
      <c r="N579" s="35"/>
      <c r="R579" s="17"/>
    </row>
    <row r="580" spans="13:18" ht="12.75">
      <c r="M580" s="17"/>
      <c r="N580" s="35"/>
      <c r="R580" s="17"/>
    </row>
    <row r="581" spans="13:18" ht="12.75">
      <c r="M581" s="17"/>
      <c r="N581" s="35"/>
      <c r="R581" s="17"/>
    </row>
    <row r="582" spans="13:18" ht="12.75">
      <c r="M582" s="17"/>
      <c r="N582" s="35"/>
      <c r="R582" s="17"/>
    </row>
    <row r="583" spans="13:18" ht="12.75">
      <c r="M583" s="17"/>
      <c r="N583" s="35"/>
      <c r="R583" s="17"/>
    </row>
    <row r="584" spans="13:18" ht="12.75">
      <c r="M584" s="17"/>
      <c r="N584" s="35"/>
      <c r="R584" s="17"/>
    </row>
    <row r="585" spans="13:18" ht="12.75">
      <c r="M585" s="17"/>
      <c r="N585" s="35"/>
      <c r="R585" s="17"/>
    </row>
    <row r="586" spans="13:18" ht="12.75">
      <c r="M586" s="17"/>
      <c r="N586" s="35"/>
      <c r="R586" s="17"/>
    </row>
    <row r="587" spans="13:18" ht="12.75">
      <c r="M587" s="17"/>
      <c r="N587" s="35"/>
      <c r="R587" s="17"/>
    </row>
    <row r="588" spans="13:18" ht="12.75">
      <c r="M588" s="17"/>
      <c r="N588" s="35"/>
      <c r="R588" s="17"/>
    </row>
    <row r="589" spans="13:18" ht="12.75">
      <c r="M589" s="17"/>
      <c r="N589" s="35"/>
      <c r="R589" s="17"/>
    </row>
    <row r="590" spans="13:18" ht="12.75">
      <c r="M590" s="17"/>
      <c r="N590" s="35"/>
      <c r="R590" s="17"/>
    </row>
    <row r="591" spans="13:18" ht="12.75">
      <c r="M591" s="17"/>
      <c r="N591" s="35"/>
      <c r="R591" s="17"/>
    </row>
    <row r="592" spans="13:18" ht="12.75">
      <c r="M592" s="17"/>
      <c r="N592" s="35"/>
      <c r="R592" s="17"/>
    </row>
    <row r="593" spans="13:18" ht="12.75">
      <c r="M593" s="17"/>
      <c r="N593" s="35"/>
      <c r="R593" s="17"/>
    </row>
    <row r="594" spans="13:18" ht="12.75">
      <c r="M594" s="17"/>
      <c r="N594" s="35"/>
      <c r="R594" s="17"/>
    </row>
    <row r="595" spans="13:18" ht="12.75">
      <c r="M595" s="17"/>
      <c r="N595" s="35"/>
      <c r="R595" s="17"/>
    </row>
    <row r="596" spans="13:18" ht="12.75">
      <c r="M596" s="17"/>
      <c r="N596" s="35"/>
      <c r="R596" s="17"/>
    </row>
    <row r="597" spans="13:18" ht="12.75">
      <c r="M597" s="17"/>
      <c r="N597" s="35"/>
      <c r="R597" s="17"/>
    </row>
    <row r="598" spans="13:18" ht="12.75">
      <c r="M598" s="17"/>
      <c r="N598" s="35"/>
      <c r="R598" s="17"/>
    </row>
    <row r="599" spans="13:18" ht="12.75">
      <c r="M599" s="17"/>
      <c r="N599" s="35"/>
      <c r="R599" s="17"/>
    </row>
    <row r="600" spans="13:18" ht="12.75">
      <c r="M600" s="17"/>
      <c r="N600" s="35"/>
      <c r="R600" s="17"/>
    </row>
    <row r="601" spans="13:18" ht="12.75">
      <c r="M601" s="17"/>
      <c r="N601" s="35"/>
      <c r="R601" s="17"/>
    </row>
    <row r="602" spans="13:18" ht="12.75">
      <c r="M602" s="17"/>
      <c r="N602" s="35"/>
      <c r="R602" s="17"/>
    </row>
    <row r="603" spans="13:18" ht="12.75">
      <c r="M603" s="17"/>
      <c r="N603" s="35"/>
      <c r="R603" s="17"/>
    </row>
    <row r="604" spans="13:18" ht="12.75">
      <c r="M604" s="17"/>
      <c r="N604" s="35"/>
      <c r="R604" s="17"/>
    </row>
    <row r="605" spans="13:18" ht="12.75">
      <c r="M605" s="17"/>
      <c r="N605" s="35"/>
      <c r="R605" s="17"/>
    </row>
    <row r="606" spans="13:18" ht="12.75">
      <c r="M606" s="17"/>
      <c r="N606" s="35"/>
      <c r="R606" s="17"/>
    </row>
    <row r="607" spans="13:18" ht="12.75">
      <c r="M607" s="17"/>
      <c r="N607" s="35"/>
      <c r="R607" s="17"/>
    </row>
    <row r="608" spans="13:18" ht="12.75">
      <c r="M608" s="17"/>
      <c r="N608" s="35"/>
      <c r="R608" s="17"/>
    </row>
    <row r="609" spans="13:18" ht="12.75">
      <c r="M609" s="17"/>
      <c r="N609" s="35"/>
      <c r="R609" s="17"/>
    </row>
    <row r="610" spans="13:18" ht="12.75">
      <c r="M610" s="17"/>
      <c r="N610" s="35"/>
      <c r="R610" s="17"/>
    </row>
    <row r="611" spans="13:18" ht="12.75">
      <c r="M611" s="17"/>
      <c r="N611" s="35"/>
      <c r="R611" s="17"/>
    </row>
    <row r="612" spans="13:18" ht="12.75">
      <c r="M612" s="17"/>
      <c r="N612" s="35"/>
      <c r="R612" s="17"/>
    </row>
    <row r="613" spans="13:18" ht="12.75">
      <c r="M613" s="17"/>
      <c r="N613" s="35"/>
      <c r="R613" s="17"/>
    </row>
    <row r="614" spans="13:18" ht="12.75">
      <c r="M614" s="17"/>
      <c r="N614" s="35"/>
      <c r="R614" s="17"/>
    </row>
    <row r="615" spans="13:18" ht="12.75">
      <c r="M615" s="17"/>
      <c r="N615" s="35"/>
      <c r="R615" s="17"/>
    </row>
    <row r="616" spans="13:18" ht="12.75">
      <c r="M616" s="17"/>
      <c r="N616" s="35"/>
      <c r="R616" s="17"/>
    </row>
    <row r="617" spans="13:18" ht="12.75">
      <c r="M617" s="17"/>
      <c r="N617" s="35"/>
      <c r="R617" s="17"/>
    </row>
    <row r="618" spans="13:18" ht="12.75">
      <c r="M618" s="17"/>
      <c r="N618" s="35"/>
      <c r="R618" s="17"/>
    </row>
    <row r="619" spans="13:18" ht="12.75">
      <c r="M619" s="17"/>
      <c r="N619" s="35"/>
      <c r="R619" s="17"/>
    </row>
    <row r="620" spans="13:18" ht="12.75">
      <c r="M620" s="17"/>
      <c r="N620" s="35"/>
      <c r="R620" s="17"/>
    </row>
    <row r="621" spans="13:18" ht="12.75">
      <c r="M621" s="17"/>
      <c r="N621" s="35"/>
      <c r="R621" s="17"/>
    </row>
    <row r="622" spans="13:18" ht="12.75">
      <c r="M622" s="17"/>
      <c r="N622" s="35"/>
      <c r="R622" s="17"/>
    </row>
    <row r="623" spans="13:18" ht="12.75">
      <c r="M623" s="17"/>
      <c r="N623" s="35"/>
      <c r="R623" s="17"/>
    </row>
    <row r="624" spans="13:18" ht="12.75">
      <c r="M624" s="17"/>
      <c r="N624" s="35"/>
      <c r="R624" s="17"/>
    </row>
    <row r="625" spans="13:18" ht="12.75">
      <c r="M625" s="17"/>
      <c r="N625" s="35"/>
      <c r="R625" s="17"/>
    </row>
    <row r="626" spans="13:18" ht="12.75">
      <c r="M626" s="17"/>
      <c r="N626" s="35"/>
      <c r="R626" s="17"/>
    </row>
    <row r="627" spans="13:18" ht="12.75">
      <c r="M627" s="17"/>
      <c r="N627" s="35"/>
      <c r="R627" s="17"/>
    </row>
    <row r="628" spans="13:18" ht="12.75">
      <c r="M628" s="17"/>
      <c r="N628" s="35"/>
      <c r="R628" s="17"/>
    </row>
    <row r="629" spans="13:18" ht="12.75">
      <c r="M629" s="17"/>
      <c r="N629" s="35"/>
      <c r="R629" s="17"/>
    </row>
    <row r="630" spans="13:18" ht="12.75">
      <c r="M630" s="17"/>
      <c r="N630" s="35"/>
      <c r="R630" s="17"/>
    </row>
    <row r="631" spans="13:18" ht="12.75">
      <c r="M631" s="17"/>
      <c r="N631" s="35"/>
      <c r="R631" s="17"/>
    </row>
    <row r="632" spans="13:18" ht="12.75">
      <c r="M632" s="17"/>
      <c r="N632" s="35"/>
      <c r="R632" s="17"/>
    </row>
    <row r="633" spans="13:18" ht="12.75">
      <c r="M633" s="17"/>
      <c r="N633" s="35"/>
      <c r="R633" s="17"/>
    </row>
    <row r="634" spans="13:18" ht="12.75">
      <c r="M634" s="17"/>
      <c r="N634" s="35"/>
      <c r="R634" s="17"/>
    </row>
    <row r="635" spans="13:18" ht="12.75">
      <c r="M635" s="17"/>
      <c r="N635" s="35"/>
      <c r="R635" s="17"/>
    </row>
    <row r="636" spans="13:18" ht="12.75">
      <c r="M636" s="17"/>
      <c r="N636" s="35"/>
      <c r="R636" s="17"/>
    </row>
    <row r="637" spans="13:18" ht="12.75">
      <c r="M637" s="17"/>
      <c r="N637" s="35"/>
      <c r="R637" s="17"/>
    </row>
    <row r="638" spans="13:18" ht="12.75">
      <c r="M638" s="17"/>
      <c r="N638" s="35"/>
      <c r="R638" s="17"/>
    </row>
    <row r="639" spans="13:18" ht="12.75">
      <c r="M639" s="17"/>
      <c r="N639" s="35"/>
      <c r="R639" s="17"/>
    </row>
    <row r="640" spans="13:18" ht="12.75">
      <c r="M640" s="17"/>
      <c r="N640" s="35"/>
      <c r="R640" s="17"/>
    </row>
    <row r="641" spans="13:18" ht="12.75">
      <c r="M641" s="17"/>
      <c r="N641" s="35"/>
      <c r="R641" s="17"/>
    </row>
    <row r="642" spans="13:18" ht="12.75">
      <c r="M642" s="17"/>
      <c r="N642" s="35"/>
      <c r="R642" s="17"/>
    </row>
    <row r="643" spans="13:18" ht="12.75">
      <c r="M643" s="17"/>
      <c r="N643" s="35"/>
      <c r="R643" s="17"/>
    </row>
    <row r="644" spans="13:18" ht="12.75">
      <c r="M644" s="17"/>
      <c r="N644" s="35"/>
      <c r="R644" s="17"/>
    </row>
    <row r="645" spans="13:18" ht="12.75">
      <c r="M645" s="17"/>
      <c r="N645" s="35"/>
      <c r="R645" s="17"/>
    </row>
    <row r="646" spans="13:18" ht="12.75">
      <c r="M646" s="17"/>
      <c r="N646" s="35"/>
      <c r="R646" s="17"/>
    </row>
    <row r="647" spans="13:18" ht="12.75">
      <c r="M647" s="17"/>
      <c r="N647" s="35"/>
      <c r="R647" s="17"/>
    </row>
    <row r="648" spans="13:18" ht="12.75">
      <c r="M648" s="17"/>
      <c r="N648" s="35"/>
      <c r="R648" s="17"/>
    </row>
    <row r="649" spans="13:18" ht="12.75">
      <c r="M649" s="17"/>
      <c r="N649" s="35"/>
      <c r="R649" s="17"/>
    </row>
    <row r="650" spans="13:18" ht="12.75">
      <c r="M650" s="17"/>
      <c r="N650" s="35"/>
      <c r="R650" s="17"/>
    </row>
    <row r="651" spans="13:18" ht="12.75">
      <c r="M651" s="17"/>
      <c r="N651" s="35"/>
      <c r="R651" s="17"/>
    </row>
    <row r="652" spans="13:18" ht="12.75">
      <c r="M652" s="17"/>
      <c r="N652" s="35"/>
      <c r="R652" s="17"/>
    </row>
    <row r="653" spans="13:18" ht="12.75">
      <c r="M653" s="17"/>
      <c r="N653" s="35"/>
      <c r="R653" s="17"/>
    </row>
    <row r="654" spans="13:18" ht="12.75">
      <c r="M654" s="17"/>
      <c r="N654" s="35"/>
      <c r="R654" s="17"/>
    </row>
    <row r="655" spans="13:18" ht="12.75">
      <c r="M655" s="17"/>
      <c r="N655" s="35"/>
      <c r="R655" s="17"/>
    </row>
    <row r="656" spans="13:18" ht="12.75">
      <c r="M656" s="17"/>
      <c r="N656" s="35"/>
      <c r="R656" s="17"/>
    </row>
    <row r="657" spans="13:18" ht="12.75">
      <c r="M657" s="17"/>
      <c r="N657" s="35"/>
      <c r="R657" s="17"/>
    </row>
    <row r="658" spans="13:18" ht="12.75">
      <c r="M658" s="17"/>
      <c r="N658" s="35"/>
      <c r="R658" s="17"/>
    </row>
    <row r="659" spans="13:18" ht="12.75">
      <c r="M659" s="17"/>
      <c r="N659" s="35"/>
      <c r="R659" s="17"/>
    </row>
    <row r="660" spans="13:18" ht="12.75">
      <c r="M660" s="17"/>
      <c r="N660" s="35"/>
      <c r="R660" s="17"/>
    </row>
    <row r="661" spans="13:18" ht="12.75">
      <c r="M661" s="17"/>
      <c r="N661" s="35"/>
      <c r="R661" s="17"/>
    </row>
    <row r="662" spans="13:18" ht="12.75">
      <c r="M662" s="17"/>
      <c r="N662" s="35"/>
      <c r="R662" s="17"/>
    </row>
    <row r="663" spans="13:18" ht="12.75">
      <c r="M663" s="17"/>
      <c r="N663" s="35"/>
      <c r="R663" s="17"/>
    </row>
    <row r="664" spans="13:18" ht="12.75">
      <c r="M664" s="17"/>
      <c r="N664" s="35"/>
      <c r="R664" s="17"/>
    </row>
    <row r="665" spans="13:18" ht="12.75">
      <c r="M665" s="17"/>
      <c r="N665" s="35"/>
      <c r="R665" s="17"/>
    </row>
    <row r="666" spans="13:18" ht="12.75">
      <c r="M666" s="17"/>
      <c r="N666" s="35"/>
      <c r="R666" s="17"/>
    </row>
    <row r="667" spans="13:18" ht="12.75">
      <c r="M667" s="17"/>
      <c r="N667" s="35"/>
      <c r="R667" s="17"/>
    </row>
    <row r="668" spans="13:18" ht="12.75">
      <c r="M668" s="17"/>
      <c r="N668" s="35"/>
      <c r="R668" s="17"/>
    </row>
    <row r="669" spans="13:18" ht="12.75">
      <c r="M669" s="17"/>
      <c r="N669" s="35"/>
      <c r="R669" s="17"/>
    </row>
    <row r="670" spans="13:18" ht="12.75">
      <c r="M670" s="17"/>
      <c r="N670" s="35"/>
      <c r="R670" s="17"/>
    </row>
    <row r="671" spans="13:18" ht="12.75">
      <c r="M671" s="17"/>
      <c r="N671" s="35"/>
      <c r="R671" s="17"/>
    </row>
    <row r="672" spans="13:18" ht="12.75">
      <c r="M672" s="17"/>
      <c r="N672" s="35"/>
      <c r="R672" s="17"/>
    </row>
    <row r="673" spans="13:18" ht="12.75">
      <c r="M673" s="17"/>
      <c r="N673" s="35"/>
      <c r="R673" s="17"/>
    </row>
    <row r="674" spans="13:18" ht="12.75">
      <c r="M674" s="17"/>
      <c r="N674" s="35"/>
      <c r="R674" s="17"/>
    </row>
    <row r="675" spans="13:18" ht="12.75">
      <c r="M675" s="17"/>
      <c r="N675" s="35"/>
      <c r="R675" s="17"/>
    </row>
    <row r="676" spans="13:18" ht="12.75">
      <c r="M676" s="17"/>
      <c r="N676" s="35"/>
      <c r="R676" s="17"/>
    </row>
    <row r="677" spans="13:18" ht="12.75">
      <c r="M677" s="17"/>
      <c r="N677" s="35"/>
      <c r="R677" s="17"/>
    </row>
    <row r="678" spans="13:18" ht="12.75">
      <c r="M678" s="17"/>
      <c r="N678" s="35"/>
      <c r="R678" s="17"/>
    </row>
    <row r="679" spans="13:18" ht="12.75">
      <c r="M679" s="17"/>
      <c r="N679" s="35"/>
      <c r="R679" s="17"/>
    </row>
    <row r="680" spans="13:18" ht="12.75">
      <c r="M680" s="17"/>
      <c r="N680" s="35"/>
      <c r="R680" s="17"/>
    </row>
    <row r="681" spans="13:18" ht="12.75">
      <c r="M681" s="17"/>
      <c r="N681" s="35"/>
      <c r="R681" s="17"/>
    </row>
    <row r="682" spans="13:18" ht="12.75">
      <c r="M682" s="17"/>
      <c r="N682" s="35"/>
      <c r="R682" s="17"/>
    </row>
    <row r="683" spans="13:18" ht="12.75">
      <c r="M683" s="17"/>
      <c r="N683" s="35"/>
      <c r="R683" s="17"/>
    </row>
    <row r="684" spans="13:18" ht="12.75">
      <c r="M684" s="17"/>
      <c r="N684" s="35"/>
      <c r="R684" s="17"/>
    </row>
    <row r="685" spans="13:18" ht="12.75">
      <c r="M685" s="17"/>
      <c r="N685" s="35"/>
      <c r="R685" s="17"/>
    </row>
    <row r="686" spans="13:18" ht="12.75">
      <c r="M686" s="17"/>
      <c r="N686" s="35"/>
      <c r="R686" s="17"/>
    </row>
    <row r="687" spans="13:18" ht="12.75">
      <c r="M687" s="17"/>
      <c r="N687" s="35"/>
      <c r="R687" s="17"/>
    </row>
    <row r="688" spans="13:18" ht="12.75">
      <c r="M688" s="17"/>
      <c r="N688" s="35"/>
      <c r="R688" s="17"/>
    </row>
    <row r="689" spans="13:18" ht="12.75">
      <c r="M689" s="17"/>
      <c r="N689" s="35"/>
      <c r="R689" s="17"/>
    </row>
    <row r="690" spans="13:18" ht="12.75">
      <c r="M690" s="17"/>
      <c r="N690" s="35"/>
      <c r="R690" s="17"/>
    </row>
    <row r="691" spans="13:18" ht="12.75">
      <c r="M691" s="17"/>
      <c r="N691" s="35"/>
      <c r="R691" s="17"/>
    </row>
    <row r="692" spans="13:18" ht="12.75">
      <c r="M692" s="17"/>
      <c r="N692" s="35"/>
      <c r="R692" s="17"/>
    </row>
    <row r="693" spans="13:18" ht="12.75">
      <c r="M693" s="17"/>
      <c r="N693" s="35"/>
      <c r="R693" s="17"/>
    </row>
    <row r="694" spans="13:18" ht="12.75">
      <c r="M694" s="17"/>
      <c r="N694" s="35"/>
      <c r="R694" s="17"/>
    </row>
    <row r="695" spans="13:18" ht="12.75">
      <c r="M695" s="17"/>
      <c r="N695" s="35"/>
      <c r="R695" s="17"/>
    </row>
    <row r="696" spans="13:18" ht="12.75">
      <c r="M696" s="17"/>
      <c r="N696" s="35"/>
      <c r="R696" s="17"/>
    </row>
    <row r="697" spans="13:18" ht="12.75">
      <c r="M697" s="17"/>
      <c r="N697" s="35"/>
      <c r="R697" s="17"/>
    </row>
    <row r="698" spans="13:18" ht="12.75">
      <c r="M698" s="17"/>
      <c r="N698" s="35"/>
      <c r="R698" s="17"/>
    </row>
    <row r="699" spans="13:18" ht="12.75">
      <c r="M699" s="17"/>
      <c r="N699" s="35"/>
      <c r="R699" s="17"/>
    </row>
    <row r="700" spans="13:18" ht="12.75">
      <c r="M700" s="17"/>
      <c r="N700" s="35"/>
      <c r="R700" s="17"/>
    </row>
    <row r="701" spans="13:18" ht="12.75">
      <c r="M701" s="17"/>
      <c r="N701" s="35"/>
      <c r="R701" s="17"/>
    </row>
    <row r="702" spans="13:18" ht="12.75">
      <c r="M702" s="17"/>
      <c r="N702" s="35"/>
      <c r="R702" s="17"/>
    </row>
    <row r="703" spans="13:18" ht="12.75">
      <c r="M703" s="17"/>
      <c r="N703" s="35"/>
      <c r="R703" s="17"/>
    </row>
    <row r="704" spans="13:18" ht="12.75">
      <c r="M704" s="17"/>
      <c r="N704" s="35"/>
      <c r="R704" s="17"/>
    </row>
    <row r="705" spans="13:18" ht="12.75">
      <c r="M705" s="17"/>
      <c r="N705" s="35"/>
      <c r="R705" s="17"/>
    </row>
    <row r="706" spans="13:18" ht="12.75">
      <c r="M706" s="17"/>
      <c r="N706" s="35"/>
      <c r="R706" s="17"/>
    </row>
    <row r="707" spans="13:18" ht="12.75">
      <c r="M707" s="17"/>
      <c r="N707" s="35"/>
      <c r="R707" s="17"/>
    </row>
    <row r="708" spans="13:18" ht="12.75">
      <c r="M708" s="17"/>
      <c r="N708" s="35"/>
      <c r="R708" s="17"/>
    </row>
    <row r="709" spans="13:18" ht="12.75">
      <c r="M709" s="17"/>
      <c r="N709" s="35"/>
      <c r="R709" s="17"/>
    </row>
    <row r="710" spans="13:18" ht="12.75">
      <c r="M710" s="17"/>
      <c r="N710" s="35"/>
      <c r="R710" s="17"/>
    </row>
    <row r="711" spans="13:18" ht="12.75">
      <c r="M711" s="17"/>
      <c r="N711" s="35"/>
      <c r="R711" s="17"/>
    </row>
    <row r="712" spans="13:18" ht="12.75">
      <c r="M712" s="17"/>
      <c r="N712" s="35"/>
      <c r="R712" s="17"/>
    </row>
    <row r="713" spans="13:18" ht="12.75">
      <c r="M713" s="17"/>
      <c r="N713" s="35"/>
      <c r="R713" s="17"/>
    </row>
    <row r="714" spans="13:18" ht="12.75">
      <c r="M714" s="17"/>
      <c r="N714" s="35"/>
      <c r="R714" s="17"/>
    </row>
    <row r="715" spans="13:18" ht="12.75">
      <c r="M715" s="17"/>
      <c r="N715" s="35"/>
      <c r="R715" s="17"/>
    </row>
    <row r="716" spans="13:18" ht="12.75">
      <c r="M716" s="17"/>
      <c r="N716" s="35"/>
      <c r="R716" s="17"/>
    </row>
    <row r="717" spans="13:18" ht="12.75">
      <c r="M717" s="17"/>
      <c r="N717" s="35"/>
      <c r="R717" s="17"/>
    </row>
    <row r="718" spans="13:18" ht="12.75">
      <c r="M718" s="17"/>
      <c r="N718" s="35"/>
      <c r="R718" s="17"/>
    </row>
    <row r="719" spans="13:18" ht="12.75">
      <c r="M719" s="17"/>
      <c r="N719" s="35"/>
      <c r="R719" s="17"/>
    </row>
    <row r="720" spans="13:18" ht="12.75">
      <c r="M720" s="17"/>
      <c r="N720" s="35"/>
      <c r="R720" s="17"/>
    </row>
    <row r="721" spans="13:18" ht="12.75">
      <c r="M721" s="17"/>
      <c r="N721" s="35"/>
      <c r="R721" s="17"/>
    </row>
    <row r="722" spans="13:18" ht="12.75">
      <c r="M722" s="17"/>
      <c r="N722" s="35"/>
      <c r="R722" s="17"/>
    </row>
    <row r="723" spans="13:18" ht="12.75">
      <c r="M723" s="17"/>
      <c r="N723" s="35"/>
      <c r="R723" s="17"/>
    </row>
    <row r="724" spans="13:18" ht="12.75">
      <c r="M724" s="17"/>
      <c r="N724" s="35"/>
      <c r="R724" s="17"/>
    </row>
    <row r="725" spans="13:18" ht="12.75">
      <c r="M725" s="17"/>
      <c r="N725" s="35"/>
      <c r="R725" s="17"/>
    </row>
    <row r="726" spans="13:18" ht="12.75">
      <c r="M726" s="17"/>
      <c r="N726" s="35"/>
      <c r="R726" s="17"/>
    </row>
    <row r="727" spans="13:18" ht="12.75">
      <c r="M727" s="17"/>
      <c r="N727" s="35"/>
      <c r="R727" s="17"/>
    </row>
    <row r="728" spans="13:18" ht="12.75">
      <c r="M728" s="17"/>
      <c r="N728" s="35"/>
      <c r="R728" s="17"/>
    </row>
    <row r="729" spans="13:18" ht="12.75">
      <c r="M729" s="17"/>
      <c r="N729" s="35"/>
      <c r="R729" s="17"/>
    </row>
    <row r="730" spans="13:18" ht="12.75">
      <c r="M730" s="17"/>
      <c r="N730" s="35"/>
      <c r="R730" s="17"/>
    </row>
    <row r="731" spans="13:18" ht="12.75">
      <c r="M731" s="17"/>
      <c r="N731" s="35"/>
      <c r="R731" s="17"/>
    </row>
    <row r="732" spans="13:18" ht="12.75">
      <c r="M732" s="17"/>
      <c r="N732" s="35"/>
      <c r="R732" s="17"/>
    </row>
    <row r="733" spans="13:18" ht="12.75">
      <c r="M733" s="17"/>
      <c r="N733" s="35"/>
      <c r="R733" s="17"/>
    </row>
    <row r="734" spans="13:18" ht="12.75">
      <c r="M734" s="17"/>
      <c r="N734" s="35"/>
      <c r="R734" s="17"/>
    </row>
    <row r="735" spans="13:18" ht="12.75">
      <c r="M735" s="17"/>
      <c r="N735" s="35"/>
      <c r="R735" s="17"/>
    </row>
    <row r="736" spans="13:18" ht="12.75">
      <c r="M736" s="17"/>
      <c r="N736" s="35"/>
      <c r="R736" s="17"/>
    </row>
    <row r="737" spans="13:18" ht="12.75">
      <c r="M737" s="17"/>
      <c r="N737" s="35"/>
      <c r="R737" s="17"/>
    </row>
    <row r="738" spans="13:18" ht="12.75">
      <c r="M738" s="17"/>
      <c r="N738" s="35"/>
      <c r="R738" s="17"/>
    </row>
    <row r="739" spans="13:18" ht="12.75">
      <c r="M739" s="17"/>
      <c r="N739" s="35"/>
      <c r="R739" s="17"/>
    </row>
    <row r="740" spans="13:18" ht="12.75">
      <c r="M740" s="17"/>
      <c r="N740" s="35"/>
      <c r="R740" s="17"/>
    </row>
    <row r="741" spans="13:18" ht="12.75">
      <c r="M741" s="17"/>
      <c r="N741" s="35"/>
      <c r="R741" s="17"/>
    </row>
    <row r="742" spans="13:18" ht="12.75">
      <c r="M742" s="17"/>
      <c r="N742" s="35"/>
      <c r="R742" s="17"/>
    </row>
    <row r="743" spans="13:18" ht="12.75">
      <c r="M743" s="17"/>
      <c r="N743" s="35"/>
      <c r="R743" s="17"/>
    </row>
    <row r="744" spans="13:18" ht="12.75">
      <c r="M744" s="17"/>
      <c r="N744" s="35"/>
      <c r="R744" s="17"/>
    </row>
    <row r="745" spans="13:18" ht="12.75">
      <c r="M745" s="17"/>
      <c r="N745" s="35"/>
      <c r="R745" s="17"/>
    </row>
    <row r="746" spans="13:18" ht="12.75">
      <c r="M746" s="17"/>
      <c r="N746" s="35"/>
      <c r="R746" s="17"/>
    </row>
    <row r="747" spans="13:18" ht="12.75">
      <c r="M747" s="17"/>
      <c r="N747" s="35"/>
      <c r="R747" s="17"/>
    </row>
    <row r="748" spans="13:18" ht="12.75">
      <c r="M748" s="17"/>
      <c r="N748" s="35"/>
      <c r="R748" s="17"/>
    </row>
    <row r="749" spans="13:18" ht="12.75">
      <c r="M749" s="17"/>
      <c r="N749" s="35"/>
      <c r="R749" s="17"/>
    </row>
    <row r="750" spans="13:18" ht="12.75">
      <c r="M750" s="17"/>
      <c r="N750" s="35"/>
      <c r="R750" s="17"/>
    </row>
    <row r="751" spans="13:18" ht="12.75">
      <c r="M751" s="17"/>
      <c r="N751" s="35"/>
      <c r="R751" s="17"/>
    </row>
    <row r="752" spans="13:18" ht="12.75">
      <c r="M752" s="17"/>
      <c r="N752" s="35"/>
      <c r="R752" s="17"/>
    </row>
    <row r="753" spans="13:18" ht="12.75">
      <c r="M753" s="17"/>
      <c r="N753" s="35"/>
      <c r="R753" s="17"/>
    </row>
    <row r="754" spans="13:18" ht="12.75">
      <c r="M754" s="17"/>
      <c r="N754" s="35"/>
      <c r="R754" s="17"/>
    </row>
    <row r="755" spans="13:18" ht="12.75">
      <c r="M755" s="17"/>
      <c r="N755" s="35"/>
      <c r="R755" s="17"/>
    </row>
    <row r="756" spans="13:18" ht="12.75">
      <c r="M756" s="17"/>
      <c r="N756" s="35"/>
      <c r="R756" s="17"/>
    </row>
    <row r="757" spans="13:18" ht="12.75">
      <c r="M757" s="17"/>
      <c r="N757" s="35"/>
      <c r="R757" s="17"/>
    </row>
    <row r="758" spans="13:18" ht="12.75">
      <c r="M758" s="17"/>
      <c r="N758" s="35"/>
      <c r="R758" s="17"/>
    </row>
    <row r="759" spans="13:18" ht="12.75">
      <c r="M759" s="17"/>
      <c r="N759" s="35"/>
      <c r="R759" s="17"/>
    </row>
    <row r="760" spans="13:18" ht="12.75">
      <c r="M760" s="17"/>
      <c r="N760" s="35"/>
      <c r="R760" s="17"/>
    </row>
    <row r="761" spans="13:18" ht="12.75">
      <c r="M761" s="17"/>
      <c r="N761" s="35"/>
      <c r="R761" s="17"/>
    </row>
    <row r="762" spans="13:18" ht="12.75">
      <c r="M762" s="17"/>
      <c r="N762" s="35"/>
      <c r="R762" s="17"/>
    </row>
    <row r="763" spans="13:18" ht="12.75">
      <c r="M763" s="17"/>
      <c r="N763" s="35"/>
      <c r="R763" s="17"/>
    </row>
    <row r="764" spans="13:18" ht="12.75">
      <c r="M764" s="17"/>
      <c r="N764" s="35"/>
      <c r="R764" s="17"/>
    </row>
    <row r="765" spans="13:18" ht="12.75">
      <c r="M765" s="17"/>
      <c r="N765" s="35"/>
      <c r="R765" s="17"/>
    </row>
    <row r="766" spans="13:18" ht="12.75">
      <c r="M766" s="17"/>
      <c r="N766" s="35"/>
      <c r="R766" s="17"/>
    </row>
    <row r="767" spans="13:18" ht="12.75">
      <c r="M767" s="17"/>
      <c r="N767" s="35"/>
      <c r="R767" s="17"/>
    </row>
    <row r="768" spans="13:18" ht="12.75">
      <c r="M768" s="17"/>
      <c r="N768" s="35"/>
      <c r="R768" s="17"/>
    </row>
    <row r="769" spans="13:18" ht="12.75">
      <c r="M769" s="17"/>
      <c r="N769" s="35"/>
      <c r="R769" s="17"/>
    </row>
    <row r="770" spans="13:18" ht="12.75">
      <c r="M770" s="17"/>
      <c r="N770" s="35"/>
      <c r="R770" s="17"/>
    </row>
    <row r="771" spans="13:18" ht="12.75">
      <c r="M771" s="17"/>
      <c r="N771" s="35"/>
      <c r="R771" s="17"/>
    </row>
    <row r="772" spans="13:18" ht="12.75">
      <c r="M772" s="17"/>
      <c r="N772" s="35"/>
      <c r="R772" s="17"/>
    </row>
    <row r="773" spans="13:18" ht="12.75">
      <c r="M773" s="17"/>
      <c r="N773" s="35"/>
      <c r="R773" s="17"/>
    </row>
    <row r="774" spans="13:18" ht="12.75">
      <c r="M774" s="17"/>
      <c r="N774" s="35"/>
      <c r="R774" s="17"/>
    </row>
    <row r="775" spans="13:18" ht="12.75">
      <c r="M775" s="17"/>
      <c r="N775" s="35"/>
      <c r="R775" s="17"/>
    </row>
    <row r="776" spans="13:18" ht="12.75">
      <c r="M776" s="17"/>
      <c r="N776" s="35"/>
      <c r="R776" s="17"/>
    </row>
    <row r="777" spans="13:18" ht="12.75">
      <c r="M777" s="17"/>
      <c r="N777" s="35"/>
      <c r="R777" s="17"/>
    </row>
    <row r="778" spans="13:18" ht="12.75">
      <c r="M778" s="17"/>
      <c r="N778" s="35"/>
      <c r="R778" s="17"/>
    </row>
    <row r="779" spans="13:18" ht="12.75">
      <c r="M779" s="17"/>
      <c r="N779" s="35"/>
      <c r="R779" s="17"/>
    </row>
    <row r="780" spans="13:18" ht="12.75">
      <c r="M780" s="17"/>
      <c r="N780" s="35"/>
      <c r="R780" s="17"/>
    </row>
    <row r="781" spans="13:18" ht="12.75">
      <c r="M781" s="17"/>
      <c r="N781" s="35"/>
      <c r="R781" s="17"/>
    </row>
    <row r="782" spans="13:18" ht="12.75">
      <c r="M782" s="17"/>
      <c r="N782" s="35"/>
      <c r="R782" s="17"/>
    </row>
    <row r="783" spans="13:18" ht="12.75">
      <c r="M783" s="17"/>
      <c r="N783" s="35"/>
      <c r="R783" s="17"/>
    </row>
    <row r="784" spans="13:18" ht="12.75">
      <c r="M784" s="17"/>
      <c r="N784" s="35"/>
      <c r="R784" s="17"/>
    </row>
    <row r="785" spans="13:18" ht="12.75">
      <c r="M785" s="17"/>
      <c r="N785" s="35"/>
      <c r="R785" s="17"/>
    </row>
    <row r="786" spans="13:18" ht="12.75">
      <c r="M786" s="17"/>
      <c r="N786" s="35"/>
      <c r="R786" s="17"/>
    </row>
    <row r="787" spans="13:18" ht="12.75">
      <c r="M787" s="17"/>
      <c r="N787" s="35"/>
      <c r="R787" s="17"/>
    </row>
    <row r="788" spans="13:18" ht="12.75">
      <c r="M788" s="17"/>
      <c r="N788" s="35"/>
      <c r="R788" s="17"/>
    </row>
    <row r="789" spans="13:18" ht="12.75">
      <c r="M789" s="17"/>
      <c r="N789" s="35"/>
      <c r="R789" s="17"/>
    </row>
    <row r="790" spans="13:18" ht="12.75">
      <c r="M790" s="17"/>
      <c r="N790" s="35"/>
      <c r="R790" s="17"/>
    </row>
    <row r="791" spans="13:18" ht="12.75">
      <c r="M791" s="17"/>
      <c r="N791" s="35"/>
      <c r="R791" s="17"/>
    </row>
    <row r="792" spans="13:18" ht="12.75">
      <c r="M792" s="17"/>
      <c r="N792" s="35"/>
      <c r="R792" s="17"/>
    </row>
    <row r="793" spans="13:18" ht="12.75">
      <c r="M793" s="17"/>
      <c r="N793" s="35"/>
      <c r="R793" s="17"/>
    </row>
    <row r="794" spans="13:18" ht="12.75">
      <c r="M794" s="17"/>
      <c r="N794" s="35"/>
      <c r="R794" s="17"/>
    </row>
    <row r="795" spans="13:18" ht="12.75">
      <c r="M795" s="17"/>
      <c r="N795" s="35"/>
      <c r="R795" s="17"/>
    </row>
    <row r="796" spans="13:18" ht="12.75">
      <c r="M796" s="17"/>
      <c r="N796" s="35"/>
      <c r="R796" s="17"/>
    </row>
    <row r="797" spans="13:18" ht="12.75">
      <c r="M797" s="17"/>
      <c r="N797" s="35"/>
      <c r="R797" s="17"/>
    </row>
    <row r="798" spans="13:18" ht="12.75">
      <c r="M798" s="17"/>
      <c r="N798" s="35"/>
      <c r="R798" s="17"/>
    </row>
    <row r="799" spans="13:18" ht="12.75">
      <c r="M799" s="17"/>
      <c r="N799" s="35"/>
      <c r="R799" s="17"/>
    </row>
    <row r="800" spans="13:18" ht="12.75">
      <c r="M800" s="17"/>
      <c r="N800" s="35"/>
      <c r="R800" s="17"/>
    </row>
    <row r="801" spans="13:18" ht="12.75">
      <c r="M801" s="17"/>
      <c r="N801" s="35"/>
      <c r="R801" s="17"/>
    </row>
    <row r="802" spans="13:18" ht="12.75">
      <c r="M802" s="17"/>
      <c r="N802" s="35"/>
      <c r="R802" s="17"/>
    </row>
    <row r="803" spans="13:18" ht="12.75">
      <c r="M803" s="17"/>
      <c r="N803" s="35"/>
      <c r="R803" s="17"/>
    </row>
    <row r="804" spans="13:18" ht="12.75">
      <c r="M804" s="17"/>
      <c r="N804" s="35"/>
      <c r="R804" s="17"/>
    </row>
    <row r="805" spans="13:18" ht="12.75">
      <c r="M805" s="17"/>
      <c r="N805" s="35"/>
      <c r="R805" s="17"/>
    </row>
    <row r="806" spans="13:18" ht="12.75">
      <c r="M806" s="17"/>
      <c r="N806" s="35"/>
      <c r="R806" s="17"/>
    </row>
    <row r="807" spans="13:18" ht="12.75">
      <c r="M807" s="17"/>
      <c r="N807" s="35"/>
      <c r="R807" s="17"/>
    </row>
    <row r="808" spans="13:18" ht="12.75">
      <c r="M808" s="17"/>
      <c r="N808" s="35"/>
      <c r="R808" s="17"/>
    </row>
    <row r="809" spans="13:18" ht="12.75">
      <c r="M809" s="17"/>
      <c r="N809" s="35"/>
      <c r="R809" s="17"/>
    </row>
    <row r="810" spans="13:18" ht="12.75">
      <c r="M810" s="17"/>
      <c r="N810" s="35"/>
      <c r="R810" s="17"/>
    </row>
    <row r="811" spans="13:18" ht="12.75">
      <c r="M811" s="17"/>
      <c r="N811" s="35"/>
      <c r="R811" s="17"/>
    </row>
    <row r="812" spans="13:18" ht="12.75">
      <c r="M812" s="17"/>
      <c r="N812" s="35"/>
      <c r="R812" s="17"/>
    </row>
    <row r="813" spans="13:18" ht="12.75">
      <c r="M813" s="17"/>
      <c r="N813" s="35"/>
      <c r="R813" s="17"/>
    </row>
    <row r="814" spans="13:18" ht="12.75">
      <c r="M814" s="17"/>
      <c r="N814" s="35"/>
      <c r="R814" s="17"/>
    </row>
    <row r="815" spans="13:18" ht="12.75">
      <c r="M815" s="17"/>
      <c r="N815" s="35"/>
      <c r="R815" s="17"/>
    </row>
    <row r="816" spans="13:18" ht="12.75">
      <c r="M816" s="17"/>
      <c r="N816" s="35"/>
      <c r="R816" s="17"/>
    </row>
    <row r="817" spans="13:18" ht="12.75">
      <c r="M817" s="17"/>
      <c r="N817" s="35"/>
      <c r="R817" s="17"/>
    </row>
    <row r="818" spans="13:18" ht="12.75">
      <c r="M818" s="17"/>
      <c r="N818" s="35"/>
      <c r="R818" s="17"/>
    </row>
    <row r="819" spans="13:18" ht="12.75">
      <c r="M819" s="17"/>
      <c r="N819" s="35"/>
      <c r="R819" s="17"/>
    </row>
    <row r="820" spans="13:18" ht="12.75">
      <c r="M820" s="17"/>
      <c r="N820" s="35"/>
      <c r="R820" s="17"/>
    </row>
    <row r="821" spans="13:18" ht="12.75">
      <c r="M821" s="17"/>
      <c r="N821" s="35"/>
      <c r="R821" s="17"/>
    </row>
    <row r="822" spans="13:18" ht="12.75">
      <c r="M822" s="17"/>
      <c r="N822" s="35"/>
      <c r="R822" s="17"/>
    </row>
    <row r="823" spans="13:18" ht="12.75">
      <c r="M823" s="17"/>
      <c r="N823" s="35"/>
      <c r="R823" s="17"/>
    </row>
    <row r="824" spans="13:18" ht="12.75">
      <c r="M824" s="17"/>
      <c r="N824" s="35"/>
      <c r="R824" s="17"/>
    </row>
    <row r="825" spans="13:18" ht="12.75">
      <c r="M825" s="17"/>
      <c r="N825" s="35"/>
      <c r="R825" s="17"/>
    </row>
    <row r="826" spans="13:18" ht="12.75">
      <c r="M826" s="17"/>
      <c r="N826" s="35"/>
      <c r="R826" s="17"/>
    </row>
    <row r="827" spans="13:18" ht="12.75">
      <c r="M827" s="17"/>
      <c r="N827" s="35"/>
      <c r="R827" s="17"/>
    </row>
    <row r="828" spans="13:18" ht="12.75">
      <c r="M828" s="17"/>
      <c r="N828" s="35"/>
      <c r="R828" s="17"/>
    </row>
    <row r="829" spans="13:18" ht="12.75">
      <c r="M829" s="17"/>
      <c r="N829" s="35"/>
      <c r="R829" s="17"/>
    </row>
    <row r="830" spans="13:18" ht="12.75">
      <c r="M830" s="17"/>
      <c r="N830" s="35"/>
      <c r="R830" s="17"/>
    </row>
    <row r="831" spans="13:18" ht="12.75">
      <c r="M831" s="17"/>
      <c r="N831" s="35"/>
      <c r="R831" s="17"/>
    </row>
    <row r="832" spans="13:18" ht="12.75">
      <c r="M832" s="17"/>
      <c r="N832" s="35"/>
      <c r="R832" s="17"/>
    </row>
    <row r="833" spans="13:18" ht="12.75">
      <c r="M833" s="17"/>
      <c r="N833" s="35"/>
      <c r="R833" s="17"/>
    </row>
    <row r="834" spans="13:18" ht="12.75">
      <c r="M834" s="17"/>
      <c r="N834" s="35"/>
      <c r="R834" s="17"/>
    </row>
    <row r="835" spans="13:18" ht="12.75">
      <c r="M835" s="17"/>
      <c r="N835" s="35"/>
      <c r="R835" s="17"/>
    </row>
    <row r="836" spans="13:18" ht="12.75">
      <c r="M836" s="17"/>
      <c r="N836" s="35"/>
      <c r="R836" s="17"/>
    </row>
    <row r="837" spans="13:18" ht="12.75">
      <c r="M837" s="17"/>
      <c r="N837" s="35"/>
      <c r="R837" s="17"/>
    </row>
    <row r="838" spans="13:18" ht="12.75">
      <c r="M838" s="17"/>
      <c r="N838" s="35"/>
      <c r="R838" s="17"/>
    </row>
    <row r="839" spans="13:18" ht="12.75">
      <c r="M839" s="17"/>
      <c r="N839" s="35"/>
      <c r="R839" s="17"/>
    </row>
    <row r="840" spans="13:18" ht="12.75">
      <c r="M840" s="17"/>
      <c r="N840" s="35"/>
      <c r="R840" s="17"/>
    </row>
    <row r="841" spans="13:18" ht="12.75">
      <c r="M841" s="17"/>
      <c r="N841" s="35"/>
      <c r="R841" s="17"/>
    </row>
    <row r="842" spans="13:18" ht="12.75">
      <c r="M842" s="17"/>
      <c r="N842" s="35"/>
      <c r="R842" s="17"/>
    </row>
    <row r="843" spans="13:18" ht="12.75">
      <c r="M843" s="17"/>
      <c r="N843" s="35"/>
      <c r="R843" s="17"/>
    </row>
    <row r="844" spans="13:18" ht="12.75">
      <c r="M844" s="17"/>
      <c r="N844" s="35"/>
      <c r="R844" s="17"/>
    </row>
    <row r="845" spans="13:18" ht="12.75">
      <c r="M845" s="17"/>
      <c r="N845" s="35"/>
      <c r="R845" s="17"/>
    </row>
    <row r="846" spans="13:18" ht="12.75">
      <c r="M846" s="17"/>
      <c r="N846" s="35"/>
      <c r="R846" s="17"/>
    </row>
    <row r="847" spans="13:18" ht="12.75">
      <c r="M847" s="17"/>
      <c r="N847" s="35"/>
      <c r="R847" s="17"/>
    </row>
    <row r="848" spans="13:18" ht="12.75">
      <c r="M848" s="17"/>
      <c r="N848" s="35"/>
      <c r="R848" s="17"/>
    </row>
    <row r="849" spans="13:18" ht="12.75">
      <c r="M849" s="17"/>
      <c r="N849" s="35"/>
      <c r="R849" s="17"/>
    </row>
    <row r="850" spans="13:18" ht="12.75">
      <c r="M850" s="17"/>
      <c r="N850" s="35"/>
      <c r="R850" s="17"/>
    </row>
    <row r="851" spans="13:18" ht="12.75">
      <c r="M851" s="17"/>
      <c r="N851" s="35"/>
      <c r="R851" s="17"/>
    </row>
    <row r="852" spans="13:18" ht="12.75">
      <c r="M852" s="17"/>
      <c r="N852" s="35"/>
      <c r="R852" s="17"/>
    </row>
    <row r="853" spans="13:18" ht="12.75">
      <c r="M853" s="17"/>
      <c r="N853" s="35"/>
      <c r="R853" s="17"/>
    </row>
    <row r="854" spans="13:18" ht="12.75">
      <c r="M854" s="17"/>
      <c r="N854" s="35"/>
      <c r="R854" s="17"/>
    </row>
    <row r="855" spans="13:18" ht="12.75">
      <c r="M855" s="17"/>
      <c r="N855" s="35"/>
      <c r="R855" s="17"/>
    </row>
    <row r="856" spans="13:18" ht="12.75">
      <c r="M856" s="17"/>
      <c r="N856" s="35"/>
      <c r="R856" s="17"/>
    </row>
    <row r="857" spans="13:18" ht="12.75">
      <c r="M857" s="17"/>
      <c r="N857" s="35"/>
      <c r="R857" s="17"/>
    </row>
    <row r="858" spans="13:18" ht="12.75">
      <c r="M858" s="17"/>
      <c r="N858" s="35"/>
      <c r="R858" s="17"/>
    </row>
    <row r="859" spans="13:18" ht="12.75">
      <c r="M859" s="17"/>
      <c r="N859" s="35"/>
      <c r="R859" s="17"/>
    </row>
    <row r="860" spans="13:18" ht="12.75">
      <c r="M860" s="17"/>
      <c r="N860" s="35"/>
      <c r="R860" s="17"/>
    </row>
    <row r="861" spans="13:18" ht="12.75">
      <c r="M861" s="17"/>
      <c r="N861" s="35"/>
      <c r="R861" s="17"/>
    </row>
    <row r="862" spans="13:18" ht="12.75">
      <c r="M862" s="17"/>
      <c r="N862" s="35"/>
      <c r="R862" s="17"/>
    </row>
    <row r="863" spans="13:18" ht="12.75">
      <c r="M863" s="17"/>
      <c r="N863" s="35"/>
      <c r="R863" s="17"/>
    </row>
    <row r="864" spans="13:18" ht="12.75">
      <c r="M864" s="17"/>
      <c r="N864" s="35"/>
      <c r="R864" s="17"/>
    </row>
    <row r="865" spans="13:18" ht="12.75">
      <c r="M865" s="17"/>
      <c r="N865" s="35"/>
      <c r="R865" s="17"/>
    </row>
    <row r="866" spans="13:18" ht="12.75">
      <c r="M866" s="17"/>
      <c r="N866" s="35"/>
      <c r="R866" s="17"/>
    </row>
    <row r="867" spans="13:18" ht="12.75">
      <c r="M867" s="17"/>
      <c r="N867" s="35"/>
      <c r="R867" s="17"/>
    </row>
    <row r="868" spans="13:18" ht="12.75">
      <c r="M868" s="17"/>
      <c r="N868" s="35"/>
      <c r="R868" s="17"/>
    </row>
    <row r="869" spans="13:18" ht="12.75">
      <c r="M869" s="17"/>
      <c r="N869" s="35"/>
      <c r="R869" s="17"/>
    </row>
    <row r="870" spans="13:18" ht="12.75">
      <c r="M870" s="17"/>
      <c r="N870" s="35"/>
      <c r="R870" s="17"/>
    </row>
    <row r="871" spans="13:18" ht="12.75">
      <c r="M871" s="17"/>
      <c r="N871" s="35"/>
      <c r="R871" s="17"/>
    </row>
    <row r="872" spans="13:18" ht="12.75">
      <c r="M872" s="17"/>
      <c r="N872" s="35"/>
      <c r="R872" s="17"/>
    </row>
    <row r="873" spans="13:18" ht="12.75">
      <c r="M873" s="17"/>
      <c r="N873" s="35"/>
      <c r="R873" s="17"/>
    </row>
    <row r="874" spans="13:18" ht="12.75">
      <c r="M874" s="17"/>
      <c r="N874" s="35"/>
      <c r="R874" s="17"/>
    </row>
    <row r="875" spans="13:18" ht="12.75">
      <c r="M875" s="17"/>
      <c r="N875" s="35"/>
      <c r="R875" s="17"/>
    </row>
    <row r="876" spans="13:18" ht="12.75">
      <c r="M876" s="17"/>
      <c r="N876" s="35"/>
      <c r="R876" s="17"/>
    </row>
    <row r="877" spans="13:18" ht="12.75">
      <c r="M877" s="17"/>
      <c r="N877" s="35"/>
      <c r="R877" s="17"/>
    </row>
    <row r="878" spans="13:18" ht="12.75">
      <c r="M878" s="17"/>
      <c r="N878" s="35"/>
      <c r="R878" s="17"/>
    </row>
    <row r="879" spans="13:18" ht="12.75">
      <c r="M879" s="17"/>
      <c r="N879" s="35"/>
      <c r="R879" s="17"/>
    </row>
    <row r="880" spans="13:18" ht="12.75">
      <c r="M880" s="17"/>
      <c r="N880" s="35"/>
      <c r="R880" s="17"/>
    </row>
    <row r="881" spans="13:18" ht="12.75">
      <c r="M881" s="17"/>
      <c r="N881" s="35"/>
      <c r="R881" s="17"/>
    </row>
    <row r="882" spans="13:18" ht="12.75">
      <c r="M882" s="17"/>
      <c r="N882" s="35"/>
      <c r="R882" s="17"/>
    </row>
    <row r="883" spans="13:18" ht="12.75">
      <c r="M883" s="17"/>
      <c r="N883" s="35"/>
      <c r="R883" s="17"/>
    </row>
    <row r="884" spans="13:18" ht="12.75">
      <c r="M884" s="17"/>
      <c r="N884" s="35"/>
      <c r="R884" s="17"/>
    </row>
    <row r="885" spans="13:18" ht="12.75">
      <c r="M885" s="17"/>
      <c r="N885" s="35"/>
      <c r="R885" s="17"/>
    </row>
    <row r="886" spans="13:18" ht="12.75">
      <c r="M886" s="17"/>
      <c r="N886" s="35"/>
      <c r="R886" s="17"/>
    </row>
    <row r="887" spans="13:18" ht="12.75">
      <c r="M887" s="17"/>
      <c r="N887" s="35"/>
      <c r="R887" s="17"/>
    </row>
    <row r="888" spans="13:18" ht="12.75">
      <c r="M888" s="17"/>
      <c r="N888" s="35"/>
      <c r="R888" s="17"/>
    </row>
    <row r="889" spans="13:18" ht="12.75">
      <c r="M889" s="17"/>
      <c r="N889" s="35"/>
      <c r="R889" s="17"/>
    </row>
    <row r="890" spans="13:18" ht="12.75">
      <c r="M890" s="17"/>
      <c r="N890" s="35"/>
      <c r="R890" s="17"/>
    </row>
    <row r="891" spans="13:18" ht="12.75">
      <c r="M891" s="17"/>
      <c r="N891" s="35"/>
      <c r="R891" s="17"/>
    </row>
    <row r="892" spans="13:18" ht="12.75">
      <c r="M892" s="17"/>
      <c r="N892" s="35"/>
      <c r="R892" s="17"/>
    </row>
    <row r="893" spans="13:18" ht="12.75">
      <c r="M893" s="17"/>
      <c r="N893" s="35"/>
      <c r="R893" s="17"/>
    </row>
    <row r="894" spans="13:18" ht="12.75">
      <c r="M894" s="17"/>
      <c r="N894" s="35"/>
      <c r="R894" s="17"/>
    </row>
    <row r="895" spans="13:18" ht="12.75">
      <c r="M895" s="17"/>
      <c r="N895" s="35"/>
      <c r="R895" s="17"/>
    </row>
    <row r="896" spans="13:18" ht="12.75">
      <c r="M896" s="17"/>
      <c r="N896" s="35"/>
      <c r="R896" s="17"/>
    </row>
    <row r="897" spans="13:18" ht="12.75">
      <c r="M897" s="17"/>
      <c r="N897" s="35"/>
      <c r="R897" s="17"/>
    </row>
    <row r="898" spans="13:18" ht="12.75">
      <c r="M898" s="17"/>
      <c r="N898" s="35"/>
      <c r="R898" s="17"/>
    </row>
    <row r="899" spans="13:18" ht="12.75">
      <c r="M899" s="17"/>
      <c r="N899" s="35"/>
      <c r="R899" s="17"/>
    </row>
    <row r="900" spans="13:18" ht="12.75">
      <c r="M900" s="17"/>
      <c r="N900" s="35"/>
      <c r="R900" s="17"/>
    </row>
    <row r="901" spans="13:18" ht="12.75">
      <c r="M901" s="17"/>
      <c r="N901" s="35"/>
      <c r="R901" s="17"/>
    </row>
    <row r="902" spans="13:18" ht="12.75">
      <c r="M902" s="17"/>
      <c r="N902" s="35"/>
      <c r="R902" s="17"/>
    </row>
    <row r="903" spans="13:18" ht="12.75">
      <c r="M903" s="17"/>
      <c r="N903" s="35"/>
      <c r="R903" s="17"/>
    </row>
    <row r="904" spans="13:18" ht="12.75">
      <c r="M904" s="17"/>
      <c r="N904" s="35"/>
      <c r="R904" s="17"/>
    </row>
    <row r="905" spans="13:18" ht="12.75">
      <c r="M905" s="17"/>
      <c r="N905" s="35"/>
      <c r="R905" s="17"/>
    </row>
    <row r="906" spans="13:18" ht="12.75">
      <c r="M906" s="17"/>
      <c r="N906" s="35"/>
      <c r="R906" s="17"/>
    </row>
    <row r="907" spans="13:18" ht="12.75">
      <c r="M907" s="17"/>
      <c r="N907" s="35"/>
      <c r="R907" s="17"/>
    </row>
    <row r="908" spans="13:18" ht="12.75">
      <c r="M908" s="17"/>
      <c r="N908" s="35"/>
      <c r="R908" s="17"/>
    </row>
    <row r="909" spans="13:18" ht="12.75">
      <c r="M909" s="17"/>
      <c r="N909" s="35"/>
      <c r="R909" s="17"/>
    </row>
    <row r="910" spans="13:18" ht="12.75">
      <c r="M910" s="17"/>
      <c r="N910" s="35"/>
      <c r="R910" s="17"/>
    </row>
    <row r="911" spans="13:18" ht="12.75">
      <c r="M911" s="17"/>
      <c r="N911" s="35"/>
      <c r="R911" s="17"/>
    </row>
    <row r="912" spans="13:18" ht="12.75">
      <c r="M912" s="17"/>
      <c r="N912" s="35"/>
      <c r="R912" s="17"/>
    </row>
    <row r="913" spans="13:18" ht="12.75">
      <c r="M913" s="17"/>
      <c r="N913" s="35"/>
      <c r="R913" s="17"/>
    </row>
    <row r="914" spans="13:18" ht="12.75">
      <c r="M914" s="17"/>
      <c r="N914" s="35"/>
      <c r="R914" s="17"/>
    </row>
    <row r="915" spans="13:18" ht="12.75">
      <c r="M915" s="17"/>
      <c r="N915" s="35"/>
      <c r="R915" s="17"/>
    </row>
    <row r="916" spans="13:18" ht="12.75">
      <c r="M916" s="17"/>
      <c r="N916" s="35"/>
      <c r="R916" s="17"/>
    </row>
    <row r="917" spans="13:18" ht="12.75">
      <c r="M917" s="17"/>
      <c r="N917" s="35"/>
      <c r="R917" s="17"/>
    </row>
    <row r="918" spans="13:18" ht="12.75">
      <c r="M918" s="17"/>
      <c r="N918" s="35"/>
      <c r="R918" s="17"/>
    </row>
    <row r="919" spans="13:18" ht="12.75">
      <c r="M919" s="17"/>
      <c r="N919" s="35"/>
      <c r="R919" s="17"/>
    </row>
    <row r="920" spans="13:18" ht="12.75">
      <c r="M920" s="17"/>
      <c r="N920" s="35"/>
      <c r="R920" s="17"/>
    </row>
    <row r="921" spans="13:18" ht="12.75">
      <c r="M921" s="17"/>
      <c r="N921" s="35"/>
      <c r="R921" s="17"/>
    </row>
    <row r="922" spans="13:18" ht="12.75">
      <c r="M922" s="17"/>
      <c r="N922" s="35"/>
      <c r="R922" s="17"/>
    </row>
    <row r="923" spans="13:18" ht="12.75">
      <c r="M923" s="17"/>
      <c r="N923" s="35"/>
      <c r="R923" s="17"/>
    </row>
    <row r="924" spans="13:18" ht="12.75">
      <c r="M924" s="17"/>
      <c r="N924" s="35"/>
      <c r="R924" s="17"/>
    </row>
    <row r="925" spans="13:18" ht="12.75">
      <c r="M925" s="17"/>
      <c r="N925" s="35"/>
      <c r="R925" s="17"/>
    </row>
    <row r="926" spans="13:18" ht="12.75">
      <c r="M926" s="17"/>
      <c r="N926" s="35"/>
      <c r="R926" s="17"/>
    </row>
    <row r="927" spans="13:18" ht="12.75">
      <c r="M927" s="17"/>
      <c r="N927" s="35"/>
      <c r="R927" s="17"/>
    </row>
    <row r="928" spans="13:18" ht="12.75">
      <c r="M928" s="17"/>
      <c r="N928" s="35"/>
      <c r="R928" s="17"/>
    </row>
    <row r="929" spans="13:18" ht="12.75">
      <c r="M929" s="17"/>
      <c r="N929" s="35"/>
      <c r="R929" s="17"/>
    </row>
    <row r="930" spans="13:18" ht="12.75">
      <c r="M930" s="17"/>
      <c r="N930" s="35"/>
      <c r="R930" s="17"/>
    </row>
    <row r="931" spans="13:18" ht="12.75">
      <c r="M931" s="17"/>
      <c r="N931" s="35"/>
      <c r="R931" s="17"/>
    </row>
    <row r="932" spans="13:18" ht="12.75">
      <c r="M932" s="17"/>
      <c r="N932" s="35"/>
      <c r="R932" s="17"/>
    </row>
    <row r="933" spans="13:18" ht="12.75">
      <c r="M933" s="17"/>
      <c r="N933" s="35"/>
      <c r="R933" s="17"/>
    </row>
    <row r="934" spans="13:18" ht="12.75">
      <c r="M934" s="17"/>
      <c r="N934" s="35"/>
      <c r="R934" s="17"/>
    </row>
    <row r="935" spans="13:18" ht="12.75">
      <c r="M935" s="17"/>
      <c r="N935" s="35"/>
      <c r="R935" s="17"/>
    </row>
    <row r="936" spans="13:18" ht="12.75">
      <c r="M936" s="17"/>
      <c r="N936" s="35"/>
      <c r="R936" s="17"/>
    </row>
    <row r="937" spans="13:18" ht="12.75">
      <c r="M937" s="17"/>
      <c r="N937" s="35"/>
      <c r="R937" s="17"/>
    </row>
    <row r="938" spans="13:18" ht="12.75">
      <c r="M938" s="17"/>
      <c r="N938" s="35"/>
      <c r="R938" s="17"/>
    </row>
    <row r="939" spans="13:18" ht="12.75">
      <c r="M939" s="17"/>
      <c r="N939" s="35"/>
      <c r="R939" s="17"/>
    </row>
    <row r="940" spans="13:18" ht="12.75">
      <c r="M940" s="17"/>
      <c r="N940" s="35"/>
      <c r="R940" s="17"/>
    </row>
    <row r="941" spans="13:18" ht="12.75">
      <c r="M941" s="17"/>
      <c r="N941" s="35"/>
      <c r="R941" s="17"/>
    </row>
    <row r="942" spans="13:18" ht="12.75">
      <c r="M942" s="17"/>
      <c r="N942" s="35"/>
      <c r="R942" s="17"/>
    </row>
    <row r="943" spans="13:18" ht="12.75">
      <c r="M943" s="17"/>
      <c r="N943" s="35"/>
      <c r="R943" s="17"/>
    </row>
    <row r="944" spans="13:18" ht="12.75">
      <c r="M944" s="17"/>
      <c r="N944" s="35"/>
      <c r="R944" s="17"/>
    </row>
    <row r="945" spans="13:18" ht="12.75">
      <c r="M945" s="17"/>
      <c r="N945" s="35"/>
      <c r="R945" s="17"/>
    </row>
    <row r="946" spans="13:18" ht="12.75">
      <c r="M946" s="17"/>
      <c r="N946" s="35"/>
      <c r="R946" s="17"/>
    </row>
    <row r="947" spans="13:18" ht="12.75">
      <c r="M947" s="17"/>
      <c r="N947" s="35"/>
      <c r="R947" s="17"/>
    </row>
    <row r="948" spans="13:18" ht="12.75">
      <c r="M948" s="17"/>
      <c r="N948" s="35"/>
      <c r="R948" s="17"/>
    </row>
    <row r="949" spans="13:18" ht="12.75">
      <c r="M949" s="17"/>
      <c r="N949" s="35"/>
      <c r="R949" s="17"/>
    </row>
    <row r="950" spans="13:18" ht="12.75">
      <c r="M950" s="17"/>
      <c r="N950" s="35"/>
      <c r="R950" s="17"/>
    </row>
    <row r="951" spans="13:18" ht="12.75">
      <c r="M951" s="17"/>
      <c r="N951" s="35"/>
      <c r="R951" s="17"/>
    </row>
    <row r="952" spans="13:18" ht="12.75">
      <c r="M952" s="17"/>
      <c r="N952" s="35"/>
      <c r="R952" s="17"/>
    </row>
    <row r="953" spans="13:18" ht="12.75">
      <c r="M953" s="17"/>
      <c r="N953" s="35"/>
      <c r="R953" s="17"/>
    </row>
    <row r="954" spans="13:18" ht="12.75">
      <c r="M954" s="17"/>
      <c r="N954" s="35"/>
      <c r="R954" s="17"/>
    </row>
    <row r="955" spans="13:18" ht="12.75">
      <c r="M955" s="17"/>
      <c r="N955" s="35"/>
      <c r="R955" s="17"/>
    </row>
    <row r="956" spans="13:18" ht="12.75">
      <c r="M956" s="17"/>
      <c r="N956" s="35"/>
      <c r="R956" s="17"/>
    </row>
    <row r="957" spans="13:18" ht="12.75">
      <c r="M957" s="17"/>
      <c r="N957" s="35"/>
      <c r="R957" s="17"/>
    </row>
    <row r="958" spans="13:18" ht="12.75">
      <c r="M958" s="17"/>
      <c r="N958" s="35"/>
      <c r="R958" s="17"/>
    </row>
    <row r="959" spans="13:18" ht="12.75">
      <c r="M959" s="17"/>
      <c r="N959" s="35"/>
      <c r="R959" s="17"/>
    </row>
    <row r="960" spans="13:18" ht="12.75">
      <c r="M960" s="17"/>
      <c r="N960" s="35"/>
      <c r="R960" s="17"/>
    </row>
    <row r="961" spans="13:18" ht="12.75">
      <c r="M961" s="17"/>
      <c r="N961" s="35"/>
      <c r="R961" s="17"/>
    </row>
    <row r="962" spans="13:18" ht="12.75">
      <c r="M962" s="17"/>
      <c r="N962" s="35"/>
      <c r="R962" s="17"/>
    </row>
    <row r="963" spans="13:18" ht="12.75">
      <c r="M963" s="17"/>
      <c r="N963" s="35"/>
      <c r="R963" s="17"/>
    </row>
    <row r="964" spans="13:18" ht="12.75">
      <c r="M964" s="17"/>
      <c r="N964" s="35"/>
      <c r="R964" s="17"/>
    </row>
    <row r="965" spans="13:18" ht="12.75">
      <c r="M965" s="17"/>
      <c r="N965" s="35"/>
      <c r="R965" s="17"/>
    </row>
    <row r="966" spans="13:18" ht="12.75">
      <c r="M966" s="17"/>
      <c r="N966" s="35"/>
      <c r="R966" s="17"/>
    </row>
    <row r="967" spans="13:18" ht="12.75">
      <c r="M967" s="17"/>
      <c r="N967" s="35"/>
      <c r="R967" s="17"/>
    </row>
    <row r="968" spans="13:18" ht="12.75">
      <c r="M968" s="17"/>
      <c r="N968" s="35"/>
      <c r="R968" s="17"/>
    </row>
    <row r="969" spans="13:18" ht="12.75">
      <c r="M969" s="17"/>
      <c r="N969" s="35"/>
      <c r="R969" s="17"/>
    </row>
    <row r="970" spans="13:18" ht="12.75">
      <c r="M970" s="17"/>
      <c r="N970" s="35"/>
      <c r="R970" s="17"/>
    </row>
    <row r="971" spans="13:18" ht="12.75">
      <c r="M971" s="17"/>
      <c r="N971" s="35"/>
      <c r="R971" s="17"/>
    </row>
    <row r="972" spans="13:18" ht="12.75">
      <c r="M972" s="17"/>
      <c r="N972" s="35"/>
      <c r="R972" s="17"/>
    </row>
    <row r="973" spans="13:18" ht="12.75">
      <c r="M973" s="17"/>
      <c r="N973" s="35"/>
      <c r="R973" s="17"/>
    </row>
    <row r="974" spans="13:18" ht="12.75">
      <c r="M974" s="17"/>
      <c r="N974" s="35"/>
      <c r="R974" s="17"/>
    </row>
    <row r="975" spans="13:18" ht="12.75">
      <c r="M975" s="17"/>
      <c r="N975" s="35"/>
      <c r="R975" s="17"/>
    </row>
    <row r="976" spans="13:18" ht="12.75">
      <c r="M976" s="17"/>
      <c r="N976" s="35"/>
      <c r="R976" s="17"/>
    </row>
    <row r="977" spans="13:18" ht="12.75">
      <c r="M977" s="17"/>
      <c r="N977" s="35"/>
      <c r="R977" s="17"/>
    </row>
    <row r="978" spans="13:18" ht="12.75">
      <c r="M978" s="17"/>
      <c r="N978" s="35"/>
      <c r="R978" s="17"/>
    </row>
    <row r="979" spans="13:18" ht="12.75">
      <c r="M979" s="17"/>
      <c r="N979" s="35"/>
      <c r="R979" s="17"/>
    </row>
    <row r="980" spans="13:18" ht="12.75">
      <c r="M980" s="17"/>
      <c r="N980" s="35"/>
      <c r="R980" s="17"/>
    </row>
    <row r="981" spans="13:18" ht="12.75">
      <c r="M981" s="17"/>
      <c r="N981" s="35"/>
      <c r="R981" s="17"/>
    </row>
    <row r="982" spans="13:18" ht="12.75">
      <c r="M982" s="17"/>
      <c r="N982" s="35"/>
      <c r="R982" s="17"/>
    </row>
    <row r="983" spans="13:18" ht="12.75">
      <c r="M983" s="17"/>
      <c r="N983" s="35"/>
      <c r="R983" s="17"/>
    </row>
    <row r="984" spans="13:18" ht="12.75">
      <c r="M984" s="17"/>
      <c r="N984" s="35"/>
      <c r="R984" s="17"/>
    </row>
    <row r="985" spans="13:18" ht="12.75">
      <c r="M985" s="17"/>
      <c r="N985" s="35"/>
      <c r="R985" s="17"/>
    </row>
    <row r="986" spans="13:18" ht="12.75">
      <c r="M986" s="17"/>
      <c r="N986" s="35"/>
      <c r="R986" s="17"/>
    </row>
    <row r="987" spans="13:18" ht="12.75">
      <c r="M987" s="17"/>
      <c r="N987" s="35"/>
      <c r="R987" s="17"/>
    </row>
    <row r="988" spans="13:18" ht="12.75">
      <c r="M988" s="17"/>
      <c r="N988" s="35"/>
      <c r="R988" s="17"/>
    </row>
    <row r="989" spans="13:18" ht="12.75">
      <c r="M989" s="17"/>
      <c r="N989" s="35"/>
      <c r="R989" s="17"/>
    </row>
    <row r="990" spans="13:18" ht="12.75">
      <c r="M990" s="17"/>
      <c r="N990" s="35"/>
      <c r="R990" s="17"/>
    </row>
    <row r="991" spans="13:18" ht="12.75">
      <c r="M991" s="17"/>
      <c r="N991" s="35"/>
      <c r="R991" s="17"/>
    </row>
    <row r="992" spans="13:18" ht="12.75">
      <c r="M992" s="17"/>
      <c r="N992" s="35"/>
      <c r="R992" s="17"/>
    </row>
    <row r="993" spans="13:18" ht="12.75">
      <c r="M993" s="17"/>
      <c r="N993" s="35"/>
      <c r="R993" s="17"/>
    </row>
    <row r="994" spans="13:18" ht="12.75">
      <c r="M994" s="17"/>
      <c r="N994" s="35"/>
      <c r="R994" s="17"/>
    </row>
    <row r="995" spans="13:18" ht="12.75">
      <c r="M995" s="17"/>
      <c r="N995" s="35"/>
      <c r="R995" s="17"/>
    </row>
    <row r="996" spans="13:18" ht="12.75">
      <c r="M996" s="17"/>
      <c r="N996" s="35"/>
      <c r="R996" s="17"/>
    </row>
    <row r="997" spans="13:18" ht="12.75">
      <c r="M997" s="17"/>
      <c r="N997" s="35"/>
      <c r="R997" s="17"/>
    </row>
    <row r="998" spans="13:18" ht="12.75">
      <c r="M998" s="17"/>
      <c r="N998" s="35"/>
      <c r="R998" s="17"/>
    </row>
    <row r="999" spans="13:18" ht="12.75">
      <c r="M999" s="17"/>
      <c r="N999" s="35"/>
      <c r="R999" s="17"/>
    </row>
    <row r="1000" spans="13:18" ht="12.75">
      <c r="M1000" s="17"/>
      <c r="N1000" s="35"/>
      <c r="R1000" s="17"/>
    </row>
    <row r="1001" spans="13:18" ht="12.75">
      <c r="M1001" s="17"/>
      <c r="N1001" s="35"/>
      <c r="R1001" s="17"/>
    </row>
    <row r="1002" spans="13:18" ht="12.75">
      <c r="M1002" s="17"/>
      <c r="N1002" s="35"/>
      <c r="R1002" s="17"/>
    </row>
    <row r="1003" spans="13:18" ht="12.75">
      <c r="M1003" s="17"/>
      <c r="N1003" s="35"/>
      <c r="R1003" s="17"/>
    </row>
    <row r="1004" spans="13:18" ht="12.75">
      <c r="M1004" s="17"/>
      <c r="N1004" s="35"/>
      <c r="R1004" s="17"/>
    </row>
    <row r="1005" spans="13:18" ht="12.75">
      <c r="M1005" s="17"/>
      <c r="N1005" s="35"/>
      <c r="R1005" s="17"/>
    </row>
  </sheetData>
  <autoFilter ref="A1:R116" xr:uid="{00000000-0009-0000-0000-000001000000}"/>
  <customSheetViews>
    <customSheetView guid="{D4D06763-5632-4CAF-A0BD-7BAD6B3784B6}" filter="1" showAutoFilter="1">
      <pageMargins left="0.7" right="0.7" top="0.75" bottom="0.75" header="0.3" footer="0.3"/>
      <autoFilter ref="B1:L117" xr:uid="{00000000-0000-0000-0000-000000000000}"/>
    </customSheetView>
    <customSheetView guid="{F84F801C-695D-48CE-B142-0B7895FE071F}" filter="1" showAutoFilter="1">
      <pageMargins left="0.7" right="0.7" top="0.75" bottom="0.75" header="0.3" footer="0.3"/>
      <autoFilter ref="A1:R116" xr:uid="{00000000-0000-0000-0000-000000000000}"/>
    </customSheetView>
    <customSheetView guid="{B30A5A85-2259-4488-9974-4EF5D1638E28}" filter="1" showAutoFilter="1">
      <pageMargins left="0.7" right="0.7" top="0.75" bottom="0.75" header="0.3" footer="0.3"/>
      <autoFilter ref="A1:R116" xr:uid="{00000000-0000-0000-0000-000000000000}">
        <filterColumn colId="10">
          <filters>
            <filter val="1"/>
          </filters>
        </filterColumn>
      </autoFilter>
    </customSheetView>
  </customSheetViews>
  <conditionalFormatting sqref="L1:M123 L233:M1005">
    <cfRule type="expression" dxfId="47" priority="1">
      <formula>AND(C1="Y",L1="")</formula>
    </cfRule>
  </conditionalFormatting>
  <conditionalFormatting sqref="B2:K234">
    <cfRule type="expression" dxfId="46" priority="2">
      <formula>$C2="N"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3984375" defaultRowHeight="15.75" customHeight="1"/>
  <cols>
    <col min="1" max="1" width="2.73046875" customWidth="1"/>
    <col min="2" max="2" width="30" customWidth="1"/>
    <col min="3" max="3" width="15.265625" customWidth="1"/>
    <col min="4" max="4" width="8.86328125" customWidth="1"/>
    <col min="5" max="5" width="17.265625" customWidth="1"/>
    <col min="6" max="6" width="13.86328125" customWidth="1"/>
    <col min="7" max="7" width="17.265625" customWidth="1"/>
    <col min="8" max="8" width="10.1328125" customWidth="1"/>
    <col min="9" max="9" width="14.1328125" customWidth="1"/>
    <col min="10" max="10" width="11.3984375" customWidth="1"/>
    <col min="11" max="11" width="13" customWidth="1"/>
    <col min="12" max="12" width="13.1328125" customWidth="1"/>
    <col min="18" max="18" width="19" customWidth="1"/>
    <col min="21" max="21" width="18.53125" customWidth="1"/>
  </cols>
  <sheetData>
    <row r="1" spans="1:25" ht="28.5" customHeight="1">
      <c r="B1" s="6" t="s">
        <v>0</v>
      </c>
      <c r="C1" s="7" t="s">
        <v>1</v>
      </c>
      <c r="D1" s="7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25" ht="12.75">
      <c r="A2" s="12">
        <f t="shared" ref="A2:A47" si="0">A1+1</f>
        <v>1</v>
      </c>
      <c r="B2" s="13" t="s">
        <v>104</v>
      </c>
      <c r="C2" s="14" t="str">
        <f t="array" aca="1" ref="C2" ca="1">INDEX('Rooms Master'!U:U,MATCH(B2,'Rooms Master'!D:D,0))</f>
        <v>N</v>
      </c>
      <c r="D2" s="15">
        <v>1</v>
      </c>
      <c r="E2" s="15">
        <v>55</v>
      </c>
      <c r="F2" s="15">
        <v>4</v>
      </c>
      <c r="G2" s="16">
        <v>7</v>
      </c>
      <c r="H2" s="15">
        <v>3</v>
      </c>
      <c r="I2" s="15">
        <v>1</v>
      </c>
      <c r="J2" s="15">
        <v>0</v>
      </c>
      <c r="K2" s="15">
        <v>0</v>
      </c>
      <c r="L2" s="1" t="s">
        <v>20</v>
      </c>
      <c r="M2" s="17" t="str">
        <f t="shared" ref="M2:M3" si="1">IFERROR(F2/#REF!, " ")</f>
        <v xml:space="preserve"> </v>
      </c>
      <c r="N2" s="18" t="str">
        <f t="shared" ref="N2:N3" si="2">IFERROR(H2/#REF!," ")</f>
        <v xml:space="preserve"> </v>
      </c>
      <c r="O2" s="17">
        <f t="shared" ref="O2:O59" si="3">IFERROR(K2/H2, " ")</f>
        <v>0</v>
      </c>
      <c r="P2" s="17">
        <f t="shared" ref="P2:P14" si="4">IFERROR(K2/I2, " ")</f>
        <v>0</v>
      </c>
      <c r="Q2" s="17" t="str">
        <f t="shared" ref="Q2:Q59" si="5">IFERROR(K2/J2, " ")</f>
        <v xml:space="preserve"> </v>
      </c>
      <c r="R2" s="17">
        <f t="shared" ref="R2:R7" si="6">IFERROR(E2/$E$118," ")</f>
        <v>1.7956252040483185E-2</v>
      </c>
    </row>
    <row r="3" spans="1:25" ht="12.75">
      <c r="A3" s="12">
        <f t="shared" si="0"/>
        <v>2</v>
      </c>
      <c r="B3" s="13" t="s">
        <v>54</v>
      </c>
      <c r="C3" s="14" t="str">
        <f t="array" aca="1" ref="C3" ca="1">INDEX('Rooms Master'!U:U,MATCH(B3,'Rooms Master'!D:D,0))</f>
        <v>N</v>
      </c>
      <c r="D3" s="15">
        <v>1</v>
      </c>
      <c r="E3" s="15">
        <v>108</v>
      </c>
      <c r="F3" s="15">
        <v>30</v>
      </c>
      <c r="G3" s="16">
        <v>7</v>
      </c>
      <c r="H3" s="15">
        <v>3</v>
      </c>
      <c r="I3" s="15">
        <v>1</v>
      </c>
      <c r="J3" s="15"/>
      <c r="K3" s="15"/>
      <c r="L3" s="1" t="s">
        <v>20</v>
      </c>
      <c r="M3" s="17" t="str">
        <f t="shared" si="1"/>
        <v xml:space="preserve"> </v>
      </c>
      <c r="N3" s="18" t="str">
        <f t="shared" si="2"/>
        <v xml:space="preserve"> </v>
      </c>
      <c r="O3" s="17">
        <f t="shared" si="3"/>
        <v>0</v>
      </c>
      <c r="P3" s="17">
        <f t="shared" si="4"/>
        <v>0</v>
      </c>
      <c r="Q3" s="17" t="str">
        <f t="shared" si="5"/>
        <v xml:space="preserve"> </v>
      </c>
      <c r="R3" s="17">
        <f t="shared" si="6"/>
        <v>3.5259549461312441E-2</v>
      </c>
    </row>
    <row r="4" spans="1:25" ht="12.75">
      <c r="A4" s="12">
        <f t="shared" si="0"/>
        <v>3</v>
      </c>
      <c r="B4" s="13" t="s">
        <v>92</v>
      </c>
      <c r="C4" s="14" t="str">
        <f t="array" aca="1" ref="C4" ca="1">INDEX('Rooms Master'!U:U,MATCH(B4,'Rooms Master'!D:D,0))</f>
        <v>Y</v>
      </c>
      <c r="D4" s="15">
        <v>1</v>
      </c>
      <c r="E4" s="15">
        <v>86</v>
      </c>
      <c r="F4" s="15">
        <v>15</v>
      </c>
      <c r="G4" s="16">
        <v>8</v>
      </c>
      <c r="H4" s="15">
        <v>2</v>
      </c>
      <c r="I4" s="15"/>
      <c r="J4" s="15">
        <v>1</v>
      </c>
      <c r="K4" s="15">
        <v>1</v>
      </c>
      <c r="L4" s="1" t="s">
        <v>64</v>
      </c>
      <c r="M4" s="17">
        <f t="shared" ref="M4:M7" si="7">IFERROR(F4/E4, " ")</f>
        <v>0.1744186046511628</v>
      </c>
      <c r="N4" s="18">
        <f t="shared" ref="N4:N7" si="8">IFERROR(H4/E4," ")</f>
        <v>2.3255813953488372E-2</v>
      </c>
      <c r="O4" s="17">
        <f t="shared" si="3"/>
        <v>0.5</v>
      </c>
      <c r="P4" s="17" t="str">
        <f t="shared" si="4"/>
        <v xml:space="preserve"> </v>
      </c>
      <c r="Q4" s="17">
        <f t="shared" si="5"/>
        <v>1</v>
      </c>
      <c r="R4" s="17">
        <f t="shared" si="6"/>
        <v>2.8077048645119163E-2</v>
      </c>
    </row>
    <row r="5" spans="1:25" ht="12.75">
      <c r="A5" s="12">
        <f t="shared" si="0"/>
        <v>4</v>
      </c>
      <c r="B5" s="13" t="s">
        <v>26</v>
      </c>
      <c r="C5" s="14" t="str">
        <f t="array" aca="1" ref="C5" ca="1">INDEX('Rooms Master'!U:U,MATCH(B5,'Rooms Master'!D:D,0))</f>
        <v>Y</v>
      </c>
      <c r="D5" s="15">
        <v>2</v>
      </c>
      <c r="E5" s="15">
        <v>88</v>
      </c>
      <c r="F5" s="15">
        <v>6</v>
      </c>
      <c r="G5" s="16">
        <v>5</v>
      </c>
      <c r="H5" s="15">
        <v>0</v>
      </c>
      <c r="I5" s="15"/>
      <c r="J5" s="15"/>
      <c r="K5" s="15">
        <v>0</v>
      </c>
      <c r="L5" s="1" t="s">
        <v>20</v>
      </c>
      <c r="M5" s="17">
        <f t="shared" si="7"/>
        <v>6.8181818181818177E-2</v>
      </c>
      <c r="N5" s="18">
        <f t="shared" si="8"/>
        <v>0</v>
      </c>
      <c r="O5" s="17" t="str">
        <f t="shared" si="3"/>
        <v xml:space="preserve"> </v>
      </c>
      <c r="P5" s="17" t="str">
        <f t="shared" si="4"/>
        <v xml:space="preserve"> </v>
      </c>
      <c r="Q5" s="17" t="str">
        <f t="shared" si="5"/>
        <v xml:space="preserve"> </v>
      </c>
      <c r="R5" s="17">
        <f t="shared" si="6"/>
        <v>2.87300032647731E-2</v>
      </c>
    </row>
    <row r="6" spans="1:25" ht="12.75">
      <c r="A6" s="12">
        <f t="shared" si="0"/>
        <v>5</v>
      </c>
      <c r="B6" s="13" t="s">
        <v>25</v>
      </c>
      <c r="C6" s="14" t="str">
        <f t="array" aca="1" ref="C6" ca="1">INDEX('Rooms Master'!U:U,MATCH(B6,'Rooms Master'!D:D,0))</f>
        <v>Y</v>
      </c>
      <c r="D6" s="15">
        <v>3</v>
      </c>
      <c r="E6" s="15">
        <v>90</v>
      </c>
      <c r="F6" s="15">
        <v>18</v>
      </c>
      <c r="G6" s="16">
        <v>5</v>
      </c>
      <c r="H6" s="15">
        <v>0</v>
      </c>
      <c r="I6" s="15"/>
      <c r="J6" s="15"/>
      <c r="K6" s="15"/>
      <c r="L6" s="1" t="s">
        <v>34</v>
      </c>
      <c r="M6" s="17">
        <f t="shared" si="7"/>
        <v>0.2</v>
      </c>
      <c r="N6" s="18">
        <f t="shared" si="8"/>
        <v>0</v>
      </c>
      <c r="O6" s="17" t="str">
        <f t="shared" si="3"/>
        <v xml:space="preserve"> </v>
      </c>
      <c r="P6" s="17" t="str">
        <f t="shared" si="4"/>
        <v xml:space="preserve"> </v>
      </c>
      <c r="Q6" s="17" t="str">
        <f t="shared" si="5"/>
        <v xml:space="preserve"> </v>
      </c>
      <c r="R6" s="17">
        <f t="shared" si="6"/>
        <v>2.9382957884427033E-2</v>
      </c>
      <c r="U6" s="13"/>
      <c r="V6" s="19"/>
      <c r="W6" s="19"/>
      <c r="X6" s="19"/>
      <c r="Y6" s="20"/>
    </row>
    <row r="7" spans="1:25" ht="12.75">
      <c r="A7" s="12">
        <f t="shared" si="0"/>
        <v>6</v>
      </c>
      <c r="B7" s="13" t="s">
        <v>105</v>
      </c>
      <c r="C7" s="14" t="str">
        <f t="array" aca="1" ref="C7" ca="1">INDEX('Rooms Master'!U:U,MATCH(B7,'Rooms Master'!D:D,0))</f>
        <v>Y</v>
      </c>
      <c r="D7" s="15">
        <v>4</v>
      </c>
      <c r="E7" s="15">
        <v>17</v>
      </c>
      <c r="F7" s="15">
        <v>1</v>
      </c>
      <c r="G7" s="16">
        <v>5</v>
      </c>
      <c r="H7" s="15">
        <v>4</v>
      </c>
      <c r="I7" s="15"/>
      <c r="J7" s="15"/>
      <c r="K7" s="15"/>
      <c r="L7" s="21" t="s">
        <v>20</v>
      </c>
      <c r="M7" s="17">
        <f t="shared" si="7"/>
        <v>5.8823529411764705E-2</v>
      </c>
      <c r="N7" s="18">
        <f t="shared" si="8"/>
        <v>0.23529411764705882</v>
      </c>
      <c r="O7" s="17">
        <f t="shared" si="3"/>
        <v>0</v>
      </c>
      <c r="P7" s="17" t="str">
        <f t="shared" si="4"/>
        <v xml:space="preserve"> </v>
      </c>
      <c r="Q7" s="17" t="str">
        <f t="shared" si="5"/>
        <v xml:space="preserve"> </v>
      </c>
      <c r="R7" s="17">
        <f t="shared" si="6"/>
        <v>5.5501142670584397E-3</v>
      </c>
    </row>
    <row r="8" spans="1:25" ht="12.75">
      <c r="A8" s="12">
        <f t="shared" si="0"/>
        <v>7</v>
      </c>
      <c r="B8" s="13" t="s">
        <v>60</v>
      </c>
      <c r="C8" s="14" t="str">
        <f t="array" aca="1" ref="C8" ca="1">INDEX('Rooms Master'!U:U,MATCH(B8,'Rooms Master'!D:D,0))</f>
        <v>Y</v>
      </c>
      <c r="D8" s="15">
        <v>5</v>
      </c>
      <c r="E8" s="22">
        <v>80</v>
      </c>
      <c r="F8" s="15">
        <v>8</v>
      </c>
      <c r="G8" s="16">
        <v>5</v>
      </c>
      <c r="H8" s="15">
        <v>3</v>
      </c>
      <c r="I8" s="15">
        <v>2</v>
      </c>
      <c r="J8" s="15">
        <v>1</v>
      </c>
      <c r="K8" s="15">
        <v>1</v>
      </c>
      <c r="L8" s="1" t="s">
        <v>20</v>
      </c>
      <c r="M8" s="17">
        <f>IFERROR(F8/E9, " ")</f>
        <v>0.29629629629629628</v>
      </c>
      <c r="N8" s="18">
        <f>IFERROR(H8/E9," ")</f>
        <v>0.1111111111111111</v>
      </c>
      <c r="O8" s="17">
        <f t="shared" si="3"/>
        <v>0.33333333333333331</v>
      </c>
      <c r="P8" s="17">
        <f t="shared" si="4"/>
        <v>0.5</v>
      </c>
      <c r="Q8" s="17">
        <f t="shared" si="5"/>
        <v>1</v>
      </c>
      <c r="R8" s="17">
        <f>IFERROR(E9/$E$118," ")</f>
        <v>8.8148873653281102E-3</v>
      </c>
    </row>
    <row r="9" spans="1:25" ht="12.75">
      <c r="A9" s="12">
        <f t="shared" si="0"/>
        <v>8</v>
      </c>
      <c r="B9" s="13" t="s">
        <v>78</v>
      </c>
      <c r="C9" s="14" t="str">
        <f t="array" aca="1" ref="C9" ca="1">INDEX('Rooms Master'!U:U,MATCH(B9,'Rooms Master'!D:D,0))</f>
        <v>Y</v>
      </c>
      <c r="D9" s="15">
        <v>6</v>
      </c>
      <c r="E9" s="15">
        <v>27</v>
      </c>
      <c r="F9" s="15">
        <v>1</v>
      </c>
      <c r="G9" s="16">
        <v>7</v>
      </c>
      <c r="H9" s="15">
        <v>0</v>
      </c>
      <c r="I9" s="15"/>
      <c r="J9" s="15"/>
      <c r="K9" s="15"/>
      <c r="L9" s="1" t="s">
        <v>20</v>
      </c>
      <c r="M9" s="17">
        <f t="shared" ref="M9:M19" si="9">IFERROR(F9/E9, " ")</f>
        <v>3.7037037037037035E-2</v>
      </c>
      <c r="N9" s="18">
        <f t="shared" ref="N9:N19" si="10">IFERROR(H9/E9," ")</f>
        <v>0</v>
      </c>
      <c r="O9" s="17" t="str">
        <f t="shared" si="3"/>
        <v xml:space="preserve"> </v>
      </c>
      <c r="P9" s="17" t="str">
        <f t="shared" si="4"/>
        <v xml:space="preserve"> </v>
      </c>
      <c r="Q9" s="17" t="str">
        <f t="shared" si="5"/>
        <v xml:space="preserve"> </v>
      </c>
      <c r="R9" s="17">
        <f t="shared" ref="R9:R19" si="11">IFERROR(E9/$E$118," ")</f>
        <v>8.8148873653281102E-3</v>
      </c>
    </row>
    <row r="10" spans="1:25" ht="12.75">
      <c r="A10" s="12">
        <f t="shared" si="0"/>
        <v>9</v>
      </c>
      <c r="B10" s="13" t="s">
        <v>33</v>
      </c>
      <c r="C10" s="14" t="str">
        <f t="array" aca="1" ref="C10" ca="1">INDEX('Rooms Master'!U:U,MATCH(B10,'Rooms Master'!D:D,0))</f>
        <v>Y</v>
      </c>
      <c r="D10" s="15">
        <v>7</v>
      </c>
      <c r="E10" s="15">
        <v>63</v>
      </c>
      <c r="F10" s="15">
        <v>12</v>
      </c>
      <c r="G10" s="16">
        <v>11</v>
      </c>
      <c r="H10" s="15">
        <v>0</v>
      </c>
      <c r="I10" s="15">
        <v>2</v>
      </c>
      <c r="J10" s="15"/>
      <c r="K10" s="15"/>
      <c r="L10" s="1" t="s">
        <v>34</v>
      </c>
      <c r="M10" s="17">
        <f t="shared" si="9"/>
        <v>0.19047619047619047</v>
      </c>
      <c r="N10" s="18">
        <f t="shared" si="10"/>
        <v>0</v>
      </c>
      <c r="O10" s="17" t="str">
        <f t="shared" si="3"/>
        <v xml:space="preserve"> </v>
      </c>
      <c r="P10" s="17">
        <f t="shared" si="4"/>
        <v>0</v>
      </c>
      <c r="Q10" s="17" t="str">
        <f t="shared" si="5"/>
        <v xml:space="preserve"> </v>
      </c>
      <c r="R10" s="17">
        <f t="shared" si="11"/>
        <v>2.0568070519098921E-2</v>
      </c>
    </row>
    <row r="11" spans="1:25" ht="12.75">
      <c r="A11" s="12">
        <f t="shared" si="0"/>
        <v>10</v>
      </c>
      <c r="B11" s="13" t="s">
        <v>86</v>
      </c>
      <c r="C11" s="14" t="str">
        <f t="array" aca="1" ref="C11" ca="1">INDEX('Rooms Master'!U:U,MATCH(B11,'Rooms Master'!D:D,0))</f>
        <v>Y</v>
      </c>
      <c r="D11" s="15">
        <v>8</v>
      </c>
      <c r="E11" s="15">
        <v>61</v>
      </c>
      <c r="F11" s="15">
        <v>12</v>
      </c>
      <c r="G11" s="16">
        <v>9</v>
      </c>
      <c r="H11" s="15">
        <v>0</v>
      </c>
      <c r="I11" s="15"/>
      <c r="J11" s="15">
        <v>1</v>
      </c>
      <c r="K11" s="15">
        <v>1</v>
      </c>
      <c r="L11" s="1" t="s">
        <v>20</v>
      </c>
      <c r="M11" s="17">
        <f t="shared" si="9"/>
        <v>0.19672131147540983</v>
      </c>
      <c r="N11" s="18">
        <f t="shared" si="10"/>
        <v>0</v>
      </c>
      <c r="O11" s="17" t="str">
        <f t="shared" si="3"/>
        <v xml:space="preserve"> </v>
      </c>
      <c r="P11" s="17" t="str">
        <f t="shared" si="4"/>
        <v xml:space="preserve"> </v>
      </c>
      <c r="Q11" s="17">
        <f t="shared" si="5"/>
        <v>1</v>
      </c>
      <c r="R11" s="17">
        <f t="shared" si="11"/>
        <v>1.9915115899444988E-2</v>
      </c>
    </row>
    <row r="12" spans="1:25" ht="12.75">
      <c r="A12" s="12">
        <f t="shared" si="0"/>
        <v>11</v>
      </c>
      <c r="B12" s="13" t="s">
        <v>67</v>
      </c>
      <c r="C12" s="14" t="str">
        <f t="array" aca="1" ref="C12" ca="1">INDEX('Rooms Master'!U:U,MATCH(B12,'Rooms Master'!D:D,0))</f>
        <v>Y</v>
      </c>
      <c r="D12" s="15">
        <v>9</v>
      </c>
      <c r="E12" s="15">
        <v>34</v>
      </c>
      <c r="F12" s="15">
        <v>13</v>
      </c>
      <c r="G12" s="16">
        <v>4</v>
      </c>
      <c r="H12" s="15">
        <v>2</v>
      </c>
      <c r="I12" s="15"/>
      <c r="J12" s="15"/>
      <c r="K12" s="15"/>
      <c r="L12" s="1" t="s">
        <v>34</v>
      </c>
      <c r="M12" s="17">
        <f t="shared" si="9"/>
        <v>0.38235294117647056</v>
      </c>
      <c r="N12" s="18">
        <f t="shared" si="10"/>
        <v>5.8823529411764705E-2</v>
      </c>
      <c r="O12" s="17">
        <f t="shared" si="3"/>
        <v>0</v>
      </c>
      <c r="P12" s="17" t="str">
        <f t="shared" si="4"/>
        <v xml:space="preserve"> </v>
      </c>
      <c r="Q12" s="17" t="str">
        <f t="shared" si="5"/>
        <v xml:space="preserve"> </v>
      </c>
      <c r="R12" s="17">
        <f t="shared" si="11"/>
        <v>1.1100228534116879E-2</v>
      </c>
    </row>
    <row r="13" spans="1:25" ht="12.75">
      <c r="A13" s="12">
        <f t="shared" si="0"/>
        <v>12</v>
      </c>
      <c r="B13" s="13" t="s">
        <v>23</v>
      </c>
      <c r="C13" s="14" t="str">
        <f t="array" aca="1" ref="C13" ca="1">INDEX('Rooms Master'!U:U,MATCH(B13,'Rooms Master'!D:D,0))</f>
        <v>Y</v>
      </c>
      <c r="D13" s="15">
        <v>10</v>
      </c>
      <c r="E13" s="15">
        <v>33</v>
      </c>
      <c r="F13" s="15">
        <v>10</v>
      </c>
      <c r="G13" s="16">
        <v>7</v>
      </c>
      <c r="H13" s="15">
        <v>0</v>
      </c>
      <c r="I13" s="15"/>
      <c r="J13" s="15"/>
      <c r="K13" s="15">
        <v>0</v>
      </c>
      <c r="L13" s="1" t="s">
        <v>24</v>
      </c>
      <c r="M13" s="17">
        <f t="shared" si="9"/>
        <v>0.30303030303030304</v>
      </c>
      <c r="N13" s="18">
        <f t="shared" si="10"/>
        <v>0</v>
      </c>
      <c r="O13" s="17" t="str">
        <f t="shared" si="3"/>
        <v xml:space="preserve"> </v>
      </c>
      <c r="P13" s="17" t="str">
        <f t="shared" si="4"/>
        <v xml:space="preserve"> </v>
      </c>
      <c r="Q13" s="17" t="str">
        <f t="shared" si="5"/>
        <v xml:space="preserve"> </v>
      </c>
      <c r="R13" s="17">
        <f t="shared" si="11"/>
        <v>1.0773751224289911E-2</v>
      </c>
    </row>
    <row r="14" spans="1:25" ht="12.75">
      <c r="A14" s="12">
        <f t="shared" si="0"/>
        <v>13</v>
      </c>
      <c r="B14" s="13" t="s">
        <v>28</v>
      </c>
      <c r="C14" s="14" t="str">
        <f t="array" aca="1" ref="C14" ca="1">INDEX('Rooms Master'!U:U,MATCH(B14,'Rooms Master'!D:D,0))</f>
        <v>Y</v>
      </c>
      <c r="D14" s="15">
        <v>11</v>
      </c>
      <c r="E14" s="15">
        <v>81</v>
      </c>
      <c r="F14" s="15">
        <v>20</v>
      </c>
      <c r="G14" s="16">
        <v>6</v>
      </c>
      <c r="H14" s="15">
        <v>6</v>
      </c>
      <c r="I14" s="15">
        <v>1</v>
      </c>
      <c r="J14" s="15"/>
      <c r="K14" s="15"/>
      <c r="L14" s="1" t="s">
        <v>29</v>
      </c>
      <c r="M14" s="17">
        <f t="shared" si="9"/>
        <v>0.24691358024691357</v>
      </c>
      <c r="N14" s="18">
        <f t="shared" si="10"/>
        <v>7.407407407407407E-2</v>
      </c>
      <c r="O14" s="17">
        <f t="shared" si="3"/>
        <v>0</v>
      </c>
      <c r="P14" s="17">
        <f t="shared" si="4"/>
        <v>0</v>
      </c>
      <c r="Q14" s="17" t="str">
        <f t="shared" si="5"/>
        <v xml:space="preserve"> </v>
      </c>
      <c r="R14" s="17">
        <f t="shared" si="11"/>
        <v>2.6444662095984329E-2</v>
      </c>
    </row>
    <row r="15" spans="1:25" ht="12.75">
      <c r="A15" s="12">
        <f t="shared" si="0"/>
        <v>14</v>
      </c>
      <c r="B15" s="13" t="s">
        <v>99</v>
      </c>
      <c r="C15" s="14" t="str">
        <f t="array" aca="1" ref="C15" ca="1">INDEX('Rooms Master'!U:U,MATCH(B15,'Rooms Master'!D:D,0))</f>
        <v>N</v>
      </c>
      <c r="D15" s="15">
        <v>12</v>
      </c>
      <c r="E15" s="15">
        <v>90</v>
      </c>
      <c r="F15" s="15">
        <v>11</v>
      </c>
      <c r="G15" s="16">
        <v>15</v>
      </c>
      <c r="H15" s="15">
        <v>3</v>
      </c>
      <c r="I15" s="22"/>
      <c r="J15" s="15"/>
      <c r="K15" s="15">
        <v>0</v>
      </c>
      <c r="L15" s="1" t="s">
        <v>20</v>
      </c>
      <c r="M15" s="17">
        <f t="shared" si="9"/>
        <v>0.12222222222222222</v>
      </c>
      <c r="N15" s="18">
        <f t="shared" si="10"/>
        <v>3.3333333333333333E-2</v>
      </c>
      <c r="O15" s="17">
        <f t="shared" si="3"/>
        <v>0</v>
      </c>
      <c r="P15" s="17" t="str">
        <f t="shared" ref="P15:P16" si="12">IFERROR(K15/I17, " ")</f>
        <v xml:space="preserve"> </v>
      </c>
      <c r="Q15" s="17" t="str">
        <f t="shared" si="5"/>
        <v xml:space="preserve"> </v>
      </c>
      <c r="R15" s="17">
        <f t="shared" si="11"/>
        <v>2.9382957884427033E-2</v>
      </c>
    </row>
    <row r="16" spans="1:25" ht="12.75">
      <c r="A16" s="12">
        <f t="shared" si="0"/>
        <v>15</v>
      </c>
      <c r="B16" s="13" t="s">
        <v>68</v>
      </c>
      <c r="C16" s="14" t="str">
        <f t="array" aca="1" ref="C16" ca="1">INDEX('Rooms Master'!U:U,MATCH(B16,'Rooms Master'!D:D,0))</f>
        <v>Y</v>
      </c>
      <c r="D16" s="15">
        <v>13</v>
      </c>
      <c r="E16" s="15">
        <v>40</v>
      </c>
      <c r="F16" s="15">
        <v>6</v>
      </c>
      <c r="G16" s="16">
        <v>4</v>
      </c>
      <c r="H16" s="15">
        <v>0</v>
      </c>
      <c r="I16" s="15"/>
      <c r="J16" s="15"/>
      <c r="K16" s="15"/>
      <c r="L16" s="1" t="s">
        <v>20</v>
      </c>
      <c r="M16" s="17">
        <f t="shared" si="9"/>
        <v>0.15</v>
      </c>
      <c r="N16" s="18">
        <f t="shared" si="10"/>
        <v>0</v>
      </c>
      <c r="O16" s="17" t="str">
        <f t="shared" si="3"/>
        <v xml:space="preserve"> </v>
      </c>
      <c r="P16" s="17" t="str">
        <f t="shared" si="12"/>
        <v xml:space="preserve"> </v>
      </c>
      <c r="Q16" s="17" t="str">
        <f t="shared" si="5"/>
        <v xml:space="preserve"> </v>
      </c>
      <c r="R16" s="17">
        <f t="shared" si="11"/>
        <v>1.305909239307868E-2</v>
      </c>
    </row>
    <row r="17" spans="1:18" ht="12.75">
      <c r="A17" s="12">
        <f t="shared" si="0"/>
        <v>16</v>
      </c>
      <c r="B17" s="1" t="s">
        <v>43</v>
      </c>
      <c r="C17" s="14" t="str">
        <f t="array" aca="1" ref="C17" ca="1">INDEX('Rooms Master'!U:U,MATCH(B17,'Rooms Master'!D:D,0))</f>
        <v>Y</v>
      </c>
      <c r="D17" s="15">
        <v>14</v>
      </c>
      <c r="E17" s="15">
        <v>85</v>
      </c>
      <c r="F17" s="15">
        <v>14</v>
      </c>
      <c r="G17" s="16">
        <v>5</v>
      </c>
      <c r="H17" s="15">
        <v>0</v>
      </c>
      <c r="I17" s="15"/>
      <c r="J17" s="15"/>
      <c r="K17" s="15"/>
      <c r="L17" s="21" t="s">
        <v>34</v>
      </c>
      <c r="M17" s="17">
        <f t="shared" si="9"/>
        <v>0.16470588235294117</v>
      </c>
      <c r="N17" s="18">
        <f t="shared" si="10"/>
        <v>0</v>
      </c>
      <c r="O17" s="17" t="str">
        <f t="shared" si="3"/>
        <v xml:space="preserve"> </v>
      </c>
      <c r="P17" s="17" t="str">
        <f t="shared" ref="P17:P57" si="13">IFERROR(K17/I17, " ")</f>
        <v xml:space="preserve"> </v>
      </c>
      <c r="Q17" s="17" t="str">
        <f t="shared" si="5"/>
        <v xml:space="preserve"> </v>
      </c>
      <c r="R17" s="17">
        <f t="shared" si="11"/>
        <v>2.7750571335292198E-2</v>
      </c>
    </row>
    <row r="18" spans="1:18" ht="12.75">
      <c r="A18" s="12">
        <f t="shared" si="0"/>
        <v>17</v>
      </c>
      <c r="B18" s="13" t="s">
        <v>35</v>
      </c>
      <c r="C18" s="14" t="str">
        <f t="array" aca="1" ref="C18" ca="1">INDEX('Rooms Master'!U:U,MATCH(B18,'Rooms Master'!D:D,0))</f>
        <v>Y</v>
      </c>
      <c r="D18" s="15">
        <v>15</v>
      </c>
      <c r="E18" s="15">
        <v>45</v>
      </c>
      <c r="F18" s="15">
        <v>4</v>
      </c>
      <c r="G18" s="16">
        <v>0</v>
      </c>
      <c r="H18" s="15">
        <v>3</v>
      </c>
      <c r="I18" s="15"/>
      <c r="J18" s="15"/>
      <c r="K18" s="15"/>
      <c r="L18" s="1" t="s">
        <v>20</v>
      </c>
      <c r="M18" s="17">
        <f t="shared" si="9"/>
        <v>8.8888888888888892E-2</v>
      </c>
      <c r="N18" s="18">
        <f t="shared" si="10"/>
        <v>6.6666666666666666E-2</v>
      </c>
      <c r="O18" s="17">
        <f t="shared" si="3"/>
        <v>0</v>
      </c>
      <c r="P18" s="17" t="str">
        <f t="shared" si="13"/>
        <v xml:space="preserve"> </v>
      </c>
      <c r="Q18" s="17" t="str">
        <f t="shared" si="5"/>
        <v xml:space="preserve"> </v>
      </c>
      <c r="R18" s="17">
        <f t="shared" si="11"/>
        <v>1.4691478942213516E-2</v>
      </c>
    </row>
    <row r="19" spans="1:18" ht="12.75">
      <c r="A19" s="12">
        <f t="shared" si="0"/>
        <v>18</v>
      </c>
      <c r="B19" s="13" t="s">
        <v>93</v>
      </c>
      <c r="C19" s="14" t="str">
        <f t="array" aca="1" ref="C19" ca="1">INDEX('Rooms Master'!U:U,MATCH(B19,'Rooms Master'!D:D,0))</f>
        <v>Y</v>
      </c>
      <c r="D19" s="15">
        <v>16</v>
      </c>
      <c r="E19" s="15">
        <v>20</v>
      </c>
      <c r="F19" s="15">
        <v>1</v>
      </c>
      <c r="G19" s="16">
        <v>6</v>
      </c>
      <c r="H19" s="15">
        <v>1</v>
      </c>
      <c r="I19" s="15"/>
      <c r="J19" s="15"/>
      <c r="K19" s="15"/>
      <c r="L19" s="1" t="s">
        <v>20</v>
      </c>
      <c r="M19" s="17">
        <f t="shared" si="9"/>
        <v>0.05</v>
      </c>
      <c r="N19" s="18">
        <f t="shared" si="10"/>
        <v>0.05</v>
      </c>
      <c r="O19" s="17">
        <f t="shared" si="3"/>
        <v>0</v>
      </c>
      <c r="P19" s="17" t="str">
        <f t="shared" si="13"/>
        <v xml:space="preserve"> </v>
      </c>
      <c r="Q19" s="17" t="str">
        <f t="shared" si="5"/>
        <v xml:space="preserve"> </v>
      </c>
      <c r="R19" s="17">
        <f t="shared" si="11"/>
        <v>6.5295461965393401E-3</v>
      </c>
    </row>
    <row r="20" spans="1:18" ht="12.75">
      <c r="A20" s="12">
        <f t="shared" si="0"/>
        <v>19</v>
      </c>
      <c r="B20" s="13" t="s">
        <v>69</v>
      </c>
      <c r="C20" s="14" t="str">
        <f t="array" aca="1" ref="C20" ca="1">INDEX('Rooms Master'!U:U,MATCH(B20,'Rooms Master'!D:D,0))</f>
        <v>Y</v>
      </c>
      <c r="D20" s="15">
        <v>17</v>
      </c>
      <c r="E20" s="22">
        <v>35</v>
      </c>
      <c r="F20" s="15">
        <v>5</v>
      </c>
      <c r="G20" s="16">
        <v>4</v>
      </c>
      <c r="H20" s="15">
        <v>0</v>
      </c>
      <c r="I20" s="15"/>
      <c r="J20" s="15"/>
      <c r="K20" s="15"/>
      <c r="L20" s="1" t="s">
        <v>20</v>
      </c>
      <c r="M20" s="17">
        <f>IFERROR(F20/E21, " ")</f>
        <v>0.19230769230769232</v>
      </c>
      <c r="N20" s="18">
        <f>IFERROR(H20/E21," ")</f>
        <v>0</v>
      </c>
      <c r="O20" s="17" t="str">
        <f t="shared" si="3"/>
        <v xml:space="preserve"> </v>
      </c>
      <c r="P20" s="17" t="str">
        <f t="shared" si="13"/>
        <v xml:space="preserve"> </v>
      </c>
      <c r="Q20" s="17" t="str">
        <f t="shared" si="5"/>
        <v xml:space="preserve"> </v>
      </c>
      <c r="R20" s="17">
        <f>IFERROR(E21/$E$118," ")</f>
        <v>8.4884100555011419E-3</v>
      </c>
    </row>
    <row r="21" spans="1:18" ht="12.75">
      <c r="A21" s="12">
        <f t="shared" si="0"/>
        <v>20</v>
      </c>
      <c r="B21" s="13" t="s">
        <v>51</v>
      </c>
      <c r="C21" s="14" t="str">
        <f t="array" aca="1" ref="C21" ca="1">INDEX('Rooms Master'!U:U,MATCH(B21,'Rooms Master'!D:D,0))</f>
        <v>Y</v>
      </c>
      <c r="D21" s="15">
        <v>18</v>
      </c>
      <c r="E21" s="15">
        <v>26</v>
      </c>
      <c r="F21" s="15">
        <v>5</v>
      </c>
      <c r="G21" s="16">
        <v>8</v>
      </c>
      <c r="H21" s="15">
        <v>1</v>
      </c>
      <c r="I21" s="15"/>
      <c r="J21" s="15"/>
      <c r="K21" s="15"/>
      <c r="L21" s="1" t="s">
        <v>20</v>
      </c>
      <c r="M21" s="17">
        <f t="shared" ref="M21:M46" si="14">IFERROR(F21/E21, " ")</f>
        <v>0.19230769230769232</v>
      </c>
      <c r="N21" s="18">
        <f t="shared" ref="N21:N46" si="15">IFERROR(H21/E21," ")</f>
        <v>3.8461538461538464E-2</v>
      </c>
      <c r="O21" s="17">
        <f t="shared" si="3"/>
        <v>0</v>
      </c>
      <c r="P21" s="17" t="str">
        <f t="shared" si="13"/>
        <v xml:space="preserve"> </v>
      </c>
      <c r="Q21" s="17" t="str">
        <f t="shared" si="5"/>
        <v xml:space="preserve"> </v>
      </c>
      <c r="R21" s="17">
        <f t="shared" ref="R21:R46" si="16">IFERROR(E21/$E$118," ")</f>
        <v>8.4884100555011419E-3</v>
      </c>
    </row>
    <row r="22" spans="1:18" ht="12.75">
      <c r="A22" s="12">
        <f t="shared" si="0"/>
        <v>21</v>
      </c>
      <c r="B22" s="13" t="s">
        <v>106</v>
      </c>
      <c r="C22" s="14" t="str">
        <f t="array" aca="1" ref="C22" ca="1">INDEX('Rooms Master'!U:U,MATCH(B22,'Rooms Master'!D:D,0))</f>
        <v>N</v>
      </c>
      <c r="D22" s="15">
        <v>19</v>
      </c>
      <c r="E22" s="15">
        <v>11</v>
      </c>
      <c r="F22" s="15">
        <v>0</v>
      </c>
      <c r="G22" s="16">
        <v>6</v>
      </c>
      <c r="H22" s="15">
        <v>3</v>
      </c>
      <c r="I22" s="15"/>
      <c r="J22" s="15"/>
      <c r="K22" s="15"/>
      <c r="L22" s="1" t="s">
        <v>24</v>
      </c>
      <c r="M22" s="17">
        <f t="shared" si="14"/>
        <v>0</v>
      </c>
      <c r="N22" s="18">
        <f t="shared" si="15"/>
        <v>0.27272727272727271</v>
      </c>
      <c r="O22" s="17">
        <f t="shared" si="3"/>
        <v>0</v>
      </c>
      <c r="P22" s="17" t="str">
        <f t="shared" si="13"/>
        <v xml:space="preserve"> </v>
      </c>
      <c r="Q22" s="17" t="str">
        <f t="shared" si="5"/>
        <v xml:space="preserve"> </v>
      </c>
      <c r="R22" s="17">
        <f t="shared" si="16"/>
        <v>3.5912504080966375E-3</v>
      </c>
    </row>
    <row r="23" spans="1:18" ht="12.75">
      <c r="A23" s="12">
        <f t="shared" si="0"/>
        <v>22</v>
      </c>
      <c r="B23" s="13" t="s">
        <v>55</v>
      </c>
      <c r="C23" s="14" t="str">
        <f t="array" aca="1" ref="C23" ca="1">INDEX('Rooms Master'!U:U,MATCH(B23,'Rooms Master'!D:D,0))</f>
        <v>Y</v>
      </c>
      <c r="D23" s="15">
        <v>20</v>
      </c>
      <c r="E23" s="15">
        <v>23</v>
      </c>
      <c r="F23" s="15">
        <v>8</v>
      </c>
      <c r="G23" s="16">
        <v>5</v>
      </c>
      <c r="H23" s="15">
        <v>2</v>
      </c>
      <c r="I23" s="15"/>
      <c r="J23" s="15"/>
      <c r="K23" s="15"/>
      <c r="L23" s="1" t="s">
        <v>24</v>
      </c>
      <c r="M23" s="17">
        <f t="shared" si="14"/>
        <v>0.34782608695652173</v>
      </c>
      <c r="N23" s="18">
        <f t="shared" si="15"/>
        <v>8.6956521739130432E-2</v>
      </c>
      <c r="O23" s="17">
        <f t="shared" si="3"/>
        <v>0</v>
      </c>
      <c r="P23" s="17" t="str">
        <f t="shared" si="13"/>
        <v xml:space="preserve"> </v>
      </c>
      <c r="Q23" s="17" t="str">
        <f t="shared" si="5"/>
        <v xml:space="preserve"> </v>
      </c>
      <c r="R23" s="17">
        <f t="shared" si="16"/>
        <v>7.5089781260202415E-3</v>
      </c>
    </row>
    <row r="24" spans="1:18" ht="12.75">
      <c r="A24" s="12">
        <f t="shared" si="0"/>
        <v>23</v>
      </c>
      <c r="B24" s="13" t="s">
        <v>79</v>
      </c>
      <c r="C24" s="14" t="str">
        <f t="array" aca="1" ref="C24" ca="1">INDEX('Rooms Master'!U:U,MATCH(B24,'Rooms Master'!D:D,0))</f>
        <v>Y</v>
      </c>
      <c r="D24" s="15">
        <v>21</v>
      </c>
      <c r="E24" s="15">
        <v>8</v>
      </c>
      <c r="F24" s="15">
        <v>3</v>
      </c>
      <c r="G24" s="16">
        <v>5</v>
      </c>
      <c r="H24" s="15">
        <v>0</v>
      </c>
      <c r="I24" s="15"/>
      <c r="J24" s="15"/>
      <c r="K24" s="15"/>
      <c r="L24" s="1" t="s">
        <v>64</v>
      </c>
      <c r="M24" s="17">
        <f t="shared" si="14"/>
        <v>0.375</v>
      </c>
      <c r="N24" s="18">
        <f t="shared" si="15"/>
        <v>0</v>
      </c>
      <c r="O24" s="17" t="str">
        <f t="shared" si="3"/>
        <v xml:space="preserve"> </v>
      </c>
      <c r="P24" s="17" t="str">
        <f t="shared" si="13"/>
        <v xml:space="preserve"> </v>
      </c>
      <c r="Q24" s="17" t="str">
        <f t="shared" si="5"/>
        <v xml:space="preserve"> </v>
      </c>
      <c r="R24" s="17">
        <f t="shared" si="16"/>
        <v>2.6118184786157361E-3</v>
      </c>
    </row>
    <row r="25" spans="1:18" ht="12.75">
      <c r="A25" s="12">
        <f t="shared" si="0"/>
        <v>24</v>
      </c>
      <c r="B25" s="13" t="s">
        <v>73</v>
      </c>
      <c r="C25" s="14" t="str">
        <f t="array" aca="1" ref="C25" ca="1">INDEX('Rooms Master'!U:U,MATCH(B25,'Rooms Master'!D:D,0))</f>
        <v>Y</v>
      </c>
      <c r="D25" s="15">
        <v>22</v>
      </c>
      <c r="E25" s="15">
        <v>33</v>
      </c>
      <c r="F25" s="15">
        <v>5</v>
      </c>
      <c r="G25" s="16">
        <v>5</v>
      </c>
      <c r="H25" s="15">
        <v>0</v>
      </c>
      <c r="I25" s="15">
        <v>1</v>
      </c>
      <c r="J25" s="15"/>
      <c r="K25" s="15">
        <v>0</v>
      </c>
      <c r="L25" s="1" t="s">
        <v>20</v>
      </c>
      <c r="M25" s="17">
        <f t="shared" si="14"/>
        <v>0.15151515151515152</v>
      </c>
      <c r="N25" s="18">
        <f t="shared" si="15"/>
        <v>0</v>
      </c>
      <c r="O25" s="17" t="str">
        <f t="shared" si="3"/>
        <v xml:space="preserve"> </v>
      </c>
      <c r="P25" s="17">
        <f t="shared" si="13"/>
        <v>0</v>
      </c>
      <c r="Q25" s="17" t="str">
        <f t="shared" si="5"/>
        <v xml:space="preserve"> </v>
      </c>
      <c r="R25" s="17">
        <f t="shared" si="16"/>
        <v>1.0773751224289911E-2</v>
      </c>
    </row>
    <row r="26" spans="1:18" ht="12.75">
      <c r="A26" s="12">
        <f t="shared" si="0"/>
        <v>25</v>
      </c>
      <c r="B26" s="13" t="s">
        <v>80</v>
      </c>
      <c r="C26" s="14" t="str">
        <f t="array" aca="1" ref="C26" ca="1">INDEX('Rooms Master'!U:U,MATCH(B26,'Rooms Master'!D:D,0))</f>
        <v>Y</v>
      </c>
      <c r="D26" s="15">
        <v>23</v>
      </c>
      <c r="E26" s="15">
        <v>33</v>
      </c>
      <c r="F26" s="15">
        <v>7</v>
      </c>
      <c r="G26" s="16">
        <v>5</v>
      </c>
      <c r="H26" s="15">
        <v>4</v>
      </c>
      <c r="I26" s="15">
        <v>1</v>
      </c>
      <c r="J26" s="15">
        <v>1</v>
      </c>
      <c r="K26" s="15">
        <v>1</v>
      </c>
      <c r="L26" s="1" t="s">
        <v>39</v>
      </c>
      <c r="M26" s="17">
        <f t="shared" si="14"/>
        <v>0.21212121212121213</v>
      </c>
      <c r="N26" s="18">
        <f t="shared" si="15"/>
        <v>0.12121212121212122</v>
      </c>
      <c r="O26" s="17">
        <f t="shared" si="3"/>
        <v>0.25</v>
      </c>
      <c r="P26" s="17">
        <f t="shared" si="13"/>
        <v>1</v>
      </c>
      <c r="Q26" s="17">
        <f t="shared" si="5"/>
        <v>1</v>
      </c>
      <c r="R26" s="17">
        <f t="shared" si="16"/>
        <v>1.0773751224289911E-2</v>
      </c>
    </row>
    <row r="27" spans="1:18" ht="12.75">
      <c r="A27" s="12">
        <f t="shared" si="0"/>
        <v>26</v>
      </c>
      <c r="B27" s="13" t="s">
        <v>36</v>
      </c>
      <c r="C27" s="14" t="str">
        <f t="array" aca="1" ref="C27" ca="1">INDEX('Rooms Master'!U:U,MATCH(B27,'Rooms Master'!D:D,0))</f>
        <v>Y</v>
      </c>
      <c r="D27" s="15">
        <v>24</v>
      </c>
      <c r="E27" s="15">
        <v>32</v>
      </c>
      <c r="F27" s="15">
        <v>2</v>
      </c>
      <c r="G27" s="16">
        <v>8</v>
      </c>
      <c r="H27" s="15">
        <v>1</v>
      </c>
      <c r="I27" s="15"/>
      <c r="J27" s="15">
        <v>1</v>
      </c>
      <c r="K27" s="15">
        <v>1</v>
      </c>
      <c r="L27" s="1" t="s">
        <v>37</v>
      </c>
      <c r="M27" s="17">
        <f t="shared" si="14"/>
        <v>6.25E-2</v>
      </c>
      <c r="N27" s="18">
        <f t="shared" si="15"/>
        <v>3.125E-2</v>
      </c>
      <c r="O27" s="17">
        <f t="shared" si="3"/>
        <v>1</v>
      </c>
      <c r="P27" s="17" t="str">
        <f t="shared" si="13"/>
        <v xml:space="preserve"> </v>
      </c>
      <c r="Q27" s="17">
        <f t="shared" si="5"/>
        <v>1</v>
      </c>
      <c r="R27" s="17">
        <f t="shared" si="16"/>
        <v>1.0447273914462945E-2</v>
      </c>
    </row>
    <row r="28" spans="1:18" ht="12.75">
      <c r="A28" s="12">
        <f t="shared" si="0"/>
        <v>27</v>
      </c>
      <c r="B28" s="13" t="s">
        <v>56</v>
      </c>
      <c r="C28" s="14" t="str">
        <f t="array" aca="1" ref="C28" ca="1">INDEX('Rooms Master'!U:U,MATCH(B28,'Rooms Master'!D:D,0))</f>
        <v>Y</v>
      </c>
      <c r="D28" s="15">
        <v>25</v>
      </c>
      <c r="E28" s="15">
        <v>26</v>
      </c>
      <c r="F28" s="15">
        <v>6</v>
      </c>
      <c r="G28" s="16">
        <v>5</v>
      </c>
      <c r="H28" s="15">
        <v>0</v>
      </c>
      <c r="I28" s="15"/>
      <c r="J28" s="15"/>
      <c r="K28" s="15"/>
      <c r="L28" s="1" t="s">
        <v>37</v>
      </c>
      <c r="M28" s="17">
        <f t="shared" si="14"/>
        <v>0.23076923076923078</v>
      </c>
      <c r="N28" s="18">
        <f t="shared" si="15"/>
        <v>0</v>
      </c>
      <c r="O28" s="17" t="str">
        <f t="shared" si="3"/>
        <v xml:space="preserve"> </v>
      </c>
      <c r="P28" s="17" t="str">
        <f t="shared" si="13"/>
        <v xml:space="preserve"> </v>
      </c>
      <c r="Q28" s="17" t="str">
        <f t="shared" si="5"/>
        <v xml:space="preserve"> </v>
      </c>
      <c r="R28" s="17">
        <f t="shared" si="16"/>
        <v>8.4884100555011419E-3</v>
      </c>
    </row>
    <row r="29" spans="1:18" ht="12.75">
      <c r="A29" s="12">
        <f t="shared" si="0"/>
        <v>28</v>
      </c>
      <c r="B29" s="13" t="s">
        <v>45</v>
      </c>
      <c r="C29" s="14" t="str">
        <f t="array" aca="1" ref="C29" ca="1">INDEX('Rooms Master'!U:U,MATCH(B29,'Rooms Master'!D:D,0))</f>
        <v>Y</v>
      </c>
      <c r="D29" s="15">
        <v>26</v>
      </c>
      <c r="E29" s="15">
        <v>28</v>
      </c>
      <c r="F29" s="15">
        <v>6</v>
      </c>
      <c r="G29" s="16">
        <v>6</v>
      </c>
      <c r="H29" s="15">
        <v>1</v>
      </c>
      <c r="I29" s="15"/>
      <c r="J29" s="15">
        <v>1</v>
      </c>
      <c r="K29" s="15">
        <v>1</v>
      </c>
      <c r="L29" s="1" t="s">
        <v>20</v>
      </c>
      <c r="M29" s="17">
        <f t="shared" si="14"/>
        <v>0.21428571428571427</v>
      </c>
      <c r="N29" s="18">
        <f t="shared" si="15"/>
        <v>3.5714285714285712E-2</v>
      </c>
      <c r="O29" s="17">
        <f t="shared" si="3"/>
        <v>1</v>
      </c>
      <c r="P29" s="17" t="str">
        <f t="shared" si="13"/>
        <v xml:space="preserve"> </v>
      </c>
      <c r="Q29" s="17">
        <f t="shared" si="5"/>
        <v>1</v>
      </c>
      <c r="R29" s="17">
        <f t="shared" si="16"/>
        <v>9.1413646751550767E-3</v>
      </c>
    </row>
    <row r="30" spans="1:18" ht="12.75">
      <c r="A30" s="12">
        <f t="shared" si="0"/>
        <v>29</v>
      </c>
      <c r="B30" s="13" t="s">
        <v>58</v>
      </c>
      <c r="C30" s="14" t="str">
        <f t="array" aca="1" ref="C30" ca="1">INDEX('Rooms Master'!U:U,MATCH(B30,'Rooms Master'!D:D,0))</f>
        <v>Y</v>
      </c>
      <c r="D30" s="15">
        <v>27</v>
      </c>
      <c r="E30" s="15">
        <v>65</v>
      </c>
      <c r="F30" s="15">
        <v>13</v>
      </c>
      <c r="G30" s="16">
        <v>5</v>
      </c>
      <c r="H30" s="15">
        <v>4</v>
      </c>
      <c r="I30" s="15"/>
      <c r="J30" s="15"/>
      <c r="K30" s="15"/>
      <c r="L30" s="1" t="s">
        <v>20</v>
      </c>
      <c r="M30" s="17">
        <f t="shared" si="14"/>
        <v>0.2</v>
      </c>
      <c r="N30" s="18">
        <f t="shared" si="15"/>
        <v>6.1538461538461542E-2</v>
      </c>
      <c r="O30" s="17">
        <f t="shared" si="3"/>
        <v>0</v>
      </c>
      <c r="P30" s="17" t="str">
        <f t="shared" si="13"/>
        <v xml:space="preserve"> </v>
      </c>
      <c r="Q30" s="17" t="str">
        <f t="shared" si="5"/>
        <v xml:space="preserve"> </v>
      </c>
      <c r="R30" s="17">
        <f t="shared" si="16"/>
        <v>2.1221025138752857E-2</v>
      </c>
    </row>
    <row r="31" spans="1:18" ht="12.75">
      <c r="A31" s="12">
        <f t="shared" si="0"/>
        <v>30</v>
      </c>
      <c r="B31" s="13" t="s">
        <v>22</v>
      </c>
      <c r="C31" s="14" t="str">
        <f t="array" aca="1" ref="C31" ca="1">INDEX('Rooms Master'!U:U,MATCH(B31,'Rooms Master'!D:D,0))</f>
        <v>Y</v>
      </c>
      <c r="D31" s="15">
        <v>28</v>
      </c>
      <c r="E31" s="15">
        <v>54</v>
      </c>
      <c r="F31" s="15">
        <v>18</v>
      </c>
      <c r="G31" s="16">
        <v>15</v>
      </c>
      <c r="H31" s="15">
        <v>4</v>
      </c>
      <c r="I31" s="15">
        <v>1</v>
      </c>
      <c r="J31" s="15"/>
      <c r="K31" s="15"/>
      <c r="L31" s="1" t="s">
        <v>20</v>
      </c>
      <c r="M31" s="17">
        <f t="shared" si="14"/>
        <v>0.33333333333333331</v>
      </c>
      <c r="N31" s="18">
        <f t="shared" si="15"/>
        <v>7.407407407407407E-2</v>
      </c>
      <c r="O31" s="17">
        <f t="shared" si="3"/>
        <v>0</v>
      </c>
      <c r="P31" s="17">
        <f t="shared" si="13"/>
        <v>0</v>
      </c>
      <c r="Q31" s="17" t="str">
        <f t="shared" si="5"/>
        <v xml:space="preserve"> </v>
      </c>
      <c r="R31" s="17">
        <f t="shared" si="16"/>
        <v>1.762977473065622E-2</v>
      </c>
    </row>
    <row r="32" spans="1:18" ht="12.75">
      <c r="A32" s="12">
        <f t="shared" si="0"/>
        <v>31</v>
      </c>
      <c r="B32" s="13" t="s">
        <v>27</v>
      </c>
      <c r="C32" s="14" t="str">
        <f t="array" aca="1" ref="C32" ca="1">INDEX('Rooms Master'!U:U,MATCH(B32,'Rooms Master'!D:D,0))</f>
        <v>Y</v>
      </c>
      <c r="D32" s="15">
        <v>29</v>
      </c>
      <c r="E32" s="15">
        <v>60</v>
      </c>
      <c r="F32" s="15">
        <v>33</v>
      </c>
      <c r="G32" s="16">
        <v>5</v>
      </c>
      <c r="H32" s="15">
        <v>0</v>
      </c>
      <c r="I32" s="15"/>
      <c r="J32" s="15"/>
      <c r="K32" s="15"/>
      <c r="L32" s="1" t="s">
        <v>20</v>
      </c>
      <c r="M32" s="17">
        <f t="shared" si="14"/>
        <v>0.55000000000000004</v>
      </c>
      <c r="N32" s="18">
        <f t="shared" si="15"/>
        <v>0</v>
      </c>
      <c r="O32" s="17" t="str">
        <f t="shared" si="3"/>
        <v xml:space="preserve"> </v>
      </c>
      <c r="P32" s="17" t="str">
        <f t="shared" si="13"/>
        <v xml:space="preserve"> </v>
      </c>
      <c r="Q32" s="17" t="str">
        <f t="shared" si="5"/>
        <v xml:space="preserve"> </v>
      </c>
      <c r="R32" s="17">
        <f t="shared" si="16"/>
        <v>1.9588638589618023E-2</v>
      </c>
    </row>
    <row r="33" spans="1:18" ht="12.75">
      <c r="A33" s="12">
        <f t="shared" si="0"/>
        <v>32</v>
      </c>
      <c r="B33" s="13" t="s">
        <v>19</v>
      </c>
      <c r="C33" s="14" t="str">
        <f t="array" aca="1" ref="C33" ca="1">INDEX('Rooms Master'!U:U,MATCH(B33,'Rooms Master'!D:D,0))</f>
        <v>N</v>
      </c>
      <c r="D33" s="15">
        <v>30</v>
      </c>
      <c r="E33" s="15">
        <v>2</v>
      </c>
      <c r="F33" s="15">
        <v>2</v>
      </c>
      <c r="G33" s="16">
        <v>9</v>
      </c>
      <c r="H33" s="15">
        <v>1</v>
      </c>
      <c r="I33" s="15">
        <v>1</v>
      </c>
      <c r="J33" s="15"/>
      <c r="K33" s="15"/>
      <c r="L33" s="1" t="s">
        <v>20</v>
      </c>
      <c r="M33" s="17">
        <f t="shared" si="14"/>
        <v>1</v>
      </c>
      <c r="N33" s="18">
        <f t="shared" si="15"/>
        <v>0.5</v>
      </c>
      <c r="O33" s="17">
        <f t="shared" si="3"/>
        <v>0</v>
      </c>
      <c r="P33" s="17">
        <f t="shared" si="13"/>
        <v>0</v>
      </c>
      <c r="Q33" s="17" t="str">
        <f t="shared" si="5"/>
        <v xml:space="preserve"> </v>
      </c>
      <c r="R33" s="17">
        <f t="shared" si="16"/>
        <v>6.5295461965393404E-4</v>
      </c>
    </row>
    <row r="34" spans="1:18" ht="12.75">
      <c r="A34" s="12">
        <f t="shared" si="0"/>
        <v>33</v>
      </c>
      <c r="B34" s="13" t="s">
        <v>31</v>
      </c>
      <c r="C34" s="14" t="str">
        <f t="array" aca="1" ref="C34" ca="1">INDEX('Rooms Master'!U:U,MATCH(B34,'Rooms Master'!D:D,0))</f>
        <v>Y</v>
      </c>
      <c r="D34" s="15">
        <v>31</v>
      </c>
      <c r="E34" s="15">
        <v>42</v>
      </c>
      <c r="F34" s="15">
        <v>10</v>
      </c>
      <c r="G34" s="16">
        <v>6</v>
      </c>
      <c r="H34" s="15">
        <v>3</v>
      </c>
      <c r="I34" s="15"/>
      <c r="J34" s="15"/>
      <c r="K34" s="15"/>
      <c r="L34" s="1" t="s">
        <v>20</v>
      </c>
      <c r="M34" s="17">
        <f t="shared" si="14"/>
        <v>0.23809523809523808</v>
      </c>
      <c r="N34" s="18">
        <f t="shared" si="15"/>
        <v>7.1428571428571425E-2</v>
      </c>
      <c r="O34" s="17">
        <f t="shared" si="3"/>
        <v>0</v>
      </c>
      <c r="P34" s="17" t="str">
        <f t="shared" si="13"/>
        <v xml:space="preserve"> </v>
      </c>
      <c r="Q34" s="17" t="str">
        <f t="shared" si="5"/>
        <v xml:space="preserve"> </v>
      </c>
      <c r="R34" s="17">
        <f t="shared" si="16"/>
        <v>1.3712047012732615E-2</v>
      </c>
    </row>
    <row r="35" spans="1:18" ht="12.75">
      <c r="A35" s="12">
        <f t="shared" si="0"/>
        <v>34</v>
      </c>
      <c r="B35" s="13" t="s">
        <v>70</v>
      </c>
      <c r="C35" s="14" t="str">
        <f t="array" aca="1" ref="C35" ca="1">INDEX('Rooms Master'!U:U,MATCH(B35,'Rooms Master'!D:D,0))</f>
        <v>N</v>
      </c>
      <c r="D35" s="15">
        <v>32</v>
      </c>
      <c r="E35" s="15">
        <v>13</v>
      </c>
      <c r="F35" s="15">
        <v>4</v>
      </c>
      <c r="G35" s="16">
        <v>3</v>
      </c>
      <c r="H35" s="15">
        <v>0</v>
      </c>
      <c r="I35" s="15"/>
      <c r="J35" s="15"/>
      <c r="K35" s="15"/>
      <c r="L35" s="1" t="s">
        <v>20</v>
      </c>
      <c r="M35" s="17">
        <f t="shared" si="14"/>
        <v>0.30769230769230771</v>
      </c>
      <c r="N35" s="18">
        <f t="shared" si="15"/>
        <v>0</v>
      </c>
      <c r="O35" s="17" t="str">
        <f t="shared" si="3"/>
        <v xml:space="preserve"> </v>
      </c>
      <c r="P35" s="17" t="str">
        <f t="shared" si="13"/>
        <v xml:space="preserve"> </v>
      </c>
      <c r="Q35" s="17" t="str">
        <f t="shared" si="5"/>
        <v xml:space="preserve"> </v>
      </c>
      <c r="R35" s="17">
        <f t="shared" si="16"/>
        <v>4.244205027750571E-3</v>
      </c>
    </row>
    <row r="36" spans="1:18" ht="12.75">
      <c r="A36" s="12">
        <f t="shared" si="0"/>
        <v>35</v>
      </c>
      <c r="B36" s="13" t="s">
        <v>44</v>
      </c>
      <c r="C36" s="14" t="str">
        <f t="array" aca="1" ref="C36" ca="1">INDEX('Rooms Master'!U:U,MATCH(B36,'Rooms Master'!D:D,0))</f>
        <v>Y</v>
      </c>
      <c r="D36" s="15">
        <v>33</v>
      </c>
      <c r="E36" s="15">
        <v>40</v>
      </c>
      <c r="F36" s="15">
        <v>7</v>
      </c>
      <c r="G36" s="16">
        <v>9</v>
      </c>
      <c r="H36" s="15">
        <v>2</v>
      </c>
      <c r="I36" s="15"/>
      <c r="J36" s="15"/>
      <c r="K36" s="15"/>
      <c r="L36" s="21" t="s">
        <v>20</v>
      </c>
      <c r="M36" s="17">
        <f t="shared" si="14"/>
        <v>0.17499999999999999</v>
      </c>
      <c r="N36" s="18">
        <f t="shared" si="15"/>
        <v>0.05</v>
      </c>
      <c r="O36" s="17">
        <f t="shared" si="3"/>
        <v>0</v>
      </c>
      <c r="P36" s="17" t="str">
        <f t="shared" si="13"/>
        <v xml:space="preserve"> </v>
      </c>
      <c r="Q36" s="17" t="str">
        <f t="shared" si="5"/>
        <v xml:space="preserve"> </v>
      </c>
      <c r="R36" s="17">
        <f t="shared" si="16"/>
        <v>1.305909239307868E-2</v>
      </c>
    </row>
    <row r="37" spans="1:18" ht="12.75">
      <c r="A37" s="12">
        <f t="shared" si="0"/>
        <v>36</v>
      </c>
      <c r="B37" s="13" t="s">
        <v>46</v>
      </c>
      <c r="C37" s="14" t="str">
        <f t="array" aca="1" ref="C37" ca="1">INDEX('Rooms Master'!U:U,MATCH(B37,'Rooms Master'!D:D,0))</f>
        <v>Y</v>
      </c>
      <c r="D37" s="15">
        <v>34</v>
      </c>
      <c r="E37" s="15">
        <v>19</v>
      </c>
      <c r="F37" s="15">
        <v>0</v>
      </c>
      <c r="G37" s="16">
        <v>5</v>
      </c>
      <c r="H37" s="15">
        <v>2</v>
      </c>
      <c r="I37" s="15"/>
      <c r="J37" s="15"/>
      <c r="K37" s="15"/>
      <c r="L37" s="1" t="s">
        <v>37</v>
      </c>
      <c r="M37" s="17">
        <f t="shared" si="14"/>
        <v>0</v>
      </c>
      <c r="N37" s="18">
        <f t="shared" si="15"/>
        <v>0.10526315789473684</v>
      </c>
      <c r="O37" s="17">
        <f t="shared" si="3"/>
        <v>0</v>
      </c>
      <c r="P37" s="17" t="str">
        <f t="shared" si="13"/>
        <v xml:space="preserve"> </v>
      </c>
      <c r="Q37" s="17" t="str">
        <f t="shared" si="5"/>
        <v xml:space="preserve"> </v>
      </c>
      <c r="R37" s="17">
        <f t="shared" si="16"/>
        <v>6.2030688867123736E-3</v>
      </c>
    </row>
    <row r="38" spans="1:18" ht="12.75">
      <c r="A38" s="12">
        <f t="shared" si="0"/>
        <v>37</v>
      </c>
      <c r="B38" s="13" t="s">
        <v>32</v>
      </c>
      <c r="C38" s="14" t="str">
        <f t="array" aca="1" ref="C38" ca="1">INDEX('Rooms Master'!U:U,MATCH(B38,'Rooms Master'!D:D,0))</f>
        <v>Y</v>
      </c>
      <c r="D38" s="15">
        <v>35</v>
      </c>
      <c r="E38" s="15">
        <v>16</v>
      </c>
      <c r="F38" s="15">
        <v>4</v>
      </c>
      <c r="G38" s="16">
        <v>4</v>
      </c>
      <c r="H38" s="15">
        <v>0</v>
      </c>
      <c r="I38" s="15"/>
      <c r="J38" s="15"/>
      <c r="K38" s="15"/>
      <c r="L38" s="1" t="s">
        <v>20</v>
      </c>
      <c r="M38" s="17">
        <f t="shared" si="14"/>
        <v>0.25</v>
      </c>
      <c r="N38" s="18">
        <f t="shared" si="15"/>
        <v>0</v>
      </c>
      <c r="O38" s="17" t="str">
        <f t="shared" si="3"/>
        <v xml:space="preserve"> </v>
      </c>
      <c r="P38" s="17" t="str">
        <f t="shared" si="13"/>
        <v xml:space="preserve"> </v>
      </c>
      <c r="Q38" s="17" t="str">
        <f t="shared" si="5"/>
        <v xml:space="preserve"> </v>
      </c>
      <c r="R38" s="17">
        <f t="shared" si="16"/>
        <v>5.2236369572314723E-3</v>
      </c>
    </row>
    <row r="39" spans="1:18" ht="12.75">
      <c r="A39" s="12">
        <f t="shared" si="0"/>
        <v>38</v>
      </c>
      <c r="B39" s="13" t="s">
        <v>48</v>
      </c>
      <c r="C39" s="14" t="str">
        <f t="array" aca="1" ref="C39" ca="1">INDEX('Rooms Master'!U:U,MATCH(B39,'Rooms Master'!D:D,0))</f>
        <v>Y</v>
      </c>
      <c r="D39" s="15">
        <v>36</v>
      </c>
      <c r="E39" s="15">
        <v>33</v>
      </c>
      <c r="F39" s="15">
        <v>8</v>
      </c>
      <c r="G39" s="16">
        <v>5</v>
      </c>
      <c r="H39" s="15">
        <v>1</v>
      </c>
      <c r="I39" s="15">
        <v>2</v>
      </c>
      <c r="J39" s="15">
        <v>1</v>
      </c>
      <c r="K39" s="15">
        <v>1</v>
      </c>
      <c r="L39" s="1" t="s">
        <v>20</v>
      </c>
      <c r="M39" s="17">
        <f t="shared" si="14"/>
        <v>0.24242424242424243</v>
      </c>
      <c r="N39" s="18">
        <f t="shared" si="15"/>
        <v>3.0303030303030304E-2</v>
      </c>
      <c r="O39" s="17">
        <f t="shared" si="3"/>
        <v>1</v>
      </c>
      <c r="P39" s="17">
        <f t="shared" si="13"/>
        <v>0.5</v>
      </c>
      <c r="Q39" s="17">
        <f t="shared" si="5"/>
        <v>1</v>
      </c>
      <c r="R39" s="17">
        <f t="shared" si="16"/>
        <v>1.0773751224289911E-2</v>
      </c>
    </row>
    <row r="40" spans="1:18" ht="12.75">
      <c r="A40" s="12">
        <f t="shared" si="0"/>
        <v>39</v>
      </c>
      <c r="B40" s="13" t="s">
        <v>94</v>
      </c>
      <c r="C40" s="14" t="str">
        <f t="array" aca="1" ref="C40" ca="1">INDEX('Rooms Master'!U:U,MATCH(B40,'Rooms Master'!D:D,0))</f>
        <v>Y</v>
      </c>
      <c r="D40" s="15">
        <v>37</v>
      </c>
      <c r="E40" s="15">
        <v>21</v>
      </c>
      <c r="F40" s="15">
        <v>6</v>
      </c>
      <c r="G40" s="16">
        <v>8</v>
      </c>
      <c r="H40" s="15">
        <v>1</v>
      </c>
      <c r="I40" s="15"/>
      <c r="J40" s="15"/>
      <c r="K40" s="15"/>
      <c r="L40" s="27" t="s">
        <v>24</v>
      </c>
      <c r="M40" s="17">
        <f t="shared" si="14"/>
        <v>0.2857142857142857</v>
      </c>
      <c r="N40" s="18">
        <f t="shared" si="15"/>
        <v>4.7619047619047616E-2</v>
      </c>
      <c r="O40" s="17">
        <f t="shared" si="3"/>
        <v>0</v>
      </c>
      <c r="P40" s="17" t="str">
        <f t="shared" si="13"/>
        <v xml:space="preserve"> </v>
      </c>
      <c r="Q40" s="17" t="str">
        <f t="shared" si="5"/>
        <v xml:space="preserve"> </v>
      </c>
      <c r="R40" s="17">
        <f t="shared" si="16"/>
        <v>6.8560235063663075E-3</v>
      </c>
    </row>
    <row r="41" spans="1:18" ht="12.75">
      <c r="A41" s="12">
        <f t="shared" si="0"/>
        <v>40</v>
      </c>
      <c r="B41" s="13" t="s">
        <v>62</v>
      </c>
      <c r="C41" s="14" t="str">
        <f t="array" aca="1" ref="C41" ca="1">INDEX('Rooms Master'!U:U,MATCH(B41,'Rooms Master'!D:D,0))</f>
        <v>N</v>
      </c>
      <c r="D41" s="15">
        <v>38</v>
      </c>
      <c r="E41" s="15">
        <v>8</v>
      </c>
      <c r="F41" s="15">
        <v>2</v>
      </c>
      <c r="G41" s="16">
        <v>6</v>
      </c>
      <c r="H41" s="15">
        <v>0</v>
      </c>
      <c r="I41" s="15"/>
      <c r="J41" s="15"/>
      <c r="K41" s="15"/>
      <c r="L41" s="1" t="s">
        <v>20</v>
      </c>
      <c r="M41" s="17">
        <f t="shared" si="14"/>
        <v>0.25</v>
      </c>
      <c r="N41" s="18">
        <f t="shared" si="15"/>
        <v>0</v>
      </c>
      <c r="O41" s="17" t="str">
        <f t="shared" si="3"/>
        <v xml:space="preserve"> </v>
      </c>
      <c r="P41" s="18" t="str">
        <f t="shared" si="13"/>
        <v xml:space="preserve"> </v>
      </c>
      <c r="Q41" s="18" t="str">
        <f t="shared" si="5"/>
        <v xml:space="preserve"> </v>
      </c>
      <c r="R41" s="17">
        <f t="shared" si="16"/>
        <v>2.6118184786157361E-3</v>
      </c>
    </row>
    <row r="42" spans="1:18" ht="12.75">
      <c r="A42" s="12">
        <f t="shared" si="0"/>
        <v>41</v>
      </c>
      <c r="B42" s="13" t="s">
        <v>111</v>
      </c>
      <c r="C42" s="14" t="str">
        <f t="array" aca="1" ref="C42" ca="1">INDEX('Rooms Master'!U:U,MATCH(B42,'Rooms Master'!D:D,0))</f>
        <v>N</v>
      </c>
      <c r="D42" s="15">
        <v>39</v>
      </c>
      <c r="E42" s="15">
        <v>17</v>
      </c>
      <c r="F42" s="15">
        <v>6</v>
      </c>
      <c r="G42" s="16">
        <v>0</v>
      </c>
      <c r="H42" s="15">
        <v>0</v>
      </c>
      <c r="I42" s="15"/>
      <c r="J42" s="15"/>
      <c r="K42" s="15"/>
      <c r="L42" s="1" t="s">
        <v>24</v>
      </c>
      <c r="M42" s="17">
        <f t="shared" si="14"/>
        <v>0.35294117647058826</v>
      </c>
      <c r="N42" s="18">
        <f t="shared" si="15"/>
        <v>0</v>
      </c>
      <c r="O42" s="17" t="str">
        <f t="shared" si="3"/>
        <v xml:space="preserve"> </v>
      </c>
      <c r="P42" s="17" t="str">
        <f t="shared" si="13"/>
        <v xml:space="preserve"> </v>
      </c>
      <c r="Q42" s="17" t="str">
        <f t="shared" si="5"/>
        <v xml:space="preserve"> </v>
      </c>
      <c r="R42" s="17">
        <f t="shared" si="16"/>
        <v>5.5501142670584397E-3</v>
      </c>
    </row>
    <row r="43" spans="1:18" ht="12.75">
      <c r="A43" s="12">
        <f t="shared" si="0"/>
        <v>42</v>
      </c>
      <c r="B43" s="13" t="s">
        <v>61</v>
      </c>
      <c r="C43" s="14" t="str">
        <f t="array" aca="1" ref="C43" ca="1">INDEX('Rooms Master'!U:U,MATCH(B43,'Rooms Master'!D:D,0))</f>
        <v>Y</v>
      </c>
      <c r="D43" s="15">
        <v>40</v>
      </c>
      <c r="E43" s="15">
        <v>25</v>
      </c>
      <c r="F43" s="15">
        <v>6</v>
      </c>
      <c r="G43" s="16">
        <v>5</v>
      </c>
      <c r="H43" s="15">
        <v>1</v>
      </c>
      <c r="I43" s="15"/>
      <c r="J43" s="15"/>
      <c r="K43" s="15"/>
      <c r="L43" s="1" t="s">
        <v>20</v>
      </c>
      <c r="M43" s="17">
        <f t="shared" si="14"/>
        <v>0.24</v>
      </c>
      <c r="N43" s="18">
        <f t="shared" si="15"/>
        <v>0.04</v>
      </c>
      <c r="O43" s="17">
        <f t="shared" si="3"/>
        <v>0</v>
      </c>
      <c r="P43" s="17" t="str">
        <f t="shared" si="13"/>
        <v xml:space="preserve"> </v>
      </c>
      <c r="Q43" s="17" t="str">
        <f t="shared" si="5"/>
        <v xml:space="preserve"> </v>
      </c>
      <c r="R43" s="17">
        <f t="shared" si="16"/>
        <v>8.1619327456741754E-3</v>
      </c>
    </row>
    <row r="44" spans="1:18" ht="12.75">
      <c r="A44" s="12">
        <f t="shared" si="0"/>
        <v>43</v>
      </c>
      <c r="B44" s="13" t="s">
        <v>112</v>
      </c>
      <c r="C44" s="14" t="str">
        <f t="array" aca="1" ref="C44" ca="1">INDEX('Rooms Master'!U:U,MATCH(B44,'Rooms Master'!D:D,0))</f>
        <v>Y</v>
      </c>
      <c r="D44" s="15">
        <v>41</v>
      </c>
      <c r="E44" s="15">
        <v>11</v>
      </c>
      <c r="F44" s="15">
        <v>3</v>
      </c>
      <c r="G44" s="16">
        <v>7</v>
      </c>
      <c r="H44" s="15">
        <v>1</v>
      </c>
      <c r="I44" s="15"/>
      <c r="J44" s="15"/>
      <c r="K44" s="15"/>
      <c r="L44" s="1" t="s">
        <v>37</v>
      </c>
      <c r="M44" s="17">
        <f t="shared" si="14"/>
        <v>0.27272727272727271</v>
      </c>
      <c r="N44" s="18">
        <f t="shared" si="15"/>
        <v>9.0909090909090912E-2</v>
      </c>
      <c r="O44" s="17">
        <f t="shared" si="3"/>
        <v>0</v>
      </c>
      <c r="P44" s="17" t="str">
        <f t="shared" si="13"/>
        <v xml:space="preserve"> </v>
      </c>
      <c r="Q44" s="17" t="str">
        <f t="shared" si="5"/>
        <v xml:space="preserve"> </v>
      </c>
      <c r="R44" s="17">
        <f t="shared" si="16"/>
        <v>3.5912504080966375E-3</v>
      </c>
    </row>
    <row r="45" spans="1:18" ht="12.75">
      <c r="A45" s="12">
        <f t="shared" si="0"/>
        <v>44</v>
      </c>
      <c r="B45" s="13" t="s">
        <v>63</v>
      </c>
      <c r="C45" s="14" t="str">
        <f t="array" aca="1" ref="C45" ca="1">INDEX('Rooms Master'!U:U,MATCH(B45,'Rooms Master'!D:D,0))</f>
        <v>Y</v>
      </c>
      <c r="D45" s="15">
        <v>42</v>
      </c>
      <c r="E45" s="15">
        <v>14</v>
      </c>
      <c r="F45" s="15">
        <v>1</v>
      </c>
      <c r="G45" s="16">
        <v>3</v>
      </c>
      <c r="H45" s="15">
        <v>3</v>
      </c>
      <c r="I45" s="15"/>
      <c r="J45" s="15"/>
      <c r="K45" s="15"/>
      <c r="L45" s="1" t="s">
        <v>64</v>
      </c>
      <c r="M45" s="17">
        <f t="shared" si="14"/>
        <v>7.1428571428571425E-2</v>
      </c>
      <c r="N45" s="18">
        <f t="shared" si="15"/>
        <v>0.21428571428571427</v>
      </c>
      <c r="O45" s="17">
        <f t="shared" si="3"/>
        <v>0</v>
      </c>
      <c r="P45" s="17" t="str">
        <f t="shared" si="13"/>
        <v xml:space="preserve"> </v>
      </c>
      <c r="Q45" s="17" t="str">
        <f t="shared" si="5"/>
        <v xml:space="preserve"> </v>
      </c>
      <c r="R45" s="17">
        <f t="shared" si="16"/>
        <v>4.5706823375775384E-3</v>
      </c>
    </row>
    <row r="46" spans="1:18" ht="12.75">
      <c r="A46" s="12">
        <f t="shared" si="0"/>
        <v>45</v>
      </c>
      <c r="B46" s="13" t="s">
        <v>81</v>
      </c>
      <c r="C46" s="14" t="str">
        <f t="array" aca="1" ref="C46" ca="1">INDEX('Rooms Master'!U:U,MATCH(B46,'Rooms Master'!D:D,0))</f>
        <v>Y</v>
      </c>
      <c r="D46" s="15">
        <v>43</v>
      </c>
      <c r="E46" s="15">
        <v>27</v>
      </c>
      <c r="F46" s="15">
        <v>6</v>
      </c>
      <c r="G46" s="16">
        <v>7</v>
      </c>
      <c r="H46" s="15">
        <v>1</v>
      </c>
      <c r="I46" s="15">
        <v>1</v>
      </c>
      <c r="J46" s="15"/>
      <c r="K46" s="15"/>
      <c r="L46" s="1" t="s">
        <v>64</v>
      </c>
      <c r="M46" s="17">
        <f t="shared" si="14"/>
        <v>0.22222222222222221</v>
      </c>
      <c r="N46" s="18">
        <f t="shared" si="15"/>
        <v>3.7037037037037035E-2</v>
      </c>
      <c r="O46" s="17">
        <f t="shared" si="3"/>
        <v>0</v>
      </c>
      <c r="P46" s="17">
        <f t="shared" si="13"/>
        <v>0</v>
      </c>
      <c r="Q46" s="17" t="str">
        <f t="shared" si="5"/>
        <v xml:space="preserve"> </v>
      </c>
      <c r="R46" s="17">
        <f t="shared" si="16"/>
        <v>8.8148873653281102E-3</v>
      </c>
    </row>
    <row r="47" spans="1:18" ht="12.75">
      <c r="A47" s="12">
        <f t="shared" si="0"/>
        <v>46</v>
      </c>
      <c r="B47" s="13" t="s">
        <v>87</v>
      </c>
      <c r="C47" s="14" t="str">
        <f t="array" aca="1" ref="C47" ca="1">INDEX('Rooms Master'!U:U,MATCH(B47,'Rooms Master'!D:D,0))</f>
        <v>Y</v>
      </c>
      <c r="D47" s="15">
        <v>44</v>
      </c>
      <c r="E47" s="22">
        <v>14</v>
      </c>
      <c r="F47" s="15">
        <v>1</v>
      </c>
      <c r="G47" s="16">
        <v>5</v>
      </c>
      <c r="H47" s="15">
        <v>0</v>
      </c>
      <c r="I47" s="15"/>
      <c r="J47" s="15"/>
      <c r="K47" s="15"/>
      <c r="L47" s="1" t="s">
        <v>34</v>
      </c>
      <c r="M47" s="17">
        <f>IFERROR(F47/E46, " ")</f>
        <v>3.7037037037037035E-2</v>
      </c>
      <c r="N47" s="18">
        <f>IFERROR(H47/E46," ")</f>
        <v>0</v>
      </c>
      <c r="O47" s="17" t="str">
        <f t="shared" si="3"/>
        <v xml:space="preserve"> </v>
      </c>
      <c r="P47" s="17" t="str">
        <f t="shared" si="13"/>
        <v xml:space="preserve"> </v>
      </c>
      <c r="Q47" s="17" t="str">
        <f t="shared" si="5"/>
        <v xml:space="preserve"> </v>
      </c>
      <c r="R47" s="17">
        <f>IFERROR(E46/$E$118," ")</f>
        <v>8.8148873653281102E-3</v>
      </c>
    </row>
    <row r="48" spans="1:18" ht="12.75">
      <c r="A48" s="21">
        <v>1</v>
      </c>
      <c r="B48" s="13" t="s">
        <v>57</v>
      </c>
      <c r="C48" s="14" t="str">
        <f t="array" aca="1" ref="C48" ca="1">INDEX('Rooms Master'!U:U,MATCH(B48,'Rooms Master'!D:D,0))</f>
        <v>Y</v>
      </c>
      <c r="D48" s="15">
        <v>45</v>
      </c>
      <c r="E48" s="15">
        <v>53</v>
      </c>
      <c r="F48" s="15">
        <v>12</v>
      </c>
      <c r="G48" s="16">
        <v>6</v>
      </c>
      <c r="H48" s="15">
        <v>4</v>
      </c>
      <c r="I48" s="15">
        <v>1</v>
      </c>
      <c r="J48" s="15"/>
      <c r="K48" s="15"/>
      <c r="L48" s="21" t="s">
        <v>20</v>
      </c>
      <c r="M48" s="17">
        <f t="shared" ref="M48:M68" si="17">IFERROR(F48/E48, " ")</f>
        <v>0.22641509433962265</v>
      </c>
      <c r="N48" s="18">
        <f t="shared" ref="N48:N59" si="18">IFERROR(H48/E48," ")</f>
        <v>7.5471698113207544E-2</v>
      </c>
      <c r="O48" s="24">
        <f t="shared" si="3"/>
        <v>0</v>
      </c>
      <c r="P48" s="18">
        <f t="shared" si="13"/>
        <v>0</v>
      </c>
      <c r="Q48" s="18" t="str">
        <f t="shared" si="5"/>
        <v xml:space="preserve"> </v>
      </c>
      <c r="R48" s="17">
        <f t="shared" ref="R48:R89" si="19">IFERROR(E48/$E$118," ")</f>
        <v>1.7303297420829252E-2</v>
      </c>
    </row>
    <row r="49" spans="1:18" ht="12.75">
      <c r="A49" s="12">
        <f t="shared" ref="A49:A116" si="20">A48+1</f>
        <v>2</v>
      </c>
      <c r="B49" s="13" t="s">
        <v>40</v>
      </c>
      <c r="C49" s="14" t="str">
        <f t="array" aca="1" ref="C49" ca="1">INDEX('Rooms Master'!U:U,MATCH(B49,'Rooms Master'!D:D,0))</f>
        <v>Y</v>
      </c>
      <c r="D49" s="15">
        <v>46</v>
      </c>
      <c r="E49" s="15">
        <v>30</v>
      </c>
      <c r="F49" s="15">
        <v>12</v>
      </c>
      <c r="G49" s="16">
        <v>5</v>
      </c>
      <c r="H49" s="15">
        <v>0</v>
      </c>
      <c r="I49" s="15"/>
      <c r="J49" s="15"/>
      <c r="K49" s="15"/>
      <c r="L49" s="1" t="s">
        <v>20</v>
      </c>
      <c r="M49" s="17">
        <f t="shared" si="17"/>
        <v>0.4</v>
      </c>
      <c r="N49" s="18">
        <f t="shared" si="18"/>
        <v>0</v>
      </c>
      <c r="O49" s="17" t="str">
        <f t="shared" si="3"/>
        <v xml:space="preserve"> </v>
      </c>
      <c r="P49" s="17" t="str">
        <f t="shared" si="13"/>
        <v xml:space="preserve"> </v>
      </c>
      <c r="Q49" s="17" t="str">
        <f t="shared" si="5"/>
        <v xml:space="preserve"> </v>
      </c>
      <c r="R49" s="17">
        <f t="shared" si="19"/>
        <v>9.7943192948090115E-3</v>
      </c>
    </row>
    <row r="50" spans="1:18" ht="12.75">
      <c r="A50" s="12">
        <f t="shared" si="20"/>
        <v>3</v>
      </c>
      <c r="B50" s="13" t="s">
        <v>107</v>
      </c>
      <c r="C50" s="14" t="str">
        <f t="array" aca="1" ref="C50" ca="1">INDEX('Rooms Master'!U:U,MATCH(B50,'Rooms Master'!D:D,0))</f>
        <v>Y</v>
      </c>
      <c r="D50" s="15">
        <v>47</v>
      </c>
      <c r="E50" s="15">
        <v>15</v>
      </c>
      <c r="F50" s="15">
        <v>3</v>
      </c>
      <c r="G50" s="16">
        <v>0</v>
      </c>
      <c r="H50" s="15">
        <v>0</v>
      </c>
      <c r="I50" s="15"/>
      <c r="J50" s="15"/>
      <c r="K50" s="15"/>
      <c r="L50" s="1" t="s">
        <v>24</v>
      </c>
      <c r="M50" s="17">
        <f t="shared" si="17"/>
        <v>0.2</v>
      </c>
      <c r="N50" s="18">
        <f t="shared" si="18"/>
        <v>0</v>
      </c>
      <c r="O50" s="17" t="str">
        <f t="shared" si="3"/>
        <v xml:space="preserve"> </v>
      </c>
      <c r="P50" s="17" t="str">
        <f t="shared" si="13"/>
        <v xml:space="preserve"> </v>
      </c>
      <c r="Q50" s="17" t="str">
        <f t="shared" si="5"/>
        <v xml:space="preserve"> </v>
      </c>
      <c r="R50" s="17">
        <f t="shared" si="19"/>
        <v>4.8971596474045058E-3</v>
      </c>
    </row>
    <row r="51" spans="1:18" ht="12.75">
      <c r="A51" s="12">
        <f t="shared" si="20"/>
        <v>4</v>
      </c>
      <c r="B51" s="13" t="s">
        <v>108</v>
      </c>
      <c r="C51" s="14" t="str">
        <f t="array" aca="1" ref="C51" ca="1">INDEX('Rooms Master'!U:U,MATCH(B51,'Rooms Master'!D:D,0))</f>
        <v>Y</v>
      </c>
      <c r="D51" s="15">
        <v>48</v>
      </c>
      <c r="E51" s="15">
        <v>17</v>
      </c>
      <c r="F51" s="15">
        <v>3</v>
      </c>
      <c r="G51" s="16">
        <v>7</v>
      </c>
      <c r="H51" s="15">
        <v>2</v>
      </c>
      <c r="I51" s="15"/>
      <c r="J51" s="15"/>
      <c r="K51" s="15"/>
      <c r="L51" s="1" t="s">
        <v>24</v>
      </c>
      <c r="M51" s="17">
        <f t="shared" si="17"/>
        <v>0.17647058823529413</v>
      </c>
      <c r="N51" s="18">
        <f t="shared" si="18"/>
        <v>0.11764705882352941</v>
      </c>
      <c r="O51" s="17">
        <f t="shared" si="3"/>
        <v>0</v>
      </c>
      <c r="P51" s="17" t="str">
        <f t="shared" si="13"/>
        <v xml:space="preserve"> </v>
      </c>
      <c r="Q51" s="17" t="str">
        <f t="shared" si="5"/>
        <v xml:space="preserve"> </v>
      </c>
      <c r="R51" s="17">
        <f t="shared" si="19"/>
        <v>5.5501142670584397E-3</v>
      </c>
    </row>
    <row r="52" spans="1:18" ht="12.75">
      <c r="A52" s="12">
        <f t="shared" si="20"/>
        <v>5</v>
      </c>
      <c r="B52" s="13" t="s">
        <v>109</v>
      </c>
      <c r="C52" s="14" t="str">
        <f t="array" aca="1" ref="C52" ca="1">INDEX('Rooms Master'!U:U,MATCH(B52,'Rooms Master'!D:D,0))</f>
        <v>Y</v>
      </c>
      <c r="D52" s="15">
        <v>49</v>
      </c>
      <c r="E52" s="15">
        <v>20</v>
      </c>
      <c r="F52" s="15">
        <v>4</v>
      </c>
      <c r="G52" s="16">
        <v>6</v>
      </c>
      <c r="H52" s="15">
        <v>0</v>
      </c>
      <c r="I52" s="15"/>
      <c r="J52" s="15"/>
      <c r="K52" s="15"/>
      <c r="L52" s="1" t="s">
        <v>37</v>
      </c>
      <c r="M52" s="17">
        <f t="shared" si="17"/>
        <v>0.2</v>
      </c>
      <c r="N52" s="18">
        <f t="shared" si="18"/>
        <v>0</v>
      </c>
      <c r="O52" s="17" t="str">
        <f t="shared" si="3"/>
        <v xml:space="preserve"> </v>
      </c>
      <c r="P52" s="17" t="str">
        <f t="shared" si="13"/>
        <v xml:space="preserve"> </v>
      </c>
      <c r="Q52" s="17" t="str">
        <f t="shared" si="5"/>
        <v xml:space="preserve"> </v>
      </c>
      <c r="R52" s="17">
        <f t="shared" si="19"/>
        <v>6.5295461965393401E-3</v>
      </c>
    </row>
    <row r="53" spans="1:18" ht="12.75">
      <c r="A53" s="12">
        <f t="shared" si="20"/>
        <v>6</v>
      </c>
      <c r="B53" s="13" t="s">
        <v>52</v>
      </c>
      <c r="C53" s="14" t="str">
        <f t="array" aca="1" ref="C53" ca="1">INDEX('Rooms Master'!U:U,MATCH(B53,'Rooms Master'!D:D,0))</f>
        <v>Y</v>
      </c>
      <c r="D53" s="15">
        <v>50</v>
      </c>
      <c r="E53" s="15">
        <v>32</v>
      </c>
      <c r="F53" s="15">
        <v>7</v>
      </c>
      <c r="G53" s="16">
        <v>6</v>
      </c>
      <c r="H53" s="15">
        <v>0</v>
      </c>
      <c r="I53" s="15"/>
      <c r="J53" s="15"/>
      <c r="K53" s="15"/>
      <c r="L53" s="1" t="s">
        <v>24</v>
      </c>
      <c r="M53" s="17">
        <f t="shared" si="17"/>
        <v>0.21875</v>
      </c>
      <c r="N53" s="18">
        <f t="shared" si="18"/>
        <v>0</v>
      </c>
      <c r="O53" s="17" t="str">
        <f t="shared" si="3"/>
        <v xml:space="preserve"> </v>
      </c>
      <c r="P53" s="17" t="str">
        <f t="shared" si="13"/>
        <v xml:space="preserve"> </v>
      </c>
      <c r="Q53" s="17" t="str">
        <f t="shared" si="5"/>
        <v xml:space="preserve"> </v>
      </c>
      <c r="R53" s="17">
        <f t="shared" si="19"/>
        <v>1.0447273914462945E-2</v>
      </c>
    </row>
    <row r="54" spans="1:18" ht="12.75">
      <c r="A54" s="12">
        <f t="shared" si="20"/>
        <v>7</v>
      </c>
      <c r="B54" s="13" t="s">
        <v>88</v>
      </c>
      <c r="C54" s="14" t="str">
        <f t="array" aca="1" ref="C54" ca="1">INDEX('Rooms Master'!U:U,MATCH(B54,'Rooms Master'!D:D,0))</f>
        <v>N</v>
      </c>
      <c r="D54" s="15">
        <v>51</v>
      </c>
      <c r="E54" s="15">
        <v>1</v>
      </c>
      <c r="F54" s="15">
        <v>1</v>
      </c>
      <c r="G54" s="16">
        <v>4</v>
      </c>
      <c r="H54" s="15">
        <v>0</v>
      </c>
      <c r="I54" s="15"/>
      <c r="J54" s="15"/>
      <c r="K54" s="15"/>
      <c r="L54" s="1" t="s">
        <v>24</v>
      </c>
      <c r="M54" s="17">
        <f t="shared" si="17"/>
        <v>1</v>
      </c>
      <c r="N54" s="18">
        <f t="shared" si="18"/>
        <v>0</v>
      </c>
      <c r="O54" s="17" t="str">
        <f t="shared" si="3"/>
        <v xml:space="preserve"> </v>
      </c>
      <c r="P54" s="17" t="str">
        <f t="shared" si="13"/>
        <v xml:space="preserve"> </v>
      </c>
      <c r="Q54" s="17" t="str">
        <f t="shared" si="5"/>
        <v xml:space="preserve"> </v>
      </c>
      <c r="R54" s="17">
        <f t="shared" si="19"/>
        <v>3.2647730982696702E-4</v>
      </c>
    </row>
    <row r="55" spans="1:18" ht="12.75">
      <c r="A55" s="12">
        <f t="shared" si="20"/>
        <v>8</v>
      </c>
      <c r="B55" s="13" t="s">
        <v>72</v>
      </c>
      <c r="C55" s="14" t="str">
        <f t="array" aca="1" ref="C55" ca="1">INDEX('Rooms Master'!U:U,MATCH(B55,'Rooms Master'!D:D,0))</f>
        <v>N</v>
      </c>
      <c r="D55" s="15">
        <v>52</v>
      </c>
      <c r="E55" s="15">
        <v>13</v>
      </c>
      <c r="F55" s="15">
        <v>12</v>
      </c>
      <c r="G55" s="16">
        <v>5</v>
      </c>
      <c r="H55" s="15">
        <v>0</v>
      </c>
      <c r="I55" s="15"/>
      <c r="J55" s="15"/>
      <c r="K55" s="15"/>
      <c r="M55" s="17">
        <f t="shared" si="17"/>
        <v>0.92307692307692313</v>
      </c>
      <c r="N55" s="18">
        <f t="shared" si="18"/>
        <v>0</v>
      </c>
      <c r="O55" s="17" t="str">
        <f t="shared" si="3"/>
        <v xml:space="preserve"> </v>
      </c>
      <c r="P55" s="17" t="str">
        <f t="shared" si="13"/>
        <v xml:space="preserve"> </v>
      </c>
      <c r="Q55" s="17" t="str">
        <f t="shared" si="5"/>
        <v xml:space="preserve"> </v>
      </c>
      <c r="R55" s="17">
        <f t="shared" si="19"/>
        <v>4.244205027750571E-3</v>
      </c>
    </row>
    <row r="56" spans="1:18" ht="12.75">
      <c r="A56" s="12">
        <f t="shared" si="20"/>
        <v>9</v>
      </c>
      <c r="B56" s="13" t="s">
        <v>89</v>
      </c>
      <c r="C56" s="14" t="str">
        <f t="array" aca="1" ref="C56" ca="1">INDEX('Rooms Master'!U:U,MATCH(B56,'Rooms Master'!D:D,0))</f>
        <v>Y</v>
      </c>
      <c r="D56" s="15">
        <v>53</v>
      </c>
      <c r="E56" s="15">
        <v>24</v>
      </c>
      <c r="F56" s="15">
        <v>5</v>
      </c>
      <c r="G56" s="16">
        <v>3</v>
      </c>
      <c r="H56" s="15">
        <v>0</v>
      </c>
      <c r="I56" s="15"/>
      <c r="J56" s="15"/>
      <c r="K56" s="15"/>
      <c r="L56" s="1" t="s">
        <v>39</v>
      </c>
      <c r="M56" s="17">
        <f t="shared" si="17"/>
        <v>0.20833333333333334</v>
      </c>
      <c r="N56" s="18">
        <f t="shared" si="18"/>
        <v>0</v>
      </c>
      <c r="O56" s="17" t="str">
        <f t="shared" si="3"/>
        <v xml:space="preserve"> </v>
      </c>
      <c r="P56" s="17" t="str">
        <f t="shared" si="13"/>
        <v xml:space="preserve"> </v>
      </c>
      <c r="Q56" s="17" t="str">
        <f t="shared" si="5"/>
        <v xml:space="preserve"> </v>
      </c>
      <c r="R56" s="17">
        <f t="shared" si="19"/>
        <v>7.8354554358472089E-3</v>
      </c>
    </row>
    <row r="57" spans="1:18" ht="12.75">
      <c r="A57" s="12">
        <f t="shared" si="20"/>
        <v>10</v>
      </c>
      <c r="B57" s="13" t="s">
        <v>65</v>
      </c>
      <c r="C57" s="14" t="str">
        <f t="array" aca="1" ref="C57" ca="1">INDEX('Rooms Master'!U:U,MATCH(B57,'Rooms Master'!D:D,0))</f>
        <v>Y</v>
      </c>
      <c r="D57" s="15">
        <v>54</v>
      </c>
      <c r="E57" s="15">
        <v>22</v>
      </c>
      <c r="F57" s="15">
        <v>9</v>
      </c>
      <c r="G57" s="16">
        <v>8</v>
      </c>
      <c r="H57" s="15">
        <v>1</v>
      </c>
      <c r="I57" s="15"/>
      <c r="J57" s="15"/>
      <c r="K57" s="15"/>
      <c r="L57" s="1" t="s">
        <v>20</v>
      </c>
      <c r="M57" s="17">
        <f t="shared" si="17"/>
        <v>0.40909090909090912</v>
      </c>
      <c r="N57" s="18">
        <f t="shared" si="18"/>
        <v>4.5454545454545456E-2</v>
      </c>
      <c r="O57" s="17">
        <f t="shared" si="3"/>
        <v>0</v>
      </c>
      <c r="P57" s="17" t="str">
        <f t="shared" si="13"/>
        <v xml:space="preserve"> </v>
      </c>
      <c r="Q57" s="17" t="str">
        <f t="shared" si="5"/>
        <v xml:space="preserve"> </v>
      </c>
      <c r="R57" s="17">
        <f t="shared" si="19"/>
        <v>7.1825008161932749E-3</v>
      </c>
    </row>
    <row r="58" spans="1:18" ht="12.75">
      <c r="A58" s="12">
        <f t="shared" si="20"/>
        <v>11</v>
      </c>
      <c r="B58" s="1" t="s">
        <v>53</v>
      </c>
      <c r="C58" s="14" t="str">
        <f t="array" aca="1" ref="C58" ca="1">INDEX('Rooms Master'!U:U,MATCH(B58,'Rooms Master'!D:D,0))</f>
        <v>Y</v>
      </c>
      <c r="D58" s="15">
        <v>55</v>
      </c>
      <c r="E58" s="15">
        <v>67</v>
      </c>
      <c r="F58" s="15">
        <v>18</v>
      </c>
      <c r="G58" s="16">
        <v>9</v>
      </c>
      <c r="H58" s="15">
        <v>3</v>
      </c>
      <c r="I58" s="22">
        <v>1</v>
      </c>
      <c r="J58" s="15">
        <v>1</v>
      </c>
      <c r="K58" s="15">
        <v>1</v>
      </c>
      <c r="L58" s="1" t="s">
        <v>20</v>
      </c>
      <c r="M58" s="17">
        <f t="shared" si="17"/>
        <v>0.26865671641791045</v>
      </c>
      <c r="N58" s="18">
        <f t="shared" si="18"/>
        <v>4.4776119402985072E-2</v>
      </c>
      <c r="O58" s="17">
        <f t="shared" si="3"/>
        <v>0.33333333333333331</v>
      </c>
      <c r="P58" s="17" t="str">
        <f>IFERROR(K58/I60, " ")</f>
        <v xml:space="preserve"> </v>
      </c>
      <c r="Q58" s="17">
        <f t="shared" si="5"/>
        <v>1</v>
      </c>
      <c r="R58" s="17">
        <f t="shared" si="19"/>
        <v>2.187397975840679E-2</v>
      </c>
    </row>
    <row r="59" spans="1:18" ht="12.75">
      <c r="A59" s="12">
        <f t="shared" si="20"/>
        <v>12</v>
      </c>
      <c r="B59" s="13" t="s">
        <v>74</v>
      </c>
      <c r="C59" s="14" t="str">
        <f t="array" aca="1" ref="C59" ca="1">INDEX('Rooms Master'!U:U,MATCH(B59,'Rooms Master'!D:D,0))</f>
        <v>Y</v>
      </c>
      <c r="D59" s="15">
        <v>56</v>
      </c>
      <c r="E59" s="15">
        <v>9</v>
      </c>
      <c r="F59" s="15">
        <v>3</v>
      </c>
      <c r="G59" s="16">
        <v>8</v>
      </c>
      <c r="H59" s="15">
        <v>1</v>
      </c>
      <c r="I59" s="15"/>
      <c r="J59" s="15"/>
      <c r="K59" s="15"/>
      <c r="L59" s="1" t="s">
        <v>20</v>
      </c>
      <c r="M59" s="17">
        <f t="shared" si="17"/>
        <v>0.33333333333333331</v>
      </c>
      <c r="N59" s="18">
        <f t="shared" si="18"/>
        <v>0.1111111111111111</v>
      </c>
      <c r="O59" s="17">
        <f t="shared" si="3"/>
        <v>0</v>
      </c>
      <c r="P59" s="17" t="str">
        <f>IFERROR(K59/I59, " ")</f>
        <v xml:space="preserve"> </v>
      </c>
      <c r="Q59" s="17" t="str">
        <f t="shared" si="5"/>
        <v xml:space="preserve"> </v>
      </c>
      <c r="R59" s="17">
        <f t="shared" si="19"/>
        <v>2.9382957884427031E-3</v>
      </c>
    </row>
    <row r="60" spans="1:18" ht="12.75">
      <c r="A60" s="12">
        <f t="shared" si="20"/>
        <v>13</v>
      </c>
      <c r="B60" s="13" t="s">
        <v>83</v>
      </c>
      <c r="C60" s="14" t="str">
        <f t="array" aca="1" ref="C60" ca="1">INDEX('Rooms Master'!U:U,MATCH(B60,'Rooms Master'!D:D,0))</f>
        <v>Y</v>
      </c>
      <c r="D60" s="15">
        <v>57</v>
      </c>
      <c r="E60" s="15">
        <v>47</v>
      </c>
      <c r="F60" s="15">
        <v>6</v>
      </c>
      <c r="G60" s="16">
        <v>0</v>
      </c>
      <c r="H60" s="15">
        <v>0</v>
      </c>
      <c r="I60" s="15"/>
      <c r="J60" s="15"/>
      <c r="K60" s="15"/>
      <c r="L60" s="1"/>
      <c r="M60" s="17">
        <f t="shared" si="17"/>
        <v>0.1276595744680851</v>
      </c>
      <c r="N60" s="18"/>
      <c r="O60" s="17"/>
      <c r="P60" s="17"/>
      <c r="Q60" s="17"/>
      <c r="R60" s="17">
        <f t="shared" si="19"/>
        <v>1.5344433561867449E-2</v>
      </c>
    </row>
    <row r="61" spans="1:18" ht="12.75">
      <c r="A61" s="12">
        <f t="shared" si="20"/>
        <v>14</v>
      </c>
      <c r="B61" s="13" t="s">
        <v>113</v>
      </c>
      <c r="C61" s="14" t="str">
        <f t="array" aca="1" ref="C61" ca="1">INDEX('Rooms Master'!U:U,MATCH(B61,'Rooms Master'!D:D,0))</f>
        <v>Y</v>
      </c>
      <c r="D61" s="15">
        <v>58</v>
      </c>
      <c r="E61" s="15">
        <v>23</v>
      </c>
      <c r="F61" s="15">
        <v>6</v>
      </c>
      <c r="G61" s="16">
        <v>5</v>
      </c>
      <c r="H61" s="15">
        <v>4</v>
      </c>
      <c r="I61" s="15"/>
      <c r="J61" s="15"/>
      <c r="K61" s="15"/>
      <c r="L61" s="1" t="s">
        <v>24</v>
      </c>
      <c r="M61" s="17">
        <f t="shared" si="17"/>
        <v>0.2608695652173913</v>
      </c>
      <c r="N61" s="18">
        <f t="shared" ref="N61:N68" si="21">IFERROR(H61/E61," ")</f>
        <v>0.17391304347826086</v>
      </c>
      <c r="O61" s="17">
        <f t="shared" ref="O61:O116" si="22">IFERROR(K61/H61, " ")</f>
        <v>0</v>
      </c>
      <c r="P61" s="17" t="str">
        <f t="shared" ref="P61:P76" si="23">IFERROR(K61/I61, " ")</f>
        <v xml:space="preserve"> </v>
      </c>
      <c r="Q61" s="17" t="str">
        <f t="shared" ref="Q61:Q116" si="24">IFERROR(K61/J61, " ")</f>
        <v xml:space="preserve"> </v>
      </c>
      <c r="R61" s="17">
        <f t="shared" si="19"/>
        <v>7.5089781260202415E-3</v>
      </c>
    </row>
    <row r="62" spans="1:18" ht="12.75">
      <c r="A62" s="12">
        <f t="shared" si="20"/>
        <v>15</v>
      </c>
      <c r="B62" s="13" t="s">
        <v>49</v>
      </c>
      <c r="C62" s="14" t="str">
        <f t="array" aca="1" ref="C62" ca="1">INDEX('Rooms Master'!U:U,MATCH(B62,'Rooms Master'!D:D,0))</f>
        <v>Y</v>
      </c>
      <c r="D62" s="15">
        <v>59</v>
      </c>
      <c r="E62" s="15">
        <v>26</v>
      </c>
      <c r="F62" s="15">
        <v>11</v>
      </c>
      <c r="G62" s="16">
        <v>6</v>
      </c>
      <c r="H62" s="15">
        <v>0</v>
      </c>
      <c r="I62" s="15"/>
      <c r="J62" s="15"/>
      <c r="K62" s="15"/>
      <c r="L62" s="1" t="s">
        <v>37</v>
      </c>
      <c r="M62" s="17">
        <f t="shared" si="17"/>
        <v>0.42307692307692307</v>
      </c>
      <c r="N62" s="18">
        <f t="shared" si="21"/>
        <v>0</v>
      </c>
      <c r="O62" s="17" t="str">
        <f t="shared" si="22"/>
        <v xml:space="preserve"> </v>
      </c>
      <c r="P62" s="17" t="str">
        <f t="shared" si="23"/>
        <v xml:space="preserve"> </v>
      </c>
      <c r="Q62" s="17" t="str">
        <f t="shared" si="24"/>
        <v xml:space="preserve"> </v>
      </c>
      <c r="R62" s="17">
        <f t="shared" si="19"/>
        <v>8.4884100555011419E-3</v>
      </c>
    </row>
    <row r="63" spans="1:18" ht="12.75">
      <c r="A63" s="12">
        <f t="shared" si="20"/>
        <v>16</v>
      </c>
      <c r="B63" s="13" t="s">
        <v>71</v>
      </c>
      <c r="C63" s="14" t="str">
        <f t="array" aca="1" ref="C63" ca="1">INDEX('Rooms Master'!U:U,MATCH(B63,'Rooms Master'!D:D,0))</f>
        <v>Y</v>
      </c>
      <c r="D63" s="15">
        <v>60</v>
      </c>
      <c r="E63" s="15">
        <v>51</v>
      </c>
      <c r="F63" s="15">
        <v>9</v>
      </c>
      <c r="G63" s="16">
        <v>8</v>
      </c>
      <c r="H63" s="15">
        <v>3</v>
      </c>
      <c r="I63" s="15"/>
      <c r="J63" s="15"/>
      <c r="K63" s="15"/>
      <c r="L63" s="1" t="s">
        <v>20</v>
      </c>
      <c r="M63" s="17">
        <f t="shared" si="17"/>
        <v>0.17647058823529413</v>
      </c>
      <c r="N63" s="18">
        <f t="shared" si="21"/>
        <v>5.8823529411764705E-2</v>
      </c>
      <c r="O63" s="17">
        <f t="shared" si="22"/>
        <v>0</v>
      </c>
      <c r="P63" s="17" t="str">
        <f t="shared" si="23"/>
        <v xml:space="preserve"> </v>
      </c>
      <c r="Q63" s="17" t="str">
        <f t="shared" si="24"/>
        <v xml:space="preserve"> </v>
      </c>
      <c r="R63" s="17">
        <f t="shared" si="19"/>
        <v>1.6650342801175319E-2</v>
      </c>
    </row>
    <row r="64" spans="1:18" ht="12.75">
      <c r="A64" s="12">
        <f t="shared" si="20"/>
        <v>17</v>
      </c>
      <c r="B64" s="13" t="s">
        <v>66</v>
      </c>
      <c r="C64" s="14" t="str">
        <f t="array" aca="1" ref="C64" ca="1">INDEX('Rooms Master'!U:U,MATCH(B64,'Rooms Master'!D:D,0))</f>
        <v>Y</v>
      </c>
      <c r="D64" s="15">
        <v>60</v>
      </c>
      <c r="E64" s="15">
        <v>18</v>
      </c>
      <c r="F64" s="15">
        <v>3</v>
      </c>
      <c r="G64" s="16">
        <v>5</v>
      </c>
      <c r="H64" s="15">
        <v>0</v>
      </c>
      <c r="I64" s="15"/>
      <c r="J64" s="15"/>
      <c r="K64" s="15"/>
      <c r="L64" s="1" t="s">
        <v>34</v>
      </c>
      <c r="M64" s="17">
        <f t="shared" si="17"/>
        <v>0.16666666666666666</v>
      </c>
      <c r="N64" s="18">
        <f t="shared" si="21"/>
        <v>0</v>
      </c>
      <c r="O64" s="17" t="str">
        <f t="shared" si="22"/>
        <v xml:space="preserve"> </v>
      </c>
      <c r="P64" s="17" t="str">
        <f t="shared" si="23"/>
        <v xml:space="preserve"> </v>
      </c>
      <c r="Q64" s="17" t="str">
        <f t="shared" si="24"/>
        <v xml:space="preserve"> </v>
      </c>
      <c r="R64" s="17">
        <f t="shared" si="19"/>
        <v>5.8765915768854062E-3</v>
      </c>
    </row>
    <row r="65" spans="1:25" ht="12.75">
      <c r="A65" s="12">
        <f t="shared" si="20"/>
        <v>18</v>
      </c>
      <c r="B65" s="13" t="s">
        <v>38</v>
      </c>
      <c r="C65" s="14" t="str">
        <f t="array" aca="1" ref="C65" ca="1">INDEX('Rooms Master'!U:U,MATCH(B65,'Rooms Master'!D:D,0))</f>
        <v>Y</v>
      </c>
      <c r="D65" s="15">
        <v>61</v>
      </c>
      <c r="E65" s="15">
        <v>20</v>
      </c>
      <c r="F65" s="15">
        <v>10</v>
      </c>
      <c r="G65" s="16">
        <v>8</v>
      </c>
      <c r="H65" s="15">
        <v>0</v>
      </c>
      <c r="I65" s="15"/>
      <c r="J65" s="15"/>
      <c r="K65" s="15"/>
      <c r="L65" s="1" t="s">
        <v>39</v>
      </c>
      <c r="M65" s="17">
        <f t="shared" si="17"/>
        <v>0.5</v>
      </c>
      <c r="N65" s="18">
        <f t="shared" si="21"/>
        <v>0</v>
      </c>
      <c r="O65" s="17" t="str">
        <f t="shared" si="22"/>
        <v xml:space="preserve"> </v>
      </c>
      <c r="P65" s="17" t="str">
        <f t="shared" si="23"/>
        <v xml:space="preserve"> </v>
      </c>
      <c r="Q65" s="17" t="str">
        <f t="shared" si="24"/>
        <v xml:space="preserve"> </v>
      </c>
      <c r="R65" s="17">
        <f t="shared" si="19"/>
        <v>6.5295461965393401E-3</v>
      </c>
      <c r="U65" s="25"/>
      <c r="V65" s="25"/>
      <c r="W65" s="25"/>
      <c r="X65" s="25"/>
      <c r="Y65" s="25"/>
    </row>
    <row r="66" spans="1:25" ht="12.75">
      <c r="A66" s="12">
        <f t="shared" si="20"/>
        <v>19</v>
      </c>
      <c r="B66" s="13" t="s">
        <v>50</v>
      </c>
      <c r="C66" s="14" t="str">
        <f t="array" aca="1" ref="C66" ca="1">INDEX('Rooms Master'!U:U,MATCH(B66,'Rooms Master'!D:D,0))</f>
        <v>Y</v>
      </c>
      <c r="D66" s="15">
        <v>61</v>
      </c>
      <c r="E66" s="15">
        <v>44</v>
      </c>
      <c r="F66" s="15">
        <v>13</v>
      </c>
      <c r="G66" s="16">
        <v>8</v>
      </c>
      <c r="H66" s="15">
        <v>0</v>
      </c>
      <c r="I66" s="15"/>
      <c r="J66" s="15"/>
      <c r="K66" s="15"/>
      <c r="L66" s="1" t="s">
        <v>34</v>
      </c>
      <c r="M66" s="17">
        <f t="shared" si="17"/>
        <v>0.29545454545454547</v>
      </c>
      <c r="N66" s="18">
        <f t="shared" si="21"/>
        <v>0</v>
      </c>
      <c r="O66" s="17" t="str">
        <f t="shared" si="22"/>
        <v xml:space="preserve"> </v>
      </c>
      <c r="P66" s="17" t="str">
        <f t="shared" si="23"/>
        <v xml:space="preserve"> </v>
      </c>
      <c r="Q66" s="17" t="str">
        <f t="shared" si="24"/>
        <v xml:space="preserve"> </v>
      </c>
      <c r="R66" s="17">
        <f t="shared" si="19"/>
        <v>1.436500163238655E-2</v>
      </c>
    </row>
    <row r="67" spans="1:25" ht="12.75">
      <c r="A67" s="12">
        <f t="shared" si="20"/>
        <v>20</v>
      </c>
      <c r="B67" s="13" t="s">
        <v>110</v>
      </c>
      <c r="C67" s="14" t="str">
        <f t="array" aca="1" ref="C67" ca="1">INDEX('Rooms Master'!U:U,MATCH(B67,'Rooms Master'!D:D,0))</f>
        <v>Y</v>
      </c>
      <c r="D67" s="15">
        <v>62</v>
      </c>
      <c r="E67" s="15">
        <v>8</v>
      </c>
      <c r="F67" s="15">
        <v>0</v>
      </c>
      <c r="G67" s="16">
        <v>12</v>
      </c>
      <c r="H67" s="15">
        <v>4</v>
      </c>
      <c r="I67" s="15"/>
      <c r="J67" s="15"/>
      <c r="K67" s="15"/>
      <c r="L67" s="1" t="s">
        <v>34</v>
      </c>
      <c r="M67" s="17">
        <f t="shared" si="17"/>
        <v>0</v>
      </c>
      <c r="N67" s="18">
        <f t="shared" si="21"/>
        <v>0.5</v>
      </c>
      <c r="O67" s="17">
        <f t="shared" si="22"/>
        <v>0</v>
      </c>
      <c r="P67" s="17" t="str">
        <f t="shared" si="23"/>
        <v xml:space="preserve"> </v>
      </c>
      <c r="Q67" s="17" t="str">
        <f t="shared" si="24"/>
        <v xml:space="preserve"> </v>
      </c>
      <c r="R67" s="17">
        <f t="shared" si="19"/>
        <v>2.6118184786157361E-3</v>
      </c>
    </row>
    <row r="68" spans="1:25" ht="12.75">
      <c r="A68" s="12">
        <f t="shared" si="20"/>
        <v>21</v>
      </c>
      <c r="B68" s="13" t="s">
        <v>30</v>
      </c>
      <c r="C68" s="14" t="str">
        <f t="array" aca="1" ref="C68" ca="1">INDEX('Rooms Master'!U:U,MATCH(B68,'Rooms Master'!D:D,0))</f>
        <v>Y</v>
      </c>
      <c r="D68" s="15">
        <v>63</v>
      </c>
      <c r="E68" s="15">
        <v>43</v>
      </c>
      <c r="F68" s="15">
        <v>2</v>
      </c>
      <c r="G68" s="16">
        <v>10</v>
      </c>
      <c r="H68" s="15">
        <v>4</v>
      </c>
      <c r="I68" s="15">
        <v>1</v>
      </c>
      <c r="J68" s="15">
        <v>1</v>
      </c>
      <c r="K68" s="15">
        <v>1</v>
      </c>
      <c r="L68" s="1" t="s">
        <v>20</v>
      </c>
      <c r="M68" s="17">
        <f t="shared" si="17"/>
        <v>4.6511627906976744E-2</v>
      </c>
      <c r="N68" s="18">
        <f t="shared" si="21"/>
        <v>9.3023255813953487E-2</v>
      </c>
      <c r="O68" s="17">
        <f t="shared" si="22"/>
        <v>0.25</v>
      </c>
      <c r="P68" s="17">
        <f t="shared" si="23"/>
        <v>1</v>
      </c>
      <c r="Q68" s="17">
        <f t="shared" si="24"/>
        <v>1</v>
      </c>
      <c r="R68" s="17">
        <f t="shared" si="19"/>
        <v>1.4038524322559582E-2</v>
      </c>
    </row>
    <row r="69" spans="1:25" ht="12.75">
      <c r="A69" s="12">
        <f t="shared" si="20"/>
        <v>22</v>
      </c>
      <c r="B69" s="13" t="s">
        <v>116</v>
      </c>
      <c r="C69" s="14" t="str">
        <f t="array" aca="1" ref="C69" ca="1">INDEX('Rooms Master'!U:U,MATCH(B69,'Rooms Master'!D:D,0))</f>
        <v>Y</v>
      </c>
      <c r="D69" s="15">
        <v>64</v>
      </c>
      <c r="E69" s="22">
        <v>8</v>
      </c>
      <c r="F69" s="15">
        <v>0</v>
      </c>
      <c r="G69" s="16">
        <v>3</v>
      </c>
      <c r="H69" s="15">
        <v>0</v>
      </c>
      <c r="I69" s="15"/>
      <c r="J69" s="15"/>
      <c r="K69" s="15"/>
      <c r="L69" s="1" t="s">
        <v>64</v>
      </c>
      <c r="M69" s="17" t="str">
        <f>IFERROR(F69/#REF!, " ")</f>
        <v xml:space="preserve"> </v>
      </c>
      <c r="N69" s="18" t="str">
        <f>IFERROR(H69/#REF!," ")</f>
        <v xml:space="preserve"> </v>
      </c>
      <c r="O69" s="17" t="str">
        <f t="shared" si="22"/>
        <v xml:space="preserve"> </v>
      </c>
      <c r="P69" s="17" t="str">
        <f t="shared" si="23"/>
        <v xml:space="preserve"> </v>
      </c>
      <c r="Q69" s="17" t="str">
        <f t="shared" si="24"/>
        <v xml:space="preserve"> </v>
      </c>
      <c r="R69" s="17">
        <f t="shared" si="19"/>
        <v>2.6118184786157361E-3</v>
      </c>
    </row>
    <row r="70" spans="1:25" ht="12.75">
      <c r="A70" s="12">
        <f t="shared" si="20"/>
        <v>23</v>
      </c>
      <c r="B70" s="13" t="s">
        <v>42</v>
      </c>
      <c r="C70" s="14" t="str">
        <f t="array" aca="1" ref="C70" ca="1">INDEX('Rooms Master'!U:U,MATCH(B70,'Rooms Master'!D:D,0))</f>
        <v>Y</v>
      </c>
      <c r="D70" s="15">
        <v>65</v>
      </c>
      <c r="E70" s="15">
        <v>32</v>
      </c>
      <c r="F70" s="15">
        <v>0</v>
      </c>
      <c r="G70" s="16">
        <v>7</v>
      </c>
      <c r="H70" s="15">
        <v>1</v>
      </c>
      <c r="I70" s="15"/>
      <c r="J70" s="15"/>
      <c r="K70" s="15"/>
      <c r="L70" s="1" t="s">
        <v>20</v>
      </c>
      <c r="M70" s="17">
        <f t="shared" ref="M70:M89" si="25">IFERROR(F70/E70, " ")</f>
        <v>0</v>
      </c>
      <c r="N70" s="18">
        <f t="shared" ref="N70:N89" si="26">IFERROR(H70/E70," ")</f>
        <v>3.125E-2</v>
      </c>
      <c r="O70" s="17">
        <f t="shared" si="22"/>
        <v>0</v>
      </c>
      <c r="P70" s="17" t="str">
        <f t="shared" si="23"/>
        <v xml:space="preserve"> </v>
      </c>
      <c r="Q70" s="17" t="str">
        <f t="shared" si="24"/>
        <v xml:space="preserve"> </v>
      </c>
      <c r="R70" s="17">
        <f t="shared" si="19"/>
        <v>1.0447273914462945E-2</v>
      </c>
    </row>
    <row r="71" spans="1:25" ht="12.75">
      <c r="A71" s="12">
        <f t="shared" si="20"/>
        <v>24</v>
      </c>
      <c r="B71" s="13" t="s">
        <v>114</v>
      </c>
      <c r="C71" s="14" t="str">
        <f t="array" aca="1" ref="C71" ca="1">INDEX('Rooms Master'!U:U,MATCH(B71,'Rooms Master'!D:D,0))</f>
        <v>Y</v>
      </c>
      <c r="D71" s="15">
        <v>66</v>
      </c>
      <c r="E71" s="15">
        <v>2</v>
      </c>
      <c r="F71" s="15">
        <v>2</v>
      </c>
      <c r="G71" s="16">
        <v>5</v>
      </c>
      <c r="H71" s="15">
        <v>0</v>
      </c>
      <c r="I71" s="15"/>
      <c r="J71" s="15"/>
      <c r="K71" s="15"/>
      <c r="L71" s="1" t="s">
        <v>24</v>
      </c>
      <c r="M71" s="17">
        <f t="shared" si="25"/>
        <v>1</v>
      </c>
      <c r="N71" s="18">
        <f t="shared" si="26"/>
        <v>0</v>
      </c>
      <c r="O71" s="17" t="str">
        <f t="shared" si="22"/>
        <v xml:space="preserve"> </v>
      </c>
      <c r="P71" s="17" t="str">
        <f t="shared" si="23"/>
        <v xml:space="preserve"> </v>
      </c>
      <c r="Q71" s="17" t="str">
        <f t="shared" si="24"/>
        <v xml:space="preserve"> </v>
      </c>
      <c r="R71" s="17">
        <f t="shared" si="19"/>
        <v>6.5295461965393404E-4</v>
      </c>
    </row>
    <row r="72" spans="1:25" ht="12.75">
      <c r="A72" s="12">
        <f t="shared" si="20"/>
        <v>25</v>
      </c>
      <c r="B72" s="13" t="s">
        <v>47</v>
      </c>
      <c r="C72" s="14" t="str">
        <f t="array" aca="1" ref="C72" ca="1">INDEX('Rooms Master'!U:U,MATCH(B72,'Rooms Master'!D:D,0))</f>
        <v>Y</v>
      </c>
      <c r="D72" s="15">
        <v>67</v>
      </c>
      <c r="E72" s="15">
        <v>59</v>
      </c>
      <c r="F72" s="15">
        <v>25</v>
      </c>
      <c r="G72" s="16">
        <v>10</v>
      </c>
      <c r="H72" s="15">
        <v>4</v>
      </c>
      <c r="I72" s="15"/>
      <c r="J72" s="15"/>
      <c r="K72" s="15"/>
      <c r="L72" s="1" t="s">
        <v>20</v>
      </c>
      <c r="M72" s="17">
        <f t="shared" si="25"/>
        <v>0.42372881355932202</v>
      </c>
      <c r="N72" s="18">
        <f t="shared" si="26"/>
        <v>6.7796610169491525E-2</v>
      </c>
      <c r="O72" s="17">
        <f t="shared" si="22"/>
        <v>0</v>
      </c>
      <c r="P72" s="17" t="str">
        <f t="shared" si="23"/>
        <v xml:space="preserve"> </v>
      </c>
      <c r="Q72" s="17" t="str">
        <f t="shared" si="24"/>
        <v xml:space="preserve"> </v>
      </c>
      <c r="R72" s="17">
        <f t="shared" si="19"/>
        <v>1.9262161279791055E-2</v>
      </c>
    </row>
    <row r="73" spans="1:25" ht="12.75">
      <c r="A73" s="12">
        <f t="shared" si="20"/>
        <v>26</v>
      </c>
      <c r="B73" s="13" t="s">
        <v>21</v>
      </c>
      <c r="C73" s="14" t="str">
        <f t="array" aca="1" ref="C73" ca="1">INDEX('Rooms Master'!U:U,MATCH(B73,'Rooms Master'!D:D,0))</f>
        <v>Y</v>
      </c>
      <c r="D73" s="15">
        <v>68</v>
      </c>
      <c r="E73" s="15">
        <v>83</v>
      </c>
      <c r="F73" s="15">
        <v>52</v>
      </c>
      <c r="G73" s="16">
        <v>12</v>
      </c>
      <c r="H73" s="15">
        <v>0</v>
      </c>
      <c r="I73" s="15">
        <v>1</v>
      </c>
      <c r="J73" s="15">
        <v>1</v>
      </c>
      <c r="K73" s="15">
        <v>1</v>
      </c>
      <c r="L73" s="1" t="s">
        <v>20</v>
      </c>
      <c r="M73" s="17">
        <f t="shared" si="25"/>
        <v>0.62650602409638556</v>
      </c>
      <c r="N73" s="18">
        <f t="shared" si="26"/>
        <v>0</v>
      </c>
      <c r="O73" s="17" t="str">
        <f t="shared" si="22"/>
        <v xml:space="preserve"> </v>
      </c>
      <c r="P73" s="17">
        <f t="shared" si="23"/>
        <v>1</v>
      </c>
      <c r="Q73" s="17">
        <f t="shared" si="24"/>
        <v>1</v>
      </c>
      <c r="R73" s="17">
        <f t="shared" si="19"/>
        <v>2.7097616715638262E-2</v>
      </c>
    </row>
    <row r="74" spans="1:25" ht="12.75">
      <c r="A74" s="12">
        <f t="shared" si="20"/>
        <v>27</v>
      </c>
      <c r="B74" s="13" t="s">
        <v>84</v>
      </c>
      <c r="C74" s="14" t="str">
        <f t="array" aca="1" ref="C74" ca="1">INDEX('Rooms Master'!U:U,MATCH(B74,'Rooms Master'!D:D,0))</f>
        <v>Y</v>
      </c>
      <c r="D74" s="15">
        <v>69</v>
      </c>
      <c r="E74" s="15">
        <v>0</v>
      </c>
      <c r="F74" s="15">
        <v>0</v>
      </c>
      <c r="G74" s="16">
        <v>5</v>
      </c>
      <c r="H74" s="15">
        <v>0</v>
      </c>
      <c r="I74" s="15"/>
      <c r="J74" s="15"/>
      <c r="K74" s="15">
        <v>0</v>
      </c>
      <c r="L74" s="1" t="s">
        <v>20</v>
      </c>
      <c r="M74" s="17" t="str">
        <f t="shared" si="25"/>
        <v xml:space="preserve"> </v>
      </c>
      <c r="N74" s="18" t="str">
        <f t="shared" si="26"/>
        <v xml:space="preserve"> </v>
      </c>
      <c r="O74" s="17" t="str">
        <f t="shared" si="22"/>
        <v xml:space="preserve"> </v>
      </c>
      <c r="P74" s="17" t="str">
        <f t="shared" si="23"/>
        <v xml:space="preserve"> </v>
      </c>
      <c r="Q74" s="17" t="str">
        <f t="shared" si="24"/>
        <v xml:space="preserve"> </v>
      </c>
      <c r="R74" s="17">
        <f t="shared" si="19"/>
        <v>0</v>
      </c>
    </row>
    <row r="75" spans="1:25" ht="12.75">
      <c r="A75" s="12">
        <f t="shared" si="20"/>
        <v>28</v>
      </c>
      <c r="B75" s="13" t="s">
        <v>77</v>
      </c>
      <c r="C75" s="14" t="str">
        <f t="array" aca="1" ref="C75" ca="1">INDEX('Rooms Master'!U:U,MATCH(B75,'Rooms Master'!D:D,0))</f>
        <v>N</v>
      </c>
      <c r="D75" s="15">
        <v>70</v>
      </c>
      <c r="E75" s="15">
        <v>56</v>
      </c>
      <c r="F75" s="15">
        <v>16</v>
      </c>
      <c r="G75" s="16">
        <v>10</v>
      </c>
      <c r="H75" s="15">
        <v>1</v>
      </c>
      <c r="I75" s="15">
        <v>1</v>
      </c>
      <c r="J75" s="15">
        <v>1</v>
      </c>
      <c r="K75" s="15">
        <v>1</v>
      </c>
      <c r="L75" s="1" t="s">
        <v>20</v>
      </c>
      <c r="M75" s="17">
        <f t="shared" si="25"/>
        <v>0.2857142857142857</v>
      </c>
      <c r="N75" s="18">
        <f t="shared" si="26"/>
        <v>1.7857142857142856E-2</v>
      </c>
      <c r="O75" s="17">
        <f t="shared" si="22"/>
        <v>1</v>
      </c>
      <c r="P75" s="17">
        <f t="shared" si="23"/>
        <v>1</v>
      </c>
      <c r="Q75" s="17">
        <f t="shared" si="24"/>
        <v>1</v>
      </c>
      <c r="R75" s="17">
        <f t="shared" si="19"/>
        <v>1.8282729350310153E-2</v>
      </c>
    </row>
    <row r="76" spans="1:25" ht="12.75">
      <c r="A76" s="12">
        <f t="shared" si="20"/>
        <v>29</v>
      </c>
      <c r="B76" s="13" t="s">
        <v>17</v>
      </c>
      <c r="C76" s="14" t="str">
        <f t="array" aca="1" ref="C76" ca="1">INDEX('Rooms Master'!U:U,MATCH(B76,'Rooms Master'!D:D,0))</f>
        <v>Y</v>
      </c>
      <c r="D76" s="15">
        <v>71</v>
      </c>
      <c r="E76" s="15">
        <v>33</v>
      </c>
      <c r="F76" s="15">
        <v>6</v>
      </c>
      <c r="G76" s="16">
        <v>6</v>
      </c>
      <c r="H76" s="15">
        <v>0</v>
      </c>
      <c r="I76" s="15"/>
      <c r="J76" s="15">
        <v>1</v>
      </c>
      <c r="K76" s="15">
        <v>1</v>
      </c>
      <c r="L76" s="1" t="s">
        <v>18</v>
      </c>
      <c r="M76" s="17">
        <f t="shared" si="25"/>
        <v>0.18181818181818182</v>
      </c>
      <c r="N76" s="18">
        <f t="shared" si="26"/>
        <v>0</v>
      </c>
      <c r="O76" s="17" t="str">
        <f t="shared" si="22"/>
        <v xml:space="preserve"> </v>
      </c>
      <c r="P76" s="17" t="str">
        <f t="shared" si="23"/>
        <v xml:space="preserve"> </v>
      </c>
      <c r="Q76" s="17">
        <f t="shared" si="24"/>
        <v>1</v>
      </c>
      <c r="R76" s="17">
        <f t="shared" si="19"/>
        <v>1.0773751224289911E-2</v>
      </c>
    </row>
    <row r="77" spans="1:25" ht="12.75">
      <c r="A77" s="12">
        <f t="shared" si="20"/>
        <v>30</v>
      </c>
      <c r="B77" s="13" t="s">
        <v>82</v>
      </c>
      <c r="C77" s="14" t="str">
        <f t="array" aca="1" ref="C77" ca="1">INDEX('Rooms Master'!U:U,MATCH(B77,'Rooms Master'!D:D,0))</f>
        <v>Y</v>
      </c>
      <c r="D77" s="15">
        <v>71</v>
      </c>
      <c r="E77" s="15">
        <v>11</v>
      </c>
      <c r="F77" s="15">
        <v>0</v>
      </c>
      <c r="G77" s="16">
        <v>4</v>
      </c>
      <c r="H77" s="15">
        <v>0</v>
      </c>
      <c r="I77" s="15"/>
      <c r="J77" s="15"/>
      <c r="K77" s="15"/>
      <c r="L77" s="1" t="s">
        <v>20</v>
      </c>
      <c r="M77" s="17">
        <f t="shared" si="25"/>
        <v>0</v>
      </c>
      <c r="N77" s="18">
        <f t="shared" si="26"/>
        <v>0</v>
      </c>
      <c r="O77" s="17" t="str">
        <f t="shared" si="22"/>
        <v xml:space="preserve"> </v>
      </c>
      <c r="P77" s="17" t="str">
        <f>IFERROR(K77/I79, " ")</f>
        <v xml:space="preserve"> </v>
      </c>
      <c r="Q77" s="17" t="str">
        <f t="shared" si="24"/>
        <v xml:space="preserve"> </v>
      </c>
      <c r="R77" s="17">
        <f t="shared" si="19"/>
        <v>3.5912504080966375E-3</v>
      </c>
    </row>
    <row r="78" spans="1:25" ht="12.75">
      <c r="A78" s="12">
        <f t="shared" si="20"/>
        <v>31</v>
      </c>
      <c r="B78" s="13" t="s">
        <v>115</v>
      </c>
      <c r="C78" s="14" t="str">
        <f t="array" aca="1" ref="C78" ca="1">INDEX('Rooms Master'!U:U,MATCH(B78,'Rooms Master'!D:D,0))</f>
        <v>Y</v>
      </c>
      <c r="D78" s="15">
        <v>72</v>
      </c>
      <c r="E78" s="15">
        <v>62</v>
      </c>
      <c r="F78" s="15">
        <v>1</v>
      </c>
      <c r="G78" s="16">
        <v>6</v>
      </c>
      <c r="H78" s="15">
        <v>4</v>
      </c>
      <c r="I78" s="15">
        <v>1</v>
      </c>
      <c r="J78" s="15"/>
      <c r="K78" s="15"/>
      <c r="L78" s="1" t="s">
        <v>29</v>
      </c>
      <c r="M78" s="17">
        <f t="shared" si="25"/>
        <v>1.6129032258064516E-2</v>
      </c>
      <c r="N78" s="18">
        <f t="shared" si="26"/>
        <v>6.4516129032258063E-2</v>
      </c>
      <c r="O78" s="17">
        <f t="shared" si="22"/>
        <v>0</v>
      </c>
      <c r="P78" s="17">
        <f t="shared" ref="P78:P115" si="27">IFERROR(K78/I78, " ")</f>
        <v>0</v>
      </c>
      <c r="Q78" s="17" t="str">
        <f t="shared" si="24"/>
        <v xml:space="preserve"> </v>
      </c>
      <c r="R78" s="17">
        <f t="shared" si="19"/>
        <v>2.0241593209271956E-2</v>
      </c>
    </row>
    <row r="79" spans="1:25" ht="12.75">
      <c r="A79" s="12">
        <f t="shared" si="20"/>
        <v>32</v>
      </c>
      <c r="B79" s="13" t="s">
        <v>41</v>
      </c>
      <c r="C79" s="14" t="str">
        <f t="array" aca="1" ref="C79" ca="1">INDEX('Rooms Master'!U:U,MATCH(B79,'Rooms Master'!D:D,0))</f>
        <v>Y</v>
      </c>
      <c r="D79" s="15">
        <v>73</v>
      </c>
      <c r="E79" s="15">
        <v>13</v>
      </c>
      <c r="F79" s="15">
        <v>1</v>
      </c>
      <c r="G79" s="16">
        <v>7</v>
      </c>
      <c r="H79" s="15">
        <v>2</v>
      </c>
      <c r="I79" s="15"/>
      <c r="J79" s="15"/>
      <c r="K79" s="15"/>
      <c r="L79" s="1" t="s">
        <v>34</v>
      </c>
      <c r="M79" s="17">
        <f t="shared" si="25"/>
        <v>7.6923076923076927E-2</v>
      </c>
      <c r="N79" s="18">
        <f t="shared" si="26"/>
        <v>0.15384615384615385</v>
      </c>
      <c r="O79" s="17">
        <f t="shared" si="22"/>
        <v>0</v>
      </c>
      <c r="P79" s="17" t="str">
        <f t="shared" si="27"/>
        <v xml:space="preserve"> </v>
      </c>
      <c r="Q79" s="17" t="str">
        <f t="shared" si="24"/>
        <v xml:space="preserve"> </v>
      </c>
      <c r="R79" s="17">
        <f t="shared" si="19"/>
        <v>4.244205027750571E-3</v>
      </c>
    </row>
    <row r="80" spans="1:25" ht="12.75">
      <c r="A80" s="12">
        <f t="shared" si="20"/>
        <v>33</v>
      </c>
      <c r="B80" s="13" t="s">
        <v>59</v>
      </c>
      <c r="C80" s="14" t="str">
        <f t="array" aca="1" ref="C80" ca="1">INDEX('Rooms Master'!U:U,MATCH(B80,'Rooms Master'!D:D,0))</f>
        <v>Y</v>
      </c>
      <c r="D80" s="15">
        <v>74</v>
      </c>
      <c r="E80" s="15">
        <v>30</v>
      </c>
      <c r="F80" s="15">
        <v>9</v>
      </c>
      <c r="G80" s="16">
        <v>7</v>
      </c>
      <c r="H80" s="15">
        <v>2</v>
      </c>
      <c r="I80" s="15"/>
      <c r="J80" s="15"/>
      <c r="K80" s="15"/>
      <c r="L80" s="1" t="s">
        <v>34</v>
      </c>
      <c r="M80" s="17">
        <f t="shared" si="25"/>
        <v>0.3</v>
      </c>
      <c r="N80" s="18">
        <f t="shared" si="26"/>
        <v>6.6666666666666666E-2</v>
      </c>
      <c r="O80" s="17">
        <f t="shared" si="22"/>
        <v>0</v>
      </c>
      <c r="P80" s="17" t="str">
        <f t="shared" si="27"/>
        <v xml:space="preserve"> </v>
      </c>
      <c r="Q80" s="17" t="str">
        <f t="shared" si="24"/>
        <v xml:space="preserve"> </v>
      </c>
      <c r="R80" s="17">
        <f t="shared" si="19"/>
        <v>9.7943192948090115E-3</v>
      </c>
    </row>
    <row r="81" spans="1:18" ht="12.75">
      <c r="A81" s="12">
        <f t="shared" si="20"/>
        <v>34</v>
      </c>
      <c r="B81" s="13" t="s">
        <v>100</v>
      </c>
      <c r="C81" s="14" t="str">
        <f t="array" aca="1" ref="C81" ca="1">INDEX('Rooms Master'!U:U,MATCH(B81,'Rooms Master'!D:D,0))</f>
        <v>N</v>
      </c>
      <c r="D81" s="14"/>
      <c r="E81" s="15">
        <v>0</v>
      </c>
      <c r="F81" s="15">
        <v>0</v>
      </c>
      <c r="G81" s="16">
        <v>3</v>
      </c>
      <c r="H81" s="15">
        <v>0</v>
      </c>
      <c r="I81" s="15"/>
      <c r="J81" s="15"/>
      <c r="K81" s="15"/>
      <c r="L81" s="1" t="s">
        <v>24</v>
      </c>
      <c r="M81" s="17" t="str">
        <f t="shared" si="25"/>
        <v xml:space="preserve"> </v>
      </c>
      <c r="N81" s="18" t="str">
        <f t="shared" si="26"/>
        <v xml:space="preserve"> </v>
      </c>
      <c r="O81" s="17" t="str">
        <f t="shared" si="22"/>
        <v xml:space="preserve"> </v>
      </c>
      <c r="P81" s="17" t="str">
        <f t="shared" si="27"/>
        <v xml:space="preserve"> </v>
      </c>
      <c r="Q81" s="17" t="str">
        <f t="shared" si="24"/>
        <v xml:space="preserve"> </v>
      </c>
      <c r="R81" s="17">
        <f t="shared" si="19"/>
        <v>0</v>
      </c>
    </row>
    <row r="82" spans="1:18" ht="12.75">
      <c r="A82" s="12">
        <f t="shared" si="20"/>
        <v>35</v>
      </c>
      <c r="B82" s="13" t="s">
        <v>75</v>
      </c>
      <c r="C82" s="14" t="str">
        <f t="array" aca="1" ref="C82" ca="1">INDEX('Rooms Master'!U:U,MATCH(B82,'Rooms Master'!D:D,0))</f>
        <v>N</v>
      </c>
      <c r="D82" s="14"/>
      <c r="E82" s="15">
        <v>0</v>
      </c>
      <c r="F82" s="15">
        <v>0</v>
      </c>
      <c r="G82" s="16">
        <v>0</v>
      </c>
      <c r="H82" s="15">
        <v>0</v>
      </c>
      <c r="I82" s="15"/>
      <c r="J82" s="15"/>
      <c r="K82" s="15"/>
      <c r="L82" s="1" t="s">
        <v>24</v>
      </c>
      <c r="M82" s="17" t="str">
        <f t="shared" si="25"/>
        <v xml:space="preserve"> </v>
      </c>
      <c r="N82" s="18" t="str">
        <f t="shared" si="26"/>
        <v xml:space="preserve"> </v>
      </c>
      <c r="O82" s="17" t="str">
        <f t="shared" si="22"/>
        <v xml:space="preserve"> </v>
      </c>
      <c r="P82" s="17" t="str">
        <f t="shared" si="27"/>
        <v xml:space="preserve"> </v>
      </c>
      <c r="Q82" s="17" t="str">
        <f t="shared" si="24"/>
        <v xml:space="preserve"> </v>
      </c>
      <c r="R82" s="17">
        <f t="shared" si="19"/>
        <v>0</v>
      </c>
    </row>
    <row r="83" spans="1:18" ht="12.75">
      <c r="A83" s="12">
        <f t="shared" si="20"/>
        <v>36</v>
      </c>
      <c r="B83" s="13" t="s">
        <v>95</v>
      </c>
      <c r="C83" s="14" t="str">
        <f t="array" aca="1" ref="C83" ca="1">INDEX('Rooms Master'!U:U,MATCH(B83,'Rooms Master'!D:D,0))</f>
        <v>N</v>
      </c>
      <c r="D83" s="15"/>
      <c r="E83" s="15">
        <v>28</v>
      </c>
      <c r="F83" s="15">
        <v>13</v>
      </c>
      <c r="G83" s="16">
        <v>10</v>
      </c>
      <c r="H83" s="15">
        <v>1</v>
      </c>
      <c r="I83" s="15">
        <v>1</v>
      </c>
      <c r="J83" s="15">
        <v>1</v>
      </c>
      <c r="K83" s="15">
        <v>1</v>
      </c>
      <c r="L83" s="1" t="s">
        <v>20</v>
      </c>
      <c r="M83" s="17">
        <f t="shared" si="25"/>
        <v>0.4642857142857143</v>
      </c>
      <c r="N83" s="18">
        <f t="shared" si="26"/>
        <v>3.5714285714285712E-2</v>
      </c>
      <c r="O83" s="17">
        <f t="shared" si="22"/>
        <v>1</v>
      </c>
      <c r="P83" s="17">
        <f t="shared" si="27"/>
        <v>1</v>
      </c>
      <c r="Q83" s="17">
        <f t="shared" si="24"/>
        <v>1</v>
      </c>
      <c r="R83" s="17">
        <f t="shared" si="19"/>
        <v>9.1413646751550767E-3</v>
      </c>
    </row>
    <row r="84" spans="1:18" ht="12.75">
      <c r="A84" s="12">
        <f t="shared" si="20"/>
        <v>37</v>
      </c>
      <c r="B84" s="13" t="s">
        <v>117</v>
      </c>
      <c r="C84" s="14" t="str">
        <f t="array" aca="1" ref="C84" ca="1">INDEX('Rooms Master'!U:U,MATCH(B84,'Rooms Master'!D:D,0))</f>
        <v>N</v>
      </c>
      <c r="D84" s="15"/>
      <c r="E84" s="15">
        <v>9</v>
      </c>
      <c r="F84" s="15">
        <v>9</v>
      </c>
      <c r="G84" s="16">
        <v>7</v>
      </c>
      <c r="H84" s="15">
        <v>0</v>
      </c>
      <c r="I84" s="15"/>
      <c r="J84" s="15"/>
      <c r="K84" s="15"/>
      <c r="L84" s="1" t="s">
        <v>20</v>
      </c>
      <c r="M84" s="17">
        <f t="shared" si="25"/>
        <v>1</v>
      </c>
      <c r="N84" s="18">
        <f t="shared" si="26"/>
        <v>0</v>
      </c>
      <c r="O84" s="17" t="str">
        <f t="shared" si="22"/>
        <v xml:space="preserve"> </v>
      </c>
      <c r="P84" s="17" t="str">
        <f t="shared" si="27"/>
        <v xml:space="preserve"> </v>
      </c>
      <c r="Q84" s="17" t="str">
        <f t="shared" si="24"/>
        <v xml:space="preserve"> </v>
      </c>
      <c r="R84" s="17">
        <f t="shared" si="19"/>
        <v>2.9382957884427031E-3</v>
      </c>
    </row>
    <row r="85" spans="1:18" ht="12.75">
      <c r="A85" s="12">
        <f t="shared" si="20"/>
        <v>38</v>
      </c>
      <c r="B85" s="13" t="s">
        <v>118</v>
      </c>
      <c r="C85" s="14" t="str">
        <f t="array" aca="1" ref="C85" ca="1">INDEX('Rooms Master'!U:U,MATCH(B85,'Rooms Master'!D:D,0))</f>
        <v>N</v>
      </c>
      <c r="D85" s="14"/>
      <c r="E85" s="15">
        <v>2</v>
      </c>
      <c r="F85" s="15">
        <v>2</v>
      </c>
      <c r="G85" s="16">
        <v>8</v>
      </c>
      <c r="H85" s="15">
        <v>0</v>
      </c>
      <c r="I85" s="15"/>
      <c r="J85" s="15"/>
      <c r="K85" s="15"/>
      <c r="L85" s="1" t="s">
        <v>24</v>
      </c>
      <c r="M85" s="17">
        <f t="shared" si="25"/>
        <v>1</v>
      </c>
      <c r="N85" s="18">
        <f t="shared" si="26"/>
        <v>0</v>
      </c>
      <c r="O85" s="17" t="str">
        <f t="shared" si="22"/>
        <v xml:space="preserve"> </v>
      </c>
      <c r="P85" s="17" t="str">
        <f t="shared" si="27"/>
        <v xml:space="preserve"> </v>
      </c>
      <c r="Q85" s="17" t="str">
        <f t="shared" si="24"/>
        <v xml:space="preserve"> </v>
      </c>
      <c r="R85" s="17">
        <f t="shared" si="19"/>
        <v>6.5295461965393404E-4</v>
      </c>
    </row>
    <row r="86" spans="1:18" ht="12.75">
      <c r="A86" s="12">
        <f t="shared" si="20"/>
        <v>39</v>
      </c>
      <c r="B86" s="13" t="s">
        <v>96</v>
      </c>
      <c r="C86" s="14" t="str">
        <f t="array" aca="1" ref="C86" ca="1">INDEX('Rooms Master'!U:U,MATCH(B86,'Rooms Master'!D:D,0))</f>
        <v>N</v>
      </c>
      <c r="D86" s="15"/>
      <c r="E86" s="15">
        <v>34</v>
      </c>
      <c r="F86" s="15">
        <v>8</v>
      </c>
      <c r="G86" s="16">
        <v>10</v>
      </c>
      <c r="H86" s="15">
        <v>1</v>
      </c>
      <c r="I86" s="15">
        <v>1</v>
      </c>
      <c r="J86" s="15">
        <v>1</v>
      </c>
      <c r="K86" s="15">
        <v>1</v>
      </c>
      <c r="L86" s="1" t="s">
        <v>20</v>
      </c>
      <c r="M86" s="17">
        <f t="shared" si="25"/>
        <v>0.23529411764705882</v>
      </c>
      <c r="N86" s="18">
        <f t="shared" si="26"/>
        <v>2.9411764705882353E-2</v>
      </c>
      <c r="O86" s="17">
        <f t="shared" si="22"/>
        <v>1</v>
      </c>
      <c r="P86" s="17">
        <f t="shared" si="27"/>
        <v>1</v>
      </c>
      <c r="Q86" s="17">
        <f t="shared" si="24"/>
        <v>1</v>
      </c>
      <c r="R86" s="17">
        <f t="shared" si="19"/>
        <v>1.1100228534116879E-2</v>
      </c>
    </row>
    <row r="87" spans="1:18" ht="12.75">
      <c r="A87" s="12">
        <f t="shared" si="20"/>
        <v>40</v>
      </c>
      <c r="B87" s="13" t="s">
        <v>97</v>
      </c>
      <c r="C87" s="14" t="str">
        <f t="array" aca="1" ref="C87" ca="1">INDEX('Rooms Master'!U:U,MATCH(B87,'Rooms Master'!D:D,0))</f>
        <v>N</v>
      </c>
      <c r="D87" s="15"/>
      <c r="E87" s="15">
        <v>16</v>
      </c>
      <c r="F87" s="15">
        <v>8</v>
      </c>
      <c r="G87" s="16">
        <v>4</v>
      </c>
      <c r="H87" s="15">
        <v>0</v>
      </c>
      <c r="I87" s="15"/>
      <c r="J87" s="15">
        <v>1</v>
      </c>
      <c r="K87" s="15">
        <v>1</v>
      </c>
      <c r="L87" s="1" t="s">
        <v>20</v>
      </c>
      <c r="M87" s="17">
        <f t="shared" si="25"/>
        <v>0.5</v>
      </c>
      <c r="N87" s="18">
        <f t="shared" si="26"/>
        <v>0</v>
      </c>
      <c r="O87" s="17" t="str">
        <f t="shared" si="22"/>
        <v xml:space="preserve"> </v>
      </c>
      <c r="P87" s="17" t="str">
        <f t="shared" si="27"/>
        <v xml:space="preserve"> </v>
      </c>
      <c r="Q87" s="17">
        <f t="shared" si="24"/>
        <v>1</v>
      </c>
      <c r="R87" s="17">
        <f t="shared" si="19"/>
        <v>5.2236369572314723E-3</v>
      </c>
    </row>
    <row r="88" spans="1:18" ht="12.75">
      <c r="A88" s="12">
        <f t="shared" si="20"/>
        <v>41</v>
      </c>
      <c r="B88" s="13" t="s">
        <v>122</v>
      </c>
      <c r="C88" s="14" t="str">
        <f t="array" aca="1" ref="C88" ca="1">INDEX('Rooms Master'!U:U,MATCH(B88,'Rooms Master'!D:D,0))</f>
        <v>N</v>
      </c>
      <c r="D88" s="15"/>
      <c r="E88" s="15">
        <v>5</v>
      </c>
      <c r="F88" s="15">
        <v>2</v>
      </c>
      <c r="G88" s="16">
        <v>4</v>
      </c>
      <c r="H88" s="15">
        <v>0</v>
      </c>
      <c r="I88" s="15"/>
      <c r="J88" s="15"/>
      <c r="K88" s="15"/>
      <c r="L88" s="21" t="s">
        <v>20</v>
      </c>
      <c r="M88" s="17">
        <f t="shared" si="25"/>
        <v>0.4</v>
      </c>
      <c r="N88" s="18">
        <f t="shared" si="26"/>
        <v>0</v>
      </c>
      <c r="O88" s="18" t="str">
        <f t="shared" si="22"/>
        <v xml:space="preserve"> </v>
      </c>
      <c r="P88" s="17" t="str">
        <f t="shared" si="27"/>
        <v xml:space="preserve"> </v>
      </c>
      <c r="Q88" s="17" t="str">
        <f t="shared" si="24"/>
        <v xml:space="preserve"> </v>
      </c>
      <c r="R88" s="17">
        <f t="shared" si="19"/>
        <v>1.632386549134835E-3</v>
      </c>
    </row>
    <row r="89" spans="1:18" ht="12.75">
      <c r="A89" s="12">
        <f t="shared" si="20"/>
        <v>42</v>
      </c>
      <c r="B89" s="13" t="s">
        <v>123</v>
      </c>
      <c r="C89" s="14" t="str">
        <f t="array" aca="1" ref="C89" ca="1">INDEX('Rooms Master'!U:U,MATCH(B89,'Rooms Master'!D:D,0))</f>
        <v>N</v>
      </c>
      <c r="D89" s="15"/>
      <c r="E89" s="15">
        <v>2</v>
      </c>
      <c r="F89" s="15">
        <v>1</v>
      </c>
      <c r="G89" s="16">
        <v>5</v>
      </c>
      <c r="H89" s="15">
        <v>0</v>
      </c>
      <c r="I89" s="15"/>
      <c r="J89" s="15"/>
      <c r="K89" s="15"/>
      <c r="L89" s="1" t="s">
        <v>34</v>
      </c>
      <c r="M89" s="17">
        <f t="shared" si="25"/>
        <v>0.5</v>
      </c>
      <c r="N89" s="18">
        <f t="shared" si="26"/>
        <v>0</v>
      </c>
      <c r="O89" s="17" t="str">
        <f t="shared" si="22"/>
        <v xml:space="preserve"> </v>
      </c>
      <c r="P89" s="17" t="str">
        <f t="shared" si="27"/>
        <v xml:space="preserve"> </v>
      </c>
      <c r="Q89" s="17" t="str">
        <f t="shared" si="24"/>
        <v xml:space="preserve"> </v>
      </c>
      <c r="R89" s="17">
        <f t="shared" si="19"/>
        <v>6.5295461965393404E-4</v>
      </c>
    </row>
    <row r="90" spans="1:18" ht="12.75">
      <c r="A90" s="12">
        <f t="shared" si="20"/>
        <v>43</v>
      </c>
      <c r="B90" s="13" t="s">
        <v>124</v>
      </c>
      <c r="C90" s="14" t="str">
        <f t="array" aca="1" ref="C90" ca="1">INDEX('Rooms Master'!U:U,MATCH(B90,'Rooms Master'!D:D,0))</f>
        <v>N</v>
      </c>
      <c r="D90" s="15"/>
      <c r="E90" s="15">
        <v>3</v>
      </c>
      <c r="F90" s="15">
        <v>3</v>
      </c>
      <c r="G90" s="16">
        <v>4</v>
      </c>
      <c r="H90" s="15">
        <v>0</v>
      </c>
      <c r="I90" s="15"/>
      <c r="J90" s="15"/>
      <c r="K90" s="15"/>
      <c r="L90" s="1" t="s">
        <v>34</v>
      </c>
      <c r="M90" s="17" t="str">
        <f>IFERROR(F90/#REF!, " ")</f>
        <v xml:space="preserve"> </v>
      </c>
      <c r="N90" s="18" t="str">
        <f>IFERROR(H90/#REF!," ")</f>
        <v xml:space="preserve"> </v>
      </c>
      <c r="O90" s="17" t="str">
        <f t="shared" si="22"/>
        <v xml:space="preserve"> </v>
      </c>
      <c r="P90" s="17" t="str">
        <f t="shared" si="27"/>
        <v xml:space="preserve"> </v>
      </c>
      <c r="Q90" s="17" t="str">
        <f t="shared" si="24"/>
        <v xml:space="preserve"> </v>
      </c>
      <c r="R90" s="17" t="str">
        <f>IFERROR(#REF!/$E$118," ")</f>
        <v xml:space="preserve"> </v>
      </c>
    </row>
    <row r="91" spans="1:18" ht="12.75">
      <c r="A91" s="12">
        <f t="shared" si="20"/>
        <v>44</v>
      </c>
      <c r="B91" s="13" t="s">
        <v>125</v>
      </c>
      <c r="C91" s="14" t="str">
        <f t="array" aca="1" ref="C91" ca="1">INDEX('Rooms Master'!U:U,MATCH(B91,'Rooms Master'!D:D,0))</f>
        <v>N</v>
      </c>
      <c r="D91" s="15"/>
      <c r="E91" s="15">
        <v>3</v>
      </c>
      <c r="F91" s="15">
        <v>3</v>
      </c>
      <c r="G91" s="16">
        <v>4</v>
      </c>
      <c r="H91" s="15">
        <v>0</v>
      </c>
      <c r="I91" s="15"/>
      <c r="J91" s="15"/>
      <c r="K91" s="15"/>
      <c r="L91" s="1" t="s">
        <v>126</v>
      </c>
      <c r="M91" s="17">
        <f t="shared" ref="M91:M112" si="28">IFERROR(F91/E91, " ")</f>
        <v>1</v>
      </c>
      <c r="N91" s="18">
        <f t="shared" ref="N91:N112" si="29">IFERROR(H91/E91," ")</f>
        <v>0</v>
      </c>
      <c r="O91" s="17" t="str">
        <f t="shared" si="22"/>
        <v xml:space="preserve"> </v>
      </c>
      <c r="P91" s="17" t="str">
        <f t="shared" si="27"/>
        <v xml:space="preserve"> </v>
      </c>
      <c r="Q91" s="17" t="str">
        <f t="shared" si="24"/>
        <v xml:space="preserve"> </v>
      </c>
      <c r="R91" s="17">
        <f t="shared" ref="R91:R112" si="30">IFERROR(E91/$E$118," ")</f>
        <v>9.7943192948090111E-4</v>
      </c>
    </row>
    <row r="92" spans="1:18" ht="12.75">
      <c r="A92" s="12">
        <f t="shared" si="20"/>
        <v>45</v>
      </c>
      <c r="B92" s="13" t="s">
        <v>127</v>
      </c>
      <c r="C92" s="14" t="str">
        <f t="array" aca="1" ref="C92" ca="1">INDEX('Rooms Master'!U:U,MATCH(B92,'Rooms Master'!D:D,0))</f>
        <v>N</v>
      </c>
      <c r="D92" s="14"/>
      <c r="E92" s="15">
        <v>0</v>
      </c>
      <c r="F92" s="15">
        <v>0</v>
      </c>
      <c r="G92" s="16">
        <v>0</v>
      </c>
      <c r="H92" s="15">
        <v>0</v>
      </c>
      <c r="I92" s="15"/>
      <c r="J92" s="15"/>
      <c r="K92" s="15"/>
      <c r="L92" s="1" t="s">
        <v>24</v>
      </c>
      <c r="M92" s="17" t="str">
        <f t="shared" si="28"/>
        <v xml:space="preserve"> </v>
      </c>
      <c r="N92" s="18" t="str">
        <f t="shared" si="29"/>
        <v xml:space="preserve"> </v>
      </c>
      <c r="O92" s="17" t="str">
        <f t="shared" si="22"/>
        <v xml:space="preserve"> </v>
      </c>
      <c r="P92" s="17" t="str">
        <f t="shared" si="27"/>
        <v xml:space="preserve"> </v>
      </c>
      <c r="Q92" s="17" t="str">
        <f t="shared" si="24"/>
        <v xml:space="preserve"> </v>
      </c>
      <c r="R92" s="17">
        <f t="shared" si="30"/>
        <v>0</v>
      </c>
    </row>
    <row r="93" spans="1:18" ht="12.75">
      <c r="A93" s="12">
        <f t="shared" si="20"/>
        <v>46</v>
      </c>
      <c r="B93" s="13" t="s">
        <v>128</v>
      </c>
      <c r="C93" s="14" t="str">
        <f t="array" aca="1" ref="C93" ca="1">INDEX('Rooms Master'!U:U,MATCH(B93,'Rooms Master'!D:D,0))</f>
        <v>N</v>
      </c>
      <c r="D93" s="14"/>
      <c r="E93" s="15">
        <v>0</v>
      </c>
      <c r="F93" s="15">
        <v>0</v>
      </c>
      <c r="G93" s="16">
        <v>4</v>
      </c>
      <c r="H93" s="15">
        <v>0</v>
      </c>
      <c r="I93" s="15"/>
      <c r="J93" s="15"/>
      <c r="K93" s="15"/>
      <c r="L93" s="1" t="s">
        <v>24</v>
      </c>
      <c r="M93" s="17" t="str">
        <f t="shared" si="28"/>
        <v xml:space="preserve"> </v>
      </c>
      <c r="N93" s="18" t="str">
        <f t="shared" si="29"/>
        <v xml:space="preserve"> </v>
      </c>
      <c r="O93" s="17" t="str">
        <f t="shared" si="22"/>
        <v xml:space="preserve"> </v>
      </c>
      <c r="P93" s="17" t="str">
        <f t="shared" si="27"/>
        <v xml:space="preserve"> </v>
      </c>
      <c r="Q93" s="17" t="str">
        <f t="shared" si="24"/>
        <v xml:space="preserve"> </v>
      </c>
      <c r="R93" s="17">
        <f t="shared" si="30"/>
        <v>0</v>
      </c>
    </row>
    <row r="94" spans="1:18" ht="12.75">
      <c r="A94" s="12">
        <f t="shared" si="20"/>
        <v>47</v>
      </c>
      <c r="B94" s="13" t="s">
        <v>129</v>
      </c>
      <c r="C94" s="14" t="str">
        <f t="array" aca="1" ref="C94" ca="1">INDEX('Rooms Master'!U:U,MATCH(B94,'Rooms Master'!D:D,0))</f>
        <v>N</v>
      </c>
      <c r="D94" s="15"/>
      <c r="E94" s="15">
        <v>12</v>
      </c>
      <c r="F94" s="15">
        <v>4</v>
      </c>
      <c r="G94" s="16">
        <v>4</v>
      </c>
      <c r="H94" s="15">
        <v>0</v>
      </c>
      <c r="I94" s="15"/>
      <c r="J94" s="15">
        <v>1</v>
      </c>
      <c r="K94" s="15">
        <v>2</v>
      </c>
      <c r="L94" s="1" t="s">
        <v>20</v>
      </c>
      <c r="M94" s="17">
        <f t="shared" si="28"/>
        <v>0.33333333333333331</v>
      </c>
      <c r="N94" s="18">
        <f t="shared" si="29"/>
        <v>0</v>
      </c>
      <c r="O94" s="17" t="str">
        <f t="shared" si="22"/>
        <v xml:space="preserve"> </v>
      </c>
      <c r="P94" s="17" t="str">
        <f t="shared" si="27"/>
        <v xml:space="preserve"> </v>
      </c>
      <c r="Q94" s="17">
        <f t="shared" si="24"/>
        <v>2</v>
      </c>
      <c r="R94" s="17">
        <f t="shared" si="30"/>
        <v>3.9177277179236044E-3</v>
      </c>
    </row>
    <row r="95" spans="1:18" ht="12.75">
      <c r="A95" s="12">
        <f t="shared" si="20"/>
        <v>48</v>
      </c>
      <c r="B95" s="13" t="s">
        <v>130</v>
      </c>
      <c r="C95" s="14" t="str">
        <f t="array" aca="1" ref="C95" ca="1">INDEX('Rooms Master'!U:U,MATCH(B95,'Rooms Master'!D:D,0))</f>
        <v>N</v>
      </c>
      <c r="D95" s="15"/>
      <c r="E95" s="15">
        <v>0</v>
      </c>
      <c r="F95" s="15">
        <v>0</v>
      </c>
      <c r="G95" s="16">
        <v>0</v>
      </c>
      <c r="H95" s="15">
        <v>0</v>
      </c>
      <c r="I95" s="15"/>
      <c r="J95" s="15"/>
      <c r="K95" s="15"/>
      <c r="L95" s="21" t="s">
        <v>20</v>
      </c>
      <c r="M95" s="17" t="str">
        <f t="shared" si="28"/>
        <v xml:space="preserve"> </v>
      </c>
      <c r="N95" s="18" t="str">
        <f t="shared" si="29"/>
        <v xml:space="preserve"> </v>
      </c>
      <c r="O95" s="17" t="str">
        <f t="shared" si="22"/>
        <v xml:space="preserve"> </v>
      </c>
      <c r="P95" s="18" t="str">
        <f t="shared" si="27"/>
        <v xml:space="preserve"> </v>
      </c>
      <c r="Q95" s="18" t="str">
        <f t="shared" si="24"/>
        <v xml:space="preserve"> </v>
      </c>
      <c r="R95" s="17">
        <f t="shared" si="30"/>
        <v>0</v>
      </c>
    </row>
    <row r="96" spans="1:18" ht="12.75">
      <c r="A96" s="12">
        <f t="shared" si="20"/>
        <v>49</v>
      </c>
      <c r="B96" s="13" t="s">
        <v>131</v>
      </c>
      <c r="C96" s="14" t="str">
        <f t="array" aca="1" ref="C96" ca="1">INDEX('Rooms Master'!U:U,MATCH(B96,'Rooms Master'!D:D,0))</f>
        <v>N</v>
      </c>
      <c r="D96" s="14"/>
      <c r="E96" s="15">
        <v>0</v>
      </c>
      <c r="F96" s="15">
        <v>0</v>
      </c>
      <c r="G96" s="16">
        <v>0</v>
      </c>
      <c r="H96" s="15">
        <v>0</v>
      </c>
      <c r="I96" s="15"/>
      <c r="J96" s="15"/>
      <c r="K96" s="15"/>
      <c r="L96" s="1" t="s">
        <v>24</v>
      </c>
      <c r="M96" s="17" t="str">
        <f t="shared" si="28"/>
        <v xml:space="preserve"> </v>
      </c>
      <c r="N96" s="18" t="str">
        <f t="shared" si="29"/>
        <v xml:space="preserve"> </v>
      </c>
      <c r="O96" s="17" t="str">
        <f t="shared" si="22"/>
        <v xml:space="preserve"> </v>
      </c>
      <c r="P96" s="17" t="str">
        <f t="shared" si="27"/>
        <v xml:space="preserve"> </v>
      </c>
      <c r="Q96" s="17" t="str">
        <f t="shared" si="24"/>
        <v xml:space="preserve"> </v>
      </c>
      <c r="R96" s="17">
        <f t="shared" si="30"/>
        <v>0</v>
      </c>
    </row>
    <row r="97" spans="1:18" ht="12.75">
      <c r="A97" s="12">
        <f t="shared" si="20"/>
        <v>50</v>
      </c>
      <c r="B97" s="13" t="s">
        <v>132</v>
      </c>
      <c r="C97" s="14" t="str">
        <f t="array" aca="1" ref="C97" ca="1">INDEX('Rooms Master'!U:U,MATCH(B97,'Rooms Master'!D:D,0))</f>
        <v>N</v>
      </c>
      <c r="D97" s="15"/>
      <c r="E97" s="15">
        <v>0</v>
      </c>
      <c r="F97" s="15">
        <v>0</v>
      </c>
      <c r="G97" s="16">
        <v>0</v>
      </c>
      <c r="H97" s="15">
        <v>0</v>
      </c>
      <c r="I97" s="15"/>
      <c r="J97" s="15"/>
      <c r="K97" s="15"/>
      <c r="L97" s="1" t="s">
        <v>24</v>
      </c>
      <c r="M97" s="17" t="str">
        <f t="shared" si="28"/>
        <v xml:space="preserve"> </v>
      </c>
      <c r="N97" s="18" t="str">
        <f t="shared" si="29"/>
        <v xml:space="preserve"> </v>
      </c>
      <c r="O97" s="17" t="str">
        <f t="shared" si="22"/>
        <v xml:space="preserve"> </v>
      </c>
      <c r="P97" s="17" t="str">
        <f t="shared" si="27"/>
        <v xml:space="preserve"> </v>
      </c>
      <c r="Q97" s="17" t="str">
        <f t="shared" si="24"/>
        <v xml:space="preserve"> </v>
      </c>
      <c r="R97" s="17">
        <f t="shared" si="30"/>
        <v>0</v>
      </c>
    </row>
    <row r="98" spans="1:18" ht="13.5">
      <c r="A98" s="12">
        <f t="shared" si="20"/>
        <v>51</v>
      </c>
      <c r="B98" s="13" t="s">
        <v>98</v>
      </c>
      <c r="C98" s="14" t="str">
        <f t="array" aca="1" ref="C98" ca="1">INDEX('Rooms Master'!U:U,MATCH(B98,'Rooms Master'!D:D,0))</f>
        <v>N</v>
      </c>
      <c r="D98" s="15"/>
      <c r="E98" s="15">
        <v>13</v>
      </c>
      <c r="F98" s="15">
        <v>2</v>
      </c>
      <c r="G98" s="16">
        <v>7</v>
      </c>
      <c r="H98" s="15">
        <v>2</v>
      </c>
      <c r="I98" s="15"/>
      <c r="J98" s="15">
        <v>1</v>
      </c>
      <c r="K98" s="28">
        <v>1</v>
      </c>
      <c r="L98" s="1" t="s">
        <v>34</v>
      </c>
      <c r="M98" s="17">
        <f t="shared" si="28"/>
        <v>0.15384615384615385</v>
      </c>
      <c r="N98" s="18">
        <f t="shared" si="29"/>
        <v>0.15384615384615385</v>
      </c>
      <c r="O98" s="17">
        <f t="shared" si="22"/>
        <v>0.5</v>
      </c>
      <c r="P98" s="17" t="str">
        <f t="shared" si="27"/>
        <v xml:space="preserve"> </v>
      </c>
      <c r="Q98" s="17">
        <f t="shared" si="24"/>
        <v>1</v>
      </c>
      <c r="R98" s="17">
        <f t="shared" si="30"/>
        <v>4.244205027750571E-3</v>
      </c>
    </row>
    <row r="99" spans="1:18" ht="12.75">
      <c r="A99" s="12">
        <f t="shared" si="20"/>
        <v>52</v>
      </c>
      <c r="B99" s="13" t="s">
        <v>85</v>
      </c>
      <c r="C99" s="14" t="str">
        <f t="array" aca="1" ref="C99" ca="1">INDEX('Rooms Master'!U:U,MATCH(B99,'Rooms Master'!D:D,0))</f>
        <v>N</v>
      </c>
      <c r="D99" s="15"/>
      <c r="E99" s="15">
        <v>4</v>
      </c>
      <c r="F99" s="15">
        <v>4</v>
      </c>
      <c r="G99" s="16">
        <v>7</v>
      </c>
      <c r="H99" s="15">
        <v>0</v>
      </c>
      <c r="I99" s="15"/>
      <c r="J99" s="15"/>
      <c r="K99" s="15"/>
      <c r="L99" s="1" t="s">
        <v>37</v>
      </c>
      <c r="M99" s="17">
        <f t="shared" si="28"/>
        <v>1</v>
      </c>
      <c r="N99" s="18">
        <f t="shared" si="29"/>
        <v>0</v>
      </c>
      <c r="O99" s="17" t="str">
        <f t="shared" si="22"/>
        <v xml:space="preserve"> </v>
      </c>
      <c r="P99" s="17" t="str">
        <f t="shared" si="27"/>
        <v xml:space="preserve"> </v>
      </c>
      <c r="Q99" s="17" t="str">
        <f t="shared" si="24"/>
        <v xml:space="preserve"> </v>
      </c>
      <c r="R99" s="17">
        <f t="shared" si="30"/>
        <v>1.3059092393078681E-3</v>
      </c>
    </row>
    <row r="100" spans="1:18" ht="12.75">
      <c r="A100" s="12">
        <f t="shared" si="20"/>
        <v>53</v>
      </c>
      <c r="B100" s="13" t="s">
        <v>119</v>
      </c>
      <c r="C100" s="14" t="str">
        <f t="array" aca="1" ref="C100" ca="1">INDEX('Rooms Master'!U:U,MATCH(B100,'Rooms Master'!D:D,0))</f>
        <v>N</v>
      </c>
      <c r="D100" s="14"/>
      <c r="E100" s="15">
        <v>0</v>
      </c>
      <c r="F100" s="15">
        <v>0</v>
      </c>
      <c r="G100" s="16">
        <v>0</v>
      </c>
      <c r="H100" s="15">
        <v>0</v>
      </c>
      <c r="I100" s="15"/>
      <c r="J100" s="15"/>
      <c r="K100" s="15"/>
      <c r="L100" s="1" t="s">
        <v>24</v>
      </c>
      <c r="M100" s="17" t="str">
        <f t="shared" si="28"/>
        <v xml:space="preserve"> </v>
      </c>
      <c r="N100" s="18" t="str">
        <f t="shared" si="29"/>
        <v xml:space="preserve"> </v>
      </c>
      <c r="O100" s="17" t="str">
        <f t="shared" si="22"/>
        <v xml:space="preserve"> </v>
      </c>
      <c r="P100" s="17" t="str">
        <f t="shared" si="27"/>
        <v xml:space="preserve"> </v>
      </c>
      <c r="Q100" s="17" t="str">
        <f t="shared" si="24"/>
        <v xml:space="preserve"> </v>
      </c>
      <c r="R100" s="17">
        <f t="shared" si="30"/>
        <v>0</v>
      </c>
    </row>
    <row r="101" spans="1:18" ht="12.75">
      <c r="A101" s="12">
        <f t="shared" si="20"/>
        <v>54</v>
      </c>
      <c r="B101" s="13" t="s">
        <v>101</v>
      </c>
      <c r="C101" s="14" t="str">
        <f t="array" aca="1" ref="C101" ca="1">INDEX('Rooms Master'!U:U,MATCH(B101,'Rooms Master'!D:D,0))</f>
        <v>N</v>
      </c>
      <c r="D101" s="15"/>
      <c r="E101" s="15">
        <v>3</v>
      </c>
      <c r="F101" s="15">
        <v>3</v>
      </c>
      <c r="G101" s="16">
        <v>3</v>
      </c>
      <c r="H101" s="15">
        <v>0</v>
      </c>
      <c r="I101" s="15"/>
      <c r="J101" s="15"/>
      <c r="K101" s="15"/>
      <c r="L101" s="1" t="s">
        <v>34</v>
      </c>
      <c r="M101" s="17">
        <f t="shared" si="28"/>
        <v>1</v>
      </c>
      <c r="N101" s="18">
        <f t="shared" si="29"/>
        <v>0</v>
      </c>
      <c r="O101" s="17" t="str">
        <f t="shared" si="22"/>
        <v xml:space="preserve"> </v>
      </c>
      <c r="P101" s="17" t="str">
        <f t="shared" si="27"/>
        <v xml:space="preserve"> </v>
      </c>
      <c r="Q101" s="17" t="str">
        <f t="shared" si="24"/>
        <v xml:space="preserve"> </v>
      </c>
      <c r="R101" s="17">
        <f t="shared" si="30"/>
        <v>9.7943192948090111E-4</v>
      </c>
    </row>
    <row r="102" spans="1:18" ht="12.75">
      <c r="A102" s="12">
        <f t="shared" si="20"/>
        <v>55</v>
      </c>
      <c r="B102" s="13" t="s">
        <v>133</v>
      </c>
      <c r="C102" s="14" t="str">
        <f t="array" aca="1" ref="C102" ca="1">INDEX('Rooms Master'!U:U,MATCH(B102,'Rooms Master'!D:D,0))</f>
        <v>N</v>
      </c>
      <c r="D102" s="14"/>
      <c r="E102" s="15">
        <v>0</v>
      </c>
      <c r="F102" s="15">
        <v>0</v>
      </c>
      <c r="G102" s="16">
        <v>0</v>
      </c>
      <c r="H102" s="15">
        <v>0</v>
      </c>
      <c r="I102" s="15"/>
      <c r="J102" s="15"/>
      <c r="K102" s="15"/>
      <c r="L102" s="1" t="s">
        <v>24</v>
      </c>
      <c r="M102" s="17" t="str">
        <f t="shared" si="28"/>
        <v xml:space="preserve"> </v>
      </c>
      <c r="N102" s="18" t="str">
        <f t="shared" si="29"/>
        <v xml:space="preserve"> </v>
      </c>
      <c r="O102" s="17" t="str">
        <f t="shared" si="22"/>
        <v xml:space="preserve"> </v>
      </c>
      <c r="P102" s="17" t="str">
        <f t="shared" si="27"/>
        <v xml:space="preserve"> </v>
      </c>
      <c r="Q102" s="17" t="str">
        <f t="shared" si="24"/>
        <v xml:space="preserve"> </v>
      </c>
      <c r="R102" s="17">
        <f t="shared" si="30"/>
        <v>0</v>
      </c>
    </row>
    <row r="103" spans="1:18" ht="12.75">
      <c r="A103" s="12">
        <f t="shared" si="20"/>
        <v>56</v>
      </c>
      <c r="B103" s="13" t="s">
        <v>134</v>
      </c>
      <c r="C103" s="14" t="str">
        <f t="array" aca="1" ref="C103" ca="1">INDEX('Rooms Master'!U:U,MATCH(B103,'Rooms Master'!D:D,0))</f>
        <v>N</v>
      </c>
      <c r="D103" s="14"/>
      <c r="E103" s="15">
        <v>0</v>
      </c>
      <c r="F103" s="15">
        <v>0</v>
      </c>
      <c r="G103" s="16">
        <v>0</v>
      </c>
      <c r="H103" s="15">
        <v>0</v>
      </c>
      <c r="I103" s="15"/>
      <c r="J103" s="15"/>
      <c r="K103" s="15"/>
      <c r="L103" s="1" t="s">
        <v>24</v>
      </c>
      <c r="M103" s="17" t="str">
        <f t="shared" si="28"/>
        <v xml:space="preserve"> </v>
      </c>
      <c r="N103" s="18" t="str">
        <f t="shared" si="29"/>
        <v xml:space="preserve"> </v>
      </c>
      <c r="O103" s="17" t="str">
        <f t="shared" si="22"/>
        <v xml:space="preserve"> </v>
      </c>
      <c r="P103" s="17" t="str">
        <f t="shared" si="27"/>
        <v xml:space="preserve"> </v>
      </c>
      <c r="Q103" s="17" t="str">
        <f t="shared" si="24"/>
        <v xml:space="preserve"> </v>
      </c>
      <c r="R103" s="17">
        <f t="shared" si="30"/>
        <v>0</v>
      </c>
    </row>
    <row r="104" spans="1:18" ht="12.75">
      <c r="A104" s="12">
        <f t="shared" si="20"/>
        <v>57</v>
      </c>
      <c r="B104" s="13" t="s">
        <v>135</v>
      </c>
      <c r="C104" s="14" t="str">
        <f t="array" aca="1" ref="C104" ca="1">INDEX('Rooms Master'!U:U,MATCH(B104,'Rooms Master'!D:D,0))</f>
        <v>N</v>
      </c>
      <c r="D104" s="15"/>
      <c r="E104" s="15">
        <v>20</v>
      </c>
      <c r="F104" s="15">
        <v>15</v>
      </c>
      <c r="G104" s="16">
        <v>4</v>
      </c>
      <c r="H104" s="15">
        <v>0</v>
      </c>
      <c r="I104" s="15"/>
      <c r="J104" s="15"/>
      <c r="K104" s="15"/>
      <c r="L104" s="1" t="s">
        <v>20</v>
      </c>
      <c r="M104" s="17">
        <f t="shared" si="28"/>
        <v>0.75</v>
      </c>
      <c r="N104" s="18">
        <f t="shared" si="29"/>
        <v>0</v>
      </c>
      <c r="O104" s="17" t="str">
        <f t="shared" si="22"/>
        <v xml:space="preserve"> </v>
      </c>
      <c r="P104" s="17" t="str">
        <f t="shared" si="27"/>
        <v xml:space="preserve"> </v>
      </c>
      <c r="Q104" s="17" t="str">
        <f t="shared" si="24"/>
        <v xml:space="preserve"> </v>
      </c>
      <c r="R104" s="17">
        <f t="shared" si="30"/>
        <v>6.5295461965393401E-3</v>
      </c>
    </row>
    <row r="105" spans="1:18" ht="12.75">
      <c r="A105" s="12">
        <f t="shared" si="20"/>
        <v>58</v>
      </c>
      <c r="B105" s="13" t="s">
        <v>136</v>
      </c>
      <c r="C105" s="14" t="str">
        <f t="array" aca="1" ref="C105" ca="1">INDEX('Rooms Master'!U:U,MATCH(B105,'Rooms Master'!D:D,0))</f>
        <v>N</v>
      </c>
      <c r="D105" s="15"/>
      <c r="E105" s="15">
        <v>0</v>
      </c>
      <c r="F105" s="15">
        <v>0</v>
      </c>
      <c r="G105" s="16">
        <v>3</v>
      </c>
      <c r="H105" s="15">
        <v>0</v>
      </c>
      <c r="I105" s="15"/>
      <c r="J105" s="15"/>
      <c r="K105" s="15"/>
      <c r="L105" s="1" t="s">
        <v>34</v>
      </c>
      <c r="M105" s="17" t="str">
        <f t="shared" si="28"/>
        <v xml:space="preserve"> </v>
      </c>
      <c r="N105" s="18" t="str">
        <f t="shared" si="29"/>
        <v xml:space="preserve"> </v>
      </c>
      <c r="O105" s="17" t="str">
        <f t="shared" si="22"/>
        <v xml:space="preserve"> </v>
      </c>
      <c r="P105" s="17" t="str">
        <f t="shared" si="27"/>
        <v xml:space="preserve"> </v>
      </c>
      <c r="Q105" s="17" t="str">
        <f t="shared" si="24"/>
        <v xml:space="preserve"> </v>
      </c>
      <c r="R105" s="17">
        <f t="shared" si="30"/>
        <v>0</v>
      </c>
    </row>
    <row r="106" spans="1:18" ht="12.75">
      <c r="A106" s="12">
        <f t="shared" si="20"/>
        <v>59</v>
      </c>
      <c r="B106" s="13" t="s">
        <v>137</v>
      </c>
      <c r="C106" s="14" t="str">
        <f t="array" aca="1" ref="C106" ca="1">INDEX('Rooms Master'!U:U,MATCH(B106,'Rooms Master'!D:D,0))</f>
        <v>N</v>
      </c>
      <c r="D106" s="15"/>
      <c r="E106" s="15">
        <v>0</v>
      </c>
      <c r="F106" s="15">
        <v>0</v>
      </c>
      <c r="G106" s="16">
        <v>6</v>
      </c>
      <c r="H106" s="15">
        <v>0</v>
      </c>
      <c r="I106" s="15"/>
      <c r="J106" s="15"/>
      <c r="K106" s="15"/>
      <c r="L106" s="1" t="s">
        <v>138</v>
      </c>
      <c r="M106" s="17" t="str">
        <f t="shared" si="28"/>
        <v xml:space="preserve"> </v>
      </c>
      <c r="N106" s="18" t="str">
        <f t="shared" si="29"/>
        <v xml:space="preserve"> </v>
      </c>
      <c r="O106" s="17" t="str">
        <f t="shared" si="22"/>
        <v xml:space="preserve"> </v>
      </c>
      <c r="P106" s="17" t="str">
        <f t="shared" si="27"/>
        <v xml:space="preserve"> </v>
      </c>
      <c r="Q106" s="17" t="str">
        <f t="shared" si="24"/>
        <v xml:space="preserve"> </v>
      </c>
      <c r="R106" s="17">
        <f t="shared" si="30"/>
        <v>0</v>
      </c>
    </row>
    <row r="107" spans="1:18" ht="12.75">
      <c r="A107" s="12">
        <f t="shared" si="20"/>
        <v>60</v>
      </c>
      <c r="B107" s="13" t="s">
        <v>102</v>
      </c>
      <c r="C107" s="14" t="str">
        <f t="array" aca="1" ref="C107" ca="1">INDEX('Rooms Master'!U:U,MATCH(B107,'Rooms Master'!D:D,0))</f>
        <v>N</v>
      </c>
      <c r="D107" s="15"/>
      <c r="E107" s="15">
        <v>3</v>
      </c>
      <c r="F107" s="15">
        <v>3</v>
      </c>
      <c r="G107" s="16">
        <v>4</v>
      </c>
      <c r="H107" s="15">
        <v>0</v>
      </c>
      <c r="I107" s="15"/>
      <c r="J107" s="15"/>
      <c r="K107" s="15"/>
      <c r="L107" s="1" t="s">
        <v>29</v>
      </c>
      <c r="M107" s="17">
        <f t="shared" si="28"/>
        <v>1</v>
      </c>
      <c r="N107" s="18">
        <f t="shared" si="29"/>
        <v>0</v>
      </c>
      <c r="O107" s="17" t="str">
        <f t="shared" si="22"/>
        <v xml:space="preserve"> </v>
      </c>
      <c r="P107" s="17" t="str">
        <f t="shared" si="27"/>
        <v xml:space="preserve"> </v>
      </c>
      <c r="Q107" s="17" t="str">
        <f t="shared" si="24"/>
        <v xml:space="preserve"> </v>
      </c>
      <c r="R107" s="17">
        <f t="shared" si="30"/>
        <v>9.7943192948090111E-4</v>
      </c>
    </row>
    <row r="108" spans="1:18" ht="12.75">
      <c r="A108" s="12">
        <f t="shared" si="20"/>
        <v>61</v>
      </c>
      <c r="B108" s="13" t="s">
        <v>76</v>
      </c>
      <c r="C108" s="14" t="str">
        <f t="array" aca="1" ref="C108" ca="1">INDEX('Rooms Master'!U:U,MATCH(B108,'Rooms Master'!D:D,0))</f>
        <v>N</v>
      </c>
      <c r="D108" s="15"/>
      <c r="E108" s="15">
        <v>10</v>
      </c>
      <c r="F108" s="15">
        <v>8</v>
      </c>
      <c r="G108" s="16">
        <v>4</v>
      </c>
      <c r="H108" s="15">
        <v>0</v>
      </c>
      <c r="I108" s="15"/>
      <c r="J108" s="15"/>
      <c r="K108" s="15"/>
      <c r="L108" s="1" t="s">
        <v>34</v>
      </c>
      <c r="M108" s="17">
        <f t="shared" si="28"/>
        <v>0.8</v>
      </c>
      <c r="N108" s="18">
        <f t="shared" si="29"/>
        <v>0</v>
      </c>
      <c r="O108" s="17" t="str">
        <f t="shared" si="22"/>
        <v xml:space="preserve"> </v>
      </c>
      <c r="P108" s="17" t="str">
        <f t="shared" si="27"/>
        <v xml:space="preserve"> </v>
      </c>
      <c r="Q108" s="17" t="str">
        <f t="shared" si="24"/>
        <v xml:space="preserve"> </v>
      </c>
      <c r="R108" s="17">
        <f t="shared" si="30"/>
        <v>3.2647730982696701E-3</v>
      </c>
    </row>
    <row r="109" spans="1:18" ht="12.75">
      <c r="A109" s="12">
        <f t="shared" si="20"/>
        <v>62</v>
      </c>
      <c r="B109" s="13" t="s">
        <v>139</v>
      </c>
      <c r="C109" s="14" t="str">
        <f t="array" aca="1" ref="C109" ca="1">INDEX('Rooms Master'!U:U,MATCH(B109,'Rooms Master'!D:D,0))</f>
        <v>N</v>
      </c>
      <c r="D109" s="14"/>
      <c r="E109" s="15">
        <v>0</v>
      </c>
      <c r="F109" s="15">
        <v>0</v>
      </c>
      <c r="G109" s="16">
        <v>0</v>
      </c>
      <c r="H109" s="15">
        <v>0</v>
      </c>
      <c r="I109" s="15"/>
      <c r="J109" s="15"/>
      <c r="K109" s="15"/>
      <c r="L109" s="1" t="s">
        <v>24</v>
      </c>
      <c r="M109" s="17" t="str">
        <f t="shared" si="28"/>
        <v xml:space="preserve"> </v>
      </c>
      <c r="N109" s="18" t="str">
        <f t="shared" si="29"/>
        <v xml:space="preserve"> </v>
      </c>
      <c r="O109" s="17" t="str">
        <f t="shared" si="22"/>
        <v xml:space="preserve"> </v>
      </c>
      <c r="P109" s="17" t="str">
        <f t="shared" si="27"/>
        <v xml:space="preserve"> </v>
      </c>
      <c r="Q109" s="17" t="str">
        <f t="shared" si="24"/>
        <v xml:space="preserve"> </v>
      </c>
      <c r="R109" s="17">
        <f t="shared" si="30"/>
        <v>0</v>
      </c>
    </row>
    <row r="110" spans="1:18" ht="12.75">
      <c r="A110" s="12">
        <f t="shared" si="20"/>
        <v>63</v>
      </c>
      <c r="B110" s="13" t="s">
        <v>140</v>
      </c>
      <c r="C110" s="14" t="str">
        <f t="array" aca="1" ref="C110" ca="1">INDEX('Rooms Master'!U:U,MATCH(B110,'Rooms Master'!D:D,0))</f>
        <v>N</v>
      </c>
      <c r="D110" s="14"/>
      <c r="E110" s="15">
        <v>0</v>
      </c>
      <c r="F110" s="15">
        <v>0</v>
      </c>
      <c r="G110" s="16">
        <v>4</v>
      </c>
      <c r="H110" s="15">
        <v>0</v>
      </c>
      <c r="I110" s="15"/>
      <c r="J110" s="15"/>
      <c r="K110" s="15"/>
      <c r="L110" s="1" t="s">
        <v>24</v>
      </c>
      <c r="M110" s="17" t="str">
        <f t="shared" si="28"/>
        <v xml:space="preserve"> </v>
      </c>
      <c r="N110" s="18" t="str">
        <f t="shared" si="29"/>
        <v xml:space="preserve"> </v>
      </c>
      <c r="O110" s="17" t="str">
        <f t="shared" si="22"/>
        <v xml:space="preserve"> </v>
      </c>
      <c r="P110" s="17" t="str">
        <f t="shared" si="27"/>
        <v xml:space="preserve"> </v>
      </c>
      <c r="Q110" s="17" t="str">
        <f t="shared" si="24"/>
        <v xml:space="preserve"> </v>
      </c>
      <c r="R110" s="17">
        <f t="shared" si="30"/>
        <v>0</v>
      </c>
    </row>
    <row r="111" spans="1:18" ht="12.75">
      <c r="A111" s="12">
        <f t="shared" si="20"/>
        <v>64</v>
      </c>
      <c r="B111" s="13" t="s">
        <v>90</v>
      </c>
      <c r="C111" s="14" t="str">
        <f t="array" aca="1" ref="C111" ca="1">INDEX('Rooms Master'!U:U,MATCH(B111,'Rooms Master'!D:D,0))</f>
        <v>N</v>
      </c>
      <c r="D111" s="15"/>
      <c r="E111" s="15">
        <v>0</v>
      </c>
      <c r="F111" s="15">
        <v>0</v>
      </c>
      <c r="G111" s="16">
        <v>6</v>
      </c>
      <c r="H111" s="15">
        <v>0</v>
      </c>
      <c r="I111" s="15"/>
      <c r="J111" s="15"/>
      <c r="K111" s="15"/>
      <c r="L111" s="1" t="s">
        <v>20</v>
      </c>
      <c r="M111" s="17" t="str">
        <f t="shared" si="28"/>
        <v xml:space="preserve"> </v>
      </c>
      <c r="N111" s="18" t="str">
        <f t="shared" si="29"/>
        <v xml:space="preserve"> </v>
      </c>
      <c r="O111" s="17" t="str">
        <f t="shared" si="22"/>
        <v xml:space="preserve"> </v>
      </c>
      <c r="P111" s="17" t="str">
        <f t="shared" si="27"/>
        <v xml:space="preserve"> </v>
      </c>
      <c r="Q111" s="17" t="str">
        <f t="shared" si="24"/>
        <v xml:space="preserve"> </v>
      </c>
      <c r="R111" s="17">
        <f t="shared" si="30"/>
        <v>0</v>
      </c>
    </row>
    <row r="112" spans="1:18" ht="12.75">
      <c r="A112" s="12">
        <f t="shared" si="20"/>
        <v>65</v>
      </c>
      <c r="B112" s="13" t="s">
        <v>141</v>
      </c>
      <c r="C112" s="15" t="s">
        <v>142</v>
      </c>
      <c r="D112" s="14"/>
      <c r="E112" s="15">
        <v>0</v>
      </c>
      <c r="F112" s="15">
        <v>0</v>
      </c>
      <c r="G112" s="16">
        <v>6</v>
      </c>
      <c r="H112" s="15">
        <v>0</v>
      </c>
      <c r="I112" s="15"/>
      <c r="J112" s="15"/>
      <c r="K112" s="15"/>
      <c r="L112" s="1" t="s">
        <v>24</v>
      </c>
      <c r="M112" s="17" t="str">
        <f t="shared" si="28"/>
        <v xml:space="preserve"> </v>
      </c>
      <c r="N112" s="18" t="str">
        <f t="shared" si="29"/>
        <v xml:space="preserve"> </v>
      </c>
      <c r="O112" s="17" t="str">
        <f t="shared" si="22"/>
        <v xml:space="preserve"> </v>
      </c>
      <c r="P112" s="17" t="str">
        <f t="shared" si="27"/>
        <v xml:space="preserve"> </v>
      </c>
      <c r="Q112" s="17" t="str">
        <f t="shared" si="24"/>
        <v xml:space="preserve"> </v>
      </c>
      <c r="R112" s="17">
        <f t="shared" si="30"/>
        <v>0</v>
      </c>
    </row>
    <row r="113" spans="1:29" ht="12.75">
      <c r="A113" s="12">
        <f t="shared" si="20"/>
        <v>66</v>
      </c>
      <c r="B113" s="13" t="s">
        <v>103</v>
      </c>
      <c r="C113" s="14" t="str">
        <f t="array" aca="1" ref="C113" ca="1">INDEX('Rooms Master'!U:U,MATCH(B113,'Rooms Master'!D:D,0))</f>
        <v>N</v>
      </c>
      <c r="D113" s="15"/>
      <c r="E113" s="15">
        <v>82</v>
      </c>
      <c r="F113" s="15">
        <v>52</v>
      </c>
      <c r="G113" s="16">
        <v>4</v>
      </c>
      <c r="H113" s="15">
        <v>0</v>
      </c>
      <c r="I113" s="15"/>
      <c r="J113" s="15"/>
      <c r="K113" s="15"/>
      <c r="L113" s="1" t="s">
        <v>20</v>
      </c>
      <c r="M113" s="17" t="str">
        <f>IFERROR(F113/#REF!, " ")</f>
        <v xml:space="preserve"> </v>
      </c>
      <c r="N113" s="18" t="str">
        <f>IFERROR(H113/#REF!," ")</f>
        <v xml:space="preserve"> </v>
      </c>
      <c r="O113" s="17" t="str">
        <f t="shared" si="22"/>
        <v xml:space="preserve"> </v>
      </c>
      <c r="P113" s="17" t="str">
        <f t="shared" si="27"/>
        <v xml:space="preserve"> </v>
      </c>
      <c r="Q113" s="17" t="str">
        <f t="shared" si="24"/>
        <v xml:space="preserve"> </v>
      </c>
      <c r="R113" s="17" t="str">
        <f>IFERROR(#REF!/$E$118," ")</f>
        <v xml:space="preserve"> </v>
      </c>
    </row>
    <row r="114" spans="1:29" ht="12.75">
      <c r="A114" s="12">
        <f t="shared" si="20"/>
        <v>67</v>
      </c>
      <c r="B114" s="13" t="s">
        <v>120</v>
      </c>
      <c r="C114" s="14" t="str">
        <f t="array" aca="1" ref="C114" ca="1">INDEX('Rooms Master'!U:U,MATCH(B114,'Rooms Master'!D:D,0))</f>
        <v>N</v>
      </c>
      <c r="D114" s="14"/>
      <c r="E114" s="15">
        <v>3</v>
      </c>
      <c r="F114" s="15">
        <v>3</v>
      </c>
      <c r="G114" s="16">
        <v>0</v>
      </c>
      <c r="H114" s="15">
        <v>0</v>
      </c>
      <c r="I114" s="15"/>
      <c r="J114" s="15"/>
      <c r="K114" s="15"/>
      <c r="L114" s="1" t="s">
        <v>24</v>
      </c>
      <c r="M114" s="17">
        <f>IFERROR(F114/E113, " ")</f>
        <v>3.6585365853658534E-2</v>
      </c>
      <c r="N114" s="18">
        <f>IFERROR(H114/E113," ")</f>
        <v>0</v>
      </c>
      <c r="O114" s="17" t="str">
        <f t="shared" si="22"/>
        <v xml:space="preserve"> </v>
      </c>
      <c r="P114" s="17" t="str">
        <f t="shared" si="27"/>
        <v xml:space="preserve"> </v>
      </c>
      <c r="Q114" s="17" t="str">
        <f t="shared" si="24"/>
        <v xml:space="preserve"> </v>
      </c>
      <c r="R114" s="17">
        <f>IFERROR(E113/$E$118," ")</f>
        <v>2.6771139405811297E-2</v>
      </c>
    </row>
    <row r="115" spans="1:29" ht="12.75">
      <c r="A115" s="12">
        <f t="shared" si="20"/>
        <v>68</v>
      </c>
      <c r="B115" s="13" t="s">
        <v>121</v>
      </c>
      <c r="C115" s="14" t="str">
        <f t="array" aca="1" ref="C115" ca="1">INDEX('Rooms Master'!U:U,MATCH(B115,'Rooms Master'!D:D,0))</f>
        <v>N</v>
      </c>
      <c r="D115" s="14"/>
      <c r="E115" s="15">
        <v>0</v>
      </c>
      <c r="F115" s="15">
        <v>0</v>
      </c>
      <c r="G115" s="16">
        <v>0</v>
      </c>
      <c r="H115" s="15">
        <v>0</v>
      </c>
      <c r="I115" s="15"/>
      <c r="J115" s="15"/>
      <c r="K115" s="15"/>
      <c r="L115" s="1" t="s">
        <v>24</v>
      </c>
      <c r="M115" s="17" t="str">
        <f t="shared" ref="M115:M116" si="31">IFERROR(F115/E115, " ")</f>
        <v xml:space="preserve"> </v>
      </c>
      <c r="N115" s="18" t="str">
        <f t="shared" ref="N115:N118" si="32">IFERROR(H115/E115," ")</f>
        <v xml:space="preserve"> </v>
      </c>
      <c r="O115" s="17" t="str">
        <f t="shared" si="22"/>
        <v xml:space="preserve"> </v>
      </c>
      <c r="P115" s="17" t="str">
        <f t="shared" si="27"/>
        <v xml:space="preserve"> </v>
      </c>
      <c r="Q115" s="17" t="str">
        <f t="shared" si="24"/>
        <v xml:space="preserve"> </v>
      </c>
      <c r="R115" s="17">
        <f t="shared" ref="R115:R116" si="33">IFERROR(E115/$E$118," ")</f>
        <v>0</v>
      </c>
    </row>
    <row r="116" spans="1:29" ht="12.75">
      <c r="A116" s="12">
        <f t="shared" si="20"/>
        <v>69</v>
      </c>
      <c r="B116" s="13" t="s">
        <v>91</v>
      </c>
      <c r="C116" s="14" t="str">
        <f t="array" aca="1" ref="C116" ca="1">INDEX('Rooms Master'!U:U,MATCH(B116,'Rooms Master'!D:D,0))</f>
        <v>N</v>
      </c>
      <c r="D116" s="15"/>
      <c r="E116" s="15">
        <v>0</v>
      </c>
      <c r="F116" s="15">
        <v>0</v>
      </c>
      <c r="G116" s="16">
        <v>3</v>
      </c>
      <c r="H116" s="15">
        <v>0</v>
      </c>
      <c r="I116" s="26"/>
      <c r="J116" s="15"/>
      <c r="K116" s="15"/>
      <c r="L116" s="1" t="s">
        <v>20</v>
      </c>
      <c r="M116" s="17" t="str">
        <f t="shared" si="31"/>
        <v xml:space="preserve"> </v>
      </c>
      <c r="N116" s="18" t="str">
        <f t="shared" si="32"/>
        <v xml:space="preserve"> </v>
      </c>
      <c r="O116" s="17" t="str">
        <f t="shared" si="22"/>
        <v xml:space="preserve"> </v>
      </c>
      <c r="P116" s="17" t="str">
        <f>IFERROR(K116/#REF!, " ")</f>
        <v xml:space="preserve"> </v>
      </c>
      <c r="Q116" s="17" t="str">
        <f t="shared" si="24"/>
        <v xml:space="preserve"> </v>
      </c>
      <c r="R116" s="17">
        <f t="shared" si="33"/>
        <v>0</v>
      </c>
    </row>
    <row r="117" spans="1:29" ht="12.75">
      <c r="C117" s="29"/>
      <c r="D117" s="29"/>
      <c r="E117" s="29"/>
      <c r="F117" s="29"/>
      <c r="G117" s="29"/>
      <c r="H117" s="29"/>
      <c r="I117" s="29"/>
      <c r="J117" s="29"/>
      <c r="K117" s="29"/>
      <c r="M117" s="17"/>
      <c r="N117" s="18" t="str">
        <f t="shared" si="32"/>
        <v xml:space="preserve"> </v>
      </c>
      <c r="R117" s="17"/>
    </row>
    <row r="118" spans="1:29" ht="13.15">
      <c r="A118" s="30"/>
      <c r="B118" s="31" t="s">
        <v>143</v>
      </c>
      <c r="C118" s="32"/>
      <c r="D118" s="32"/>
      <c r="E118" s="32">
        <f t="shared" ref="E118:K118" si="34">SUM(E2:E116)</f>
        <v>3063</v>
      </c>
      <c r="F118" s="32">
        <f t="shared" si="34"/>
        <v>767</v>
      </c>
      <c r="G118" s="32">
        <f t="shared" si="34"/>
        <v>619</v>
      </c>
      <c r="H118" s="32">
        <f t="shared" si="34"/>
        <v>110</v>
      </c>
      <c r="I118" s="32">
        <f t="shared" si="34"/>
        <v>22</v>
      </c>
      <c r="J118" s="32">
        <f t="shared" si="34"/>
        <v>17</v>
      </c>
      <c r="K118" s="32">
        <f t="shared" si="34"/>
        <v>18</v>
      </c>
      <c r="L118" s="30"/>
      <c r="M118" s="33"/>
      <c r="N118" s="34">
        <f t="shared" si="32"/>
        <v>3.591250408096637E-2</v>
      </c>
      <c r="O118" s="33">
        <f>K118/H118</f>
        <v>0.16363636363636364</v>
      </c>
      <c r="P118" s="33">
        <f>K118/I118</f>
        <v>0.81818181818181823</v>
      </c>
      <c r="Q118" s="33">
        <f>K118/J118</f>
        <v>1.0588235294117647</v>
      </c>
      <c r="R118" s="33"/>
      <c r="S118" s="33">
        <f>K118/E118</f>
        <v>5.8765915768854062E-3</v>
      </c>
      <c r="T118" s="30"/>
      <c r="U118" s="30"/>
      <c r="V118" s="30"/>
      <c r="W118" s="30"/>
      <c r="X118" s="30"/>
      <c r="Y118" s="30"/>
      <c r="Z118" s="30"/>
      <c r="AA118" s="30"/>
      <c r="AB118" s="30"/>
      <c r="AC118" s="30"/>
    </row>
    <row r="119" spans="1:29" ht="12.75">
      <c r="M119" s="17"/>
      <c r="N119" s="35"/>
      <c r="R119" s="17"/>
    </row>
    <row r="120" spans="1:29" ht="13.5">
      <c r="B120" s="21" t="s">
        <v>144</v>
      </c>
      <c r="C120" s="36">
        <f ca="1">IFERROR(__xludf.DUMMYFUNCTION("AVERAGE(FILTER($E$2:$E$116,$C2:$C$116=""Y""))"),35.8382352941176)</f>
        <v>35.838235294117602</v>
      </c>
      <c r="K120" s="37"/>
      <c r="M120" s="17"/>
      <c r="N120" s="35"/>
      <c r="R120" s="17"/>
    </row>
    <row r="121" spans="1:29" ht="12.75">
      <c r="M121" s="17"/>
      <c r="N121" s="35"/>
      <c r="R121" s="17"/>
    </row>
    <row r="122" spans="1:29" ht="12.75">
      <c r="M122" s="17"/>
      <c r="N122" s="35"/>
      <c r="R122" s="17"/>
    </row>
    <row r="123" spans="1:29" ht="12.75">
      <c r="M123" s="17"/>
      <c r="N123" s="35"/>
      <c r="R123" s="17"/>
    </row>
    <row r="124" spans="1:29" ht="12.75">
      <c r="B124" s="13"/>
      <c r="C124" s="25"/>
      <c r="D124" s="25"/>
      <c r="F124" s="38"/>
      <c r="G124" s="38"/>
      <c r="H124" s="38"/>
      <c r="I124" s="38"/>
      <c r="J124" s="38"/>
      <c r="K124" s="38"/>
      <c r="M124" s="17"/>
      <c r="N124" s="35"/>
      <c r="R124" s="17"/>
    </row>
    <row r="125" spans="1:29" ht="12.75">
      <c r="B125" s="13"/>
      <c r="C125" s="25"/>
      <c r="D125" s="25"/>
      <c r="F125" s="38"/>
      <c r="G125" s="38"/>
      <c r="H125" s="38"/>
      <c r="I125" s="38"/>
      <c r="J125" s="38"/>
      <c r="K125" s="38"/>
      <c r="M125" s="17"/>
      <c r="N125" s="35"/>
      <c r="R125" s="17"/>
    </row>
    <row r="126" spans="1:29" ht="12.75">
      <c r="B126" s="13"/>
      <c r="C126" s="25"/>
      <c r="D126" s="25"/>
      <c r="F126" s="38"/>
      <c r="G126" s="38"/>
      <c r="H126" s="38"/>
      <c r="I126" s="38"/>
      <c r="J126" s="38"/>
      <c r="K126" s="38"/>
      <c r="M126" s="17"/>
      <c r="N126" s="35"/>
      <c r="R126" s="17"/>
    </row>
    <row r="127" spans="1:29" ht="12.75">
      <c r="B127" s="13"/>
      <c r="C127" s="25"/>
      <c r="D127" s="25"/>
      <c r="F127" s="38"/>
      <c r="G127" s="38"/>
      <c r="H127" s="38"/>
      <c r="I127" s="38"/>
      <c r="J127" s="38"/>
      <c r="K127" s="38"/>
      <c r="M127" s="17"/>
      <c r="N127" s="35"/>
      <c r="R127" s="17"/>
    </row>
    <row r="128" spans="1:29" ht="12.75">
      <c r="B128" s="13"/>
      <c r="C128" s="25"/>
      <c r="D128" s="25"/>
      <c r="F128" s="38"/>
      <c r="G128" s="38"/>
      <c r="H128" s="38"/>
      <c r="I128" s="38"/>
      <c r="J128" s="38"/>
      <c r="K128" s="38"/>
      <c r="M128" s="17"/>
      <c r="N128" s="35"/>
      <c r="R128" s="17"/>
    </row>
    <row r="129" spans="2:18" ht="12.75">
      <c r="B129" s="13"/>
      <c r="C129" s="25"/>
      <c r="D129" s="25"/>
      <c r="F129" s="38"/>
      <c r="G129" s="38"/>
      <c r="H129" s="38"/>
      <c r="I129" s="38"/>
      <c r="J129" s="38"/>
      <c r="K129" s="38"/>
      <c r="M129" s="17"/>
      <c r="N129" s="35"/>
      <c r="R129" s="17"/>
    </row>
    <row r="130" spans="2:18" ht="12.75">
      <c r="B130" s="13"/>
      <c r="C130" s="25"/>
      <c r="D130" s="25"/>
      <c r="F130" s="38"/>
      <c r="G130" s="38"/>
      <c r="H130" s="38"/>
      <c r="I130" s="38"/>
      <c r="J130" s="38"/>
      <c r="K130" s="38"/>
      <c r="M130" s="17"/>
      <c r="N130" s="35"/>
      <c r="R130" s="17"/>
    </row>
    <row r="131" spans="2:18" ht="12.75">
      <c r="B131" s="13"/>
      <c r="C131" s="25"/>
      <c r="D131" s="25"/>
      <c r="F131" s="38"/>
      <c r="G131" s="38"/>
      <c r="H131" s="38"/>
      <c r="I131" s="38"/>
      <c r="J131" s="38"/>
      <c r="K131" s="38"/>
      <c r="M131" s="17"/>
      <c r="N131" s="35"/>
      <c r="R131" s="17"/>
    </row>
    <row r="132" spans="2:18" ht="12.75">
      <c r="B132" s="13"/>
      <c r="C132" s="25"/>
      <c r="D132" s="25"/>
      <c r="F132" s="38"/>
      <c r="G132" s="38"/>
      <c r="H132" s="38"/>
      <c r="I132" s="38"/>
      <c r="J132" s="38"/>
      <c r="K132" s="38"/>
      <c r="M132" s="17"/>
      <c r="N132" s="35"/>
      <c r="R132" s="17"/>
    </row>
    <row r="133" spans="2:18" ht="12.75">
      <c r="B133" s="13"/>
      <c r="C133" s="25"/>
      <c r="D133" s="25"/>
      <c r="F133" s="38"/>
      <c r="G133" s="38"/>
      <c r="H133" s="38"/>
      <c r="I133" s="38"/>
      <c r="J133" s="38"/>
      <c r="K133" s="38"/>
      <c r="M133" s="17"/>
      <c r="N133" s="35"/>
      <c r="R133" s="17"/>
    </row>
    <row r="134" spans="2:18" ht="12.75">
      <c r="B134" s="13"/>
      <c r="C134" s="25"/>
      <c r="D134" s="25"/>
      <c r="F134" s="38"/>
      <c r="G134" s="38"/>
      <c r="H134" s="38"/>
      <c r="I134" s="38"/>
      <c r="J134" s="38"/>
      <c r="K134" s="38"/>
      <c r="M134" s="17"/>
      <c r="N134" s="35"/>
      <c r="R134" s="17"/>
    </row>
    <row r="135" spans="2:18" ht="12.75">
      <c r="B135" s="13"/>
      <c r="C135" s="25"/>
      <c r="D135" s="25"/>
      <c r="F135" s="38"/>
      <c r="G135" s="38"/>
      <c r="H135" s="38"/>
      <c r="I135" s="38"/>
      <c r="J135" s="38"/>
      <c r="K135" s="38"/>
      <c r="M135" s="17"/>
      <c r="N135" s="35"/>
      <c r="R135" s="17"/>
    </row>
    <row r="136" spans="2:18" ht="12.75">
      <c r="B136" s="13"/>
      <c r="C136" s="25"/>
      <c r="D136" s="25"/>
      <c r="F136" s="38"/>
      <c r="G136" s="38"/>
      <c r="H136" s="38"/>
      <c r="I136" s="38"/>
      <c r="J136" s="38"/>
      <c r="K136" s="38"/>
      <c r="M136" s="17"/>
      <c r="N136" s="35"/>
      <c r="R136" s="17"/>
    </row>
    <row r="137" spans="2:18" ht="12.75">
      <c r="B137" s="13"/>
      <c r="C137" s="25"/>
      <c r="D137" s="25"/>
      <c r="F137" s="38"/>
      <c r="G137" s="38"/>
      <c r="H137" s="38"/>
      <c r="I137" s="38"/>
      <c r="J137" s="38"/>
      <c r="K137" s="38"/>
      <c r="M137" s="17"/>
      <c r="N137" s="35"/>
      <c r="R137" s="17"/>
    </row>
    <row r="138" spans="2:18" ht="12.75">
      <c r="B138" s="13"/>
      <c r="C138" s="25"/>
      <c r="D138" s="25"/>
      <c r="F138" s="38"/>
      <c r="G138" s="38"/>
      <c r="H138" s="38"/>
      <c r="I138" s="38"/>
      <c r="J138" s="38"/>
      <c r="K138" s="38"/>
      <c r="M138" s="17"/>
      <c r="N138" s="35"/>
      <c r="R138" s="17"/>
    </row>
    <row r="139" spans="2:18" ht="12.75">
      <c r="B139" s="13"/>
      <c r="C139" s="25"/>
      <c r="D139" s="25"/>
      <c r="F139" s="38"/>
      <c r="G139" s="38"/>
      <c r="H139" s="38"/>
      <c r="I139" s="38"/>
      <c r="J139" s="38"/>
      <c r="K139" s="38"/>
      <c r="M139" s="17"/>
      <c r="N139" s="35"/>
      <c r="R139" s="17"/>
    </row>
    <row r="140" spans="2:18" ht="12.75">
      <c r="B140" s="13"/>
      <c r="C140" s="13"/>
      <c r="D140" s="13"/>
      <c r="F140" s="38"/>
      <c r="G140" s="38"/>
      <c r="H140" s="38"/>
      <c r="I140" s="38"/>
      <c r="J140" s="38"/>
      <c r="K140" s="38"/>
      <c r="M140" s="17"/>
      <c r="N140" s="35"/>
      <c r="R140" s="17"/>
    </row>
    <row r="141" spans="2:18" ht="12.75">
      <c r="B141" s="13"/>
      <c r="C141" s="25"/>
      <c r="D141" s="25"/>
      <c r="F141" s="38"/>
      <c r="G141" s="38"/>
      <c r="H141" s="38"/>
      <c r="I141" s="38"/>
      <c r="J141" s="38"/>
      <c r="K141" s="38"/>
      <c r="M141" s="17"/>
      <c r="N141" s="35"/>
      <c r="R141" s="17"/>
    </row>
    <row r="142" spans="2:18" ht="12.75">
      <c r="B142" s="13"/>
      <c r="C142" s="25"/>
      <c r="D142" s="25"/>
      <c r="F142" s="38"/>
      <c r="G142" s="38"/>
      <c r="H142" s="38"/>
      <c r="I142" s="38"/>
      <c r="J142" s="38"/>
      <c r="K142" s="38"/>
      <c r="M142" s="17"/>
      <c r="N142" s="35"/>
      <c r="R142" s="17"/>
    </row>
    <row r="143" spans="2:18" ht="12.75">
      <c r="B143" s="13"/>
      <c r="C143" s="25"/>
      <c r="D143" s="25"/>
      <c r="F143" s="38"/>
      <c r="G143" s="38"/>
      <c r="H143" s="38"/>
      <c r="I143" s="38"/>
      <c r="J143" s="38"/>
      <c r="K143" s="38"/>
      <c r="M143" s="17"/>
      <c r="N143" s="35"/>
      <c r="R143" s="17"/>
    </row>
    <row r="144" spans="2:18" ht="12.75">
      <c r="B144" s="13"/>
      <c r="C144" s="25"/>
      <c r="D144" s="25"/>
      <c r="F144" s="38"/>
      <c r="G144" s="38"/>
      <c r="H144" s="38"/>
      <c r="I144" s="38"/>
      <c r="J144" s="38"/>
      <c r="K144" s="38"/>
      <c r="M144" s="17"/>
      <c r="N144" s="35"/>
      <c r="R144" s="17"/>
    </row>
    <row r="145" spans="2:18" ht="12.75">
      <c r="B145" s="13"/>
      <c r="C145" s="25"/>
      <c r="D145" s="25"/>
      <c r="F145" s="38"/>
      <c r="G145" s="38"/>
      <c r="H145" s="38"/>
      <c r="I145" s="38"/>
      <c r="J145" s="38"/>
      <c r="K145" s="38"/>
      <c r="M145" s="17"/>
      <c r="N145" s="35"/>
      <c r="R145" s="17"/>
    </row>
    <row r="146" spans="2:18" ht="12.75">
      <c r="B146" s="13"/>
      <c r="C146" s="25"/>
      <c r="D146" s="25"/>
      <c r="F146" s="38"/>
      <c r="G146" s="38"/>
      <c r="H146" s="38"/>
      <c r="I146" s="38"/>
      <c r="J146" s="38"/>
      <c r="K146" s="38"/>
      <c r="M146" s="17"/>
      <c r="N146" s="35"/>
      <c r="R146" s="17"/>
    </row>
    <row r="147" spans="2:18" ht="12.75">
      <c r="B147" s="13"/>
      <c r="C147" s="25"/>
      <c r="D147" s="25"/>
      <c r="F147" s="38"/>
      <c r="G147" s="38"/>
      <c r="H147" s="38"/>
      <c r="I147" s="38"/>
      <c r="J147" s="38"/>
      <c r="K147" s="38"/>
      <c r="M147" s="17"/>
      <c r="N147" s="35"/>
      <c r="R147" s="17"/>
    </row>
    <row r="148" spans="2:18" ht="12.75">
      <c r="B148" s="13"/>
      <c r="C148" s="13"/>
      <c r="D148" s="13"/>
      <c r="F148" s="38"/>
      <c r="G148" s="38"/>
      <c r="H148" s="38"/>
      <c r="I148" s="38"/>
      <c r="J148" s="38"/>
      <c r="K148" s="38"/>
      <c r="M148" s="17"/>
      <c r="N148" s="35"/>
      <c r="R148" s="17"/>
    </row>
    <row r="149" spans="2:18" ht="12.75">
      <c r="B149" s="13"/>
      <c r="C149" s="25"/>
      <c r="D149" s="25"/>
      <c r="F149" s="38"/>
      <c r="G149" s="38"/>
      <c r="H149" s="38"/>
      <c r="I149" s="38"/>
      <c r="J149" s="38"/>
      <c r="K149" s="38"/>
      <c r="M149" s="17"/>
      <c r="N149" s="35"/>
      <c r="R149" s="17"/>
    </row>
    <row r="150" spans="2:18" ht="12.75">
      <c r="B150" s="13"/>
      <c r="C150" s="25"/>
      <c r="D150" s="25"/>
      <c r="F150" s="38"/>
      <c r="G150" s="38"/>
      <c r="H150" s="38"/>
      <c r="I150" s="38"/>
      <c r="J150" s="38"/>
      <c r="K150" s="38"/>
      <c r="M150" s="17"/>
      <c r="N150" s="35"/>
      <c r="R150" s="17"/>
    </row>
    <row r="151" spans="2:18" ht="12.75">
      <c r="B151" s="13"/>
      <c r="C151" s="25"/>
      <c r="D151" s="25"/>
      <c r="F151" s="38"/>
      <c r="G151" s="38"/>
      <c r="H151" s="38"/>
      <c r="I151" s="38"/>
      <c r="J151" s="38"/>
      <c r="K151" s="38"/>
      <c r="M151" s="17"/>
      <c r="N151" s="35"/>
      <c r="R151" s="17"/>
    </row>
    <row r="152" spans="2:18" ht="12.75">
      <c r="B152" s="13"/>
      <c r="C152" s="25"/>
      <c r="D152" s="25"/>
      <c r="F152" s="38"/>
      <c r="G152" s="38"/>
      <c r="H152" s="38"/>
      <c r="I152" s="38"/>
      <c r="J152" s="38"/>
      <c r="K152" s="38"/>
      <c r="M152" s="17"/>
      <c r="N152" s="35"/>
      <c r="R152" s="17"/>
    </row>
    <row r="153" spans="2:18" ht="12.75">
      <c r="B153" s="13"/>
      <c r="C153" s="25"/>
      <c r="D153" s="25"/>
      <c r="F153" s="38"/>
      <c r="G153" s="38"/>
      <c r="H153" s="38"/>
      <c r="I153" s="38"/>
      <c r="J153" s="38"/>
      <c r="K153" s="38"/>
      <c r="M153" s="17"/>
      <c r="N153" s="35"/>
      <c r="R153" s="17"/>
    </row>
    <row r="154" spans="2:18" ht="12.75">
      <c r="B154" s="13"/>
      <c r="C154" s="25"/>
      <c r="D154" s="25"/>
      <c r="F154" s="38"/>
      <c r="G154" s="38"/>
      <c r="H154" s="38"/>
      <c r="I154" s="38"/>
      <c r="J154" s="38"/>
      <c r="K154" s="38"/>
      <c r="M154" s="17"/>
      <c r="N154" s="35"/>
      <c r="R154" s="17"/>
    </row>
    <row r="155" spans="2:18" ht="12.75">
      <c r="B155" s="13"/>
      <c r="C155" s="25"/>
      <c r="D155" s="25"/>
      <c r="F155" s="38"/>
      <c r="G155" s="38"/>
      <c r="H155" s="38"/>
      <c r="I155" s="38"/>
      <c r="J155" s="38"/>
      <c r="K155" s="38"/>
      <c r="M155" s="17"/>
      <c r="N155" s="35"/>
      <c r="R155" s="17"/>
    </row>
    <row r="156" spans="2:18" ht="12.75">
      <c r="B156" s="13"/>
      <c r="C156" s="25"/>
      <c r="D156" s="25"/>
      <c r="F156" s="38"/>
      <c r="G156" s="38"/>
      <c r="H156" s="38"/>
      <c r="I156" s="38"/>
      <c r="J156" s="38"/>
      <c r="K156" s="38"/>
      <c r="M156" s="17"/>
      <c r="N156" s="35"/>
      <c r="R156" s="17"/>
    </row>
    <row r="157" spans="2:18" ht="12.75">
      <c r="B157" s="13"/>
      <c r="C157" s="25"/>
      <c r="D157" s="25"/>
      <c r="F157" s="38"/>
      <c r="G157" s="38"/>
      <c r="H157" s="38"/>
      <c r="I157" s="38"/>
      <c r="J157" s="38"/>
      <c r="K157" s="38"/>
      <c r="M157" s="17"/>
      <c r="N157" s="35"/>
      <c r="R157" s="17"/>
    </row>
    <row r="158" spans="2:18" ht="12.75">
      <c r="B158" s="13"/>
      <c r="C158" s="25"/>
      <c r="D158" s="25"/>
      <c r="F158" s="38"/>
      <c r="G158" s="38"/>
      <c r="H158" s="38"/>
      <c r="I158" s="38"/>
      <c r="J158" s="38"/>
      <c r="K158" s="38"/>
      <c r="M158" s="17"/>
      <c r="N158" s="35"/>
      <c r="R158" s="17"/>
    </row>
    <row r="159" spans="2:18" ht="12.75">
      <c r="B159" s="13"/>
      <c r="C159" s="25"/>
      <c r="D159" s="25"/>
      <c r="F159" s="38"/>
      <c r="G159" s="38"/>
      <c r="H159" s="38"/>
      <c r="I159" s="38"/>
      <c r="J159" s="38"/>
      <c r="K159" s="38"/>
      <c r="M159" s="17"/>
      <c r="N159" s="35"/>
      <c r="R159" s="17"/>
    </row>
    <row r="160" spans="2:18" ht="12.75">
      <c r="B160" s="13"/>
      <c r="C160" s="25"/>
      <c r="D160" s="25"/>
      <c r="F160" s="38"/>
      <c r="G160" s="38"/>
      <c r="H160" s="38"/>
      <c r="I160" s="38"/>
      <c r="J160" s="38"/>
      <c r="K160" s="38"/>
      <c r="M160" s="17"/>
      <c r="N160" s="35"/>
      <c r="R160" s="17"/>
    </row>
    <row r="161" spans="2:18" ht="12.75">
      <c r="B161" s="13"/>
      <c r="C161" s="25"/>
      <c r="D161" s="25"/>
      <c r="F161" s="38"/>
      <c r="G161" s="38"/>
      <c r="H161" s="38"/>
      <c r="I161" s="38"/>
      <c r="J161" s="38"/>
      <c r="K161" s="38"/>
      <c r="M161" s="17"/>
      <c r="N161" s="35"/>
      <c r="R161" s="17"/>
    </row>
    <row r="162" spans="2:18" ht="12.75">
      <c r="B162" s="13"/>
      <c r="C162" s="25"/>
      <c r="D162" s="25"/>
      <c r="F162" s="38"/>
      <c r="G162" s="38"/>
      <c r="H162" s="38"/>
      <c r="I162" s="38"/>
      <c r="J162" s="38"/>
      <c r="K162" s="38"/>
      <c r="M162" s="17"/>
      <c r="N162" s="35"/>
      <c r="R162" s="17"/>
    </row>
    <row r="163" spans="2:18" ht="12.75">
      <c r="B163" s="13"/>
      <c r="C163" s="25"/>
      <c r="D163" s="25"/>
      <c r="F163" s="38"/>
      <c r="G163" s="38"/>
      <c r="H163" s="38"/>
      <c r="I163" s="38"/>
      <c r="J163" s="38"/>
      <c r="K163" s="38"/>
      <c r="M163" s="17"/>
      <c r="N163" s="35"/>
      <c r="R163" s="17"/>
    </row>
    <row r="164" spans="2:18" ht="12.75">
      <c r="B164" s="13"/>
      <c r="C164" s="25"/>
      <c r="D164" s="25"/>
      <c r="F164" s="38"/>
      <c r="G164" s="38"/>
      <c r="H164" s="38"/>
      <c r="I164" s="38"/>
      <c r="J164" s="38"/>
      <c r="K164" s="38"/>
      <c r="M164" s="17"/>
      <c r="N164" s="35"/>
      <c r="R164" s="17"/>
    </row>
    <row r="165" spans="2:18" ht="12.75">
      <c r="B165" s="13"/>
      <c r="C165" s="25"/>
      <c r="D165" s="25"/>
      <c r="F165" s="38"/>
      <c r="G165" s="38"/>
      <c r="H165" s="38"/>
      <c r="I165" s="38"/>
      <c r="J165" s="38"/>
      <c r="K165" s="38"/>
      <c r="M165" s="17"/>
      <c r="N165" s="35"/>
      <c r="R165" s="17"/>
    </row>
    <row r="166" spans="2:18" ht="12.75">
      <c r="B166" s="13"/>
      <c r="C166" s="25"/>
      <c r="D166" s="25"/>
      <c r="F166" s="38"/>
      <c r="G166" s="38"/>
      <c r="H166" s="38"/>
      <c r="I166" s="38"/>
      <c r="J166" s="38"/>
      <c r="K166" s="38"/>
      <c r="M166" s="17"/>
      <c r="N166" s="35"/>
      <c r="R166" s="17"/>
    </row>
    <row r="167" spans="2:18" ht="12.75">
      <c r="B167" s="13"/>
      <c r="C167" s="25"/>
      <c r="D167" s="25"/>
      <c r="F167" s="38"/>
      <c r="G167" s="38"/>
      <c r="H167" s="38"/>
      <c r="I167" s="38"/>
      <c r="J167" s="38"/>
      <c r="K167" s="38"/>
      <c r="M167" s="17"/>
      <c r="N167" s="35"/>
      <c r="R167" s="17"/>
    </row>
    <row r="168" spans="2:18" ht="12.75">
      <c r="B168" s="13"/>
      <c r="C168" s="25"/>
      <c r="D168" s="25"/>
      <c r="F168" s="38"/>
      <c r="G168" s="38"/>
      <c r="H168" s="38"/>
      <c r="I168" s="38"/>
      <c r="J168" s="38"/>
      <c r="K168" s="38"/>
      <c r="M168" s="17"/>
      <c r="N168" s="35"/>
      <c r="R168" s="17"/>
    </row>
    <row r="169" spans="2:18" ht="12.75">
      <c r="B169" s="13"/>
      <c r="C169" s="25"/>
      <c r="D169" s="25"/>
      <c r="F169" s="38"/>
      <c r="G169" s="38"/>
      <c r="H169" s="38"/>
      <c r="I169" s="38"/>
      <c r="J169" s="38"/>
      <c r="K169" s="38"/>
      <c r="M169" s="17"/>
      <c r="N169" s="35"/>
      <c r="R169" s="17"/>
    </row>
    <row r="170" spans="2:18" ht="12.75">
      <c r="B170" s="13"/>
      <c r="C170" s="25"/>
      <c r="D170" s="25"/>
      <c r="F170" s="38"/>
      <c r="G170" s="38"/>
      <c r="H170" s="38"/>
      <c r="I170" s="38"/>
      <c r="J170" s="38"/>
      <c r="K170" s="38"/>
      <c r="M170" s="17"/>
      <c r="N170" s="35"/>
      <c r="R170" s="17"/>
    </row>
    <row r="171" spans="2:18" ht="12.75">
      <c r="B171" s="13"/>
      <c r="C171" s="25"/>
      <c r="D171" s="25"/>
      <c r="F171" s="38"/>
      <c r="G171" s="38"/>
      <c r="H171" s="38"/>
      <c r="I171" s="38"/>
      <c r="J171" s="38"/>
      <c r="K171" s="38"/>
      <c r="M171" s="17"/>
      <c r="N171" s="35"/>
      <c r="R171" s="17"/>
    </row>
    <row r="172" spans="2:18" ht="12.75">
      <c r="B172" s="13"/>
      <c r="C172" s="25"/>
      <c r="D172" s="25"/>
      <c r="F172" s="38"/>
      <c r="G172" s="38"/>
      <c r="H172" s="38"/>
      <c r="I172" s="38"/>
      <c r="J172" s="38"/>
      <c r="K172" s="38"/>
      <c r="M172" s="17"/>
      <c r="N172" s="35"/>
      <c r="R172" s="17"/>
    </row>
    <row r="173" spans="2:18" ht="12.75">
      <c r="B173" s="13"/>
      <c r="C173" s="25"/>
      <c r="D173" s="25"/>
      <c r="F173" s="38"/>
      <c r="G173" s="38"/>
      <c r="H173" s="38"/>
      <c r="I173" s="38"/>
      <c r="J173" s="38"/>
      <c r="K173" s="38"/>
      <c r="M173" s="17"/>
      <c r="N173" s="35"/>
      <c r="R173" s="17"/>
    </row>
    <row r="174" spans="2:18" ht="12.75">
      <c r="B174" s="13"/>
      <c r="C174" s="25"/>
      <c r="D174" s="25"/>
      <c r="F174" s="38"/>
      <c r="G174" s="38"/>
      <c r="H174" s="38"/>
      <c r="I174" s="38"/>
      <c r="J174" s="38"/>
      <c r="K174" s="38"/>
      <c r="M174" s="17"/>
      <c r="N174" s="35"/>
      <c r="R174" s="17"/>
    </row>
    <row r="175" spans="2:18" ht="12.75">
      <c r="B175" s="13"/>
      <c r="C175" s="25"/>
      <c r="D175" s="25"/>
      <c r="F175" s="38"/>
      <c r="G175" s="38"/>
      <c r="H175" s="38"/>
      <c r="I175" s="38"/>
      <c r="J175" s="38"/>
      <c r="K175" s="38"/>
      <c r="M175" s="17"/>
      <c r="N175" s="35"/>
      <c r="R175" s="17"/>
    </row>
    <row r="176" spans="2:18" ht="12.75">
      <c r="B176" s="13"/>
      <c r="C176" s="25"/>
      <c r="D176" s="25"/>
      <c r="F176" s="38"/>
      <c r="G176" s="38"/>
      <c r="H176" s="38"/>
      <c r="I176" s="38"/>
      <c r="J176" s="38"/>
      <c r="K176" s="38"/>
      <c r="M176" s="17"/>
      <c r="N176" s="35"/>
      <c r="R176" s="17"/>
    </row>
    <row r="177" spans="2:18" ht="12.75">
      <c r="B177" s="13"/>
      <c r="C177" s="25"/>
      <c r="D177" s="25"/>
      <c r="F177" s="38"/>
      <c r="G177" s="38"/>
      <c r="H177" s="38"/>
      <c r="I177" s="38"/>
      <c r="J177" s="38"/>
      <c r="K177" s="38"/>
      <c r="M177" s="17"/>
      <c r="N177" s="35"/>
      <c r="R177" s="17"/>
    </row>
    <row r="178" spans="2:18" ht="12.75">
      <c r="B178" s="13"/>
      <c r="C178" s="25"/>
      <c r="D178" s="25"/>
      <c r="F178" s="38"/>
      <c r="G178" s="38"/>
      <c r="H178" s="38"/>
      <c r="I178" s="38"/>
      <c r="J178" s="38"/>
      <c r="K178" s="38"/>
      <c r="M178" s="17"/>
      <c r="N178" s="35"/>
      <c r="R178" s="17"/>
    </row>
    <row r="179" spans="2:18" ht="12.75">
      <c r="B179" s="13"/>
      <c r="C179" s="25"/>
      <c r="D179" s="25"/>
      <c r="F179" s="38"/>
      <c r="G179" s="38"/>
      <c r="H179" s="38"/>
      <c r="I179" s="38"/>
      <c r="J179" s="38"/>
      <c r="K179" s="38"/>
      <c r="M179" s="17"/>
      <c r="N179" s="35"/>
      <c r="R179" s="17"/>
    </row>
    <row r="180" spans="2:18" ht="12.75">
      <c r="B180" s="13"/>
      <c r="C180" s="25"/>
      <c r="D180" s="25"/>
      <c r="F180" s="38"/>
      <c r="G180" s="38"/>
      <c r="H180" s="38"/>
      <c r="I180" s="38"/>
      <c r="J180" s="38"/>
      <c r="K180" s="38"/>
      <c r="M180" s="17"/>
      <c r="N180" s="35"/>
      <c r="R180" s="17"/>
    </row>
    <row r="181" spans="2:18" ht="12.75">
      <c r="B181" s="13"/>
      <c r="C181" s="25"/>
      <c r="D181" s="25"/>
      <c r="F181" s="38"/>
      <c r="G181" s="38"/>
      <c r="H181" s="38"/>
      <c r="I181" s="38"/>
      <c r="J181" s="38"/>
      <c r="K181" s="38"/>
      <c r="M181" s="17"/>
      <c r="N181" s="35"/>
      <c r="R181" s="17"/>
    </row>
    <row r="182" spans="2:18" ht="12.75">
      <c r="B182" s="13"/>
      <c r="C182" s="25"/>
      <c r="D182" s="25"/>
      <c r="F182" s="38"/>
      <c r="G182" s="38"/>
      <c r="H182" s="38"/>
      <c r="I182" s="38"/>
      <c r="J182" s="38"/>
      <c r="K182" s="38"/>
      <c r="M182" s="17"/>
      <c r="N182" s="35"/>
      <c r="R182" s="17"/>
    </row>
    <row r="183" spans="2:18" ht="12.75">
      <c r="B183" s="13"/>
      <c r="C183" s="25"/>
      <c r="D183" s="25"/>
      <c r="F183" s="38"/>
      <c r="G183" s="38"/>
      <c r="H183" s="38"/>
      <c r="I183" s="38"/>
      <c r="J183" s="38"/>
      <c r="K183" s="38"/>
      <c r="M183" s="17"/>
      <c r="N183" s="35"/>
      <c r="R183" s="17"/>
    </row>
    <row r="184" spans="2:18" ht="12.75">
      <c r="B184" s="13"/>
      <c r="C184" s="25"/>
      <c r="D184" s="25"/>
      <c r="F184" s="38"/>
      <c r="G184" s="38"/>
      <c r="H184" s="38"/>
      <c r="I184" s="38"/>
      <c r="J184" s="38"/>
      <c r="K184" s="38"/>
      <c r="M184" s="17"/>
      <c r="N184" s="35"/>
      <c r="R184" s="17"/>
    </row>
    <row r="185" spans="2:18" ht="12.75">
      <c r="B185" s="13"/>
      <c r="C185" s="25"/>
      <c r="D185" s="25"/>
      <c r="F185" s="38"/>
      <c r="G185" s="38"/>
      <c r="H185" s="38"/>
      <c r="I185" s="38"/>
      <c r="J185" s="38"/>
      <c r="K185" s="38"/>
      <c r="M185" s="17"/>
      <c r="N185" s="35"/>
      <c r="R185" s="17"/>
    </row>
    <row r="186" spans="2:18" ht="12.75">
      <c r="B186" s="13"/>
      <c r="C186" s="25"/>
      <c r="D186" s="25"/>
      <c r="F186" s="38"/>
      <c r="G186" s="38"/>
      <c r="H186" s="38"/>
      <c r="I186" s="38"/>
      <c r="J186" s="38"/>
      <c r="K186" s="38"/>
      <c r="M186" s="17"/>
      <c r="N186" s="35"/>
      <c r="R186" s="17"/>
    </row>
    <row r="187" spans="2:18" ht="12.75">
      <c r="B187" s="13"/>
      <c r="C187" s="25"/>
      <c r="D187" s="25"/>
      <c r="F187" s="38"/>
      <c r="G187" s="38"/>
      <c r="H187" s="38"/>
      <c r="I187" s="38"/>
      <c r="J187" s="38"/>
      <c r="K187" s="38"/>
      <c r="M187" s="17"/>
      <c r="N187" s="35"/>
      <c r="R187" s="17"/>
    </row>
    <row r="188" spans="2:18" ht="12.75">
      <c r="B188" s="13"/>
      <c r="C188" s="25"/>
      <c r="D188" s="25"/>
      <c r="F188" s="38"/>
      <c r="G188" s="38"/>
      <c r="H188" s="38"/>
      <c r="I188" s="38"/>
      <c r="J188" s="38"/>
      <c r="K188" s="38"/>
      <c r="M188" s="17"/>
      <c r="N188" s="35"/>
      <c r="R188" s="17"/>
    </row>
    <row r="189" spans="2:18" ht="12.75">
      <c r="B189" s="13"/>
      <c r="C189" s="25"/>
      <c r="D189" s="25"/>
      <c r="F189" s="38"/>
      <c r="G189" s="38"/>
      <c r="H189" s="38"/>
      <c r="I189" s="38"/>
      <c r="J189" s="38"/>
      <c r="K189" s="38"/>
      <c r="M189" s="17"/>
      <c r="N189" s="35"/>
      <c r="R189" s="17"/>
    </row>
    <row r="190" spans="2:18" ht="12.75">
      <c r="B190" s="13"/>
      <c r="C190" s="25"/>
      <c r="D190" s="25"/>
      <c r="F190" s="38"/>
      <c r="G190" s="38"/>
      <c r="H190" s="38"/>
      <c r="I190" s="38"/>
      <c r="J190" s="38"/>
      <c r="K190" s="38"/>
      <c r="M190" s="17"/>
      <c r="N190" s="35"/>
      <c r="R190" s="17"/>
    </row>
    <row r="191" spans="2:18" ht="12.75">
      <c r="B191" s="13"/>
      <c r="C191" s="25"/>
      <c r="D191" s="25"/>
      <c r="F191" s="38"/>
      <c r="G191" s="38"/>
      <c r="H191" s="38"/>
      <c r="I191" s="38"/>
      <c r="J191" s="38"/>
      <c r="K191" s="38"/>
      <c r="M191" s="17"/>
      <c r="N191" s="35"/>
      <c r="R191" s="17"/>
    </row>
    <row r="192" spans="2:18" ht="12.75">
      <c r="B192" s="13"/>
      <c r="C192" s="25"/>
      <c r="D192" s="25"/>
      <c r="F192" s="38"/>
      <c r="G192" s="38"/>
      <c r="H192" s="38"/>
      <c r="I192" s="38"/>
      <c r="J192" s="38"/>
      <c r="K192" s="38"/>
      <c r="M192" s="17"/>
      <c r="N192" s="35"/>
      <c r="R192" s="17"/>
    </row>
    <row r="193" spans="2:18" ht="12.75">
      <c r="B193" s="13"/>
      <c r="C193" s="25"/>
      <c r="D193" s="25"/>
      <c r="F193" s="38"/>
      <c r="G193" s="38"/>
      <c r="H193" s="38"/>
      <c r="I193" s="38"/>
      <c r="J193" s="38"/>
      <c r="K193" s="38"/>
      <c r="M193" s="17"/>
      <c r="N193" s="35"/>
      <c r="R193" s="17"/>
    </row>
    <row r="194" spans="2:18" ht="12.75">
      <c r="B194" s="13"/>
      <c r="C194" s="25"/>
      <c r="D194" s="25"/>
      <c r="F194" s="38"/>
      <c r="G194" s="38"/>
      <c r="H194" s="38"/>
      <c r="I194" s="38"/>
      <c r="J194" s="38"/>
      <c r="K194" s="38"/>
      <c r="M194" s="17"/>
      <c r="N194" s="35"/>
      <c r="R194" s="17"/>
    </row>
    <row r="195" spans="2:18" ht="12.75">
      <c r="B195" s="13"/>
      <c r="C195" s="25"/>
      <c r="D195" s="25"/>
      <c r="F195" s="38"/>
      <c r="G195" s="38"/>
      <c r="H195" s="38"/>
      <c r="I195" s="38"/>
      <c r="J195" s="38"/>
      <c r="K195" s="38"/>
      <c r="M195" s="17"/>
      <c r="N195" s="35"/>
      <c r="R195" s="17"/>
    </row>
    <row r="196" spans="2:18" ht="12.75">
      <c r="B196" s="13"/>
      <c r="C196" s="25"/>
      <c r="D196" s="25"/>
      <c r="F196" s="38"/>
      <c r="G196" s="38"/>
      <c r="H196" s="38"/>
      <c r="I196" s="38"/>
      <c r="J196" s="38"/>
      <c r="K196" s="38"/>
      <c r="M196" s="17"/>
      <c r="N196" s="35"/>
      <c r="R196" s="17"/>
    </row>
    <row r="197" spans="2:18" ht="12.75">
      <c r="B197" s="13"/>
      <c r="C197" s="25"/>
      <c r="D197" s="25"/>
      <c r="F197" s="38"/>
      <c r="G197" s="38"/>
      <c r="H197" s="38"/>
      <c r="I197" s="38"/>
      <c r="J197" s="38"/>
      <c r="K197" s="38"/>
      <c r="M197" s="17"/>
      <c r="N197" s="35"/>
      <c r="R197" s="17"/>
    </row>
    <row r="198" spans="2:18" ht="12.75">
      <c r="B198" s="13"/>
      <c r="C198" s="25"/>
      <c r="D198" s="25"/>
      <c r="F198" s="38"/>
      <c r="G198" s="38"/>
      <c r="H198" s="38"/>
      <c r="I198" s="38"/>
      <c r="J198" s="38"/>
      <c r="K198" s="38"/>
      <c r="M198" s="17"/>
      <c r="N198" s="35"/>
      <c r="R198" s="17"/>
    </row>
    <row r="199" spans="2:18" ht="12.75">
      <c r="B199" s="13"/>
      <c r="C199" s="25"/>
      <c r="D199" s="25"/>
      <c r="F199" s="38"/>
      <c r="G199" s="38"/>
      <c r="H199" s="38"/>
      <c r="I199" s="38"/>
      <c r="J199" s="38"/>
      <c r="K199" s="38"/>
      <c r="M199" s="17"/>
      <c r="N199" s="35"/>
      <c r="R199" s="17"/>
    </row>
    <row r="200" spans="2:18" ht="12.75">
      <c r="B200" s="13"/>
      <c r="C200" s="13"/>
      <c r="D200" s="13"/>
      <c r="F200" s="38"/>
      <c r="G200" s="38"/>
      <c r="H200" s="38"/>
      <c r="I200" s="38"/>
      <c r="J200" s="38"/>
      <c r="K200" s="38"/>
      <c r="M200" s="17"/>
      <c r="N200" s="35"/>
      <c r="R200" s="17"/>
    </row>
    <row r="201" spans="2:18" ht="12.75">
      <c r="B201" s="13"/>
      <c r="C201" s="25"/>
      <c r="D201" s="25"/>
      <c r="F201" s="38"/>
      <c r="G201" s="38"/>
      <c r="H201" s="38"/>
      <c r="I201" s="38"/>
      <c r="J201" s="38"/>
      <c r="K201" s="38"/>
      <c r="M201" s="17"/>
      <c r="N201" s="35"/>
      <c r="R201" s="17"/>
    </row>
    <row r="202" spans="2:18" ht="12.75">
      <c r="B202" s="13"/>
      <c r="C202" s="25"/>
      <c r="D202" s="25"/>
      <c r="F202" s="38"/>
      <c r="G202" s="38"/>
      <c r="H202" s="38"/>
      <c r="I202" s="38"/>
      <c r="J202" s="38"/>
      <c r="K202" s="38"/>
      <c r="M202" s="17"/>
      <c r="N202" s="35"/>
      <c r="R202" s="17"/>
    </row>
    <row r="203" spans="2:18" ht="12.75">
      <c r="B203" s="13"/>
      <c r="C203" s="25"/>
      <c r="D203" s="25"/>
      <c r="F203" s="38"/>
      <c r="G203" s="38"/>
      <c r="H203" s="38"/>
      <c r="I203" s="38"/>
      <c r="J203" s="38"/>
      <c r="K203" s="38"/>
      <c r="M203" s="17"/>
      <c r="N203" s="35"/>
      <c r="R203" s="17"/>
    </row>
    <row r="204" spans="2:18" ht="12.75">
      <c r="B204" s="13"/>
      <c r="C204" s="25"/>
      <c r="D204" s="25"/>
      <c r="F204" s="38"/>
      <c r="G204" s="38"/>
      <c r="H204" s="38"/>
      <c r="I204" s="38"/>
      <c r="J204" s="38"/>
      <c r="K204" s="38"/>
      <c r="M204" s="17"/>
      <c r="N204" s="35"/>
      <c r="R204" s="17"/>
    </row>
    <row r="205" spans="2:18" ht="12.75">
      <c r="B205" s="13"/>
      <c r="C205" s="25"/>
      <c r="D205" s="25"/>
      <c r="F205" s="38"/>
      <c r="G205" s="38"/>
      <c r="H205" s="38"/>
      <c r="I205" s="38"/>
      <c r="J205" s="38"/>
      <c r="K205" s="38"/>
      <c r="M205" s="17"/>
      <c r="N205" s="35"/>
      <c r="R205" s="17"/>
    </row>
    <row r="206" spans="2:18" ht="12.75">
      <c r="B206" s="13"/>
      <c r="C206" s="25"/>
      <c r="D206" s="25"/>
      <c r="F206" s="38"/>
      <c r="G206" s="38"/>
      <c r="H206" s="38"/>
      <c r="I206" s="38"/>
      <c r="J206" s="38"/>
      <c r="K206" s="38"/>
      <c r="M206" s="17"/>
      <c r="N206" s="35"/>
      <c r="R206" s="17"/>
    </row>
    <row r="207" spans="2:18" ht="12.75">
      <c r="B207" s="13"/>
      <c r="C207" s="25"/>
      <c r="D207" s="25"/>
      <c r="F207" s="38"/>
      <c r="G207" s="38"/>
      <c r="H207" s="38"/>
      <c r="I207" s="38"/>
      <c r="J207" s="38"/>
      <c r="K207" s="38"/>
      <c r="M207" s="17"/>
      <c r="N207" s="35"/>
      <c r="R207" s="17"/>
    </row>
    <row r="208" spans="2:18" ht="12.75">
      <c r="B208" s="13"/>
      <c r="C208" s="25"/>
      <c r="D208" s="25"/>
      <c r="F208" s="38"/>
      <c r="G208" s="38"/>
      <c r="H208" s="38"/>
      <c r="I208" s="38"/>
      <c r="J208" s="38"/>
      <c r="K208" s="38"/>
      <c r="M208" s="17"/>
      <c r="N208" s="35"/>
      <c r="R208" s="17"/>
    </row>
    <row r="209" spans="2:18" ht="12.75">
      <c r="B209" s="13"/>
      <c r="C209" s="25"/>
      <c r="D209" s="25"/>
      <c r="F209" s="38"/>
      <c r="G209" s="38"/>
      <c r="H209" s="38"/>
      <c r="I209" s="38"/>
      <c r="J209" s="38"/>
      <c r="K209" s="38"/>
      <c r="M209" s="17"/>
      <c r="N209" s="35"/>
      <c r="R209" s="17"/>
    </row>
    <row r="210" spans="2:18" ht="12.75">
      <c r="B210" s="13"/>
      <c r="C210" s="25"/>
      <c r="D210" s="25"/>
      <c r="F210" s="38"/>
      <c r="G210" s="38"/>
      <c r="H210" s="38"/>
      <c r="I210" s="38"/>
      <c r="J210" s="38"/>
      <c r="K210" s="38"/>
      <c r="M210" s="17"/>
      <c r="N210" s="35"/>
      <c r="R210" s="17"/>
    </row>
    <row r="211" spans="2:18" ht="12.75">
      <c r="B211" s="13"/>
      <c r="C211" s="25"/>
      <c r="D211" s="25"/>
      <c r="F211" s="38"/>
      <c r="G211" s="38"/>
      <c r="H211" s="38"/>
      <c r="I211" s="38"/>
      <c r="J211" s="38"/>
      <c r="K211" s="38"/>
      <c r="M211" s="17"/>
      <c r="N211" s="35"/>
      <c r="R211" s="17"/>
    </row>
    <row r="212" spans="2:18" ht="12.75">
      <c r="B212" s="13"/>
      <c r="C212" s="25"/>
      <c r="D212" s="25"/>
      <c r="F212" s="38"/>
      <c r="G212" s="38"/>
      <c r="H212" s="38"/>
      <c r="I212" s="38"/>
      <c r="J212" s="38"/>
      <c r="K212" s="38"/>
      <c r="M212" s="17"/>
      <c r="N212" s="35"/>
      <c r="R212" s="17"/>
    </row>
    <row r="213" spans="2:18" ht="12.75">
      <c r="B213" s="13"/>
      <c r="C213" s="25"/>
      <c r="D213" s="25"/>
      <c r="F213" s="38"/>
      <c r="G213" s="38"/>
      <c r="H213" s="38"/>
      <c r="I213" s="38"/>
      <c r="J213" s="38"/>
      <c r="K213" s="38"/>
      <c r="M213" s="17"/>
      <c r="N213" s="35"/>
      <c r="R213" s="17"/>
    </row>
    <row r="214" spans="2:18" ht="12.75">
      <c r="B214" s="13"/>
      <c r="C214" s="25"/>
      <c r="D214" s="25"/>
      <c r="F214" s="38"/>
      <c r="G214" s="38"/>
      <c r="H214" s="38"/>
      <c r="I214" s="38"/>
      <c r="J214" s="38"/>
      <c r="K214" s="38"/>
      <c r="M214" s="17"/>
      <c r="N214" s="35"/>
      <c r="R214" s="17"/>
    </row>
    <row r="215" spans="2:18" ht="12.75">
      <c r="B215" s="13"/>
      <c r="C215" s="25"/>
      <c r="D215" s="25"/>
      <c r="F215" s="38"/>
      <c r="G215" s="38"/>
      <c r="H215" s="38"/>
      <c r="I215" s="38"/>
      <c r="J215" s="38"/>
      <c r="K215" s="38"/>
      <c r="M215" s="17"/>
      <c r="N215" s="35"/>
      <c r="R215" s="17"/>
    </row>
    <row r="216" spans="2:18" ht="12.75">
      <c r="B216" s="13"/>
      <c r="C216" s="25"/>
      <c r="D216" s="25"/>
      <c r="F216" s="38"/>
      <c r="G216" s="38"/>
      <c r="H216" s="38"/>
      <c r="I216" s="38"/>
      <c r="J216" s="38"/>
      <c r="K216" s="38"/>
      <c r="M216" s="17"/>
      <c r="N216" s="35"/>
      <c r="R216" s="17"/>
    </row>
    <row r="217" spans="2:18" ht="12.75">
      <c r="B217" s="13"/>
      <c r="C217" s="25"/>
      <c r="D217" s="25"/>
      <c r="F217" s="38"/>
      <c r="G217" s="38"/>
      <c r="H217" s="38"/>
      <c r="I217" s="38"/>
      <c r="J217" s="38"/>
      <c r="K217" s="38"/>
      <c r="M217" s="17"/>
      <c r="N217" s="35"/>
      <c r="R217" s="17"/>
    </row>
    <row r="218" spans="2:18" ht="12.75">
      <c r="B218" s="13"/>
      <c r="C218" s="25"/>
      <c r="D218" s="25"/>
      <c r="F218" s="38"/>
      <c r="G218" s="38"/>
      <c r="H218" s="38"/>
      <c r="I218" s="38"/>
      <c r="J218" s="38"/>
      <c r="K218" s="38"/>
      <c r="M218" s="17"/>
      <c r="N218" s="35"/>
      <c r="R218" s="17"/>
    </row>
    <row r="219" spans="2:18" ht="12.75">
      <c r="B219" s="13"/>
      <c r="C219" s="25"/>
      <c r="D219" s="25"/>
      <c r="F219" s="38"/>
      <c r="G219" s="38"/>
      <c r="H219" s="38"/>
      <c r="I219" s="38"/>
      <c r="J219" s="38"/>
      <c r="K219" s="38"/>
      <c r="M219" s="17"/>
      <c r="N219" s="35"/>
      <c r="R219" s="17"/>
    </row>
    <row r="220" spans="2:18" ht="12.75">
      <c r="B220" s="13"/>
      <c r="C220" s="25"/>
      <c r="D220" s="25"/>
      <c r="F220" s="38"/>
      <c r="G220" s="38"/>
      <c r="H220" s="38"/>
      <c r="I220" s="38"/>
      <c r="J220" s="38"/>
      <c r="K220" s="38"/>
      <c r="M220" s="17"/>
      <c r="N220" s="35"/>
      <c r="R220" s="17"/>
    </row>
    <row r="221" spans="2:18" ht="12.75">
      <c r="B221" s="13"/>
      <c r="C221" s="25"/>
      <c r="D221" s="25"/>
      <c r="F221" s="38"/>
      <c r="G221" s="38"/>
      <c r="H221" s="38"/>
      <c r="I221" s="38"/>
      <c r="J221" s="38"/>
      <c r="K221" s="38"/>
      <c r="M221" s="17"/>
      <c r="N221" s="35"/>
      <c r="R221" s="17"/>
    </row>
    <row r="222" spans="2:18" ht="12.75">
      <c r="B222" s="13"/>
      <c r="C222" s="25"/>
      <c r="D222" s="25"/>
      <c r="F222" s="38"/>
      <c r="G222" s="38"/>
      <c r="H222" s="38"/>
      <c r="I222" s="38"/>
      <c r="J222" s="38"/>
      <c r="K222" s="38"/>
      <c r="M222" s="17"/>
      <c r="N222" s="35"/>
      <c r="R222" s="17"/>
    </row>
    <row r="223" spans="2:18" ht="12.75">
      <c r="B223" s="13"/>
      <c r="C223" s="25"/>
      <c r="D223" s="25"/>
      <c r="F223" s="38"/>
      <c r="G223" s="38"/>
      <c r="H223" s="38"/>
      <c r="I223" s="38"/>
      <c r="J223" s="38"/>
      <c r="K223" s="38"/>
      <c r="M223" s="17"/>
      <c r="N223" s="35"/>
      <c r="R223" s="17"/>
    </row>
    <row r="224" spans="2:18" ht="12.75">
      <c r="B224" s="13"/>
      <c r="C224" s="25"/>
      <c r="D224" s="25"/>
      <c r="F224" s="38"/>
      <c r="G224" s="38"/>
      <c r="H224" s="38"/>
      <c r="I224" s="38"/>
      <c r="J224" s="38"/>
      <c r="K224" s="38"/>
      <c r="M224" s="17"/>
      <c r="N224" s="35"/>
      <c r="R224" s="17"/>
    </row>
    <row r="225" spans="1:29" ht="12.75">
      <c r="B225" s="13"/>
      <c r="C225" s="25"/>
      <c r="D225" s="25"/>
      <c r="F225" s="38"/>
      <c r="G225" s="38"/>
      <c r="H225" s="38"/>
      <c r="I225" s="38"/>
      <c r="J225" s="38"/>
      <c r="K225" s="38"/>
      <c r="M225" s="17"/>
      <c r="N225" s="35"/>
      <c r="R225" s="17"/>
    </row>
    <row r="226" spans="1:29" ht="12.75">
      <c r="B226" s="13"/>
      <c r="C226" s="25"/>
      <c r="D226" s="25"/>
      <c r="F226" s="38"/>
      <c r="G226" s="38"/>
      <c r="H226" s="38"/>
      <c r="I226" s="38"/>
      <c r="J226" s="38"/>
      <c r="K226" s="38"/>
      <c r="M226" s="17"/>
      <c r="N226" s="35"/>
      <c r="R226" s="17"/>
    </row>
    <row r="227" spans="1:29" ht="12.75">
      <c r="B227" s="13"/>
      <c r="C227" s="25"/>
      <c r="D227" s="25"/>
      <c r="F227" s="38"/>
      <c r="G227" s="38"/>
      <c r="H227" s="38"/>
      <c r="I227" s="38"/>
      <c r="J227" s="38"/>
      <c r="K227" s="38"/>
      <c r="M227" s="17"/>
      <c r="N227" s="35"/>
      <c r="R227" s="17"/>
    </row>
    <row r="228" spans="1:29" ht="12.75">
      <c r="B228" s="13"/>
      <c r="C228" s="25"/>
      <c r="D228" s="25"/>
      <c r="F228" s="38"/>
      <c r="G228" s="38"/>
      <c r="H228" s="38"/>
      <c r="I228" s="38"/>
      <c r="J228" s="38"/>
      <c r="K228" s="38"/>
      <c r="M228" s="17"/>
      <c r="N228" s="35"/>
      <c r="R228" s="17"/>
    </row>
    <row r="229" spans="1:29" ht="12.75">
      <c r="B229" s="13"/>
      <c r="C229" s="25"/>
      <c r="D229" s="25"/>
      <c r="F229" s="38"/>
      <c r="G229" s="38"/>
      <c r="H229" s="38"/>
      <c r="I229" s="38"/>
      <c r="J229" s="38"/>
      <c r="K229" s="38"/>
      <c r="M229" s="17"/>
      <c r="N229" s="35"/>
      <c r="R229" s="17"/>
    </row>
    <row r="230" spans="1:29" ht="12.75">
      <c r="B230" s="13"/>
      <c r="C230" s="25"/>
      <c r="D230" s="25"/>
      <c r="F230" s="38"/>
      <c r="G230" s="38"/>
      <c r="H230" s="38"/>
      <c r="I230" s="38"/>
      <c r="J230" s="38"/>
      <c r="K230" s="38"/>
      <c r="M230" s="17"/>
      <c r="N230" s="35"/>
      <c r="R230" s="17"/>
    </row>
    <row r="231" spans="1:29" ht="12.75">
      <c r="B231" s="13"/>
      <c r="C231" s="25"/>
      <c r="D231" s="25"/>
      <c r="F231" s="38"/>
      <c r="G231" s="38"/>
      <c r="H231" s="38"/>
      <c r="I231" s="38"/>
      <c r="J231" s="38"/>
      <c r="K231" s="38"/>
      <c r="M231" s="17"/>
      <c r="N231" s="35"/>
      <c r="R231" s="17"/>
    </row>
    <row r="232" spans="1:29" ht="12.75">
      <c r="B232" s="13"/>
      <c r="C232" s="25"/>
      <c r="D232" s="25"/>
      <c r="F232" s="38"/>
      <c r="G232" s="38"/>
      <c r="H232" s="38"/>
      <c r="I232" s="38"/>
      <c r="J232" s="38"/>
      <c r="K232" s="38"/>
      <c r="M232" s="17"/>
      <c r="N232" s="35"/>
      <c r="R232" s="17"/>
    </row>
    <row r="233" spans="1:29" ht="12.75">
      <c r="F233" s="38"/>
      <c r="G233" s="38"/>
      <c r="H233" s="38"/>
      <c r="I233" s="38"/>
      <c r="J233" s="38"/>
      <c r="K233" s="38"/>
      <c r="M233" s="17"/>
      <c r="N233" s="35"/>
      <c r="R233" s="17"/>
    </row>
    <row r="234" spans="1:29" ht="13.15">
      <c r="A234" s="30"/>
      <c r="B234" s="31"/>
      <c r="C234" s="30"/>
      <c r="D234" s="30"/>
      <c r="E234" s="30"/>
      <c r="F234" s="39"/>
      <c r="G234" s="39"/>
      <c r="H234" s="38"/>
      <c r="I234" s="38"/>
      <c r="J234" s="38"/>
      <c r="K234" s="38"/>
      <c r="L234" s="30"/>
      <c r="M234" s="33"/>
      <c r="N234" s="40"/>
      <c r="O234" s="30"/>
      <c r="P234" s="30"/>
      <c r="Q234" s="30"/>
      <c r="R234" s="33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</row>
    <row r="235" spans="1:29" ht="12.75">
      <c r="F235" s="38"/>
      <c r="G235" s="38"/>
      <c r="M235" s="17"/>
      <c r="N235" s="35"/>
      <c r="R235" s="17"/>
    </row>
    <row r="236" spans="1:29" ht="12.75">
      <c r="F236" s="38"/>
      <c r="G236" s="38"/>
      <c r="M236" s="17"/>
      <c r="N236" s="35"/>
      <c r="R236" s="17"/>
    </row>
    <row r="237" spans="1:29" ht="12.75">
      <c r="F237" s="38"/>
      <c r="G237" s="38"/>
      <c r="M237" s="17"/>
      <c r="N237" s="35"/>
      <c r="R237" s="17"/>
    </row>
    <row r="238" spans="1:29" ht="12.75">
      <c r="F238" s="38"/>
      <c r="G238" s="38"/>
      <c r="M238" s="17"/>
      <c r="N238" s="35"/>
      <c r="R238" s="17"/>
    </row>
    <row r="239" spans="1:29" ht="12.75">
      <c r="M239" s="17"/>
      <c r="N239" s="35"/>
      <c r="R239" s="17"/>
    </row>
    <row r="240" spans="1:29" ht="12.75">
      <c r="M240" s="17"/>
      <c r="N240" s="35"/>
      <c r="R240" s="17"/>
    </row>
    <row r="241" spans="13:18" ht="12.75">
      <c r="M241" s="17"/>
      <c r="N241" s="35"/>
      <c r="R241" s="17"/>
    </row>
    <row r="242" spans="13:18" ht="12.75">
      <c r="M242" s="17"/>
      <c r="N242" s="35"/>
      <c r="R242" s="17"/>
    </row>
    <row r="243" spans="13:18" ht="12.75">
      <c r="M243" s="17"/>
      <c r="N243" s="35"/>
      <c r="R243" s="17"/>
    </row>
    <row r="244" spans="13:18" ht="12.75">
      <c r="M244" s="17"/>
      <c r="N244" s="35"/>
      <c r="R244" s="17"/>
    </row>
    <row r="245" spans="13:18" ht="12.75">
      <c r="M245" s="17"/>
      <c r="N245" s="35"/>
      <c r="R245" s="17"/>
    </row>
    <row r="246" spans="13:18" ht="12.75">
      <c r="M246" s="17"/>
      <c r="N246" s="35"/>
      <c r="R246" s="17"/>
    </row>
    <row r="247" spans="13:18" ht="12.75">
      <c r="M247" s="17"/>
      <c r="N247" s="35"/>
      <c r="R247" s="17"/>
    </row>
    <row r="248" spans="13:18" ht="12.75">
      <c r="M248" s="17"/>
      <c r="N248" s="35"/>
      <c r="R248" s="17"/>
    </row>
    <row r="249" spans="13:18" ht="12.75">
      <c r="M249" s="17"/>
      <c r="N249" s="35"/>
      <c r="R249" s="17"/>
    </row>
    <row r="250" spans="13:18" ht="12.75">
      <c r="M250" s="17"/>
      <c r="N250" s="35"/>
      <c r="R250" s="17"/>
    </row>
    <row r="251" spans="13:18" ht="12.75">
      <c r="M251" s="17"/>
      <c r="N251" s="35"/>
      <c r="R251" s="17"/>
    </row>
    <row r="252" spans="13:18" ht="12.75">
      <c r="M252" s="17"/>
      <c r="N252" s="35"/>
      <c r="R252" s="17"/>
    </row>
    <row r="253" spans="13:18" ht="12.75">
      <c r="M253" s="17"/>
      <c r="N253" s="35"/>
      <c r="R253" s="17"/>
    </row>
    <row r="254" spans="13:18" ht="12.75">
      <c r="M254" s="17"/>
      <c r="N254" s="35"/>
      <c r="R254" s="17"/>
    </row>
    <row r="255" spans="13:18" ht="12.75">
      <c r="M255" s="17"/>
      <c r="N255" s="35"/>
      <c r="R255" s="17"/>
    </row>
    <row r="256" spans="13:18" ht="12.75">
      <c r="M256" s="17"/>
      <c r="N256" s="35"/>
      <c r="R256" s="17"/>
    </row>
    <row r="257" spans="13:18" ht="12.75">
      <c r="M257" s="17"/>
      <c r="N257" s="35"/>
      <c r="R257" s="17"/>
    </row>
    <row r="258" spans="13:18" ht="12.75">
      <c r="M258" s="17"/>
      <c r="N258" s="35"/>
      <c r="R258" s="17"/>
    </row>
    <row r="259" spans="13:18" ht="12.75">
      <c r="M259" s="17"/>
      <c r="N259" s="35"/>
      <c r="R259" s="17"/>
    </row>
    <row r="260" spans="13:18" ht="12.75">
      <c r="M260" s="17"/>
      <c r="N260" s="35"/>
      <c r="R260" s="17"/>
    </row>
    <row r="261" spans="13:18" ht="12.75">
      <c r="M261" s="17"/>
      <c r="N261" s="35"/>
      <c r="R261" s="17"/>
    </row>
    <row r="262" spans="13:18" ht="12.75">
      <c r="M262" s="17"/>
      <c r="N262" s="35"/>
      <c r="R262" s="17"/>
    </row>
    <row r="263" spans="13:18" ht="12.75">
      <c r="M263" s="17"/>
      <c r="N263" s="35"/>
      <c r="R263" s="17"/>
    </row>
    <row r="264" spans="13:18" ht="12.75">
      <c r="M264" s="17"/>
      <c r="N264" s="35"/>
      <c r="R264" s="17"/>
    </row>
    <row r="265" spans="13:18" ht="12.75">
      <c r="M265" s="17"/>
      <c r="N265" s="35"/>
      <c r="R265" s="17"/>
    </row>
    <row r="266" spans="13:18" ht="12.75">
      <c r="M266" s="17"/>
      <c r="N266" s="35"/>
      <c r="R266" s="17"/>
    </row>
    <row r="267" spans="13:18" ht="12.75">
      <c r="M267" s="17"/>
      <c r="N267" s="35"/>
      <c r="R267" s="17"/>
    </row>
    <row r="268" spans="13:18" ht="12.75">
      <c r="M268" s="17"/>
      <c r="N268" s="35"/>
      <c r="R268" s="17"/>
    </row>
    <row r="269" spans="13:18" ht="12.75">
      <c r="M269" s="17"/>
      <c r="N269" s="35"/>
      <c r="R269" s="17"/>
    </row>
    <row r="270" spans="13:18" ht="12.75">
      <c r="M270" s="17"/>
      <c r="N270" s="35"/>
      <c r="R270" s="17"/>
    </row>
    <row r="271" spans="13:18" ht="12.75">
      <c r="M271" s="17"/>
      <c r="N271" s="35"/>
      <c r="R271" s="17"/>
    </row>
    <row r="272" spans="13:18" ht="12.75">
      <c r="M272" s="17"/>
      <c r="N272" s="35"/>
      <c r="R272" s="17"/>
    </row>
    <row r="273" spans="13:18" ht="12.75">
      <c r="M273" s="17"/>
      <c r="N273" s="35"/>
      <c r="R273" s="17"/>
    </row>
    <row r="274" spans="13:18" ht="12.75">
      <c r="M274" s="17"/>
      <c r="N274" s="35"/>
      <c r="R274" s="17"/>
    </row>
    <row r="275" spans="13:18" ht="12.75">
      <c r="M275" s="17"/>
      <c r="N275" s="35"/>
      <c r="R275" s="17"/>
    </row>
    <row r="276" spans="13:18" ht="12.75">
      <c r="M276" s="17"/>
      <c r="N276" s="35"/>
      <c r="R276" s="17"/>
    </row>
    <row r="277" spans="13:18" ht="12.75">
      <c r="M277" s="17"/>
      <c r="N277" s="35"/>
      <c r="R277" s="17"/>
    </row>
    <row r="278" spans="13:18" ht="12.75">
      <c r="M278" s="17"/>
      <c r="N278" s="35"/>
      <c r="R278" s="17"/>
    </row>
    <row r="279" spans="13:18" ht="12.75">
      <c r="M279" s="17"/>
      <c r="N279" s="35"/>
      <c r="R279" s="17"/>
    </row>
    <row r="280" spans="13:18" ht="12.75">
      <c r="M280" s="17"/>
      <c r="N280" s="35"/>
      <c r="R280" s="17"/>
    </row>
    <row r="281" spans="13:18" ht="12.75">
      <c r="M281" s="17"/>
      <c r="N281" s="35"/>
      <c r="R281" s="17"/>
    </row>
    <row r="282" spans="13:18" ht="12.75">
      <c r="M282" s="17"/>
      <c r="N282" s="35"/>
      <c r="R282" s="17"/>
    </row>
    <row r="283" spans="13:18" ht="12.75">
      <c r="M283" s="17"/>
      <c r="N283" s="35"/>
      <c r="R283" s="17"/>
    </row>
    <row r="284" spans="13:18" ht="12.75">
      <c r="M284" s="17"/>
      <c r="N284" s="35"/>
      <c r="R284" s="17"/>
    </row>
    <row r="285" spans="13:18" ht="12.75">
      <c r="M285" s="17"/>
      <c r="N285" s="35"/>
      <c r="R285" s="17"/>
    </row>
    <row r="286" spans="13:18" ht="12.75">
      <c r="M286" s="17"/>
      <c r="N286" s="35"/>
      <c r="R286" s="17"/>
    </row>
    <row r="287" spans="13:18" ht="12.75">
      <c r="M287" s="17"/>
      <c r="N287" s="35"/>
      <c r="R287" s="17"/>
    </row>
    <row r="288" spans="13:18" ht="12.75">
      <c r="M288" s="17"/>
      <c r="N288" s="35"/>
      <c r="R288" s="17"/>
    </row>
    <row r="289" spans="13:18" ht="12.75">
      <c r="M289" s="17"/>
      <c r="N289" s="35"/>
      <c r="R289" s="17"/>
    </row>
    <row r="290" spans="13:18" ht="12.75">
      <c r="M290" s="17"/>
      <c r="N290" s="35"/>
      <c r="R290" s="17"/>
    </row>
    <row r="291" spans="13:18" ht="12.75">
      <c r="M291" s="17"/>
      <c r="N291" s="35"/>
      <c r="R291" s="17"/>
    </row>
    <row r="292" spans="13:18" ht="12.75">
      <c r="M292" s="17"/>
      <c r="N292" s="35"/>
      <c r="R292" s="17"/>
    </row>
    <row r="293" spans="13:18" ht="12.75">
      <c r="M293" s="17"/>
      <c r="N293" s="35"/>
      <c r="R293" s="17"/>
    </row>
    <row r="294" spans="13:18" ht="12.75">
      <c r="M294" s="17"/>
      <c r="N294" s="35"/>
      <c r="R294" s="17"/>
    </row>
    <row r="295" spans="13:18" ht="12.75">
      <c r="M295" s="17"/>
      <c r="N295" s="35"/>
      <c r="R295" s="17"/>
    </row>
    <row r="296" spans="13:18" ht="12.75">
      <c r="M296" s="17"/>
      <c r="N296" s="35"/>
      <c r="R296" s="17"/>
    </row>
    <row r="297" spans="13:18" ht="12.75">
      <c r="M297" s="17"/>
      <c r="N297" s="35"/>
      <c r="R297" s="17"/>
    </row>
    <row r="298" spans="13:18" ht="12.75">
      <c r="M298" s="17"/>
      <c r="N298" s="35"/>
      <c r="R298" s="17"/>
    </row>
    <row r="299" spans="13:18" ht="12.75">
      <c r="M299" s="17"/>
      <c r="N299" s="35"/>
      <c r="R299" s="17"/>
    </row>
    <row r="300" spans="13:18" ht="12.75">
      <c r="M300" s="17"/>
      <c r="N300" s="35"/>
      <c r="R300" s="17"/>
    </row>
    <row r="301" spans="13:18" ht="12.75">
      <c r="M301" s="17"/>
      <c r="N301" s="35"/>
      <c r="R301" s="17"/>
    </row>
    <row r="302" spans="13:18" ht="12.75">
      <c r="M302" s="17"/>
      <c r="N302" s="35"/>
      <c r="R302" s="17"/>
    </row>
    <row r="303" spans="13:18" ht="12.75">
      <c r="M303" s="17"/>
      <c r="N303" s="35"/>
      <c r="R303" s="17"/>
    </row>
    <row r="304" spans="13:18" ht="12.75">
      <c r="M304" s="17"/>
      <c r="N304" s="35"/>
      <c r="R304" s="17"/>
    </row>
    <row r="305" spans="13:18" ht="12.75">
      <c r="M305" s="17"/>
      <c r="N305" s="35"/>
      <c r="R305" s="17"/>
    </row>
    <row r="306" spans="13:18" ht="12.75">
      <c r="M306" s="17"/>
      <c r="N306" s="35"/>
      <c r="R306" s="17"/>
    </row>
    <row r="307" spans="13:18" ht="12.75">
      <c r="M307" s="17"/>
      <c r="N307" s="35"/>
      <c r="R307" s="17"/>
    </row>
    <row r="308" spans="13:18" ht="12.75">
      <c r="M308" s="17"/>
      <c r="N308" s="35"/>
      <c r="R308" s="17"/>
    </row>
    <row r="309" spans="13:18" ht="12.75">
      <c r="M309" s="17"/>
      <c r="N309" s="35"/>
      <c r="R309" s="17"/>
    </row>
    <row r="310" spans="13:18" ht="12.75">
      <c r="M310" s="17"/>
      <c r="N310" s="35"/>
      <c r="R310" s="17"/>
    </row>
    <row r="311" spans="13:18" ht="12.75">
      <c r="M311" s="17"/>
      <c r="N311" s="35"/>
      <c r="R311" s="17"/>
    </row>
    <row r="312" spans="13:18" ht="12.75">
      <c r="M312" s="17"/>
      <c r="N312" s="35"/>
      <c r="R312" s="17"/>
    </row>
    <row r="313" spans="13:18" ht="12.75">
      <c r="M313" s="17"/>
      <c r="N313" s="35"/>
      <c r="R313" s="17"/>
    </row>
    <row r="314" spans="13:18" ht="12.75">
      <c r="M314" s="17"/>
      <c r="N314" s="35"/>
      <c r="R314" s="17"/>
    </row>
    <row r="315" spans="13:18" ht="12.75">
      <c r="M315" s="17"/>
      <c r="N315" s="35"/>
      <c r="R315" s="17"/>
    </row>
    <row r="316" spans="13:18" ht="12.75">
      <c r="M316" s="17"/>
      <c r="N316" s="35"/>
      <c r="R316" s="17"/>
    </row>
    <row r="317" spans="13:18" ht="12.75">
      <c r="M317" s="17"/>
      <c r="N317" s="35"/>
      <c r="R317" s="17"/>
    </row>
    <row r="318" spans="13:18" ht="12.75">
      <c r="M318" s="17"/>
      <c r="N318" s="35"/>
      <c r="R318" s="17"/>
    </row>
    <row r="319" spans="13:18" ht="12.75">
      <c r="M319" s="17"/>
      <c r="N319" s="35"/>
      <c r="R319" s="17"/>
    </row>
    <row r="320" spans="13:18" ht="12.75">
      <c r="M320" s="17"/>
      <c r="N320" s="35"/>
      <c r="R320" s="17"/>
    </row>
    <row r="321" spans="13:18" ht="12.75">
      <c r="M321" s="17"/>
      <c r="N321" s="35"/>
      <c r="R321" s="17"/>
    </row>
    <row r="322" spans="13:18" ht="12.75">
      <c r="M322" s="17"/>
      <c r="N322" s="35"/>
      <c r="R322" s="17"/>
    </row>
    <row r="323" spans="13:18" ht="12.75">
      <c r="M323" s="17"/>
      <c r="N323" s="35"/>
      <c r="R323" s="17"/>
    </row>
    <row r="324" spans="13:18" ht="12.75">
      <c r="M324" s="17"/>
      <c r="N324" s="35"/>
      <c r="R324" s="17"/>
    </row>
    <row r="325" spans="13:18" ht="12.75">
      <c r="M325" s="17"/>
      <c r="N325" s="35"/>
      <c r="R325" s="17"/>
    </row>
    <row r="326" spans="13:18" ht="12.75">
      <c r="M326" s="17"/>
      <c r="N326" s="35"/>
      <c r="R326" s="17"/>
    </row>
    <row r="327" spans="13:18" ht="12.75">
      <c r="M327" s="17"/>
      <c r="N327" s="35"/>
      <c r="R327" s="17"/>
    </row>
    <row r="328" spans="13:18" ht="12.75">
      <c r="M328" s="17"/>
      <c r="N328" s="35"/>
      <c r="R328" s="17"/>
    </row>
    <row r="329" spans="13:18" ht="12.75">
      <c r="M329" s="17"/>
      <c r="N329" s="35"/>
      <c r="R329" s="17"/>
    </row>
    <row r="330" spans="13:18" ht="12.75">
      <c r="M330" s="17"/>
      <c r="N330" s="35"/>
      <c r="R330" s="17"/>
    </row>
    <row r="331" spans="13:18" ht="12.75">
      <c r="M331" s="17"/>
      <c r="N331" s="35"/>
      <c r="R331" s="17"/>
    </row>
    <row r="332" spans="13:18" ht="12.75">
      <c r="M332" s="17"/>
      <c r="N332" s="35"/>
      <c r="R332" s="17"/>
    </row>
    <row r="333" spans="13:18" ht="12.75">
      <c r="M333" s="17"/>
      <c r="N333" s="35"/>
      <c r="R333" s="17"/>
    </row>
    <row r="334" spans="13:18" ht="12.75">
      <c r="M334" s="17"/>
      <c r="N334" s="35"/>
      <c r="R334" s="17"/>
    </row>
    <row r="335" spans="13:18" ht="12.75">
      <c r="M335" s="17"/>
      <c r="N335" s="35"/>
      <c r="R335" s="17"/>
    </row>
    <row r="336" spans="13:18" ht="12.75">
      <c r="M336" s="17"/>
      <c r="N336" s="35"/>
      <c r="R336" s="17"/>
    </row>
    <row r="337" spans="13:18" ht="12.75">
      <c r="M337" s="17"/>
      <c r="N337" s="35"/>
      <c r="R337" s="17"/>
    </row>
    <row r="338" spans="13:18" ht="12.75">
      <c r="M338" s="17"/>
      <c r="N338" s="35"/>
      <c r="R338" s="17"/>
    </row>
    <row r="339" spans="13:18" ht="12.75">
      <c r="M339" s="17"/>
      <c r="N339" s="35"/>
      <c r="R339" s="17"/>
    </row>
    <row r="340" spans="13:18" ht="12.75">
      <c r="M340" s="17"/>
      <c r="N340" s="35"/>
      <c r="R340" s="17"/>
    </row>
    <row r="341" spans="13:18" ht="12.75">
      <c r="M341" s="17"/>
      <c r="N341" s="35"/>
      <c r="R341" s="17"/>
    </row>
    <row r="342" spans="13:18" ht="12.75">
      <c r="M342" s="17"/>
      <c r="N342" s="35"/>
      <c r="R342" s="17"/>
    </row>
    <row r="343" spans="13:18" ht="12.75">
      <c r="M343" s="17"/>
      <c r="N343" s="35"/>
      <c r="R343" s="17"/>
    </row>
    <row r="344" spans="13:18" ht="12.75">
      <c r="M344" s="17"/>
      <c r="N344" s="35"/>
      <c r="R344" s="17"/>
    </row>
    <row r="345" spans="13:18" ht="12.75">
      <c r="M345" s="17"/>
      <c r="N345" s="35"/>
      <c r="R345" s="17"/>
    </row>
    <row r="346" spans="13:18" ht="12.75">
      <c r="M346" s="17"/>
      <c r="N346" s="35"/>
      <c r="R346" s="17"/>
    </row>
    <row r="347" spans="13:18" ht="12.75">
      <c r="M347" s="17"/>
      <c r="N347" s="35"/>
      <c r="R347" s="17"/>
    </row>
    <row r="348" spans="13:18" ht="12.75">
      <c r="M348" s="17"/>
      <c r="N348" s="35"/>
      <c r="R348" s="17"/>
    </row>
    <row r="349" spans="13:18" ht="12.75">
      <c r="M349" s="17"/>
      <c r="N349" s="35"/>
      <c r="R349" s="17"/>
    </row>
    <row r="350" spans="13:18" ht="12.75">
      <c r="M350" s="17"/>
      <c r="N350" s="35"/>
      <c r="R350" s="17"/>
    </row>
    <row r="351" spans="13:18" ht="12.75">
      <c r="M351" s="17"/>
      <c r="N351" s="35"/>
      <c r="R351" s="17"/>
    </row>
    <row r="352" spans="13:18" ht="12.75">
      <c r="M352" s="17"/>
      <c r="N352" s="35"/>
      <c r="R352" s="17"/>
    </row>
    <row r="353" spans="13:18" ht="12.75">
      <c r="M353" s="17"/>
      <c r="N353" s="35"/>
      <c r="R353" s="17"/>
    </row>
    <row r="354" spans="13:18" ht="12.75">
      <c r="M354" s="17"/>
      <c r="N354" s="35"/>
      <c r="R354" s="17"/>
    </row>
    <row r="355" spans="13:18" ht="12.75">
      <c r="M355" s="17"/>
      <c r="N355" s="35"/>
      <c r="R355" s="17"/>
    </row>
    <row r="356" spans="13:18" ht="12.75">
      <c r="M356" s="17"/>
      <c r="N356" s="35"/>
      <c r="R356" s="17"/>
    </row>
    <row r="357" spans="13:18" ht="12.75">
      <c r="M357" s="17"/>
      <c r="N357" s="35"/>
      <c r="R357" s="17"/>
    </row>
    <row r="358" spans="13:18" ht="12.75">
      <c r="M358" s="17"/>
      <c r="N358" s="35"/>
      <c r="R358" s="17"/>
    </row>
    <row r="359" spans="13:18" ht="12.75">
      <c r="M359" s="17"/>
      <c r="N359" s="35"/>
      <c r="R359" s="17"/>
    </row>
    <row r="360" spans="13:18" ht="12.75">
      <c r="M360" s="17"/>
      <c r="N360" s="35"/>
      <c r="R360" s="17"/>
    </row>
    <row r="361" spans="13:18" ht="12.75">
      <c r="M361" s="17"/>
      <c r="N361" s="35"/>
      <c r="R361" s="17"/>
    </row>
    <row r="362" spans="13:18" ht="12.75">
      <c r="M362" s="17"/>
      <c r="N362" s="35"/>
      <c r="R362" s="17"/>
    </row>
    <row r="363" spans="13:18" ht="12.75">
      <c r="M363" s="17"/>
      <c r="N363" s="35"/>
      <c r="R363" s="17"/>
    </row>
    <row r="364" spans="13:18" ht="12.75">
      <c r="M364" s="17"/>
      <c r="N364" s="35"/>
      <c r="R364" s="17"/>
    </row>
    <row r="365" spans="13:18" ht="12.75">
      <c r="M365" s="17"/>
      <c r="N365" s="35"/>
      <c r="R365" s="17"/>
    </row>
    <row r="366" spans="13:18" ht="12.75">
      <c r="M366" s="17"/>
      <c r="N366" s="35"/>
      <c r="R366" s="17"/>
    </row>
    <row r="367" spans="13:18" ht="12.75">
      <c r="M367" s="17"/>
      <c r="N367" s="35"/>
      <c r="R367" s="17"/>
    </row>
    <row r="368" spans="13:18" ht="12.75">
      <c r="M368" s="17"/>
      <c r="N368" s="35"/>
      <c r="R368" s="17"/>
    </row>
    <row r="369" spans="13:18" ht="12.75">
      <c r="M369" s="17"/>
      <c r="N369" s="35"/>
      <c r="R369" s="17"/>
    </row>
    <row r="370" spans="13:18" ht="12.75">
      <c r="M370" s="17"/>
      <c r="N370" s="35"/>
      <c r="R370" s="17"/>
    </row>
    <row r="371" spans="13:18" ht="12.75">
      <c r="M371" s="17"/>
      <c r="N371" s="35"/>
      <c r="R371" s="17"/>
    </row>
    <row r="372" spans="13:18" ht="12.75">
      <c r="M372" s="17"/>
      <c r="N372" s="35"/>
      <c r="R372" s="17"/>
    </row>
    <row r="373" spans="13:18" ht="12.75">
      <c r="M373" s="17"/>
      <c r="N373" s="35"/>
      <c r="R373" s="17"/>
    </row>
    <row r="374" spans="13:18" ht="12.75">
      <c r="M374" s="17"/>
      <c r="N374" s="35"/>
      <c r="R374" s="17"/>
    </row>
    <row r="375" spans="13:18" ht="12.75">
      <c r="M375" s="17"/>
      <c r="N375" s="35"/>
      <c r="R375" s="17"/>
    </row>
    <row r="376" spans="13:18" ht="12.75">
      <c r="M376" s="17"/>
      <c r="N376" s="35"/>
      <c r="R376" s="17"/>
    </row>
    <row r="377" spans="13:18" ht="12.75">
      <c r="M377" s="17"/>
      <c r="N377" s="35"/>
      <c r="R377" s="17"/>
    </row>
    <row r="378" spans="13:18" ht="12.75">
      <c r="M378" s="17"/>
      <c r="N378" s="35"/>
      <c r="R378" s="17"/>
    </row>
    <row r="379" spans="13:18" ht="12.75">
      <c r="M379" s="17"/>
      <c r="N379" s="35"/>
      <c r="R379" s="17"/>
    </row>
    <row r="380" spans="13:18" ht="12.75">
      <c r="M380" s="17"/>
      <c r="N380" s="35"/>
      <c r="R380" s="17"/>
    </row>
    <row r="381" spans="13:18" ht="12.75">
      <c r="M381" s="17"/>
      <c r="N381" s="35"/>
      <c r="R381" s="17"/>
    </row>
    <row r="382" spans="13:18" ht="12.75">
      <c r="M382" s="17"/>
      <c r="N382" s="35"/>
      <c r="R382" s="17"/>
    </row>
    <row r="383" spans="13:18" ht="12.75">
      <c r="M383" s="17"/>
      <c r="N383" s="35"/>
      <c r="R383" s="17"/>
    </row>
    <row r="384" spans="13:18" ht="12.75">
      <c r="M384" s="17"/>
      <c r="N384" s="35"/>
      <c r="R384" s="17"/>
    </row>
    <row r="385" spans="13:18" ht="12.75">
      <c r="M385" s="17"/>
      <c r="N385" s="35"/>
      <c r="R385" s="17"/>
    </row>
    <row r="386" spans="13:18" ht="12.75">
      <c r="M386" s="17"/>
      <c r="N386" s="35"/>
      <c r="R386" s="17"/>
    </row>
    <row r="387" spans="13:18" ht="12.75">
      <c r="M387" s="17"/>
      <c r="N387" s="35"/>
      <c r="R387" s="17"/>
    </row>
    <row r="388" spans="13:18" ht="12.75">
      <c r="M388" s="17"/>
      <c r="N388" s="35"/>
      <c r="R388" s="17"/>
    </row>
    <row r="389" spans="13:18" ht="12.75">
      <c r="M389" s="17"/>
      <c r="N389" s="35"/>
      <c r="R389" s="17"/>
    </row>
    <row r="390" spans="13:18" ht="12.75">
      <c r="M390" s="17"/>
      <c r="N390" s="35"/>
      <c r="R390" s="17"/>
    </row>
    <row r="391" spans="13:18" ht="12.75">
      <c r="M391" s="17"/>
      <c r="N391" s="35"/>
      <c r="R391" s="17"/>
    </row>
    <row r="392" spans="13:18" ht="12.75">
      <c r="M392" s="17"/>
      <c r="N392" s="35"/>
      <c r="R392" s="17"/>
    </row>
    <row r="393" spans="13:18" ht="12.75">
      <c r="M393" s="17"/>
      <c r="N393" s="35"/>
      <c r="R393" s="17"/>
    </row>
    <row r="394" spans="13:18" ht="12.75">
      <c r="M394" s="17"/>
      <c r="N394" s="35"/>
      <c r="R394" s="17"/>
    </row>
    <row r="395" spans="13:18" ht="12.75">
      <c r="M395" s="17"/>
      <c r="N395" s="35"/>
      <c r="R395" s="17"/>
    </row>
    <row r="396" spans="13:18" ht="12.75">
      <c r="M396" s="17"/>
      <c r="N396" s="35"/>
      <c r="R396" s="17"/>
    </row>
    <row r="397" spans="13:18" ht="12.75">
      <c r="M397" s="17"/>
      <c r="N397" s="35"/>
      <c r="R397" s="17"/>
    </row>
    <row r="398" spans="13:18" ht="12.75">
      <c r="M398" s="17"/>
      <c r="N398" s="35"/>
      <c r="R398" s="17"/>
    </row>
    <row r="399" spans="13:18" ht="12.75">
      <c r="M399" s="17"/>
      <c r="N399" s="35"/>
      <c r="R399" s="17"/>
    </row>
    <row r="400" spans="13:18" ht="12.75">
      <c r="M400" s="17"/>
      <c r="N400" s="35"/>
      <c r="R400" s="17"/>
    </row>
    <row r="401" spans="13:18" ht="12.75">
      <c r="M401" s="17"/>
      <c r="N401" s="35"/>
      <c r="R401" s="17"/>
    </row>
    <row r="402" spans="13:18" ht="12.75">
      <c r="M402" s="17"/>
      <c r="N402" s="35"/>
      <c r="R402" s="17"/>
    </row>
    <row r="403" spans="13:18" ht="12.75">
      <c r="M403" s="17"/>
      <c r="N403" s="35"/>
      <c r="R403" s="17"/>
    </row>
    <row r="404" spans="13:18" ht="12.75">
      <c r="M404" s="17"/>
      <c r="N404" s="35"/>
      <c r="R404" s="17"/>
    </row>
    <row r="405" spans="13:18" ht="12.75">
      <c r="M405" s="17"/>
      <c r="N405" s="35"/>
      <c r="R405" s="17"/>
    </row>
    <row r="406" spans="13:18" ht="12.75">
      <c r="M406" s="17"/>
      <c r="N406" s="35"/>
      <c r="R406" s="17"/>
    </row>
    <row r="407" spans="13:18" ht="12.75">
      <c r="M407" s="17"/>
      <c r="N407" s="35"/>
      <c r="R407" s="17"/>
    </row>
    <row r="408" spans="13:18" ht="12.75">
      <c r="M408" s="17"/>
      <c r="N408" s="35"/>
      <c r="R408" s="17"/>
    </row>
    <row r="409" spans="13:18" ht="12.75">
      <c r="M409" s="17"/>
      <c r="N409" s="35"/>
      <c r="R409" s="17"/>
    </row>
    <row r="410" spans="13:18" ht="12.75">
      <c r="M410" s="17"/>
      <c r="N410" s="35"/>
      <c r="R410" s="17"/>
    </row>
    <row r="411" spans="13:18" ht="12.75">
      <c r="M411" s="17"/>
      <c r="N411" s="35"/>
      <c r="R411" s="17"/>
    </row>
    <row r="412" spans="13:18" ht="12.75">
      <c r="M412" s="17"/>
      <c r="N412" s="35"/>
      <c r="R412" s="17"/>
    </row>
    <row r="413" spans="13:18" ht="12.75">
      <c r="M413" s="17"/>
      <c r="N413" s="35"/>
      <c r="R413" s="17"/>
    </row>
    <row r="414" spans="13:18" ht="12.75">
      <c r="M414" s="17"/>
      <c r="N414" s="35"/>
      <c r="R414" s="17"/>
    </row>
    <row r="415" spans="13:18" ht="12.75">
      <c r="M415" s="17"/>
      <c r="N415" s="35"/>
      <c r="R415" s="17"/>
    </row>
    <row r="416" spans="13:18" ht="12.75">
      <c r="M416" s="17"/>
      <c r="N416" s="35"/>
      <c r="R416" s="17"/>
    </row>
    <row r="417" spans="13:18" ht="12.75">
      <c r="M417" s="17"/>
      <c r="N417" s="35"/>
      <c r="R417" s="17"/>
    </row>
    <row r="418" spans="13:18" ht="12.75">
      <c r="M418" s="17"/>
      <c r="N418" s="35"/>
      <c r="R418" s="17"/>
    </row>
    <row r="419" spans="13:18" ht="12.75">
      <c r="M419" s="17"/>
      <c r="N419" s="35"/>
      <c r="R419" s="17"/>
    </row>
    <row r="420" spans="13:18" ht="12.75">
      <c r="M420" s="17"/>
      <c r="N420" s="35"/>
      <c r="R420" s="17"/>
    </row>
    <row r="421" spans="13:18" ht="12.75">
      <c r="M421" s="17"/>
      <c r="N421" s="35"/>
      <c r="R421" s="17"/>
    </row>
    <row r="422" spans="13:18" ht="12.75">
      <c r="M422" s="17"/>
      <c r="N422" s="35"/>
      <c r="R422" s="17"/>
    </row>
    <row r="423" spans="13:18" ht="12.75">
      <c r="M423" s="17"/>
      <c r="N423" s="35"/>
      <c r="R423" s="17"/>
    </row>
    <row r="424" spans="13:18" ht="12.75">
      <c r="M424" s="17"/>
      <c r="N424" s="35"/>
      <c r="R424" s="17"/>
    </row>
    <row r="425" spans="13:18" ht="12.75">
      <c r="M425" s="17"/>
      <c r="N425" s="35"/>
      <c r="R425" s="17"/>
    </row>
    <row r="426" spans="13:18" ht="12.75">
      <c r="M426" s="17"/>
      <c r="N426" s="35"/>
      <c r="R426" s="17"/>
    </row>
    <row r="427" spans="13:18" ht="12.75">
      <c r="M427" s="17"/>
      <c r="N427" s="35"/>
      <c r="R427" s="17"/>
    </row>
    <row r="428" spans="13:18" ht="12.75">
      <c r="M428" s="17"/>
      <c r="N428" s="35"/>
      <c r="R428" s="17"/>
    </row>
    <row r="429" spans="13:18" ht="12.75">
      <c r="M429" s="17"/>
      <c r="N429" s="35"/>
      <c r="R429" s="17"/>
    </row>
    <row r="430" spans="13:18" ht="12.75">
      <c r="M430" s="17"/>
      <c r="N430" s="35"/>
      <c r="R430" s="17"/>
    </row>
    <row r="431" spans="13:18" ht="12.75">
      <c r="M431" s="17"/>
      <c r="N431" s="35"/>
      <c r="R431" s="17"/>
    </row>
    <row r="432" spans="13:18" ht="12.75">
      <c r="M432" s="17"/>
      <c r="N432" s="35"/>
      <c r="R432" s="17"/>
    </row>
    <row r="433" spans="13:18" ht="12.75">
      <c r="M433" s="17"/>
      <c r="N433" s="35"/>
      <c r="R433" s="17"/>
    </row>
    <row r="434" spans="13:18" ht="12.75">
      <c r="M434" s="17"/>
      <c r="N434" s="35"/>
      <c r="R434" s="17"/>
    </row>
    <row r="435" spans="13:18" ht="12.75">
      <c r="M435" s="17"/>
      <c r="N435" s="35"/>
      <c r="R435" s="17"/>
    </row>
    <row r="436" spans="13:18" ht="12.75">
      <c r="M436" s="17"/>
      <c r="N436" s="35"/>
      <c r="R436" s="17"/>
    </row>
    <row r="437" spans="13:18" ht="12.75">
      <c r="M437" s="17"/>
      <c r="N437" s="35"/>
      <c r="R437" s="17"/>
    </row>
    <row r="438" spans="13:18" ht="12.75">
      <c r="M438" s="17"/>
      <c r="N438" s="35"/>
      <c r="R438" s="17"/>
    </row>
    <row r="439" spans="13:18" ht="12.75">
      <c r="M439" s="17"/>
      <c r="N439" s="35"/>
      <c r="R439" s="17"/>
    </row>
    <row r="440" spans="13:18" ht="12.75">
      <c r="M440" s="17"/>
      <c r="N440" s="35"/>
      <c r="R440" s="17"/>
    </row>
    <row r="441" spans="13:18" ht="12.75">
      <c r="M441" s="17"/>
      <c r="N441" s="35"/>
      <c r="R441" s="17"/>
    </row>
    <row r="442" spans="13:18" ht="12.75">
      <c r="M442" s="17"/>
      <c r="N442" s="35"/>
      <c r="R442" s="17"/>
    </row>
    <row r="443" spans="13:18" ht="12.75">
      <c r="M443" s="17"/>
      <c r="N443" s="35"/>
      <c r="R443" s="17"/>
    </row>
    <row r="444" spans="13:18" ht="12.75">
      <c r="M444" s="17"/>
      <c r="N444" s="35"/>
      <c r="R444" s="17"/>
    </row>
    <row r="445" spans="13:18" ht="12.75">
      <c r="M445" s="17"/>
      <c r="N445" s="35"/>
      <c r="R445" s="17"/>
    </row>
    <row r="446" spans="13:18" ht="12.75">
      <c r="M446" s="17"/>
      <c r="N446" s="35"/>
      <c r="R446" s="17"/>
    </row>
    <row r="447" spans="13:18" ht="12.75">
      <c r="M447" s="17"/>
      <c r="N447" s="35"/>
      <c r="R447" s="17"/>
    </row>
    <row r="448" spans="13:18" ht="12.75">
      <c r="M448" s="17"/>
      <c r="N448" s="35"/>
      <c r="R448" s="17"/>
    </row>
    <row r="449" spans="13:18" ht="12.75">
      <c r="M449" s="17"/>
      <c r="N449" s="35"/>
      <c r="R449" s="17"/>
    </row>
    <row r="450" spans="13:18" ht="12.75">
      <c r="M450" s="17"/>
      <c r="N450" s="35"/>
      <c r="R450" s="17"/>
    </row>
    <row r="451" spans="13:18" ht="12.75">
      <c r="M451" s="17"/>
      <c r="N451" s="35"/>
      <c r="R451" s="17"/>
    </row>
    <row r="452" spans="13:18" ht="12.75">
      <c r="M452" s="17"/>
      <c r="N452" s="35"/>
      <c r="R452" s="17"/>
    </row>
    <row r="453" spans="13:18" ht="12.75">
      <c r="M453" s="17"/>
      <c r="N453" s="35"/>
      <c r="R453" s="17"/>
    </row>
    <row r="454" spans="13:18" ht="12.75">
      <c r="M454" s="17"/>
      <c r="N454" s="35"/>
      <c r="R454" s="17"/>
    </row>
    <row r="455" spans="13:18" ht="12.75">
      <c r="M455" s="17"/>
      <c r="N455" s="35"/>
      <c r="R455" s="17"/>
    </row>
    <row r="456" spans="13:18" ht="12.75">
      <c r="M456" s="17"/>
      <c r="N456" s="35"/>
      <c r="R456" s="17"/>
    </row>
    <row r="457" spans="13:18" ht="12.75">
      <c r="M457" s="17"/>
      <c r="N457" s="35"/>
      <c r="R457" s="17"/>
    </row>
    <row r="458" spans="13:18" ht="12.75">
      <c r="M458" s="17"/>
      <c r="N458" s="35"/>
      <c r="R458" s="17"/>
    </row>
    <row r="459" spans="13:18" ht="12.75">
      <c r="M459" s="17"/>
      <c r="N459" s="35"/>
      <c r="R459" s="17"/>
    </row>
    <row r="460" spans="13:18" ht="12.75">
      <c r="M460" s="17"/>
      <c r="N460" s="35"/>
      <c r="R460" s="17"/>
    </row>
    <row r="461" spans="13:18" ht="12.75">
      <c r="M461" s="17"/>
      <c r="N461" s="35"/>
      <c r="R461" s="17"/>
    </row>
    <row r="462" spans="13:18" ht="12.75">
      <c r="M462" s="17"/>
      <c r="N462" s="35"/>
      <c r="R462" s="17"/>
    </row>
    <row r="463" spans="13:18" ht="12.75">
      <c r="M463" s="17"/>
      <c r="N463" s="35"/>
      <c r="R463" s="17"/>
    </row>
    <row r="464" spans="13:18" ht="12.75">
      <c r="M464" s="17"/>
      <c r="N464" s="35"/>
      <c r="R464" s="17"/>
    </row>
    <row r="465" spans="13:18" ht="12.75">
      <c r="M465" s="17"/>
      <c r="N465" s="35"/>
      <c r="R465" s="17"/>
    </row>
    <row r="466" spans="13:18" ht="12.75">
      <c r="M466" s="17"/>
      <c r="N466" s="35"/>
      <c r="R466" s="17"/>
    </row>
    <row r="467" spans="13:18" ht="12.75">
      <c r="M467" s="17"/>
      <c r="N467" s="35"/>
      <c r="R467" s="17"/>
    </row>
    <row r="468" spans="13:18" ht="12.75">
      <c r="M468" s="17"/>
      <c r="N468" s="35"/>
      <c r="R468" s="17"/>
    </row>
    <row r="469" spans="13:18" ht="12.75">
      <c r="M469" s="17"/>
      <c r="N469" s="35"/>
      <c r="R469" s="17"/>
    </row>
    <row r="470" spans="13:18" ht="12.75">
      <c r="M470" s="17"/>
      <c r="N470" s="35"/>
      <c r="R470" s="17"/>
    </row>
    <row r="471" spans="13:18" ht="12.75">
      <c r="M471" s="17"/>
      <c r="N471" s="35"/>
      <c r="R471" s="17"/>
    </row>
    <row r="472" spans="13:18" ht="12.75">
      <c r="M472" s="17"/>
      <c r="N472" s="35"/>
      <c r="R472" s="17"/>
    </row>
    <row r="473" spans="13:18" ht="12.75">
      <c r="M473" s="17"/>
      <c r="N473" s="35"/>
      <c r="R473" s="17"/>
    </row>
    <row r="474" spans="13:18" ht="12.75">
      <c r="M474" s="17"/>
      <c r="N474" s="35"/>
      <c r="R474" s="17"/>
    </row>
    <row r="475" spans="13:18" ht="12.75">
      <c r="M475" s="17"/>
      <c r="N475" s="35"/>
      <c r="R475" s="17"/>
    </row>
    <row r="476" spans="13:18" ht="12.75">
      <c r="M476" s="17"/>
      <c r="N476" s="35"/>
      <c r="R476" s="17"/>
    </row>
    <row r="477" spans="13:18" ht="12.75">
      <c r="M477" s="17"/>
      <c r="N477" s="35"/>
      <c r="R477" s="17"/>
    </row>
    <row r="478" spans="13:18" ht="12.75">
      <c r="M478" s="17"/>
      <c r="N478" s="35"/>
      <c r="R478" s="17"/>
    </row>
    <row r="479" spans="13:18" ht="12.75">
      <c r="M479" s="17"/>
      <c r="N479" s="35"/>
      <c r="R479" s="17"/>
    </row>
    <row r="480" spans="13:18" ht="12.75">
      <c r="M480" s="17"/>
      <c r="N480" s="35"/>
      <c r="R480" s="17"/>
    </row>
    <row r="481" spans="13:18" ht="12.75">
      <c r="M481" s="17"/>
      <c r="N481" s="35"/>
      <c r="R481" s="17"/>
    </row>
    <row r="482" spans="13:18" ht="12.75">
      <c r="M482" s="17"/>
      <c r="N482" s="35"/>
      <c r="R482" s="17"/>
    </row>
    <row r="483" spans="13:18" ht="12.75">
      <c r="M483" s="17"/>
      <c r="N483" s="35"/>
      <c r="R483" s="17"/>
    </row>
    <row r="484" spans="13:18" ht="12.75">
      <c r="M484" s="17"/>
      <c r="N484" s="35"/>
      <c r="R484" s="17"/>
    </row>
    <row r="485" spans="13:18" ht="12.75">
      <c r="M485" s="17"/>
      <c r="N485" s="35"/>
      <c r="R485" s="17"/>
    </row>
    <row r="486" spans="13:18" ht="12.75">
      <c r="M486" s="17"/>
      <c r="N486" s="35"/>
      <c r="R486" s="17"/>
    </row>
    <row r="487" spans="13:18" ht="12.75">
      <c r="M487" s="17"/>
      <c r="N487" s="35"/>
      <c r="R487" s="17"/>
    </row>
    <row r="488" spans="13:18" ht="12.75">
      <c r="M488" s="17"/>
      <c r="N488" s="35"/>
      <c r="R488" s="17"/>
    </row>
    <row r="489" spans="13:18" ht="12.75">
      <c r="M489" s="17"/>
      <c r="N489" s="35"/>
      <c r="R489" s="17"/>
    </row>
    <row r="490" spans="13:18" ht="12.75">
      <c r="M490" s="17"/>
      <c r="N490" s="35"/>
      <c r="R490" s="17"/>
    </row>
    <row r="491" spans="13:18" ht="12.75">
      <c r="M491" s="17"/>
      <c r="N491" s="35"/>
      <c r="R491" s="17"/>
    </row>
    <row r="492" spans="13:18" ht="12.75">
      <c r="M492" s="17"/>
      <c r="N492" s="35"/>
      <c r="R492" s="17"/>
    </row>
    <row r="493" spans="13:18" ht="12.75">
      <c r="M493" s="17"/>
      <c r="N493" s="35"/>
      <c r="R493" s="17"/>
    </row>
    <row r="494" spans="13:18" ht="12.75">
      <c r="M494" s="17"/>
      <c r="N494" s="35"/>
      <c r="R494" s="17"/>
    </row>
    <row r="495" spans="13:18" ht="12.75">
      <c r="M495" s="17"/>
      <c r="N495" s="35"/>
      <c r="R495" s="17"/>
    </row>
    <row r="496" spans="13:18" ht="12.75">
      <c r="M496" s="17"/>
      <c r="N496" s="35"/>
      <c r="R496" s="17"/>
    </row>
    <row r="497" spans="13:18" ht="12.75">
      <c r="M497" s="17"/>
      <c r="N497" s="35"/>
      <c r="R497" s="17"/>
    </row>
    <row r="498" spans="13:18" ht="12.75">
      <c r="M498" s="17"/>
      <c r="N498" s="35"/>
      <c r="R498" s="17"/>
    </row>
    <row r="499" spans="13:18" ht="12.75">
      <c r="M499" s="17"/>
      <c r="N499" s="35"/>
      <c r="R499" s="17"/>
    </row>
    <row r="500" spans="13:18" ht="12.75">
      <c r="M500" s="17"/>
      <c r="N500" s="35"/>
      <c r="R500" s="17"/>
    </row>
    <row r="501" spans="13:18" ht="12.75">
      <c r="M501" s="17"/>
      <c r="N501" s="35"/>
      <c r="R501" s="17"/>
    </row>
    <row r="502" spans="13:18" ht="12.75">
      <c r="M502" s="17"/>
      <c r="N502" s="35"/>
      <c r="R502" s="17"/>
    </row>
    <row r="503" spans="13:18" ht="12.75">
      <c r="M503" s="17"/>
      <c r="N503" s="35"/>
      <c r="R503" s="17"/>
    </row>
    <row r="504" spans="13:18" ht="12.75">
      <c r="M504" s="17"/>
      <c r="N504" s="35"/>
      <c r="R504" s="17"/>
    </row>
    <row r="505" spans="13:18" ht="12.75">
      <c r="M505" s="17"/>
      <c r="N505" s="35"/>
      <c r="R505" s="17"/>
    </row>
    <row r="506" spans="13:18" ht="12.75">
      <c r="M506" s="17"/>
      <c r="N506" s="35"/>
      <c r="R506" s="17"/>
    </row>
    <row r="507" spans="13:18" ht="12.75">
      <c r="M507" s="17"/>
      <c r="N507" s="35"/>
      <c r="R507" s="17"/>
    </row>
    <row r="508" spans="13:18" ht="12.75">
      <c r="M508" s="17"/>
      <c r="N508" s="35"/>
      <c r="R508" s="17"/>
    </row>
    <row r="509" spans="13:18" ht="12.75">
      <c r="M509" s="17"/>
      <c r="N509" s="35"/>
      <c r="R509" s="17"/>
    </row>
    <row r="510" spans="13:18" ht="12.75">
      <c r="M510" s="17"/>
      <c r="N510" s="35"/>
      <c r="R510" s="17"/>
    </row>
    <row r="511" spans="13:18" ht="12.75">
      <c r="M511" s="17"/>
      <c r="N511" s="35"/>
      <c r="R511" s="17"/>
    </row>
    <row r="512" spans="13:18" ht="12.75">
      <c r="M512" s="17"/>
      <c r="N512" s="35"/>
      <c r="R512" s="17"/>
    </row>
    <row r="513" spans="13:18" ht="12.75">
      <c r="M513" s="17"/>
      <c r="N513" s="35"/>
      <c r="R513" s="17"/>
    </row>
    <row r="514" spans="13:18" ht="12.75">
      <c r="M514" s="17"/>
      <c r="N514" s="35"/>
      <c r="R514" s="17"/>
    </row>
    <row r="515" spans="13:18" ht="12.75">
      <c r="M515" s="17"/>
      <c r="N515" s="35"/>
      <c r="R515" s="17"/>
    </row>
    <row r="516" spans="13:18" ht="12.75">
      <c r="M516" s="17"/>
      <c r="N516" s="35"/>
      <c r="R516" s="17"/>
    </row>
    <row r="517" spans="13:18" ht="12.75">
      <c r="M517" s="17"/>
      <c r="N517" s="35"/>
      <c r="R517" s="17"/>
    </row>
    <row r="518" spans="13:18" ht="12.75">
      <c r="M518" s="17"/>
      <c r="N518" s="35"/>
      <c r="R518" s="17"/>
    </row>
    <row r="519" spans="13:18" ht="12.75">
      <c r="M519" s="17"/>
      <c r="N519" s="35"/>
      <c r="R519" s="17"/>
    </row>
    <row r="520" spans="13:18" ht="12.75">
      <c r="M520" s="17"/>
      <c r="N520" s="35"/>
      <c r="R520" s="17"/>
    </row>
    <row r="521" spans="13:18" ht="12.75">
      <c r="M521" s="17"/>
      <c r="N521" s="35"/>
      <c r="R521" s="17"/>
    </row>
    <row r="522" spans="13:18" ht="12.75">
      <c r="M522" s="17"/>
      <c r="N522" s="35"/>
      <c r="R522" s="17"/>
    </row>
    <row r="523" spans="13:18" ht="12.75">
      <c r="M523" s="17"/>
      <c r="N523" s="35"/>
      <c r="R523" s="17"/>
    </row>
    <row r="524" spans="13:18" ht="12.75">
      <c r="M524" s="17"/>
      <c r="N524" s="35"/>
      <c r="R524" s="17"/>
    </row>
    <row r="525" spans="13:18" ht="12.75">
      <c r="M525" s="17"/>
      <c r="N525" s="35"/>
      <c r="R525" s="17"/>
    </row>
    <row r="526" spans="13:18" ht="12.75">
      <c r="M526" s="17"/>
      <c r="N526" s="35"/>
      <c r="R526" s="17"/>
    </row>
    <row r="527" spans="13:18" ht="12.75">
      <c r="M527" s="17"/>
      <c r="N527" s="35"/>
      <c r="R527" s="17"/>
    </row>
    <row r="528" spans="13:18" ht="12.75">
      <c r="M528" s="17"/>
      <c r="N528" s="35"/>
      <c r="R528" s="17"/>
    </row>
    <row r="529" spans="13:18" ht="12.75">
      <c r="M529" s="17"/>
      <c r="N529" s="35"/>
      <c r="R529" s="17"/>
    </row>
    <row r="530" spans="13:18" ht="12.75">
      <c r="M530" s="17"/>
      <c r="N530" s="35"/>
      <c r="R530" s="17"/>
    </row>
    <row r="531" spans="13:18" ht="12.75">
      <c r="M531" s="17"/>
      <c r="N531" s="35"/>
      <c r="R531" s="17"/>
    </row>
    <row r="532" spans="13:18" ht="12.75">
      <c r="M532" s="17"/>
      <c r="N532" s="35"/>
      <c r="R532" s="17"/>
    </row>
    <row r="533" spans="13:18" ht="12.75">
      <c r="M533" s="17"/>
      <c r="N533" s="35"/>
      <c r="R533" s="17"/>
    </row>
    <row r="534" spans="13:18" ht="12.75">
      <c r="M534" s="17"/>
      <c r="N534" s="35"/>
      <c r="R534" s="17"/>
    </row>
    <row r="535" spans="13:18" ht="12.75">
      <c r="M535" s="17"/>
      <c r="N535" s="35"/>
      <c r="R535" s="17"/>
    </row>
    <row r="536" spans="13:18" ht="12.75">
      <c r="M536" s="17"/>
      <c r="N536" s="35"/>
      <c r="R536" s="17"/>
    </row>
    <row r="537" spans="13:18" ht="12.75">
      <c r="M537" s="17"/>
      <c r="N537" s="35"/>
      <c r="R537" s="17"/>
    </row>
    <row r="538" spans="13:18" ht="12.75">
      <c r="M538" s="17"/>
      <c r="N538" s="35"/>
      <c r="R538" s="17"/>
    </row>
    <row r="539" spans="13:18" ht="12.75">
      <c r="M539" s="17"/>
      <c r="N539" s="35"/>
      <c r="R539" s="17"/>
    </row>
    <row r="540" spans="13:18" ht="12.75">
      <c r="M540" s="17"/>
      <c r="N540" s="35"/>
      <c r="R540" s="17"/>
    </row>
    <row r="541" spans="13:18" ht="12.75">
      <c r="M541" s="17"/>
      <c r="N541" s="35"/>
      <c r="R541" s="17"/>
    </row>
    <row r="542" spans="13:18" ht="12.75">
      <c r="M542" s="17"/>
      <c r="N542" s="35"/>
      <c r="R542" s="17"/>
    </row>
    <row r="543" spans="13:18" ht="12.75">
      <c r="M543" s="17"/>
      <c r="N543" s="35"/>
      <c r="R543" s="17"/>
    </row>
    <row r="544" spans="13:18" ht="12.75">
      <c r="M544" s="17"/>
      <c r="N544" s="35"/>
      <c r="R544" s="17"/>
    </row>
    <row r="545" spans="13:18" ht="12.75">
      <c r="M545" s="17"/>
      <c r="N545" s="35"/>
      <c r="R545" s="17"/>
    </row>
    <row r="546" spans="13:18" ht="12.75">
      <c r="M546" s="17"/>
      <c r="N546" s="35"/>
      <c r="R546" s="17"/>
    </row>
    <row r="547" spans="13:18" ht="12.75">
      <c r="M547" s="17"/>
      <c r="N547" s="35"/>
      <c r="R547" s="17"/>
    </row>
    <row r="548" spans="13:18" ht="12.75">
      <c r="M548" s="17"/>
      <c r="N548" s="35"/>
      <c r="R548" s="17"/>
    </row>
    <row r="549" spans="13:18" ht="12.75">
      <c r="M549" s="17"/>
      <c r="N549" s="35"/>
      <c r="R549" s="17"/>
    </row>
    <row r="550" spans="13:18" ht="12.75">
      <c r="M550" s="17"/>
      <c r="N550" s="35"/>
      <c r="R550" s="17"/>
    </row>
    <row r="551" spans="13:18" ht="12.75">
      <c r="M551" s="17"/>
      <c r="N551" s="35"/>
      <c r="R551" s="17"/>
    </row>
    <row r="552" spans="13:18" ht="12.75">
      <c r="M552" s="17"/>
      <c r="N552" s="35"/>
      <c r="R552" s="17"/>
    </row>
    <row r="553" spans="13:18" ht="12.75">
      <c r="M553" s="17"/>
      <c r="N553" s="35"/>
      <c r="R553" s="17"/>
    </row>
    <row r="554" spans="13:18" ht="12.75">
      <c r="M554" s="17"/>
      <c r="N554" s="35"/>
      <c r="R554" s="17"/>
    </row>
    <row r="555" spans="13:18" ht="12.75">
      <c r="M555" s="17"/>
      <c r="N555" s="35"/>
      <c r="R555" s="17"/>
    </row>
    <row r="556" spans="13:18" ht="12.75">
      <c r="M556" s="17"/>
      <c r="N556" s="35"/>
      <c r="R556" s="17"/>
    </row>
    <row r="557" spans="13:18" ht="12.75">
      <c r="M557" s="17"/>
      <c r="N557" s="35"/>
      <c r="R557" s="17"/>
    </row>
    <row r="558" spans="13:18" ht="12.75">
      <c r="M558" s="17"/>
      <c r="N558" s="35"/>
      <c r="R558" s="17"/>
    </row>
    <row r="559" spans="13:18" ht="12.75">
      <c r="M559" s="17"/>
      <c r="N559" s="35"/>
      <c r="R559" s="17"/>
    </row>
    <row r="560" spans="13:18" ht="12.75">
      <c r="M560" s="17"/>
      <c r="N560" s="35"/>
      <c r="R560" s="17"/>
    </row>
    <row r="561" spans="13:18" ht="12.75">
      <c r="M561" s="17"/>
      <c r="N561" s="35"/>
      <c r="R561" s="17"/>
    </row>
    <row r="562" spans="13:18" ht="12.75">
      <c r="M562" s="17"/>
      <c r="N562" s="35"/>
      <c r="R562" s="17"/>
    </row>
    <row r="563" spans="13:18" ht="12.75">
      <c r="M563" s="17"/>
      <c r="N563" s="35"/>
      <c r="R563" s="17"/>
    </row>
    <row r="564" spans="13:18" ht="12.75">
      <c r="M564" s="17"/>
      <c r="N564" s="35"/>
      <c r="R564" s="17"/>
    </row>
    <row r="565" spans="13:18" ht="12.75">
      <c r="M565" s="17"/>
      <c r="N565" s="35"/>
      <c r="R565" s="17"/>
    </row>
    <row r="566" spans="13:18" ht="12.75">
      <c r="M566" s="17"/>
      <c r="N566" s="35"/>
      <c r="R566" s="17"/>
    </row>
    <row r="567" spans="13:18" ht="12.75">
      <c r="M567" s="17"/>
      <c r="N567" s="35"/>
      <c r="R567" s="17"/>
    </row>
    <row r="568" spans="13:18" ht="12.75">
      <c r="M568" s="17"/>
      <c r="N568" s="35"/>
      <c r="R568" s="17"/>
    </row>
    <row r="569" spans="13:18" ht="12.75">
      <c r="M569" s="17"/>
      <c r="N569" s="35"/>
      <c r="R569" s="17"/>
    </row>
    <row r="570" spans="13:18" ht="12.75">
      <c r="M570" s="17"/>
      <c r="N570" s="35"/>
      <c r="R570" s="17"/>
    </row>
    <row r="571" spans="13:18" ht="12.75">
      <c r="M571" s="17"/>
      <c r="N571" s="35"/>
      <c r="R571" s="17"/>
    </row>
    <row r="572" spans="13:18" ht="12.75">
      <c r="M572" s="17"/>
      <c r="N572" s="35"/>
      <c r="R572" s="17"/>
    </row>
    <row r="573" spans="13:18" ht="12.75">
      <c r="M573" s="17"/>
      <c r="N573" s="35"/>
      <c r="R573" s="17"/>
    </row>
    <row r="574" spans="13:18" ht="12.75">
      <c r="M574" s="17"/>
      <c r="N574" s="35"/>
      <c r="R574" s="17"/>
    </row>
    <row r="575" spans="13:18" ht="12.75">
      <c r="M575" s="17"/>
      <c r="N575" s="35"/>
      <c r="R575" s="17"/>
    </row>
    <row r="576" spans="13:18" ht="12.75">
      <c r="M576" s="17"/>
      <c r="N576" s="35"/>
      <c r="R576" s="17"/>
    </row>
    <row r="577" spans="13:18" ht="12.75">
      <c r="M577" s="17"/>
      <c r="N577" s="35"/>
      <c r="R577" s="17"/>
    </row>
    <row r="578" spans="13:18" ht="12.75">
      <c r="M578" s="17"/>
      <c r="N578" s="35"/>
      <c r="R578" s="17"/>
    </row>
    <row r="579" spans="13:18" ht="12.75">
      <c r="M579" s="17"/>
      <c r="N579" s="35"/>
      <c r="R579" s="17"/>
    </row>
    <row r="580" spans="13:18" ht="12.75">
      <c r="M580" s="17"/>
      <c r="N580" s="35"/>
      <c r="R580" s="17"/>
    </row>
    <row r="581" spans="13:18" ht="12.75">
      <c r="M581" s="17"/>
      <c r="N581" s="35"/>
      <c r="R581" s="17"/>
    </row>
    <row r="582" spans="13:18" ht="12.75">
      <c r="M582" s="17"/>
      <c r="N582" s="35"/>
      <c r="R582" s="17"/>
    </row>
    <row r="583" spans="13:18" ht="12.75">
      <c r="M583" s="17"/>
      <c r="N583" s="35"/>
      <c r="R583" s="17"/>
    </row>
    <row r="584" spans="13:18" ht="12.75">
      <c r="M584" s="17"/>
      <c r="N584" s="35"/>
      <c r="R584" s="17"/>
    </row>
    <row r="585" spans="13:18" ht="12.75">
      <c r="M585" s="17"/>
      <c r="N585" s="35"/>
      <c r="R585" s="17"/>
    </row>
    <row r="586" spans="13:18" ht="12.75">
      <c r="M586" s="17"/>
      <c r="N586" s="35"/>
      <c r="R586" s="17"/>
    </row>
    <row r="587" spans="13:18" ht="12.75">
      <c r="M587" s="17"/>
      <c r="N587" s="35"/>
      <c r="R587" s="17"/>
    </row>
    <row r="588" spans="13:18" ht="12.75">
      <c r="M588" s="17"/>
      <c r="N588" s="35"/>
      <c r="R588" s="17"/>
    </row>
    <row r="589" spans="13:18" ht="12.75">
      <c r="M589" s="17"/>
      <c r="N589" s="35"/>
      <c r="R589" s="17"/>
    </row>
    <row r="590" spans="13:18" ht="12.75">
      <c r="M590" s="17"/>
      <c r="N590" s="35"/>
      <c r="R590" s="17"/>
    </row>
    <row r="591" spans="13:18" ht="12.75">
      <c r="M591" s="17"/>
      <c r="N591" s="35"/>
      <c r="R591" s="17"/>
    </row>
    <row r="592" spans="13:18" ht="12.75">
      <c r="M592" s="17"/>
      <c r="N592" s="35"/>
      <c r="R592" s="17"/>
    </row>
    <row r="593" spans="13:18" ht="12.75">
      <c r="M593" s="17"/>
      <c r="N593" s="35"/>
      <c r="R593" s="17"/>
    </row>
    <row r="594" spans="13:18" ht="12.75">
      <c r="M594" s="17"/>
      <c r="N594" s="35"/>
      <c r="R594" s="17"/>
    </row>
    <row r="595" spans="13:18" ht="12.75">
      <c r="M595" s="17"/>
      <c r="N595" s="35"/>
      <c r="R595" s="17"/>
    </row>
    <row r="596" spans="13:18" ht="12.75">
      <c r="M596" s="17"/>
      <c r="N596" s="35"/>
      <c r="R596" s="17"/>
    </row>
    <row r="597" spans="13:18" ht="12.75">
      <c r="M597" s="17"/>
      <c r="N597" s="35"/>
      <c r="R597" s="17"/>
    </row>
    <row r="598" spans="13:18" ht="12.75">
      <c r="M598" s="17"/>
      <c r="N598" s="35"/>
      <c r="R598" s="17"/>
    </row>
    <row r="599" spans="13:18" ht="12.75">
      <c r="M599" s="17"/>
      <c r="N599" s="35"/>
      <c r="R599" s="17"/>
    </row>
    <row r="600" spans="13:18" ht="12.75">
      <c r="M600" s="17"/>
      <c r="N600" s="35"/>
      <c r="R600" s="17"/>
    </row>
    <row r="601" spans="13:18" ht="12.75">
      <c r="M601" s="17"/>
      <c r="N601" s="35"/>
      <c r="R601" s="17"/>
    </row>
    <row r="602" spans="13:18" ht="12.75">
      <c r="M602" s="17"/>
      <c r="N602" s="35"/>
      <c r="R602" s="17"/>
    </row>
    <row r="603" spans="13:18" ht="12.75">
      <c r="M603" s="17"/>
      <c r="N603" s="35"/>
      <c r="R603" s="17"/>
    </row>
    <row r="604" spans="13:18" ht="12.75">
      <c r="M604" s="17"/>
      <c r="N604" s="35"/>
      <c r="R604" s="17"/>
    </row>
    <row r="605" spans="13:18" ht="12.75">
      <c r="M605" s="17"/>
      <c r="N605" s="35"/>
      <c r="R605" s="17"/>
    </row>
    <row r="606" spans="13:18" ht="12.75">
      <c r="M606" s="17"/>
      <c r="N606" s="35"/>
      <c r="R606" s="17"/>
    </row>
    <row r="607" spans="13:18" ht="12.75">
      <c r="M607" s="17"/>
      <c r="N607" s="35"/>
      <c r="R607" s="17"/>
    </row>
    <row r="608" spans="13:18" ht="12.75">
      <c r="M608" s="17"/>
      <c r="N608" s="35"/>
      <c r="R608" s="17"/>
    </row>
    <row r="609" spans="13:18" ht="12.75">
      <c r="M609" s="17"/>
      <c r="N609" s="35"/>
      <c r="R609" s="17"/>
    </row>
    <row r="610" spans="13:18" ht="12.75">
      <c r="M610" s="17"/>
      <c r="N610" s="35"/>
      <c r="R610" s="17"/>
    </row>
    <row r="611" spans="13:18" ht="12.75">
      <c r="M611" s="17"/>
      <c r="N611" s="35"/>
      <c r="R611" s="17"/>
    </row>
    <row r="612" spans="13:18" ht="12.75">
      <c r="M612" s="17"/>
      <c r="N612" s="35"/>
      <c r="R612" s="17"/>
    </row>
    <row r="613" spans="13:18" ht="12.75">
      <c r="M613" s="17"/>
      <c r="N613" s="35"/>
      <c r="R613" s="17"/>
    </row>
    <row r="614" spans="13:18" ht="12.75">
      <c r="M614" s="17"/>
      <c r="N614" s="35"/>
      <c r="R614" s="17"/>
    </row>
    <row r="615" spans="13:18" ht="12.75">
      <c r="M615" s="17"/>
      <c r="N615" s="35"/>
      <c r="R615" s="17"/>
    </row>
    <row r="616" spans="13:18" ht="12.75">
      <c r="M616" s="17"/>
      <c r="N616" s="35"/>
      <c r="R616" s="17"/>
    </row>
    <row r="617" spans="13:18" ht="12.75">
      <c r="M617" s="17"/>
      <c r="N617" s="35"/>
      <c r="R617" s="17"/>
    </row>
    <row r="618" spans="13:18" ht="12.75">
      <c r="M618" s="17"/>
      <c r="N618" s="35"/>
      <c r="R618" s="17"/>
    </row>
    <row r="619" spans="13:18" ht="12.75">
      <c r="M619" s="17"/>
      <c r="N619" s="35"/>
      <c r="R619" s="17"/>
    </row>
    <row r="620" spans="13:18" ht="12.75">
      <c r="M620" s="17"/>
      <c r="N620" s="35"/>
      <c r="R620" s="17"/>
    </row>
    <row r="621" spans="13:18" ht="12.75">
      <c r="M621" s="17"/>
      <c r="N621" s="35"/>
      <c r="R621" s="17"/>
    </row>
    <row r="622" spans="13:18" ht="12.75">
      <c r="M622" s="17"/>
      <c r="N622" s="35"/>
      <c r="R622" s="17"/>
    </row>
    <row r="623" spans="13:18" ht="12.75">
      <c r="M623" s="17"/>
      <c r="N623" s="35"/>
      <c r="R623" s="17"/>
    </row>
    <row r="624" spans="13:18" ht="12.75">
      <c r="M624" s="17"/>
      <c r="N624" s="35"/>
      <c r="R624" s="17"/>
    </row>
    <row r="625" spans="13:18" ht="12.75">
      <c r="M625" s="17"/>
      <c r="N625" s="35"/>
      <c r="R625" s="17"/>
    </row>
    <row r="626" spans="13:18" ht="12.75">
      <c r="M626" s="17"/>
      <c r="N626" s="35"/>
      <c r="R626" s="17"/>
    </row>
    <row r="627" spans="13:18" ht="12.75">
      <c r="M627" s="17"/>
      <c r="N627" s="35"/>
      <c r="R627" s="17"/>
    </row>
    <row r="628" spans="13:18" ht="12.75">
      <c r="M628" s="17"/>
      <c r="N628" s="35"/>
      <c r="R628" s="17"/>
    </row>
    <row r="629" spans="13:18" ht="12.75">
      <c r="M629" s="17"/>
      <c r="N629" s="35"/>
      <c r="R629" s="17"/>
    </row>
    <row r="630" spans="13:18" ht="12.75">
      <c r="M630" s="17"/>
      <c r="N630" s="35"/>
      <c r="R630" s="17"/>
    </row>
    <row r="631" spans="13:18" ht="12.75">
      <c r="M631" s="17"/>
      <c r="N631" s="35"/>
      <c r="R631" s="17"/>
    </row>
    <row r="632" spans="13:18" ht="12.75">
      <c r="M632" s="17"/>
      <c r="N632" s="35"/>
      <c r="R632" s="17"/>
    </row>
    <row r="633" spans="13:18" ht="12.75">
      <c r="M633" s="17"/>
      <c r="N633" s="35"/>
      <c r="R633" s="17"/>
    </row>
    <row r="634" spans="13:18" ht="12.75">
      <c r="M634" s="17"/>
      <c r="N634" s="35"/>
      <c r="R634" s="17"/>
    </row>
    <row r="635" spans="13:18" ht="12.75">
      <c r="M635" s="17"/>
      <c r="N635" s="35"/>
      <c r="R635" s="17"/>
    </row>
    <row r="636" spans="13:18" ht="12.75">
      <c r="M636" s="17"/>
      <c r="N636" s="35"/>
      <c r="R636" s="17"/>
    </row>
    <row r="637" spans="13:18" ht="12.75">
      <c r="M637" s="17"/>
      <c r="N637" s="35"/>
      <c r="R637" s="17"/>
    </row>
    <row r="638" spans="13:18" ht="12.75">
      <c r="M638" s="17"/>
      <c r="N638" s="35"/>
      <c r="R638" s="17"/>
    </row>
    <row r="639" spans="13:18" ht="12.75">
      <c r="M639" s="17"/>
      <c r="N639" s="35"/>
      <c r="R639" s="17"/>
    </row>
    <row r="640" spans="13:18" ht="12.75">
      <c r="M640" s="17"/>
      <c r="N640" s="35"/>
      <c r="R640" s="17"/>
    </row>
    <row r="641" spans="13:18" ht="12.75">
      <c r="M641" s="17"/>
      <c r="N641" s="35"/>
      <c r="R641" s="17"/>
    </row>
    <row r="642" spans="13:18" ht="12.75">
      <c r="M642" s="17"/>
      <c r="N642" s="35"/>
      <c r="R642" s="17"/>
    </row>
    <row r="643" spans="13:18" ht="12.75">
      <c r="M643" s="17"/>
      <c r="N643" s="35"/>
      <c r="R643" s="17"/>
    </row>
    <row r="644" spans="13:18" ht="12.75">
      <c r="M644" s="17"/>
      <c r="N644" s="35"/>
      <c r="R644" s="17"/>
    </row>
    <row r="645" spans="13:18" ht="12.75">
      <c r="M645" s="17"/>
      <c r="N645" s="35"/>
      <c r="R645" s="17"/>
    </row>
    <row r="646" spans="13:18" ht="12.75">
      <c r="M646" s="17"/>
      <c r="N646" s="35"/>
      <c r="R646" s="17"/>
    </row>
    <row r="647" spans="13:18" ht="12.75">
      <c r="M647" s="17"/>
      <c r="N647" s="35"/>
      <c r="R647" s="17"/>
    </row>
    <row r="648" spans="13:18" ht="12.75">
      <c r="M648" s="17"/>
      <c r="N648" s="35"/>
      <c r="R648" s="17"/>
    </row>
    <row r="649" spans="13:18" ht="12.75">
      <c r="M649" s="17"/>
      <c r="N649" s="35"/>
      <c r="R649" s="17"/>
    </row>
    <row r="650" spans="13:18" ht="12.75">
      <c r="M650" s="17"/>
      <c r="N650" s="35"/>
      <c r="R650" s="17"/>
    </row>
    <row r="651" spans="13:18" ht="12.75">
      <c r="M651" s="17"/>
      <c r="N651" s="35"/>
      <c r="R651" s="17"/>
    </row>
    <row r="652" spans="13:18" ht="12.75">
      <c r="M652" s="17"/>
      <c r="N652" s="35"/>
      <c r="R652" s="17"/>
    </row>
    <row r="653" spans="13:18" ht="12.75">
      <c r="M653" s="17"/>
      <c r="N653" s="35"/>
      <c r="R653" s="17"/>
    </row>
    <row r="654" spans="13:18" ht="12.75">
      <c r="M654" s="17"/>
      <c r="N654" s="35"/>
      <c r="R654" s="17"/>
    </row>
    <row r="655" spans="13:18" ht="12.75">
      <c r="M655" s="17"/>
      <c r="N655" s="35"/>
      <c r="R655" s="17"/>
    </row>
    <row r="656" spans="13:18" ht="12.75">
      <c r="M656" s="17"/>
      <c r="N656" s="35"/>
      <c r="R656" s="17"/>
    </row>
    <row r="657" spans="13:18" ht="12.75">
      <c r="M657" s="17"/>
      <c r="N657" s="35"/>
      <c r="R657" s="17"/>
    </row>
    <row r="658" spans="13:18" ht="12.75">
      <c r="M658" s="17"/>
      <c r="N658" s="35"/>
      <c r="R658" s="17"/>
    </row>
    <row r="659" spans="13:18" ht="12.75">
      <c r="M659" s="17"/>
      <c r="N659" s="35"/>
      <c r="R659" s="17"/>
    </row>
    <row r="660" spans="13:18" ht="12.75">
      <c r="M660" s="17"/>
      <c r="N660" s="35"/>
      <c r="R660" s="17"/>
    </row>
    <row r="661" spans="13:18" ht="12.75">
      <c r="M661" s="17"/>
      <c r="N661" s="35"/>
      <c r="R661" s="17"/>
    </row>
    <row r="662" spans="13:18" ht="12.75">
      <c r="M662" s="17"/>
      <c r="N662" s="35"/>
      <c r="R662" s="17"/>
    </row>
    <row r="663" spans="13:18" ht="12.75">
      <c r="M663" s="17"/>
      <c r="N663" s="35"/>
      <c r="R663" s="17"/>
    </row>
    <row r="664" spans="13:18" ht="12.75">
      <c r="M664" s="17"/>
      <c r="N664" s="35"/>
      <c r="R664" s="17"/>
    </row>
    <row r="665" spans="13:18" ht="12.75">
      <c r="M665" s="17"/>
      <c r="N665" s="35"/>
      <c r="R665" s="17"/>
    </row>
    <row r="666" spans="13:18" ht="12.75">
      <c r="M666" s="17"/>
      <c r="N666" s="35"/>
      <c r="R666" s="17"/>
    </row>
    <row r="667" spans="13:18" ht="12.75">
      <c r="M667" s="17"/>
      <c r="N667" s="35"/>
      <c r="R667" s="17"/>
    </row>
    <row r="668" spans="13:18" ht="12.75">
      <c r="M668" s="17"/>
      <c r="N668" s="35"/>
      <c r="R668" s="17"/>
    </row>
    <row r="669" spans="13:18" ht="12.75">
      <c r="M669" s="17"/>
      <c r="N669" s="35"/>
      <c r="R669" s="17"/>
    </row>
    <row r="670" spans="13:18" ht="12.75">
      <c r="M670" s="17"/>
      <c r="N670" s="35"/>
      <c r="R670" s="17"/>
    </row>
    <row r="671" spans="13:18" ht="12.75">
      <c r="M671" s="17"/>
      <c r="N671" s="35"/>
      <c r="R671" s="17"/>
    </row>
    <row r="672" spans="13:18" ht="12.75">
      <c r="M672" s="17"/>
      <c r="N672" s="35"/>
      <c r="R672" s="17"/>
    </row>
    <row r="673" spans="13:18" ht="12.75">
      <c r="M673" s="17"/>
      <c r="N673" s="35"/>
      <c r="R673" s="17"/>
    </row>
    <row r="674" spans="13:18" ht="12.75">
      <c r="M674" s="17"/>
      <c r="N674" s="35"/>
      <c r="R674" s="17"/>
    </row>
    <row r="675" spans="13:18" ht="12.75">
      <c r="M675" s="17"/>
      <c r="N675" s="35"/>
      <c r="R675" s="17"/>
    </row>
    <row r="676" spans="13:18" ht="12.75">
      <c r="M676" s="17"/>
      <c r="N676" s="35"/>
      <c r="R676" s="17"/>
    </row>
    <row r="677" spans="13:18" ht="12.75">
      <c r="M677" s="17"/>
      <c r="N677" s="35"/>
      <c r="R677" s="17"/>
    </row>
    <row r="678" spans="13:18" ht="12.75">
      <c r="M678" s="17"/>
      <c r="N678" s="35"/>
      <c r="R678" s="17"/>
    </row>
    <row r="679" spans="13:18" ht="12.75">
      <c r="M679" s="17"/>
      <c r="N679" s="35"/>
      <c r="R679" s="17"/>
    </row>
    <row r="680" spans="13:18" ht="12.75">
      <c r="M680" s="17"/>
      <c r="N680" s="35"/>
      <c r="R680" s="17"/>
    </row>
    <row r="681" spans="13:18" ht="12.75">
      <c r="M681" s="17"/>
      <c r="N681" s="35"/>
      <c r="R681" s="17"/>
    </row>
    <row r="682" spans="13:18" ht="12.75">
      <c r="M682" s="17"/>
      <c r="N682" s="35"/>
      <c r="R682" s="17"/>
    </row>
    <row r="683" spans="13:18" ht="12.75">
      <c r="M683" s="17"/>
      <c r="N683" s="35"/>
      <c r="R683" s="17"/>
    </row>
    <row r="684" spans="13:18" ht="12.75">
      <c r="M684" s="17"/>
      <c r="N684" s="35"/>
      <c r="R684" s="17"/>
    </row>
    <row r="685" spans="13:18" ht="12.75">
      <c r="M685" s="17"/>
      <c r="N685" s="35"/>
      <c r="R685" s="17"/>
    </row>
    <row r="686" spans="13:18" ht="12.75">
      <c r="M686" s="17"/>
      <c r="N686" s="35"/>
      <c r="R686" s="17"/>
    </row>
    <row r="687" spans="13:18" ht="12.75">
      <c r="M687" s="17"/>
      <c r="N687" s="35"/>
      <c r="R687" s="17"/>
    </row>
    <row r="688" spans="13:18" ht="12.75">
      <c r="M688" s="17"/>
      <c r="N688" s="35"/>
      <c r="R688" s="17"/>
    </row>
    <row r="689" spans="13:18" ht="12.75">
      <c r="M689" s="17"/>
      <c r="N689" s="35"/>
      <c r="R689" s="17"/>
    </row>
    <row r="690" spans="13:18" ht="12.75">
      <c r="M690" s="17"/>
      <c r="N690" s="35"/>
      <c r="R690" s="17"/>
    </row>
    <row r="691" spans="13:18" ht="12.75">
      <c r="M691" s="17"/>
      <c r="N691" s="35"/>
      <c r="R691" s="17"/>
    </row>
    <row r="692" spans="13:18" ht="12.75">
      <c r="M692" s="17"/>
      <c r="N692" s="35"/>
      <c r="R692" s="17"/>
    </row>
    <row r="693" spans="13:18" ht="12.75">
      <c r="M693" s="17"/>
      <c r="N693" s="35"/>
      <c r="R693" s="17"/>
    </row>
    <row r="694" spans="13:18" ht="12.75">
      <c r="M694" s="17"/>
      <c r="N694" s="35"/>
      <c r="R694" s="17"/>
    </row>
    <row r="695" spans="13:18" ht="12.75">
      <c r="M695" s="17"/>
      <c r="N695" s="35"/>
      <c r="R695" s="17"/>
    </row>
    <row r="696" spans="13:18" ht="12.75">
      <c r="M696" s="17"/>
      <c r="N696" s="35"/>
      <c r="R696" s="17"/>
    </row>
    <row r="697" spans="13:18" ht="12.75">
      <c r="M697" s="17"/>
      <c r="N697" s="35"/>
      <c r="R697" s="17"/>
    </row>
    <row r="698" spans="13:18" ht="12.75">
      <c r="M698" s="17"/>
      <c r="N698" s="35"/>
      <c r="R698" s="17"/>
    </row>
    <row r="699" spans="13:18" ht="12.75">
      <c r="M699" s="17"/>
      <c r="N699" s="35"/>
      <c r="R699" s="17"/>
    </row>
    <row r="700" spans="13:18" ht="12.75">
      <c r="M700" s="17"/>
      <c r="N700" s="35"/>
      <c r="R700" s="17"/>
    </row>
    <row r="701" spans="13:18" ht="12.75">
      <c r="M701" s="17"/>
      <c r="N701" s="35"/>
      <c r="R701" s="17"/>
    </row>
    <row r="702" spans="13:18" ht="12.75">
      <c r="M702" s="17"/>
      <c r="N702" s="35"/>
      <c r="R702" s="17"/>
    </row>
    <row r="703" spans="13:18" ht="12.75">
      <c r="M703" s="17"/>
      <c r="N703" s="35"/>
      <c r="R703" s="17"/>
    </row>
    <row r="704" spans="13:18" ht="12.75">
      <c r="M704" s="17"/>
      <c r="N704" s="35"/>
      <c r="R704" s="17"/>
    </row>
    <row r="705" spans="13:18" ht="12.75">
      <c r="M705" s="17"/>
      <c r="N705" s="35"/>
      <c r="R705" s="17"/>
    </row>
    <row r="706" spans="13:18" ht="12.75">
      <c r="M706" s="17"/>
      <c r="N706" s="35"/>
      <c r="R706" s="17"/>
    </row>
    <row r="707" spans="13:18" ht="12.75">
      <c r="M707" s="17"/>
      <c r="N707" s="35"/>
      <c r="R707" s="17"/>
    </row>
    <row r="708" spans="13:18" ht="12.75">
      <c r="M708" s="17"/>
      <c r="N708" s="35"/>
      <c r="R708" s="17"/>
    </row>
    <row r="709" spans="13:18" ht="12.75">
      <c r="M709" s="17"/>
      <c r="N709" s="35"/>
      <c r="R709" s="17"/>
    </row>
    <row r="710" spans="13:18" ht="12.75">
      <c r="M710" s="17"/>
      <c r="N710" s="35"/>
      <c r="R710" s="17"/>
    </row>
    <row r="711" spans="13:18" ht="12.75">
      <c r="M711" s="17"/>
      <c r="N711" s="35"/>
      <c r="R711" s="17"/>
    </row>
    <row r="712" spans="13:18" ht="12.75">
      <c r="M712" s="17"/>
      <c r="N712" s="35"/>
      <c r="R712" s="17"/>
    </row>
    <row r="713" spans="13:18" ht="12.75">
      <c r="M713" s="17"/>
      <c r="N713" s="35"/>
      <c r="R713" s="17"/>
    </row>
    <row r="714" spans="13:18" ht="12.75">
      <c r="M714" s="17"/>
      <c r="N714" s="35"/>
      <c r="R714" s="17"/>
    </row>
    <row r="715" spans="13:18" ht="12.75">
      <c r="M715" s="17"/>
      <c r="N715" s="35"/>
      <c r="R715" s="17"/>
    </row>
    <row r="716" spans="13:18" ht="12.75">
      <c r="M716" s="17"/>
      <c r="N716" s="35"/>
      <c r="R716" s="17"/>
    </row>
    <row r="717" spans="13:18" ht="12.75">
      <c r="M717" s="17"/>
      <c r="N717" s="35"/>
      <c r="R717" s="17"/>
    </row>
    <row r="718" spans="13:18" ht="12.75">
      <c r="M718" s="17"/>
      <c r="N718" s="35"/>
      <c r="R718" s="17"/>
    </row>
    <row r="719" spans="13:18" ht="12.75">
      <c r="M719" s="17"/>
      <c r="N719" s="35"/>
      <c r="R719" s="17"/>
    </row>
    <row r="720" spans="13:18" ht="12.75">
      <c r="M720" s="17"/>
      <c r="N720" s="35"/>
      <c r="R720" s="17"/>
    </row>
    <row r="721" spans="13:18" ht="12.75">
      <c r="M721" s="17"/>
      <c r="N721" s="35"/>
      <c r="R721" s="17"/>
    </row>
    <row r="722" spans="13:18" ht="12.75">
      <c r="M722" s="17"/>
      <c r="N722" s="35"/>
      <c r="R722" s="17"/>
    </row>
    <row r="723" spans="13:18" ht="12.75">
      <c r="M723" s="17"/>
      <c r="N723" s="35"/>
      <c r="R723" s="17"/>
    </row>
    <row r="724" spans="13:18" ht="12.75">
      <c r="M724" s="17"/>
      <c r="N724" s="35"/>
      <c r="R724" s="17"/>
    </row>
    <row r="725" spans="13:18" ht="12.75">
      <c r="M725" s="17"/>
      <c r="N725" s="35"/>
      <c r="R725" s="17"/>
    </row>
    <row r="726" spans="13:18" ht="12.75">
      <c r="M726" s="17"/>
      <c r="N726" s="35"/>
      <c r="R726" s="17"/>
    </row>
    <row r="727" spans="13:18" ht="12.75">
      <c r="M727" s="17"/>
      <c r="N727" s="35"/>
      <c r="R727" s="17"/>
    </row>
    <row r="728" spans="13:18" ht="12.75">
      <c r="M728" s="17"/>
      <c r="N728" s="35"/>
      <c r="R728" s="17"/>
    </row>
    <row r="729" spans="13:18" ht="12.75">
      <c r="M729" s="17"/>
      <c r="N729" s="35"/>
      <c r="R729" s="17"/>
    </row>
    <row r="730" spans="13:18" ht="12.75">
      <c r="M730" s="17"/>
      <c r="N730" s="35"/>
      <c r="R730" s="17"/>
    </row>
    <row r="731" spans="13:18" ht="12.75">
      <c r="M731" s="17"/>
      <c r="N731" s="35"/>
      <c r="R731" s="17"/>
    </row>
    <row r="732" spans="13:18" ht="12.75">
      <c r="M732" s="17"/>
      <c r="N732" s="35"/>
      <c r="R732" s="17"/>
    </row>
    <row r="733" spans="13:18" ht="12.75">
      <c r="M733" s="17"/>
      <c r="N733" s="35"/>
      <c r="R733" s="17"/>
    </row>
    <row r="734" spans="13:18" ht="12.75">
      <c r="M734" s="17"/>
      <c r="N734" s="35"/>
      <c r="R734" s="17"/>
    </row>
    <row r="735" spans="13:18" ht="12.75">
      <c r="M735" s="17"/>
      <c r="N735" s="35"/>
      <c r="R735" s="17"/>
    </row>
    <row r="736" spans="13:18" ht="12.75">
      <c r="M736" s="17"/>
      <c r="N736" s="35"/>
      <c r="R736" s="17"/>
    </row>
    <row r="737" spans="13:18" ht="12.75">
      <c r="M737" s="17"/>
      <c r="N737" s="35"/>
      <c r="R737" s="17"/>
    </row>
    <row r="738" spans="13:18" ht="12.75">
      <c r="M738" s="17"/>
      <c r="N738" s="35"/>
      <c r="R738" s="17"/>
    </row>
    <row r="739" spans="13:18" ht="12.75">
      <c r="M739" s="17"/>
      <c r="N739" s="35"/>
      <c r="R739" s="17"/>
    </row>
    <row r="740" spans="13:18" ht="12.75">
      <c r="M740" s="17"/>
      <c r="N740" s="35"/>
      <c r="R740" s="17"/>
    </row>
    <row r="741" spans="13:18" ht="12.75">
      <c r="M741" s="17"/>
      <c r="N741" s="35"/>
      <c r="R741" s="17"/>
    </row>
    <row r="742" spans="13:18" ht="12.75">
      <c r="M742" s="17"/>
      <c r="N742" s="35"/>
      <c r="R742" s="17"/>
    </row>
    <row r="743" spans="13:18" ht="12.75">
      <c r="M743" s="17"/>
      <c r="N743" s="35"/>
      <c r="R743" s="17"/>
    </row>
    <row r="744" spans="13:18" ht="12.75">
      <c r="M744" s="17"/>
      <c r="N744" s="35"/>
      <c r="R744" s="17"/>
    </row>
    <row r="745" spans="13:18" ht="12.75">
      <c r="M745" s="17"/>
      <c r="N745" s="35"/>
      <c r="R745" s="17"/>
    </row>
    <row r="746" spans="13:18" ht="12.75">
      <c r="M746" s="17"/>
      <c r="N746" s="35"/>
      <c r="R746" s="17"/>
    </row>
    <row r="747" spans="13:18" ht="12.75">
      <c r="M747" s="17"/>
      <c r="N747" s="35"/>
      <c r="R747" s="17"/>
    </row>
    <row r="748" spans="13:18" ht="12.75">
      <c r="M748" s="17"/>
      <c r="N748" s="35"/>
      <c r="R748" s="17"/>
    </row>
    <row r="749" spans="13:18" ht="12.75">
      <c r="M749" s="17"/>
      <c r="N749" s="35"/>
      <c r="R749" s="17"/>
    </row>
    <row r="750" spans="13:18" ht="12.75">
      <c r="M750" s="17"/>
      <c r="N750" s="35"/>
      <c r="R750" s="17"/>
    </row>
    <row r="751" spans="13:18" ht="12.75">
      <c r="M751" s="17"/>
      <c r="N751" s="35"/>
      <c r="R751" s="17"/>
    </row>
    <row r="752" spans="13:18" ht="12.75">
      <c r="M752" s="17"/>
      <c r="N752" s="35"/>
      <c r="R752" s="17"/>
    </row>
    <row r="753" spans="13:18" ht="12.75">
      <c r="M753" s="17"/>
      <c r="N753" s="35"/>
      <c r="R753" s="17"/>
    </row>
    <row r="754" spans="13:18" ht="12.75">
      <c r="M754" s="17"/>
      <c r="N754" s="35"/>
      <c r="R754" s="17"/>
    </row>
    <row r="755" spans="13:18" ht="12.75">
      <c r="M755" s="17"/>
      <c r="N755" s="35"/>
      <c r="R755" s="17"/>
    </row>
    <row r="756" spans="13:18" ht="12.75">
      <c r="M756" s="17"/>
      <c r="N756" s="35"/>
      <c r="R756" s="17"/>
    </row>
    <row r="757" spans="13:18" ht="12.75">
      <c r="M757" s="17"/>
      <c r="N757" s="35"/>
      <c r="R757" s="17"/>
    </row>
    <row r="758" spans="13:18" ht="12.75">
      <c r="M758" s="17"/>
      <c r="N758" s="35"/>
      <c r="R758" s="17"/>
    </row>
    <row r="759" spans="13:18" ht="12.75">
      <c r="M759" s="17"/>
      <c r="N759" s="35"/>
      <c r="R759" s="17"/>
    </row>
    <row r="760" spans="13:18" ht="12.75">
      <c r="M760" s="17"/>
      <c r="N760" s="35"/>
      <c r="R760" s="17"/>
    </row>
    <row r="761" spans="13:18" ht="12.75">
      <c r="M761" s="17"/>
      <c r="N761" s="35"/>
      <c r="R761" s="17"/>
    </row>
    <row r="762" spans="13:18" ht="12.75">
      <c r="M762" s="17"/>
      <c r="N762" s="35"/>
      <c r="R762" s="17"/>
    </row>
    <row r="763" spans="13:18" ht="12.75">
      <c r="M763" s="17"/>
      <c r="N763" s="35"/>
      <c r="R763" s="17"/>
    </row>
    <row r="764" spans="13:18" ht="12.75">
      <c r="M764" s="17"/>
      <c r="N764" s="35"/>
      <c r="R764" s="17"/>
    </row>
    <row r="765" spans="13:18" ht="12.75">
      <c r="M765" s="17"/>
      <c r="N765" s="35"/>
      <c r="R765" s="17"/>
    </row>
    <row r="766" spans="13:18" ht="12.75">
      <c r="M766" s="17"/>
      <c r="N766" s="35"/>
      <c r="R766" s="17"/>
    </row>
    <row r="767" spans="13:18" ht="12.75">
      <c r="M767" s="17"/>
      <c r="N767" s="35"/>
      <c r="R767" s="17"/>
    </row>
    <row r="768" spans="13:18" ht="12.75">
      <c r="M768" s="17"/>
      <c r="N768" s="35"/>
      <c r="R768" s="17"/>
    </row>
    <row r="769" spans="13:18" ht="12.75">
      <c r="M769" s="17"/>
      <c r="N769" s="35"/>
      <c r="R769" s="17"/>
    </row>
    <row r="770" spans="13:18" ht="12.75">
      <c r="M770" s="17"/>
      <c r="N770" s="35"/>
      <c r="R770" s="17"/>
    </row>
    <row r="771" spans="13:18" ht="12.75">
      <c r="M771" s="17"/>
      <c r="N771" s="35"/>
      <c r="R771" s="17"/>
    </row>
    <row r="772" spans="13:18" ht="12.75">
      <c r="M772" s="17"/>
      <c r="N772" s="35"/>
      <c r="R772" s="17"/>
    </row>
    <row r="773" spans="13:18" ht="12.75">
      <c r="M773" s="17"/>
      <c r="N773" s="35"/>
      <c r="R773" s="17"/>
    </row>
    <row r="774" spans="13:18" ht="12.75">
      <c r="M774" s="17"/>
      <c r="N774" s="35"/>
      <c r="R774" s="17"/>
    </row>
    <row r="775" spans="13:18" ht="12.75">
      <c r="M775" s="17"/>
      <c r="N775" s="35"/>
      <c r="R775" s="17"/>
    </row>
    <row r="776" spans="13:18" ht="12.75">
      <c r="M776" s="17"/>
      <c r="N776" s="35"/>
      <c r="R776" s="17"/>
    </row>
    <row r="777" spans="13:18" ht="12.75">
      <c r="M777" s="17"/>
      <c r="N777" s="35"/>
      <c r="R777" s="17"/>
    </row>
    <row r="778" spans="13:18" ht="12.75">
      <c r="M778" s="17"/>
      <c r="N778" s="35"/>
      <c r="R778" s="17"/>
    </row>
    <row r="779" spans="13:18" ht="12.75">
      <c r="M779" s="17"/>
      <c r="N779" s="35"/>
      <c r="R779" s="17"/>
    </row>
    <row r="780" spans="13:18" ht="12.75">
      <c r="M780" s="17"/>
      <c r="N780" s="35"/>
      <c r="R780" s="17"/>
    </row>
    <row r="781" spans="13:18" ht="12.75">
      <c r="M781" s="17"/>
      <c r="N781" s="35"/>
      <c r="R781" s="17"/>
    </row>
    <row r="782" spans="13:18" ht="12.75">
      <c r="M782" s="17"/>
      <c r="N782" s="35"/>
      <c r="R782" s="17"/>
    </row>
    <row r="783" spans="13:18" ht="12.75">
      <c r="M783" s="17"/>
      <c r="N783" s="35"/>
      <c r="R783" s="17"/>
    </row>
    <row r="784" spans="13:18" ht="12.75">
      <c r="M784" s="17"/>
      <c r="N784" s="35"/>
      <c r="R784" s="17"/>
    </row>
    <row r="785" spans="13:18" ht="12.75">
      <c r="M785" s="17"/>
      <c r="N785" s="35"/>
      <c r="R785" s="17"/>
    </row>
    <row r="786" spans="13:18" ht="12.75">
      <c r="M786" s="17"/>
      <c r="N786" s="35"/>
      <c r="R786" s="17"/>
    </row>
    <row r="787" spans="13:18" ht="12.75">
      <c r="M787" s="17"/>
      <c r="N787" s="35"/>
      <c r="R787" s="17"/>
    </row>
    <row r="788" spans="13:18" ht="12.75">
      <c r="M788" s="17"/>
      <c r="N788" s="35"/>
      <c r="R788" s="17"/>
    </row>
    <row r="789" spans="13:18" ht="12.75">
      <c r="M789" s="17"/>
      <c r="N789" s="35"/>
      <c r="R789" s="17"/>
    </row>
    <row r="790" spans="13:18" ht="12.75">
      <c r="M790" s="17"/>
      <c r="N790" s="35"/>
      <c r="R790" s="17"/>
    </row>
    <row r="791" spans="13:18" ht="12.75">
      <c r="M791" s="17"/>
      <c r="N791" s="35"/>
      <c r="R791" s="17"/>
    </row>
    <row r="792" spans="13:18" ht="12.75">
      <c r="M792" s="17"/>
      <c r="N792" s="35"/>
      <c r="R792" s="17"/>
    </row>
    <row r="793" spans="13:18" ht="12.75">
      <c r="M793" s="17"/>
      <c r="N793" s="35"/>
      <c r="R793" s="17"/>
    </row>
    <row r="794" spans="13:18" ht="12.75">
      <c r="M794" s="17"/>
      <c r="N794" s="35"/>
      <c r="R794" s="17"/>
    </row>
    <row r="795" spans="13:18" ht="12.75">
      <c r="M795" s="17"/>
      <c r="N795" s="35"/>
      <c r="R795" s="17"/>
    </row>
    <row r="796" spans="13:18" ht="12.75">
      <c r="M796" s="17"/>
      <c r="N796" s="35"/>
      <c r="R796" s="17"/>
    </row>
    <row r="797" spans="13:18" ht="12.75">
      <c r="M797" s="17"/>
      <c r="N797" s="35"/>
      <c r="R797" s="17"/>
    </row>
    <row r="798" spans="13:18" ht="12.75">
      <c r="M798" s="17"/>
      <c r="N798" s="35"/>
      <c r="R798" s="17"/>
    </row>
    <row r="799" spans="13:18" ht="12.75">
      <c r="M799" s="17"/>
      <c r="N799" s="35"/>
      <c r="R799" s="17"/>
    </row>
    <row r="800" spans="13:18" ht="12.75">
      <c r="M800" s="17"/>
      <c r="N800" s="35"/>
      <c r="R800" s="17"/>
    </row>
    <row r="801" spans="13:18" ht="12.75">
      <c r="M801" s="17"/>
      <c r="N801" s="35"/>
      <c r="R801" s="17"/>
    </row>
    <row r="802" spans="13:18" ht="12.75">
      <c r="M802" s="17"/>
      <c r="N802" s="35"/>
      <c r="R802" s="17"/>
    </row>
    <row r="803" spans="13:18" ht="12.75">
      <c r="M803" s="17"/>
      <c r="N803" s="35"/>
      <c r="R803" s="17"/>
    </row>
    <row r="804" spans="13:18" ht="12.75">
      <c r="M804" s="17"/>
      <c r="N804" s="35"/>
      <c r="R804" s="17"/>
    </row>
    <row r="805" spans="13:18" ht="12.75">
      <c r="M805" s="17"/>
      <c r="N805" s="35"/>
      <c r="R805" s="17"/>
    </row>
    <row r="806" spans="13:18" ht="12.75">
      <c r="M806" s="17"/>
      <c r="N806" s="35"/>
      <c r="R806" s="17"/>
    </row>
    <row r="807" spans="13:18" ht="12.75">
      <c r="M807" s="17"/>
      <c r="N807" s="35"/>
      <c r="R807" s="17"/>
    </row>
    <row r="808" spans="13:18" ht="12.75">
      <c r="M808" s="17"/>
      <c r="N808" s="35"/>
      <c r="R808" s="17"/>
    </row>
    <row r="809" spans="13:18" ht="12.75">
      <c r="M809" s="17"/>
      <c r="N809" s="35"/>
      <c r="R809" s="17"/>
    </row>
    <row r="810" spans="13:18" ht="12.75">
      <c r="M810" s="17"/>
      <c r="N810" s="35"/>
      <c r="R810" s="17"/>
    </row>
    <row r="811" spans="13:18" ht="12.75">
      <c r="M811" s="17"/>
      <c r="N811" s="35"/>
      <c r="R811" s="17"/>
    </row>
    <row r="812" spans="13:18" ht="12.75">
      <c r="M812" s="17"/>
      <c r="N812" s="35"/>
      <c r="R812" s="17"/>
    </row>
    <row r="813" spans="13:18" ht="12.75">
      <c r="M813" s="17"/>
      <c r="N813" s="35"/>
      <c r="R813" s="17"/>
    </row>
    <row r="814" spans="13:18" ht="12.75">
      <c r="M814" s="17"/>
      <c r="N814" s="35"/>
      <c r="R814" s="17"/>
    </row>
    <row r="815" spans="13:18" ht="12.75">
      <c r="M815" s="17"/>
      <c r="N815" s="35"/>
      <c r="R815" s="17"/>
    </row>
    <row r="816" spans="13:18" ht="12.75">
      <c r="M816" s="17"/>
      <c r="N816" s="35"/>
      <c r="R816" s="17"/>
    </row>
    <row r="817" spans="13:18" ht="12.75">
      <c r="M817" s="17"/>
      <c r="N817" s="35"/>
      <c r="R817" s="17"/>
    </row>
    <row r="818" spans="13:18" ht="12.75">
      <c r="M818" s="17"/>
      <c r="N818" s="35"/>
      <c r="R818" s="17"/>
    </row>
    <row r="819" spans="13:18" ht="12.75">
      <c r="M819" s="17"/>
      <c r="N819" s="35"/>
      <c r="R819" s="17"/>
    </row>
    <row r="820" spans="13:18" ht="12.75">
      <c r="M820" s="17"/>
      <c r="N820" s="35"/>
      <c r="R820" s="17"/>
    </row>
    <row r="821" spans="13:18" ht="12.75">
      <c r="M821" s="17"/>
      <c r="N821" s="35"/>
      <c r="R821" s="17"/>
    </row>
    <row r="822" spans="13:18" ht="12.75">
      <c r="M822" s="17"/>
      <c r="N822" s="35"/>
      <c r="R822" s="17"/>
    </row>
    <row r="823" spans="13:18" ht="12.75">
      <c r="M823" s="17"/>
      <c r="N823" s="35"/>
      <c r="R823" s="17"/>
    </row>
    <row r="824" spans="13:18" ht="12.75">
      <c r="M824" s="17"/>
      <c r="N824" s="35"/>
      <c r="R824" s="17"/>
    </row>
    <row r="825" spans="13:18" ht="12.75">
      <c r="M825" s="17"/>
      <c r="N825" s="35"/>
      <c r="R825" s="17"/>
    </row>
    <row r="826" spans="13:18" ht="12.75">
      <c r="M826" s="17"/>
      <c r="N826" s="35"/>
      <c r="R826" s="17"/>
    </row>
    <row r="827" spans="13:18" ht="12.75">
      <c r="M827" s="17"/>
      <c r="N827" s="35"/>
      <c r="R827" s="17"/>
    </row>
    <row r="828" spans="13:18" ht="12.75">
      <c r="M828" s="17"/>
      <c r="N828" s="35"/>
      <c r="R828" s="17"/>
    </row>
    <row r="829" spans="13:18" ht="12.75">
      <c r="M829" s="17"/>
      <c r="N829" s="35"/>
      <c r="R829" s="17"/>
    </row>
    <row r="830" spans="13:18" ht="12.75">
      <c r="M830" s="17"/>
      <c r="N830" s="35"/>
      <c r="R830" s="17"/>
    </row>
    <row r="831" spans="13:18" ht="12.75">
      <c r="M831" s="17"/>
      <c r="N831" s="35"/>
      <c r="R831" s="17"/>
    </row>
    <row r="832" spans="13:18" ht="12.75">
      <c r="M832" s="17"/>
      <c r="N832" s="35"/>
      <c r="R832" s="17"/>
    </row>
    <row r="833" spans="13:18" ht="12.75">
      <c r="M833" s="17"/>
      <c r="N833" s="35"/>
      <c r="R833" s="17"/>
    </row>
    <row r="834" spans="13:18" ht="12.75">
      <c r="M834" s="17"/>
      <c r="N834" s="35"/>
      <c r="R834" s="17"/>
    </row>
    <row r="835" spans="13:18" ht="12.75">
      <c r="M835" s="17"/>
      <c r="N835" s="35"/>
      <c r="R835" s="17"/>
    </row>
    <row r="836" spans="13:18" ht="12.75">
      <c r="M836" s="17"/>
      <c r="N836" s="35"/>
      <c r="R836" s="17"/>
    </row>
    <row r="837" spans="13:18" ht="12.75">
      <c r="M837" s="17"/>
      <c r="N837" s="35"/>
      <c r="R837" s="17"/>
    </row>
    <row r="838" spans="13:18" ht="12.75">
      <c r="M838" s="17"/>
      <c r="N838" s="35"/>
      <c r="R838" s="17"/>
    </row>
    <row r="839" spans="13:18" ht="12.75">
      <c r="M839" s="17"/>
      <c r="N839" s="35"/>
      <c r="R839" s="17"/>
    </row>
    <row r="840" spans="13:18" ht="12.75">
      <c r="M840" s="17"/>
      <c r="N840" s="35"/>
      <c r="R840" s="17"/>
    </row>
    <row r="841" spans="13:18" ht="12.75">
      <c r="M841" s="17"/>
      <c r="N841" s="35"/>
      <c r="R841" s="17"/>
    </row>
    <row r="842" spans="13:18" ht="12.75">
      <c r="M842" s="17"/>
      <c r="N842" s="35"/>
      <c r="R842" s="17"/>
    </row>
    <row r="843" spans="13:18" ht="12.75">
      <c r="M843" s="17"/>
      <c r="N843" s="35"/>
      <c r="R843" s="17"/>
    </row>
    <row r="844" spans="13:18" ht="12.75">
      <c r="M844" s="17"/>
      <c r="N844" s="35"/>
      <c r="R844" s="17"/>
    </row>
    <row r="845" spans="13:18" ht="12.75">
      <c r="M845" s="17"/>
      <c r="N845" s="35"/>
      <c r="R845" s="17"/>
    </row>
    <row r="846" spans="13:18" ht="12.75">
      <c r="M846" s="17"/>
      <c r="N846" s="35"/>
      <c r="R846" s="17"/>
    </row>
    <row r="847" spans="13:18" ht="12.75">
      <c r="M847" s="17"/>
      <c r="N847" s="35"/>
      <c r="R847" s="17"/>
    </row>
    <row r="848" spans="13:18" ht="12.75">
      <c r="M848" s="17"/>
      <c r="N848" s="35"/>
      <c r="R848" s="17"/>
    </row>
    <row r="849" spans="13:18" ht="12.75">
      <c r="M849" s="17"/>
      <c r="N849" s="35"/>
      <c r="R849" s="17"/>
    </row>
    <row r="850" spans="13:18" ht="12.75">
      <c r="M850" s="17"/>
      <c r="N850" s="35"/>
      <c r="R850" s="17"/>
    </row>
    <row r="851" spans="13:18" ht="12.75">
      <c r="M851" s="17"/>
      <c r="N851" s="35"/>
      <c r="R851" s="17"/>
    </row>
    <row r="852" spans="13:18" ht="12.75">
      <c r="M852" s="17"/>
      <c r="N852" s="35"/>
      <c r="R852" s="17"/>
    </row>
    <row r="853" spans="13:18" ht="12.75">
      <c r="M853" s="17"/>
      <c r="N853" s="35"/>
      <c r="R853" s="17"/>
    </row>
    <row r="854" spans="13:18" ht="12.75">
      <c r="M854" s="17"/>
      <c r="N854" s="35"/>
      <c r="R854" s="17"/>
    </row>
    <row r="855" spans="13:18" ht="12.75">
      <c r="M855" s="17"/>
      <c r="N855" s="35"/>
      <c r="R855" s="17"/>
    </row>
    <row r="856" spans="13:18" ht="12.75">
      <c r="M856" s="17"/>
      <c r="N856" s="35"/>
      <c r="R856" s="17"/>
    </row>
    <row r="857" spans="13:18" ht="12.75">
      <c r="M857" s="17"/>
      <c r="N857" s="35"/>
      <c r="R857" s="17"/>
    </row>
    <row r="858" spans="13:18" ht="12.75">
      <c r="M858" s="17"/>
      <c r="N858" s="35"/>
      <c r="R858" s="17"/>
    </row>
    <row r="859" spans="13:18" ht="12.75">
      <c r="M859" s="17"/>
      <c r="N859" s="35"/>
      <c r="R859" s="17"/>
    </row>
    <row r="860" spans="13:18" ht="12.75">
      <c r="M860" s="17"/>
      <c r="N860" s="35"/>
      <c r="R860" s="17"/>
    </row>
    <row r="861" spans="13:18" ht="12.75">
      <c r="M861" s="17"/>
      <c r="N861" s="35"/>
      <c r="R861" s="17"/>
    </row>
    <row r="862" spans="13:18" ht="12.75">
      <c r="M862" s="17"/>
      <c r="N862" s="35"/>
      <c r="R862" s="17"/>
    </row>
    <row r="863" spans="13:18" ht="12.75">
      <c r="M863" s="17"/>
      <c r="N863" s="35"/>
      <c r="R863" s="17"/>
    </row>
    <row r="864" spans="13:18" ht="12.75">
      <c r="M864" s="17"/>
      <c r="N864" s="35"/>
      <c r="R864" s="17"/>
    </row>
    <row r="865" spans="13:18" ht="12.75">
      <c r="M865" s="17"/>
      <c r="N865" s="35"/>
      <c r="R865" s="17"/>
    </row>
    <row r="866" spans="13:18" ht="12.75">
      <c r="M866" s="17"/>
      <c r="N866" s="35"/>
      <c r="R866" s="17"/>
    </row>
    <row r="867" spans="13:18" ht="12.75">
      <c r="M867" s="17"/>
      <c r="N867" s="35"/>
      <c r="R867" s="17"/>
    </row>
    <row r="868" spans="13:18" ht="12.75">
      <c r="M868" s="17"/>
      <c r="N868" s="35"/>
      <c r="R868" s="17"/>
    </row>
    <row r="869" spans="13:18" ht="12.75">
      <c r="M869" s="17"/>
      <c r="N869" s="35"/>
      <c r="R869" s="17"/>
    </row>
    <row r="870" spans="13:18" ht="12.75">
      <c r="M870" s="17"/>
      <c r="N870" s="35"/>
      <c r="R870" s="17"/>
    </row>
    <row r="871" spans="13:18" ht="12.75">
      <c r="M871" s="17"/>
      <c r="N871" s="35"/>
      <c r="R871" s="17"/>
    </row>
    <row r="872" spans="13:18" ht="12.75">
      <c r="M872" s="17"/>
      <c r="N872" s="35"/>
      <c r="R872" s="17"/>
    </row>
    <row r="873" spans="13:18" ht="12.75">
      <c r="M873" s="17"/>
      <c r="N873" s="35"/>
      <c r="R873" s="17"/>
    </row>
    <row r="874" spans="13:18" ht="12.75">
      <c r="M874" s="17"/>
      <c r="N874" s="35"/>
      <c r="R874" s="17"/>
    </row>
    <row r="875" spans="13:18" ht="12.75">
      <c r="M875" s="17"/>
      <c r="N875" s="35"/>
      <c r="R875" s="17"/>
    </row>
    <row r="876" spans="13:18" ht="12.75">
      <c r="M876" s="17"/>
      <c r="N876" s="35"/>
      <c r="R876" s="17"/>
    </row>
    <row r="877" spans="13:18" ht="12.75">
      <c r="M877" s="17"/>
      <c r="N877" s="35"/>
      <c r="R877" s="17"/>
    </row>
    <row r="878" spans="13:18" ht="12.75">
      <c r="M878" s="17"/>
      <c r="N878" s="35"/>
      <c r="R878" s="17"/>
    </row>
    <row r="879" spans="13:18" ht="12.75">
      <c r="M879" s="17"/>
      <c r="N879" s="35"/>
      <c r="R879" s="17"/>
    </row>
    <row r="880" spans="13:18" ht="12.75">
      <c r="M880" s="17"/>
      <c r="N880" s="35"/>
      <c r="R880" s="17"/>
    </row>
    <row r="881" spans="13:18" ht="12.75">
      <c r="M881" s="17"/>
      <c r="N881" s="35"/>
      <c r="R881" s="17"/>
    </row>
    <row r="882" spans="13:18" ht="12.75">
      <c r="M882" s="17"/>
      <c r="N882" s="35"/>
      <c r="R882" s="17"/>
    </row>
    <row r="883" spans="13:18" ht="12.75">
      <c r="M883" s="17"/>
      <c r="N883" s="35"/>
      <c r="R883" s="17"/>
    </row>
    <row r="884" spans="13:18" ht="12.75">
      <c r="M884" s="17"/>
      <c r="N884" s="35"/>
      <c r="R884" s="17"/>
    </row>
    <row r="885" spans="13:18" ht="12.75">
      <c r="M885" s="17"/>
      <c r="N885" s="35"/>
      <c r="R885" s="17"/>
    </row>
    <row r="886" spans="13:18" ht="12.75">
      <c r="M886" s="17"/>
      <c r="N886" s="35"/>
      <c r="R886" s="17"/>
    </row>
    <row r="887" spans="13:18" ht="12.75">
      <c r="M887" s="17"/>
      <c r="N887" s="35"/>
      <c r="R887" s="17"/>
    </row>
    <row r="888" spans="13:18" ht="12.75">
      <c r="M888" s="17"/>
      <c r="N888" s="35"/>
      <c r="R888" s="17"/>
    </row>
    <row r="889" spans="13:18" ht="12.75">
      <c r="M889" s="17"/>
      <c r="N889" s="35"/>
      <c r="R889" s="17"/>
    </row>
    <row r="890" spans="13:18" ht="12.75">
      <c r="M890" s="17"/>
      <c r="N890" s="35"/>
      <c r="R890" s="17"/>
    </row>
    <row r="891" spans="13:18" ht="12.75">
      <c r="M891" s="17"/>
      <c r="N891" s="35"/>
      <c r="R891" s="17"/>
    </row>
    <row r="892" spans="13:18" ht="12.75">
      <c r="M892" s="17"/>
      <c r="N892" s="35"/>
      <c r="R892" s="17"/>
    </row>
    <row r="893" spans="13:18" ht="12.75">
      <c r="M893" s="17"/>
      <c r="N893" s="35"/>
      <c r="R893" s="17"/>
    </row>
    <row r="894" spans="13:18" ht="12.75">
      <c r="M894" s="17"/>
      <c r="N894" s="35"/>
      <c r="R894" s="17"/>
    </row>
    <row r="895" spans="13:18" ht="12.75">
      <c r="M895" s="17"/>
      <c r="N895" s="35"/>
      <c r="R895" s="17"/>
    </row>
    <row r="896" spans="13:18" ht="12.75">
      <c r="M896" s="17"/>
      <c r="N896" s="35"/>
      <c r="R896" s="17"/>
    </row>
    <row r="897" spans="13:18" ht="12.75">
      <c r="M897" s="17"/>
      <c r="N897" s="35"/>
      <c r="R897" s="17"/>
    </row>
    <row r="898" spans="13:18" ht="12.75">
      <c r="M898" s="17"/>
      <c r="N898" s="35"/>
      <c r="R898" s="17"/>
    </row>
    <row r="899" spans="13:18" ht="12.75">
      <c r="M899" s="17"/>
      <c r="N899" s="35"/>
      <c r="R899" s="17"/>
    </row>
    <row r="900" spans="13:18" ht="12.75">
      <c r="M900" s="17"/>
      <c r="N900" s="35"/>
      <c r="R900" s="17"/>
    </row>
    <row r="901" spans="13:18" ht="12.75">
      <c r="M901" s="17"/>
      <c r="N901" s="35"/>
      <c r="R901" s="17"/>
    </row>
    <row r="902" spans="13:18" ht="12.75">
      <c r="M902" s="17"/>
      <c r="N902" s="35"/>
      <c r="R902" s="17"/>
    </row>
    <row r="903" spans="13:18" ht="12.75">
      <c r="M903" s="17"/>
      <c r="N903" s="35"/>
      <c r="R903" s="17"/>
    </row>
    <row r="904" spans="13:18" ht="12.75">
      <c r="M904" s="17"/>
      <c r="N904" s="35"/>
      <c r="R904" s="17"/>
    </row>
    <row r="905" spans="13:18" ht="12.75">
      <c r="M905" s="17"/>
      <c r="N905" s="35"/>
      <c r="R905" s="17"/>
    </row>
    <row r="906" spans="13:18" ht="12.75">
      <c r="M906" s="17"/>
      <c r="N906" s="35"/>
      <c r="R906" s="17"/>
    </row>
    <row r="907" spans="13:18" ht="12.75">
      <c r="M907" s="17"/>
      <c r="N907" s="35"/>
      <c r="R907" s="17"/>
    </row>
    <row r="908" spans="13:18" ht="12.75">
      <c r="M908" s="17"/>
      <c r="N908" s="35"/>
      <c r="R908" s="17"/>
    </row>
    <row r="909" spans="13:18" ht="12.75">
      <c r="M909" s="17"/>
      <c r="N909" s="35"/>
      <c r="R909" s="17"/>
    </row>
    <row r="910" spans="13:18" ht="12.75">
      <c r="M910" s="17"/>
      <c r="N910" s="35"/>
      <c r="R910" s="17"/>
    </row>
    <row r="911" spans="13:18" ht="12.75">
      <c r="M911" s="17"/>
      <c r="N911" s="35"/>
      <c r="R911" s="17"/>
    </row>
    <row r="912" spans="13:18" ht="12.75">
      <c r="M912" s="17"/>
      <c r="N912" s="35"/>
      <c r="R912" s="17"/>
    </row>
    <row r="913" spans="13:18" ht="12.75">
      <c r="M913" s="17"/>
      <c r="N913" s="35"/>
      <c r="R913" s="17"/>
    </row>
    <row r="914" spans="13:18" ht="12.75">
      <c r="M914" s="17"/>
      <c r="N914" s="35"/>
      <c r="R914" s="17"/>
    </row>
    <row r="915" spans="13:18" ht="12.75">
      <c r="M915" s="17"/>
      <c r="N915" s="35"/>
      <c r="R915" s="17"/>
    </row>
    <row r="916" spans="13:18" ht="12.75">
      <c r="M916" s="17"/>
      <c r="N916" s="35"/>
      <c r="R916" s="17"/>
    </row>
    <row r="917" spans="13:18" ht="12.75">
      <c r="M917" s="17"/>
      <c r="N917" s="35"/>
      <c r="R917" s="17"/>
    </row>
    <row r="918" spans="13:18" ht="12.75">
      <c r="M918" s="17"/>
      <c r="N918" s="35"/>
      <c r="R918" s="17"/>
    </row>
    <row r="919" spans="13:18" ht="12.75">
      <c r="M919" s="17"/>
      <c r="N919" s="35"/>
      <c r="R919" s="17"/>
    </row>
    <row r="920" spans="13:18" ht="12.75">
      <c r="M920" s="17"/>
      <c r="N920" s="35"/>
      <c r="R920" s="17"/>
    </row>
    <row r="921" spans="13:18" ht="12.75">
      <c r="M921" s="17"/>
      <c r="N921" s="35"/>
      <c r="R921" s="17"/>
    </row>
    <row r="922" spans="13:18" ht="12.75">
      <c r="M922" s="17"/>
      <c r="N922" s="35"/>
      <c r="R922" s="17"/>
    </row>
    <row r="923" spans="13:18" ht="12.75">
      <c r="M923" s="17"/>
      <c r="N923" s="35"/>
      <c r="R923" s="17"/>
    </row>
    <row r="924" spans="13:18" ht="12.75">
      <c r="M924" s="17"/>
      <c r="N924" s="35"/>
      <c r="R924" s="17"/>
    </row>
    <row r="925" spans="13:18" ht="12.75">
      <c r="M925" s="17"/>
      <c r="N925" s="35"/>
      <c r="R925" s="17"/>
    </row>
    <row r="926" spans="13:18" ht="12.75">
      <c r="M926" s="17"/>
      <c r="N926" s="35"/>
      <c r="R926" s="17"/>
    </row>
    <row r="927" spans="13:18" ht="12.75">
      <c r="M927" s="17"/>
      <c r="N927" s="35"/>
      <c r="R927" s="17"/>
    </row>
    <row r="928" spans="13:18" ht="12.75">
      <c r="M928" s="17"/>
      <c r="N928" s="35"/>
      <c r="R928" s="17"/>
    </row>
    <row r="929" spans="13:18" ht="12.75">
      <c r="M929" s="17"/>
      <c r="N929" s="35"/>
      <c r="R929" s="17"/>
    </row>
    <row r="930" spans="13:18" ht="12.75">
      <c r="M930" s="17"/>
      <c r="N930" s="35"/>
      <c r="R930" s="17"/>
    </row>
    <row r="931" spans="13:18" ht="12.75">
      <c r="M931" s="17"/>
      <c r="N931" s="35"/>
      <c r="R931" s="17"/>
    </row>
    <row r="932" spans="13:18" ht="12.75">
      <c r="M932" s="17"/>
      <c r="N932" s="35"/>
      <c r="R932" s="17"/>
    </row>
    <row r="933" spans="13:18" ht="12.75">
      <c r="M933" s="17"/>
      <c r="N933" s="35"/>
      <c r="R933" s="17"/>
    </row>
    <row r="934" spans="13:18" ht="12.75">
      <c r="M934" s="17"/>
      <c r="N934" s="35"/>
      <c r="R934" s="17"/>
    </row>
    <row r="935" spans="13:18" ht="12.75">
      <c r="M935" s="17"/>
      <c r="N935" s="35"/>
      <c r="R935" s="17"/>
    </row>
    <row r="936" spans="13:18" ht="12.75">
      <c r="M936" s="17"/>
      <c r="N936" s="35"/>
      <c r="R936" s="17"/>
    </row>
    <row r="937" spans="13:18" ht="12.75">
      <c r="M937" s="17"/>
      <c r="N937" s="35"/>
      <c r="R937" s="17"/>
    </row>
    <row r="938" spans="13:18" ht="12.75">
      <c r="M938" s="17"/>
      <c r="N938" s="35"/>
      <c r="R938" s="17"/>
    </row>
    <row r="939" spans="13:18" ht="12.75">
      <c r="M939" s="17"/>
      <c r="N939" s="35"/>
      <c r="R939" s="17"/>
    </row>
    <row r="940" spans="13:18" ht="12.75">
      <c r="M940" s="17"/>
      <c r="N940" s="35"/>
      <c r="R940" s="17"/>
    </row>
    <row r="941" spans="13:18" ht="12.75">
      <c r="M941" s="17"/>
      <c r="N941" s="35"/>
      <c r="R941" s="17"/>
    </row>
    <row r="942" spans="13:18" ht="12.75">
      <c r="M942" s="17"/>
      <c r="N942" s="35"/>
      <c r="R942" s="17"/>
    </row>
    <row r="943" spans="13:18" ht="12.75">
      <c r="M943" s="17"/>
      <c r="N943" s="35"/>
      <c r="R943" s="17"/>
    </row>
    <row r="944" spans="13:18" ht="12.75">
      <c r="M944" s="17"/>
      <c r="N944" s="35"/>
      <c r="R944" s="17"/>
    </row>
    <row r="945" spans="13:18" ht="12.75">
      <c r="M945" s="17"/>
      <c r="N945" s="35"/>
      <c r="R945" s="17"/>
    </row>
    <row r="946" spans="13:18" ht="12.75">
      <c r="M946" s="17"/>
      <c r="N946" s="35"/>
      <c r="R946" s="17"/>
    </row>
    <row r="947" spans="13:18" ht="12.75">
      <c r="M947" s="17"/>
      <c r="N947" s="35"/>
      <c r="R947" s="17"/>
    </row>
    <row r="948" spans="13:18" ht="12.75">
      <c r="M948" s="17"/>
      <c r="N948" s="35"/>
      <c r="R948" s="17"/>
    </row>
    <row r="949" spans="13:18" ht="12.75">
      <c r="M949" s="17"/>
      <c r="N949" s="35"/>
      <c r="R949" s="17"/>
    </row>
    <row r="950" spans="13:18" ht="12.75">
      <c r="M950" s="17"/>
      <c r="N950" s="35"/>
      <c r="R950" s="17"/>
    </row>
    <row r="951" spans="13:18" ht="12.75">
      <c r="M951" s="17"/>
      <c r="N951" s="35"/>
      <c r="R951" s="17"/>
    </row>
    <row r="952" spans="13:18" ht="12.75">
      <c r="M952" s="17"/>
      <c r="N952" s="35"/>
      <c r="R952" s="17"/>
    </row>
    <row r="953" spans="13:18" ht="12.75">
      <c r="M953" s="17"/>
      <c r="N953" s="35"/>
      <c r="R953" s="17"/>
    </row>
    <row r="954" spans="13:18" ht="12.75">
      <c r="M954" s="17"/>
      <c r="N954" s="35"/>
      <c r="R954" s="17"/>
    </row>
    <row r="955" spans="13:18" ht="12.75">
      <c r="M955" s="17"/>
      <c r="N955" s="35"/>
      <c r="R955" s="17"/>
    </row>
    <row r="956" spans="13:18" ht="12.75">
      <c r="M956" s="17"/>
      <c r="N956" s="35"/>
      <c r="R956" s="17"/>
    </row>
    <row r="957" spans="13:18" ht="12.75">
      <c r="M957" s="17"/>
      <c r="N957" s="35"/>
      <c r="R957" s="17"/>
    </row>
    <row r="958" spans="13:18" ht="12.75">
      <c r="M958" s="17"/>
      <c r="N958" s="35"/>
      <c r="R958" s="17"/>
    </row>
    <row r="959" spans="13:18" ht="12.75">
      <c r="M959" s="17"/>
      <c r="N959" s="35"/>
      <c r="R959" s="17"/>
    </row>
    <row r="960" spans="13:18" ht="12.75">
      <c r="M960" s="17"/>
      <c r="N960" s="35"/>
      <c r="R960" s="17"/>
    </row>
    <row r="961" spans="13:18" ht="12.75">
      <c r="M961" s="17"/>
      <c r="N961" s="35"/>
      <c r="R961" s="17"/>
    </row>
    <row r="962" spans="13:18" ht="12.75">
      <c r="M962" s="17"/>
      <c r="N962" s="35"/>
      <c r="R962" s="17"/>
    </row>
    <row r="963" spans="13:18" ht="12.75">
      <c r="M963" s="17"/>
      <c r="N963" s="35"/>
      <c r="R963" s="17"/>
    </row>
    <row r="964" spans="13:18" ht="12.75">
      <c r="M964" s="17"/>
      <c r="N964" s="35"/>
      <c r="R964" s="17"/>
    </row>
    <row r="965" spans="13:18" ht="12.75">
      <c r="M965" s="17"/>
      <c r="N965" s="35"/>
      <c r="R965" s="17"/>
    </row>
    <row r="966" spans="13:18" ht="12.75">
      <c r="M966" s="17"/>
      <c r="N966" s="35"/>
      <c r="R966" s="17"/>
    </row>
    <row r="967" spans="13:18" ht="12.75">
      <c r="M967" s="17"/>
      <c r="N967" s="35"/>
      <c r="R967" s="17"/>
    </row>
    <row r="968" spans="13:18" ht="12.75">
      <c r="M968" s="17"/>
      <c r="N968" s="35"/>
      <c r="R968" s="17"/>
    </row>
    <row r="969" spans="13:18" ht="12.75">
      <c r="M969" s="17"/>
      <c r="N969" s="35"/>
      <c r="R969" s="17"/>
    </row>
    <row r="970" spans="13:18" ht="12.75">
      <c r="M970" s="17"/>
      <c r="N970" s="35"/>
      <c r="R970" s="17"/>
    </row>
    <row r="971" spans="13:18" ht="12.75">
      <c r="M971" s="17"/>
      <c r="N971" s="35"/>
      <c r="R971" s="17"/>
    </row>
    <row r="972" spans="13:18" ht="12.75">
      <c r="M972" s="17"/>
      <c r="N972" s="35"/>
      <c r="R972" s="17"/>
    </row>
    <row r="973" spans="13:18" ht="12.75">
      <c r="M973" s="17"/>
      <c r="N973" s="35"/>
      <c r="R973" s="17"/>
    </row>
    <row r="974" spans="13:18" ht="12.75">
      <c r="M974" s="17"/>
      <c r="N974" s="35"/>
      <c r="R974" s="17"/>
    </row>
    <row r="975" spans="13:18" ht="12.75">
      <c r="M975" s="17"/>
      <c r="N975" s="35"/>
      <c r="R975" s="17"/>
    </row>
    <row r="976" spans="13:18" ht="12.75">
      <c r="M976" s="17"/>
      <c r="N976" s="35"/>
      <c r="R976" s="17"/>
    </row>
    <row r="977" spans="13:18" ht="12.75">
      <c r="M977" s="17"/>
      <c r="N977" s="35"/>
      <c r="R977" s="17"/>
    </row>
    <row r="978" spans="13:18" ht="12.75">
      <c r="M978" s="17"/>
      <c r="N978" s="35"/>
      <c r="R978" s="17"/>
    </row>
    <row r="979" spans="13:18" ht="12.75">
      <c r="M979" s="17"/>
      <c r="N979" s="35"/>
      <c r="R979" s="17"/>
    </row>
    <row r="980" spans="13:18" ht="12.75">
      <c r="M980" s="17"/>
      <c r="N980" s="35"/>
      <c r="R980" s="17"/>
    </row>
    <row r="981" spans="13:18" ht="12.75">
      <c r="M981" s="17"/>
      <c r="N981" s="35"/>
      <c r="R981" s="17"/>
    </row>
    <row r="982" spans="13:18" ht="12.75">
      <c r="M982" s="17"/>
      <c r="N982" s="35"/>
      <c r="R982" s="17"/>
    </row>
    <row r="983" spans="13:18" ht="12.75">
      <c r="M983" s="17"/>
      <c r="N983" s="35"/>
      <c r="R983" s="17"/>
    </row>
    <row r="984" spans="13:18" ht="12.75">
      <c r="M984" s="17"/>
      <c r="N984" s="35"/>
      <c r="R984" s="17"/>
    </row>
    <row r="985" spans="13:18" ht="12.75">
      <c r="M985" s="17"/>
      <c r="N985" s="35"/>
      <c r="R985" s="17"/>
    </row>
    <row r="986" spans="13:18" ht="12.75">
      <c r="M986" s="17"/>
      <c r="N986" s="35"/>
      <c r="R986" s="17"/>
    </row>
    <row r="987" spans="13:18" ht="12.75">
      <c r="M987" s="17"/>
      <c r="N987" s="35"/>
      <c r="R987" s="17"/>
    </row>
    <row r="988" spans="13:18" ht="12.75">
      <c r="M988" s="17"/>
      <c r="N988" s="35"/>
      <c r="R988" s="17"/>
    </row>
    <row r="989" spans="13:18" ht="12.75">
      <c r="M989" s="17"/>
      <c r="N989" s="35"/>
      <c r="R989" s="17"/>
    </row>
    <row r="990" spans="13:18" ht="12.75">
      <c r="M990" s="17"/>
      <c r="N990" s="35"/>
      <c r="R990" s="17"/>
    </row>
    <row r="991" spans="13:18" ht="12.75">
      <c r="M991" s="17"/>
      <c r="N991" s="35"/>
      <c r="R991" s="17"/>
    </row>
    <row r="992" spans="13:18" ht="12.75">
      <c r="M992" s="17"/>
      <c r="N992" s="35"/>
      <c r="R992" s="17"/>
    </row>
    <row r="993" spans="13:18" ht="12.75">
      <c r="M993" s="17"/>
      <c r="N993" s="35"/>
      <c r="R993" s="17"/>
    </row>
    <row r="994" spans="13:18" ht="12.75">
      <c r="M994" s="17"/>
      <c r="N994" s="35"/>
      <c r="R994" s="17"/>
    </row>
    <row r="995" spans="13:18" ht="12.75">
      <c r="M995" s="17"/>
      <c r="N995" s="35"/>
      <c r="R995" s="17"/>
    </row>
    <row r="996" spans="13:18" ht="12.75">
      <c r="M996" s="17"/>
      <c r="N996" s="35"/>
      <c r="R996" s="17"/>
    </row>
    <row r="997" spans="13:18" ht="12.75">
      <c r="M997" s="17"/>
      <c r="N997" s="35"/>
      <c r="R997" s="17"/>
    </row>
    <row r="998" spans="13:18" ht="12.75">
      <c r="M998" s="17"/>
      <c r="N998" s="35"/>
      <c r="R998" s="17"/>
    </row>
    <row r="999" spans="13:18" ht="12.75">
      <c r="M999" s="17"/>
      <c r="N999" s="35"/>
      <c r="R999" s="17"/>
    </row>
    <row r="1000" spans="13:18" ht="12.75">
      <c r="M1000" s="17"/>
      <c r="N1000" s="35"/>
      <c r="R1000" s="17"/>
    </row>
    <row r="1001" spans="13:18" ht="12.75">
      <c r="M1001" s="17"/>
      <c r="N1001" s="35"/>
      <c r="R1001" s="17"/>
    </row>
    <row r="1002" spans="13:18" ht="12.75">
      <c r="M1002" s="17"/>
      <c r="N1002" s="35"/>
      <c r="R1002" s="17"/>
    </row>
    <row r="1003" spans="13:18" ht="12.75">
      <c r="M1003" s="17"/>
      <c r="N1003" s="35"/>
      <c r="R1003" s="17"/>
    </row>
    <row r="1004" spans="13:18" ht="12.75">
      <c r="M1004" s="17"/>
      <c r="N1004" s="35"/>
      <c r="R1004" s="17"/>
    </row>
    <row r="1005" spans="13:18" ht="12.75">
      <c r="M1005" s="17"/>
      <c r="N1005" s="35"/>
      <c r="R1005" s="17"/>
    </row>
  </sheetData>
  <autoFilter ref="A1:R116" xr:uid="{00000000-0009-0000-0000-000002000000}"/>
  <customSheetViews>
    <customSheetView guid="{F84F801C-695D-48CE-B142-0B7895FE071F}" filter="1" showAutoFilter="1">
      <pageMargins left="0.7" right="0.7" top="0.75" bottom="0.75" header="0.3" footer="0.3"/>
      <autoFilter ref="A1:R116" xr:uid="{00000000-0000-0000-0000-000000000000}"/>
    </customSheetView>
    <customSheetView guid="{D4D06763-5632-4CAF-A0BD-7BAD6B3784B6}" filter="1" showAutoFilter="1">
      <pageMargins left="0.7" right="0.7" top="0.75" bottom="0.75" header="0.3" footer="0.3"/>
      <autoFilter ref="B1:L117" xr:uid="{00000000-0000-0000-0000-000000000000}"/>
    </customSheetView>
  </customSheetViews>
  <conditionalFormatting sqref="E104:E105">
    <cfRule type="expression" dxfId="45" priority="1">
      <formula>$C105="N"</formula>
    </cfRule>
  </conditionalFormatting>
  <conditionalFormatting sqref="E90">
    <cfRule type="expression" dxfId="44" priority="2">
      <formula>$C90="N"</formula>
    </cfRule>
  </conditionalFormatting>
  <conditionalFormatting sqref="E80">
    <cfRule type="expression" dxfId="43" priority="3">
      <formula>$C79="N"</formula>
    </cfRule>
  </conditionalFormatting>
  <conditionalFormatting sqref="E66">
    <cfRule type="expression" dxfId="42" priority="4">
      <formula>$C66="N"</formula>
    </cfRule>
  </conditionalFormatting>
  <conditionalFormatting sqref="I110">
    <cfRule type="expression" dxfId="41" priority="5">
      <formula>$C108="N"</formula>
    </cfRule>
  </conditionalFormatting>
  <conditionalFormatting sqref="L1:M123 L233:M1005">
    <cfRule type="expression" dxfId="40" priority="6">
      <formula>AND(C1="Y",L1="")</formula>
    </cfRule>
  </conditionalFormatting>
  <conditionalFormatting sqref="B2:B87 C2:D116 E2:E65 F2:H116 I2:I107 J2:K116 E67:E78 E80:E89 B89:B116 E92:E103 E106:E116 I109 I111:I116 B124:D232 F124:G238 H124:K234">
    <cfRule type="expression" dxfId="39" priority="7">
      <formula>$C2="N"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K119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.75" customHeight="1"/>
  <cols>
    <col min="1" max="1" width="3.3984375" customWidth="1"/>
    <col min="2" max="2" width="29.86328125" customWidth="1"/>
  </cols>
  <sheetData>
    <row r="1" spans="2:11" ht="15.75" customHeight="1">
      <c r="B1" s="6" t="s">
        <v>0</v>
      </c>
      <c r="C1" s="7" t="s">
        <v>1</v>
      </c>
      <c r="D1" s="7" t="s">
        <v>145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</row>
    <row r="2" spans="2:11">
      <c r="B2" s="13" t="s">
        <v>35</v>
      </c>
      <c r="C2" s="14" t="str">
        <f t="array" aca="1" ref="C2" ca="1">INDEX('Rooms Master'!U:U,MATCH(B2,'Rooms Master'!D:D,0))</f>
        <v>Y</v>
      </c>
      <c r="D2" s="15" t="e">
        <f t="array" ref="D2">INDEX('Dec 28 - Jan 3'!D$2:D$116,MATCH($B2,'Dec 28 - Jan 3'!$B$2:$B$116,0))-INDEX('Dec 21 - Dec 27'!D$2:D$115,MATCH($B2,'Dec 21 - Dec 27'!$B$2:$B$115,0))</f>
        <v>#N/A</v>
      </c>
      <c r="E2" s="15" t="e">
        <f t="array" ref="E2">INDEX('Dec 28 - Jan 3'!E$2:E$116,MATCH($B2,'Dec 28 - Jan 3'!$B$2:$B$116,0))-INDEX('Dec 21 - Dec 27'!E$2:E$115,MATCH($B2,'Dec 21 - Dec 27'!$B$2:$B$115,0))</f>
        <v>#N/A</v>
      </c>
      <c r="F2" s="15" t="e">
        <f t="array" ref="F2">INDEX('Dec 28 - Jan 3'!F$2:F$116,MATCH($B2,'Dec 28 - Jan 3'!$B$2:$B$116,0))-INDEX('Dec 21 - Dec 27'!F$2:F$115,MATCH($B2,'Dec 21 - Dec 27'!$B$2:$B$115,0))</f>
        <v>#N/A</v>
      </c>
      <c r="G2" s="15" t="e">
        <f t="array" ref="G2">INDEX('Dec 28 - Jan 3'!G$2:G$116,MATCH($B2,'Dec 28 - Jan 3'!$B$2:$B$116,0))-INDEX('Dec 21 - Dec 27'!G$2:G$115,MATCH($B2,'Dec 21 - Dec 27'!$B$2:$B$115,0))</f>
        <v>#N/A</v>
      </c>
      <c r="H2" s="15" t="e">
        <f t="array" ref="H2">INDEX('Dec 28 - Jan 3'!H$2:H$116,MATCH($B2,'Dec 28 - Jan 3'!$B$2:$B$116,0))-INDEX('Dec 21 - Dec 27'!H$2:H$115,MATCH($B2,'Dec 21 - Dec 27'!$B$2:$B$115,0))</f>
        <v>#N/A</v>
      </c>
      <c r="I2" s="15" t="e">
        <f t="array" ref="I2">INDEX('Dec 28 - Jan 3'!I$2:I$116,MATCH($B2,'Dec 28 - Jan 3'!$B$2:$B$116,0))-INDEX('Dec 21 - Dec 27'!I$2:I$115,MATCH($B2,'Dec 21 - Dec 27'!$B$2:$B$115,0))</f>
        <v>#N/A</v>
      </c>
      <c r="J2" s="15" t="e">
        <f t="array" ref="J2">INDEX('Dec 28 - Jan 3'!J$2:J$116,MATCH($B2,'Dec 28 - Jan 3'!$B$2:$B$116,0))-INDEX('Dec 21 - Dec 27'!J$2:J$115,MATCH($B2,'Dec 21 - Dec 27'!$B$2:$B$115,0))</f>
        <v>#N/A</v>
      </c>
      <c r="K2" s="15" t="e">
        <f t="array" ref="K2">INDEX('Dec 28 - Jan 3'!K$2:K$116,MATCH($B2,'Dec 28 - Jan 3'!$B$2:$B$116,0))-INDEX('Dec 21 - Dec 27'!K$2:K$115,MATCH($B2,'Dec 21 - Dec 27'!$B$2:$B$115,0))</f>
        <v>#N/A</v>
      </c>
    </row>
    <row r="3" spans="2:11">
      <c r="B3" s="13" t="s">
        <v>26</v>
      </c>
      <c r="C3" s="14" t="str">
        <f t="array" aca="1" ref="C3" ca="1">INDEX('Rooms Master'!U:U,MATCH(B3,'Rooms Master'!D:D,0))</f>
        <v>Y</v>
      </c>
      <c r="D3" s="15">
        <f t="array" ref="D3">INDEX('Dec 28 - Jan 3'!D$2:D$116,MATCH($B3,'Dec 28 - Jan 3'!$B$2:$B$116,0))-INDEX('Dec 21 - Dec 27'!D$2:D$115,MATCH($B3,'Dec 21 - Dec 27'!$B$2:$B$115,0))</f>
        <v>-55</v>
      </c>
      <c r="E3" s="15">
        <f t="array" ref="E3">INDEX('Dec 28 - Jan 3'!E$2:E$116,MATCH($B3,'Dec 28 - Jan 3'!$B$2:$B$116,0))-INDEX('Dec 21 - Dec 27'!E$2:E$115,MATCH($B3,'Dec 21 - Dec 27'!$B$2:$B$115,0))</f>
        <v>65</v>
      </c>
      <c r="F3" s="15">
        <f t="array" ref="F3">INDEX('Dec 28 - Jan 3'!F$2:F$116,MATCH($B3,'Dec 28 - Jan 3'!$B$2:$B$116,0))-INDEX('Dec 21 - Dec 27'!F$2:F$115,MATCH($B3,'Dec 21 - Dec 27'!$B$2:$B$115,0))</f>
        <v>-1</v>
      </c>
      <c r="G3" s="15">
        <f t="array" ref="G3">INDEX('Dec 28 - Jan 3'!G$2:G$116,MATCH($B3,'Dec 28 - Jan 3'!$B$2:$B$116,0))-INDEX('Dec 21 - Dec 27'!G$2:G$115,MATCH($B3,'Dec 21 - Dec 27'!$B$2:$B$115,0))</f>
        <v>2</v>
      </c>
      <c r="H3" s="15">
        <f t="array" ref="H3">INDEX('Dec 28 - Jan 3'!H$2:H$116,MATCH($B3,'Dec 28 - Jan 3'!$B$2:$B$116,0))-INDEX('Dec 21 - Dec 27'!H$2:H$115,MATCH($B3,'Dec 21 - Dec 27'!$B$2:$B$115,0))</f>
        <v>-1</v>
      </c>
      <c r="I3" s="15">
        <f t="array" ref="I3">INDEX('Dec 28 - Jan 3'!I$2:I$116,MATCH($B3,'Dec 28 - Jan 3'!$B$2:$B$116,0))-INDEX('Dec 21 - Dec 27'!I$2:I$115,MATCH($B3,'Dec 21 - Dec 27'!$B$2:$B$115,0))</f>
        <v>0</v>
      </c>
      <c r="J3" s="15">
        <f t="array" ref="J3">INDEX('Dec 28 - Jan 3'!J$2:J$116,MATCH($B3,'Dec 28 - Jan 3'!$B$2:$B$116,0))-INDEX('Dec 21 - Dec 27'!J$2:J$115,MATCH($B3,'Dec 21 - Dec 27'!$B$2:$B$115,0))</f>
        <v>0</v>
      </c>
      <c r="K3" s="15">
        <f t="array" ref="K3">INDEX('Dec 28 - Jan 3'!K$2:K$116,MATCH($B3,'Dec 28 - Jan 3'!$B$2:$B$116,0))-INDEX('Dec 21 - Dec 27'!K$2:K$115,MATCH($B3,'Dec 21 - Dec 27'!$B$2:$B$115,0))</f>
        <v>0</v>
      </c>
    </row>
    <row r="4" spans="2:11">
      <c r="B4" s="13" t="s">
        <v>54</v>
      </c>
      <c r="C4" s="14" t="str">
        <f t="array" aca="1" ref="C4" ca="1">INDEX('Rooms Master'!U:U,MATCH(B4,'Rooms Master'!D:D,0))</f>
        <v>N</v>
      </c>
      <c r="D4" s="15">
        <f t="array" ref="D4">INDEX('Dec 28 - Jan 3'!D$2:D$116,MATCH($B4,'Dec 28 - Jan 3'!$B$2:$B$116,0))-INDEX('Dec 21 - Dec 27'!D$2:D$115,MATCH($B4,'Dec 21 - Dec 27'!$B$2:$B$115,0))</f>
        <v>-27</v>
      </c>
      <c r="E4" s="15">
        <f t="array" ref="E4">INDEX('Dec 28 - Jan 3'!E$2:E$116,MATCH($B4,'Dec 28 - Jan 3'!$B$2:$B$116,0))-INDEX('Dec 21 - Dec 27'!E$2:E$115,MATCH($B4,'Dec 21 - Dec 27'!$B$2:$B$115,0))</f>
        <v>65</v>
      </c>
      <c r="F4" s="15">
        <f t="array" ref="F4">INDEX('Dec 28 - Jan 3'!F$2:F$116,MATCH($B4,'Dec 28 - Jan 3'!$B$2:$B$116,0))-INDEX('Dec 21 - Dec 27'!F$2:F$115,MATCH($B4,'Dec 21 - Dec 27'!$B$2:$B$115,0))</f>
        <v>16</v>
      </c>
      <c r="G4" s="15">
        <f t="array" ref="G4">INDEX('Dec 28 - Jan 3'!G$2:G$116,MATCH($B4,'Dec 28 - Jan 3'!$B$2:$B$116,0))-INDEX('Dec 21 - Dec 27'!G$2:G$115,MATCH($B4,'Dec 21 - Dec 27'!$B$2:$B$115,0))</f>
        <v>2</v>
      </c>
      <c r="H4" s="15">
        <f t="array" ref="H4">INDEX('Dec 28 - Jan 3'!H$2:H$116,MATCH($B4,'Dec 28 - Jan 3'!$B$2:$B$116,0))-INDEX('Dec 21 - Dec 27'!H$2:H$115,MATCH($B4,'Dec 21 - Dec 27'!$B$2:$B$115,0))</f>
        <v>3</v>
      </c>
      <c r="I4" s="15">
        <f t="array" ref="I4">INDEX('Dec 28 - Jan 3'!I$2:I$116,MATCH($B4,'Dec 28 - Jan 3'!$B$2:$B$116,0))-INDEX('Dec 21 - Dec 27'!I$2:I$115,MATCH($B4,'Dec 21 - Dec 27'!$B$2:$B$115,0))</f>
        <v>1</v>
      </c>
      <c r="J4" s="15">
        <f t="array" ref="J4">INDEX('Dec 28 - Jan 3'!J$2:J$116,MATCH($B4,'Dec 28 - Jan 3'!$B$2:$B$116,0))-INDEX('Dec 21 - Dec 27'!J$2:J$115,MATCH($B4,'Dec 21 - Dec 27'!$B$2:$B$115,0))</f>
        <v>0</v>
      </c>
      <c r="K4" s="15">
        <f t="array" ref="K4">INDEX('Dec 28 - Jan 3'!K$2:K$116,MATCH($B4,'Dec 28 - Jan 3'!$B$2:$B$116,0))-INDEX('Dec 21 - Dec 27'!K$2:K$115,MATCH($B4,'Dec 21 - Dec 27'!$B$2:$B$115,0))</f>
        <v>0</v>
      </c>
    </row>
    <row r="5" spans="2:11">
      <c r="B5" s="13" t="s">
        <v>60</v>
      </c>
      <c r="C5" s="14" t="str">
        <f t="array" aca="1" ref="C5" ca="1">INDEX('Rooms Master'!U:U,MATCH(B5,'Rooms Master'!D:D,0))</f>
        <v>Y</v>
      </c>
      <c r="D5" s="15">
        <f t="array" ref="D5">INDEX('Dec 28 - Jan 3'!D$2:D$116,MATCH($B5,'Dec 28 - Jan 3'!$B$2:$B$116,0))-INDEX('Dec 21 - Dec 27'!D$2:D$115,MATCH($B5,'Dec 21 - Dec 27'!$B$2:$B$115,0))</f>
        <v>-19</v>
      </c>
      <c r="E5" s="15">
        <f t="array" ref="E5">INDEX('Dec 28 - Jan 3'!E$2:E$116,MATCH($B5,'Dec 28 - Jan 3'!$B$2:$B$116,0))-INDEX('Dec 21 - Dec 27'!E$2:E$115,MATCH($B5,'Dec 21 - Dec 27'!$B$2:$B$115,0))</f>
        <v>49</v>
      </c>
      <c r="F5" s="15">
        <f t="array" ref="F5">INDEX('Dec 28 - Jan 3'!F$2:F$116,MATCH($B5,'Dec 28 - Jan 3'!$B$2:$B$116,0))-INDEX('Dec 21 - Dec 27'!F$2:F$115,MATCH($B5,'Dec 21 - Dec 27'!$B$2:$B$115,0))</f>
        <v>2</v>
      </c>
      <c r="G5" s="15">
        <f t="array" ref="G5">INDEX('Dec 28 - Jan 3'!G$2:G$116,MATCH($B5,'Dec 28 - Jan 3'!$B$2:$B$116,0))-INDEX('Dec 21 - Dec 27'!G$2:G$115,MATCH($B5,'Dec 21 - Dec 27'!$B$2:$B$115,0))</f>
        <v>1</v>
      </c>
      <c r="H5" s="15">
        <f t="array" ref="H5">INDEX('Dec 28 - Jan 3'!H$2:H$116,MATCH($B5,'Dec 28 - Jan 3'!$B$2:$B$116,0))-INDEX('Dec 21 - Dec 27'!H$2:H$115,MATCH($B5,'Dec 21 - Dec 27'!$B$2:$B$115,0))</f>
        <v>1</v>
      </c>
      <c r="I5" s="15">
        <f t="array" ref="I5">INDEX('Dec 28 - Jan 3'!I$2:I$116,MATCH($B5,'Dec 28 - Jan 3'!$B$2:$B$116,0))-INDEX('Dec 21 - Dec 27'!I$2:I$115,MATCH($B5,'Dec 21 - Dec 27'!$B$2:$B$115,0))</f>
        <v>2</v>
      </c>
      <c r="J5" s="15">
        <f t="array" ref="J5">INDEX('Dec 28 - Jan 3'!J$2:J$116,MATCH($B5,'Dec 28 - Jan 3'!$B$2:$B$116,0))-INDEX('Dec 21 - Dec 27'!J$2:J$115,MATCH($B5,'Dec 21 - Dec 27'!$B$2:$B$115,0))</f>
        <v>1</v>
      </c>
      <c r="K5" s="15">
        <f t="array" ref="K5">INDEX('Dec 28 - Jan 3'!K$2:K$116,MATCH($B5,'Dec 28 - Jan 3'!$B$2:$B$116,0))-INDEX('Dec 21 - Dec 27'!K$2:K$115,MATCH($B5,'Dec 21 - Dec 27'!$B$2:$B$115,0))</f>
        <v>1</v>
      </c>
    </row>
    <row r="6" spans="2:11">
      <c r="B6" s="13" t="s">
        <v>103</v>
      </c>
      <c r="C6" s="14" t="str">
        <f t="array" aca="1" ref="C6" ca="1">INDEX('Rooms Master'!U:U,MATCH(B6,'Rooms Master'!D:D,0))</f>
        <v>N</v>
      </c>
      <c r="D6" s="15">
        <f t="array" ref="D6">INDEX('Dec 28 - Jan 3'!D$2:D$116,MATCH($B6,'Dec 28 - Jan 3'!$B$2:$B$116,0))-INDEX('Dec 21 - Dec 27'!D$2:D$115,MATCH($B6,'Dec 21 - Dec 27'!$B$2:$B$115,0))</f>
        <v>-36</v>
      </c>
      <c r="E6" s="15">
        <f t="array" ref="E6">INDEX('Dec 28 - Jan 3'!E$2:E$116,MATCH($B6,'Dec 28 - Jan 3'!$B$2:$B$116,0))-INDEX('Dec 21 - Dec 27'!E$2:E$115,MATCH($B6,'Dec 21 - Dec 27'!$B$2:$B$115,0))</f>
        <v>48</v>
      </c>
      <c r="F6" s="15">
        <f t="array" ref="F6">INDEX('Dec 28 - Jan 3'!F$2:F$116,MATCH($B6,'Dec 28 - Jan 3'!$B$2:$B$116,0))-INDEX('Dec 21 - Dec 27'!F$2:F$115,MATCH($B6,'Dec 21 - Dec 27'!$B$2:$B$115,0))</f>
        <v>42</v>
      </c>
      <c r="G6" s="15">
        <f t="array" ref="G6">INDEX('Dec 28 - Jan 3'!G$2:G$116,MATCH($B6,'Dec 28 - Jan 3'!$B$2:$B$116,0))-INDEX('Dec 21 - Dec 27'!G$2:G$115,MATCH($B6,'Dec 21 - Dec 27'!$B$2:$B$115,0))</f>
        <v>-1</v>
      </c>
      <c r="H6" s="15">
        <f t="array" ref="H6">INDEX('Dec 28 - Jan 3'!H$2:H$116,MATCH($B6,'Dec 28 - Jan 3'!$B$2:$B$116,0))-INDEX('Dec 21 - Dec 27'!H$2:H$115,MATCH($B6,'Dec 21 - Dec 27'!$B$2:$B$115,0))</f>
        <v>-1</v>
      </c>
      <c r="I6" s="15">
        <f t="array" ref="I6">INDEX('Dec 28 - Jan 3'!I$2:I$116,MATCH($B6,'Dec 28 - Jan 3'!$B$2:$B$116,0))-INDEX('Dec 21 - Dec 27'!I$2:I$115,MATCH($B6,'Dec 21 - Dec 27'!$B$2:$B$115,0))</f>
        <v>0</v>
      </c>
      <c r="J6" s="15">
        <f t="array" ref="J6">INDEX('Dec 28 - Jan 3'!J$2:J$116,MATCH($B6,'Dec 28 - Jan 3'!$B$2:$B$116,0))-INDEX('Dec 21 - Dec 27'!J$2:J$115,MATCH($B6,'Dec 21 - Dec 27'!$B$2:$B$115,0))</f>
        <v>-1</v>
      </c>
      <c r="K6" s="15">
        <f t="array" ref="K6">INDEX('Dec 28 - Jan 3'!K$2:K$116,MATCH($B6,'Dec 28 - Jan 3'!$B$2:$B$116,0))-INDEX('Dec 21 - Dec 27'!K$2:K$115,MATCH($B6,'Dec 21 - Dec 27'!$B$2:$B$115,0))</f>
        <v>-1</v>
      </c>
    </row>
    <row r="7" spans="2:11">
      <c r="B7" s="13" t="s">
        <v>25</v>
      </c>
      <c r="C7" s="14" t="str">
        <f t="array" aca="1" ref="C7" ca="1">INDEX('Rooms Master'!U:U,MATCH(B7,'Rooms Master'!D:D,0))</f>
        <v>Y</v>
      </c>
      <c r="D7" s="15">
        <f t="array" ref="D7">INDEX('Dec 28 - Jan 3'!D$2:D$116,MATCH($B7,'Dec 28 - Jan 3'!$B$2:$B$116,0))-INDEX('Dec 21 - Dec 27'!D$2:D$115,MATCH($B7,'Dec 21 - Dec 27'!$B$2:$B$115,0))</f>
        <v>-35</v>
      </c>
      <c r="E7" s="15">
        <f t="array" ref="E7">INDEX('Dec 28 - Jan 3'!E$2:E$116,MATCH($B7,'Dec 28 - Jan 3'!$B$2:$B$116,0))-INDEX('Dec 21 - Dec 27'!E$2:E$115,MATCH($B7,'Dec 21 - Dec 27'!$B$2:$B$115,0))</f>
        <v>43</v>
      </c>
      <c r="F7" s="15">
        <f t="array" ref="F7">INDEX('Dec 28 - Jan 3'!F$2:F$116,MATCH($B7,'Dec 28 - Jan 3'!$B$2:$B$116,0))-INDEX('Dec 21 - Dec 27'!F$2:F$115,MATCH($B7,'Dec 21 - Dec 27'!$B$2:$B$115,0))</f>
        <v>9</v>
      </c>
      <c r="G7" s="15">
        <f t="array" ref="G7">INDEX('Dec 28 - Jan 3'!G$2:G$116,MATCH($B7,'Dec 28 - Jan 3'!$B$2:$B$116,0))-INDEX('Dec 21 - Dec 27'!G$2:G$115,MATCH($B7,'Dec 21 - Dec 27'!$B$2:$B$115,0))</f>
        <v>0</v>
      </c>
      <c r="H7" s="15">
        <f t="array" ref="H7">INDEX('Dec 28 - Jan 3'!H$2:H$116,MATCH($B7,'Dec 28 - Jan 3'!$B$2:$B$116,0))-INDEX('Dec 21 - Dec 27'!H$2:H$115,MATCH($B7,'Dec 21 - Dec 27'!$B$2:$B$115,0))</f>
        <v>-4</v>
      </c>
      <c r="I7" s="15">
        <f t="array" ref="I7">INDEX('Dec 28 - Jan 3'!I$2:I$116,MATCH($B7,'Dec 28 - Jan 3'!$B$2:$B$116,0))-INDEX('Dec 21 - Dec 27'!I$2:I$115,MATCH($B7,'Dec 21 - Dec 27'!$B$2:$B$115,0))</f>
        <v>0</v>
      </c>
      <c r="J7" s="15">
        <f t="array" ref="J7">INDEX('Dec 28 - Jan 3'!J$2:J$116,MATCH($B7,'Dec 28 - Jan 3'!$B$2:$B$116,0))-INDEX('Dec 21 - Dec 27'!J$2:J$115,MATCH($B7,'Dec 21 - Dec 27'!$B$2:$B$115,0))</f>
        <v>0</v>
      </c>
      <c r="K7" s="15">
        <f t="array" ref="K7">INDEX('Dec 28 - Jan 3'!K$2:K$116,MATCH($B7,'Dec 28 - Jan 3'!$B$2:$B$116,0))-INDEX('Dec 21 - Dec 27'!K$2:K$115,MATCH($B7,'Dec 21 - Dec 27'!$B$2:$B$115,0))</f>
        <v>0</v>
      </c>
    </row>
    <row r="8" spans="2:11">
      <c r="B8" s="13" t="s">
        <v>104</v>
      </c>
      <c r="C8" s="14" t="str">
        <f t="array" aca="1" ref="C8" ca="1">INDEX('Rooms Master'!U:U,MATCH(B8,'Rooms Master'!D:D,0))</f>
        <v>N</v>
      </c>
      <c r="D8" s="15">
        <f t="array" ref="D8">INDEX('Dec 28 - Jan 3'!D$2:D$116,MATCH($B8,'Dec 28 - Jan 3'!$B$2:$B$116,0))-INDEX('Dec 21 - Dec 27'!D$2:D$115,MATCH($B8,'Dec 21 - Dec 27'!$B$2:$B$115,0))</f>
        <v>-53</v>
      </c>
      <c r="E8" s="15">
        <f t="array" ref="E8">INDEX('Dec 28 - Jan 3'!E$2:E$116,MATCH($B8,'Dec 28 - Jan 3'!$B$2:$B$116,0))-INDEX('Dec 21 - Dec 27'!E$2:E$115,MATCH($B8,'Dec 21 - Dec 27'!$B$2:$B$115,0))</f>
        <v>37</v>
      </c>
      <c r="F8" s="15">
        <f t="array" ref="F8">INDEX('Dec 28 - Jan 3'!F$2:F$116,MATCH($B8,'Dec 28 - Jan 3'!$B$2:$B$116,0))-INDEX('Dec 21 - Dec 27'!F$2:F$115,MATCH($B8,'Dec 21 - Dec 27'!$B$2:$B$115,0))</f>
        <v>-2</v>
      </c>
      <c r="G8" s="15">
        <f t="array" ref="G8">INDEX('Dec 28 - Jan 3'!G$2:G$116,MATCH($B8,'Dec 28 - Jan 3'!$B$2:$B$116,0))-INDEX('Dec 21 - Dec 27'!G$2:G$115,MATCH($B8,'Dec 21 - Dec 27'!$B$2:$B$115,0))</f>
        <v>0</v>
      </c>
      <c r="H8" s="15">
        <f t="array" ref="H8">INDEX('Dec 28 - Jan 3'!H$2:H$116,MATCH($B8,'Dec 28 - Jan 3'!$B$2:$B$116,0))-INDEX('Dec 21 - Dec 27'!H$2:H$115,MATCH($B8,'Dec 21 - Dec 27'!$B$2:$B$115,0))</f>
        <v>1</v>
      </c>
      <c r="I8" s="15">
        <f t="array" ref="I8">INDEX('Dec 28 - Jan 3'!I$2:I$116,MATCH($B8,'Dec 28 - Jan 3'!$B$2:$B$116,0))-INDEX('Dec 21 - Dec 27'!I$2:I$115,MATCH($B8,'Dec 21 - Dec 27'!$B$2:$B$115,0))</f>
        <v>1</v>
      </c>
      <c r="J8" s="15">
        <f t="array" ref="J8">INDEX('Dec 28 - Jan 3'!J$2:J$116,MATCH($B8,'Dec 28 - Jan 3'!$B$2:$B$116,0))-INDEX('Dec 21 - Dec 27'!J$2:J$115,MATCH($B8,'Dec 21 - Dec 27'!$B$2:$B$115,0))</f>
        <v>0</v>
      </c>
      <c r="K8" s="15">
        <f t="array" ref="K8">INDEX('Dec 28 - Jan 3'!K$2:K$116,MATCH($B8,'Dec 28 - Jan 3'!$B$2:$B$116,0))-INDEX('Dec 21 - Dec 27'!K$2:K$115,MATCH($B8,'Dec 21 - Dec 27'!$B$2:$B$115,0))</f>
        <v>0</v>
      </c>
    </row>
    <row r="9" spans="2:11">
      <c r="B9" s="13" t="s">
        <v>86</v>
      </c>
      <c r="C9" s="14" t="str">
        <f t="array" aca="1" ref="C9" ca="1">INDEX('Rooms Master'!U:U,MATCH(B9,'Rooms Master'!D:D,0))</f>
        <v>Y</v>
      </c>
      <c r="D9" s="15">
        <f t="array" ref="D9">INDEX('Dec 28 - Jan 3'!D$2:D$116,MATCH($B9,'Dec 28 - Jan 3'!$B$2:$B$116,0))-INDEX('Dec 21 - Dec 27'!D$2:D$115,MATCH($B9,'Dec 21 - Dec 27'!$B$2:$B$115,0))</f>
        <v>-23</v>
      </c>
      <c r="E9" s="15">
        <f t="array" ref="E9">INDEX('Dec 28 - Jan 3'!E$2:E$116,MATCH($B9,'Dec 28 - Jan 3'!$B$2:$B$116,0))-INDEX('Dec 21 - Dec 27'!E$2:E$115,MATCH($B9,'Dec 21 - Dec 27'!$B$2:$B$115,0))</f>
        <v>34</v>
      </c>
      <c r="F9" s="15">
        <f t="array" ref="F9">INDEX('Dec 28 - Jan 3'!F$2:F$116,MATCH($B9,'Dec 28 - Jan 3'!$B$2:$B$116,0))-INDEX('Dec 21 - Dec 27'!F$2:F$115,MATCH($B9,'Dec 21 - Dec 27'!$B$2:$B$115,0))</f>
        <v>6</v>
      </c>
      <c r="G9" s="15">
        <f t="array" ref="G9">INDEX('Dec 28 - Jan 3'!G$2:G$116,MATCH($B9,'Dec 28 - Jan 3'!$B$2:$B$116,0))-INDEX('Dec 21 - Dec 27'!G$2:G$115,MATCH($B9,'Dec 21 - Dec 27'!$B$2:$B$115,0))</f>
        <v>3</v>
      </c>
      <c r="H9" s="15">
        <f t="array" ref="H9">INDEX('Dec 28 - Jan 3'!H$2:H$116,MATCH($B9,'Dec 28 - Jan 3'!$B$2:$B$116,0))-INDEX('Dec 21 - Dec 27'!H$2:H$115,MATCH($B9,'Dec 21 - Dec 27'!$B$2:$B$115,0))</f>
        <v>-2</v>
      </c>
      <c r="I9" s="15">
        <f t="array" ref="I9">INDEX('Dec 28 - Jan 3'!I$2:I$116,MATCH($B9,'Dec 28 - Jan 3'!$B$2:$B$116,0))-INDEX('Dec 21 - Dec 27'!I$2:I$115,MATCH($B9,'Dec 21 - Dec 27'!$B$2:$B$115,0))</f>
        <v>-1</v>
      </c>
      <c r="J9" s="15">
        <f t="array" ref="J9">INDEX('Dec 28 - Jan 3'!J$2:J$116,MATCH($B9,'Dec 28 - Jan 3'!$B$2:$B$116,0))-INDEX('Dec 21 - Dec 27'!J$2:J$115,MATCH($B9,'Dec 21 - Dec 27'!$B$2:$B$115,0))</f>
        <v>1</v>
      </c>
      <c r="K9" s="15">
        <f t="array" ref="K9">INDEX('Dec 28 - Jan 3'!K$2:K$116,MATCH($B9,'Dec 28 - Jan 3'!$B$2:$B$116,0))-INDEX('Dec 21 - Dec 27'!K$2:K$115,MATCH($B9,'Dec 21 - Dec 27'!$B$2:$B$115,0))</f>
        <v>1</v>
      </c>
    </row>
    <row r="10" spans="2:11">
      <c r="B10" s="1" t="s">
        <v>43</v>
      </c>
      <c r="C10" s="14" t="str">
        <f t="array" aca="1" ref="C10" ca="1">INDEX('Rooms Master'!U:U,MATCH(B10,'Rooms Master'!D:D,0))</f>
        <v>Y</v>
      </c>
      <c r="D10" s="15">
        <f t="array" ref="D10">INDEX('Dec 28 - Jan 3'!D$2:D$116,MATCH($B10,'Dec 28 - Jan 3'!$B$2:$B$116,0))-INDEX('Dec 21 - Dec 27'!D$2:D$115,MATCH($B10,'Dec 21 - Dec 27'!$B$2:$B$115,0))</f>
        <v>12</v>
      </c>
      <c r="E10" s="15">
        <f t="array" ref="E10">INDEX('Dec 28 - Jan 3'!E$2:E$116,MATCH($B10,'Dec 28 - Jan 3'!$B$2:$B$116,0))-INDEX('Dec 21 - Dec 27'!E$2:E$115,MATCH($B10,'Dec 21 - Dec 27'!$B$2:$B$115,0))</f>
        <v>33</v>
      </c>
      <c r="F10" s="15">
        <f t="array" ref="F10">INDEX('Dec 28 - Jan 3'!F$2:F$116,MATCH($B10,'Dec 28 - Jan 3'!$B$2:$B$116,0))-INDEX('Dec 21 - Dec 27'!F$2:F$115,MATCH($B10,'Dec 21 - Dec 27'!$B$2:$B$115,0))</f>
        <v>8</v>
      </c>
      <c r="G10" s="15">
        <f t="array" ref="G10">INDEX('Dec 28 - Jan 3'!G$2:G$116,MATCH($B10,'Dec 28 - Jan 3'!$B$2:$B$116,0))-INDEX('Dec 21 - Dec 27'!G$2:G$115,MATCH($B10,'Dec 21 - Dec 27'!$B$2:$B$115,0))</f>
        <v>1</v>
      </c>
      <c r="H10" s="15">
        <f t="array" ref="H10">INDEX('Dec 28 - Jan 3'!H$2:H$116,MATCH($B10,'Dec 28 - Jan 3'!$B$2:$B$116,0))-INDEX('Dec 21 - Dec 27'!H$2:H$115,MATCH($B10,'Dec 21 - Dec 27'!$B$2:$B$115,0))</f>
        <v>0</v>
      </c>
      <c r="I10" s="15">
        <f t="array" ref="I10">INDEX('Dec 28 - Jan 3'!I$2:I$116,MATCH($B10,'Dec 28 - Jan 3'!$B$2:$B$116,0))-INDEX('Dec 21 - Dec 27'!I$2:I$115,MATCH($B10,'Dec 21 - Dec 27'!$B$2:$B$115,0))</f>
        <v>0</v>
      </c>
      <c r="J10" s="15">
        <f t="array" ref="J10">INDEX('Dec 28 - Jan 3'!J$2:J$116,MATCH($B10,'Dec 28 - Jan 3'!$B$2:$B$116,0))-INDEX('Dec 21 - Dec 27'!J$2:J$115,MATCH($B10,'Dec 21 - Dec 27'!$B$2:$B$115,0))</f>
        <v>0</v>
      </c>
      <c r="K10" s="15">
        <f t="array" ref="K10">INDEX('Dec 28 - Jan 3'!K$2:K$116,MATCH($B10,'Dec 28 - Jan 3'!$B$2:$B$116,0))-INDEX('Dec 21 - Dec 27'!K$2:K$115,MATCH($B10,'Dec 21 - Dec 27'!$B$2:$B$115,0))</f>
        <v>0</v>
      </c>
    </row>
    <row r="11" spans="2:11">
      <c r="B11" s="13" t="s">
        <v>48</v>
      </c>
      <c r="C11" s="14" t="str">
        <f t="array" aca="1" ref="C11" ca="1">INDEX('Rooms Master'!U:U,MATCH(B11,'Rooms Master'!D:D,0))</f>
        <v>Y</v>
      </c>
      <c r="D11" s="15">
        <f t="array" ref="D11">INDEX('Dec 28 - Jan 3'!D$2:D$116,MATCH($B11,'Dec 28 - Jan 3'!$B$2:$B$116,0))-INDEX('Dec 21 - Dec 27'!D$2:D$115,MATCH($B11,'Dec 21 - Dec 27'!$B$2:$B$115,0))</f>
        <v>-22</v>
      </c>
      <c r="E11" s="15">
        <f t="array" ref="E11">INDEX('Dec 28 - Jan 3'!E$2:E$116,MATCH($B11,'Dec 28 - Jan 3'!$B$2:$B$116,0))-INDEX('Dec 21 - Dec 27'!E$2:E$115,MATCH($B11,'Dec 21 - Dec 27'!$B$2:$B$115,0))</f>
        <v>32</v>
      </c>
      <c r="F11" s="15">
        <f t="array" ref="F11">INDEX('Dec 28 - Jan 3'!F$2:F$116,MATCH($B11,'Dec 28 - Jan 3'!$B$2:$B$116,0))-INDEX('Dec 21 - Dec 27'!F$2:F$115,MATCH($B11,'Dec 21 - Dec 27'!$B$2:$B$115,0))</f>
        <v>7</v>
      </c>
      <c r="G11" s="15">
        <f t="array" ref="G11">INDEX('Dec 28 - Jan 3'!G$2:G$116,MATCH($B11,'Dec 28 - Jan 3'!$B$2:$B$116,0))-INDEX('Dec 21 - Dec 27'!G$2:G$115,MATCH($B11,'Dec 21 - Dec 27'!$B$2:$B$115,0))</f>
        <v>0</v>
      </c>
      <c r="H11" s="15">
        <f t="array" ref="H11">INDEX('Dec 28 - Jan 3'!H$2:H$116,MATCH($B11,'Dec 28 - Jan 3'!$B$2:$B$116,0))-INDEX('Dec 21 - Dec 27'!H$2:H$115,MATCH($B11,'Dec 21 - Dec 27'!$B$2:$B$115,0))</f>
        <v>0</v>
      </c>
      <c r="I11" s="15">
        <f t="array" ref="I11">INDEX('Dec 28 - Jan 3'!I$2:I$116,MATCH($B11,'Dec 28 - Jan 3'!$B$2:$B$116,0))-INDEX('Dec 21 - Dec 27'!I$2:I$115,MATCH($B11,'Dec 21 - Dec 27'!$B$2:$B$115,0))</f>
        <v>2</v>
      </c>
      <c r="J11" s="15">
        <f t="array" ref="J11">INDEX('Dec 28 - Jan 3'!J$2:J$116,MATCH($B11,'Dec 28 - Jan 3'!$B$2:$B$116,0))-INDEX('Dec 21 - Dec 27'!J$2:J$115,MATCH($B11,'Dec 21 - Dec 27'!$B$2:$B$115,0))</f>
        <v>1</v>
      </c>
      <c r="K11" s="15">
        <f t="array" ref="K11">INDEX('Dec 28 - Jan 3'!K$2:K$116,MATCH($B11,'Dec 28 - Jan 3'!$B$2:$B$116,0))-INDEX('Dec 21 - Dec 27'!K$2:K$115,MATCH($B11,'Dec 21 - Dec 27'!$B$2:$B$115,0))</f>
        <v>1</v>
      </c>
    </row>
    <row r="12" spans="2:11">
      <c r="B12" s="13" t="s">
        <v>73</v>
      </c>
      <c r="C12" s="14" t="str">
        <f t="array" aca="1" ref="C12" ca="1">INDEX('Rooms Master'!U:U,MATCH(B12,'Rooms Master'!D:D,0))</f>
        <v>Y</v>
      </c>
      <c r="D12" s="15">
        <f t="array" ref="D12">INDEX('Dec 28 - Jan 3'!D$2:D$116,MATCH($B12,'Dec 28 - Jan 3'!$B$2:$B$116,0))-INDEX('Dec 21 - Dec 27'!D$2:D$115,MATCH($B12,'Dec 21 - Dec 27'!$B$2:$B$115,0))</f>
        <v>16</v>
      </c>
      <c r="E12" s="15">
        <f t="array" ref="E12">INDEX('Dec 28 - Jan 3'!E$2:E$116,MATCH($B12,'Dec 28 - Jan 3'!$B$2:$B$116,0))-INDEX('Dec 21 - Dec 27'!E$2:E$115,MATCH($B12,'Dec 21 - Dec 27'!$B$2:$B$115,0))</f>
        <v>30</v>
      </c>
      <c r="F12" s="15">
        <f t="array" ref="F12">INDEX('Dec 28 - Jan 3'!F$2:F$116,MATCH($B12,'Dec 28 - Jan 3'!$B$2:$B$116,0))-INDEX('Dec 21 - Dec 27'!F$2:F$115,MATCH($B12,'Dec 21 - Dec 27'!$B$2:$B$115,0))</f>
        <v>2</v>
      </c>
      <c r="G12" s="15">
        <f t="array" ref="G12">INDEX('Dec 28 - Jan 3'!G$2:G$116,MATCH($B12,'Dec 28 - Jan 3'!$B$2:$B$116,0))-INDEX('Dec 21 - Dec 27'!G$2:G$115,MATCH($B12,'Dec 21 - Dec 27'!$B$2:$B$115,0))</f>
        <v>2</v>
      </c>
      <c r="H12" s="15">
        <f t="array" ref="H12">INDEX('Dec 28 - Jan 3'!H$2:H$116,MATCH($B12,'Dec 28 - Jan 3'!$B$2:$B$116,0))-INDEX('Dec 21 - Dec 27'!H$2:H$115,MATCH($B12,'Dec 21 - Dec 27'!$B$2:$B$115,0))</f>
        <v>-3</v>
      </c>
      <c r="I12" s="15">
        <f t="array" ref="I12">INDEX('Dec 28 - Jan 3'!I$2:I$116,MATCH($B12,'Dec 28 - Jan 3'!$B$2:$B$116,0))-INDEX('Dec 21 - Dec 27'!I$2:I$115,MATCH($B12,'Dec 21 - Dec 27'!$B$2:$B$115,0))</f>
        <v>0</v>
      </c>
      <c r="J12" s="15">
        <f t="array" ref="J12">INDEX('Dec 28 - Jan 3'!J$2:J$116,MATCH($B12,'Dec 28 - Jan 3'!$B$2:$B$116,0))-INDEX('Dec 21 - Dec 27'!J$2:J$115,MATCH($B12,'Dec 21 - Dec 27'!$B$2:$B$115,0))</f>
        <v>0</v>
      </c>
      <c r="K12" s="15">
        <f t="array" ref="K12">INDEX('Dec 28 - Jan 3'!K$2:K$116,MATCH($B12,'Dec 28 - Jan 3'!$B$2:$B$116,0))-INDEX('Dec 21 - Dec 27'!K$2:K$115,MATCH($B12,'Dec 21 - Dec 27'!$B$2:$B$115,0))</f>
        <v>0</v>
      </c>
    </row>
    <row r="13" spans="2:11">
      <c r="B13" s="13" t="s">
        <v>27</v>
      </c>
      <c r="C13" s="14" t="str">
        <f t="array" aca="1" ref="C13" ca="1">INDEX('Rooms Master'!U:U,MATCH(B13,'Rooms Master'!D:D,0))</f>
        <v>Y</v>
      </c>
      <c r="D13" s="15">
        <f t="array" ref="D13">INDEX('Dec 28 - Jan 3'!D$2:D$116,MATCH($B13,'Dec 28 - Jan 3'!$B$2:$B$116,0))-INDEX('Dec 21 - Dec 27'!D$2:D$115,MATCH($B13,'Dec 21 - Dec 27'!$B$2:$B$115,0))</f>
        <v>-33</v>
      </c>
      <c r="E13" s="15">
        <f t="array" ref="E13">INDEX('Dec 28 - Jan 3'!E$2:E$116,MATCH($B13,'Dec 28 - Jan 3'!$B$2:$B$116,0))-INDEX('Dec 21 - Dec 27'!E$2:E$115,MATCH($B13,'Dec 21 - Dec 27'!$B$2:$B$115,0))</f>
        <v>29</v>
      </c>
      <c r="F13" s="15">
        <f t="array" ref="F13">INDEX('Dec 28 - Jan 3'!F$2:F$116,MATCH($B13,'Dec 28 - Jan 3'!$B$2:$B$116,0))-INDEX('Dec 21 - Dec 27'!F$2:F$115,MATCH($B13,'Dec 21 - Dec 27'!$B$2:$B$115,0))</f>
        <v>15</v>
      </c>
      <c r="G13" s="15">
        <f t="array" ref="G13">INDEX('Dec 28 - Jan 3'!G$2:G$116,MATCH($B13,'Dec 28 - Jan 3'!$B$2:$B$116,0))-INDEX('Dec 21 - Dec 27'!G$2:G$115,MATCH($B13,'Dec 21 - Dec 27'!$B$2:$B$115,0))</f>
        <v>1</v>
      </c>
      <c r="H13" s="15">
        <f t="array" ref="H13">INDEX('Dec 28 - Jan 3'!H$2:H$116,MATCH($B13,'Dec 28 - Jan 3'!$B$2:$B$116,0))-INDEX('Dec 21 - Dec 27'!H$2:H$115,MATCH($B13,'Dec 21 - Dec 27'!$B$2:$B$115,0))</f>
        <v>0</v>
      </c>
      <c r="I13" s="15">
        <f t="array" ref="I13">INDEX('Dec 28 - Jan 3'!I$2:I$116,MATCH($B13,'Dec 28 - Jan 3'!$B$2:$B$116,0))-INDEX('Dec 21 - Dec 27'!I$2:I$115,MATCH($B13,'Dec 21 - Dec 27'!$B$2:$B$115,0))</f>
        <v>0</v>
      </c>
      <c r="J13" s="15">
        <f t="array" ref="J13">INDEX('Dec 28 - Jan 3'!J$2:J$116,MATCH($B13,'Dec 28 - Jan 3'!$B$2:$B$116,0))-INDEX('Dec 21 - Dec 27'!J$2:J$115,MATCH($B13,'Dec 21 - Dec 27'!$B$2:$B$115,0))</f>
        <v>0</v>
      </c>
      <c r="K13" s="15">
        <f t="array" ref="K13">INDEX('Dec 28 - Jan 3'!K$2:K$116,MATCH($B13,'Dec 28 - Jan 3'!$B$2:$B$116,0))-INDEX('Dec 21 - Dec 27'!K$2:K$115,MATCH($B13,'Dec 21 - Dec 27'!$B$2:$B$115,0))</f>
        <v>0</v>
      </c>
    </row>
    <row r="14" spans="2:11">
      <c r="B14" s="13" t="s">
        <v>92</v>
      </c>
      <c r="C14" s="14" t="str">
        <f t="array" aca="1" ref="C14" ca="1">INDEX('Rooms Master'!U:U,MATCH(B14,'Rooms Master'!D:D,0))</f>
        <v>Y</v>
      </c>
      <c r="D14" s="15">
        <f t="array" ref="D14">INDEX('Dec 28 - Jan 3'!D$2:D$116,MATCH($B14,'Dec 28 - Jan 3'!$B$2:$B$116,0))-INDEX('Dec 21 - Dec 27'!D$2:D$115,MATCH($B14,'Dec 21 - Dec 27'!$B$2:$B$115,0))</f>
        <v>-4</v>
      </c>
      <c r="E14" s="15">
        <f t="array" ref="E14">INDEX('Dec 28 - Jan 3'!E$2:E$116,MATCH($B14,'Dec 28 - Jan 3'!$B$2:$B$116,0))-INDEX('Dec 21 - Dec 27'!E$2:E$115,MATCH($B14,'Dec 21 - Dec 27'!$B$2:$B$115,0))</f>
        <v>29</v>
      </c>
      <c r="F14" s="15">
        <f t="array" ref="F14">INDEX('Dec 28 - Jan 3'!F$2:F$116,MATCH($B14,'Dec 28 - Jan 3'!$B$2:$B$116,0))-INDEX('Dec 21 - Dec 27'!F$2:F$115,MATCH($B14,'Dec 21 - Dec 27'!$B$2:$B$115,0))</f>
        <v>8</v>
      </c>
      <c r="G14" s="15">
        <f t="array" ref="G14">INDEX('Dec 28 - Jan 3'!G$2:G$116,MATCH($B14,'Dec 28 - Jan 3'!$B$2:$B$116,0))-INDEX('Dec 21 - Dec 27'!G$2:G$115,MATCH($B14,'Dec 21 - Dec 27'!$B$2:$B$115,0))</f>
        <v>0</v>
      </c>
      <c r="H14" s="15">
        <f t="array" ref="H14">INDEX('Dec 28 - Jan 3'!H$2:H$116,MATCH($B14,'Dec 28 - Jan 3'!$B$2:$B$116,0))-INDEX('Dec 21 - Dec 27'!H$2:H$115,MATCH($B14,'Dec 21 - Dec 27'!$B$2:$B$115,0))</f>
        <v>-1</v>
      </c>
      <c r="I14" s="15">
        <f t="array" ref="I14">INDEX('Dec 28 - Jan 3'!I$2:I$116,MATCH($B14,'Dec 28 - Jan 3'!$B$2:$B$116,0))-INDEX('Dec 21 - Dec 27'!I$2:I$115,MATCH($B14,'Dec 21 - Dec 27'!$B$2:$B$115,0))</f>
        <v>0</v>
      </c>
      <c r="J14" s="15">
        <f t="array" ref="J14">INDEX('Dec 28 - Jan 3'!J$2:J$116,MATCH($B14,'Dec 28 - Jan 3'!$B$2:$B$116,0))-INDEX('Dec 21 - Dec 27'!J$2:J$115,MATCH($B14,'Dec 21 - Dec 27'!$B$2:$B$115,0))</f>
        <v>1</v>
      </c>
      <c r="K14" s="15">
        <f t="array" ref="K14">INDEX('Dec 28 - Jan 3'!K$2:K$116,MATCH($B14,'Dec 28 - Jan 3'!$B$2:$B$116,0))-INDEX('Dec 21 - Dec 27'!K$2:K$115,MATCH($B14,'Dec 21 - Dec 27'!$B$2:$B$115,0))</f>
        <v>1</v>
      </c>
    </row>
    <row r="15" spans="2:11">
      <c r="B15" s="13" t="s">
        <v>33</v>
      </c>
      <c r="C15" s="14" t="str">
        <f t="array" aca="1" ref="C15" ca="1">INDEX('Rooms Master'!U:U,MATCH(B15,'Rooms Master'!D:D,0))</f>
        <v>Y</v>
      </c>
      <c r="D15" s="15">
        <f t="array" ref="D15">INDEX('Dec 28 - Jan 3'!D$2:D$116,MATCH($B15,'Dec 28 - Jan 3'!$B$2:$B$116,0))-INDEX('Dec 21 - Dec 27'!D$2:D$115,MATCH($B15,'Dec 21 - Dec 27'!$B$2:$B$115,0))</f>
        <v>-28</v>
      </c>
      <c r="E15" s="15">
        <f t="array" ref="E15">INDEX('Dec 28 - Jan 3'!E$2:E$116,MATCH($B15,'Dec 28 - Jan 3'!$B$2:$B$116,0))-INDEX('Dec 21 - Dec 27'!E$2:E$115,MATCH($B15,'Dec 21 - Dec 27'!$B$2:$B$115,0))</f>
        <v>27</v>
      </c>
      <c r="F15" s="15">
        <f t="array" ref="F15">INDEX('Dec 28 - Jan 3'!F$2:F$116,MATCH($B15,'Dec 28 - Jan 3'!$B$2:$B$116,0))-INDEX('Dec 21 - Dec 27'!F$2:F$115,MATCH($B15,'Dec 21 - Dec 27'!$B$2:$B$115,0))</f>
        <v>-1</v>
      </c>
      <c r="G15" s="15">
        <f t="array" ref="G15">INDEX('Dec 28 - Jan 3'!G$2:G$116,MATCH($B15,'Dec 28 - Jan 3'!$B$2:$B$116,0))-INDEX('Dec 21 - Dec 27'!G$2:G$115,MATCH($B15,'Dec 21 - Dec 27'!$B$2:$B$115,0))</f>
        <v>4</v>
      </c>
      <c r="H15" s="15">
        <f t="array" ref="H15">INDEX('Dec 28 - Jan 3'!H$2:H$116,MATCH($B15,'Dec 28 - Jan 3'!$B$2:$B$116,0))-INDEX('Dec 21 - Dec 27'!H$2:H$115,MATCH($B15,'Dec 21 - Dec 27'!$B$2:$B$115,0))</f>
        <v>-4</v>
      </c>
      <c r="I15" s="15">
        <f t="array" ref="I15">INDEX('Dec 28 - Jan 3'!I$2:I$116,MATCH($B15,'Dec 28 - Jan 3'!$B$2:$B$116,0))-INDEX('Dec 21 - Dec 27'!I$2:I$115,MATCH($B15,'Dec 21 - Dec 27'!$B$2:$B$115,0))</f>
        <v>1</v>
      </c>
      <c r="J15" s="15">
        <f t="array" ref="J15">INDEX('Dec 28 - Jan 3'!J$2:J$116,MATCH($B15,'Dec 28 - Jan 3'!$B$2:$B$116,0))-INDEX('Dec 21 - Dec 27'!J$2:J$115,MATCH($B15,'Dec 21 - Dec 27'!$B$2:$B$115,0))</f>
        <v>0</v>
      </c>
      <c r="K15" s="15">
        <f t="array" ref="K15">INDEX('Dec 28 - Jan 3'!K$2:K$116,MATCH($B15,'Dec 28 - Jan 3'!$B$2:$B$116,0))-INDEX('Dec 21 - Dec 27'!K$2:K$115,MATCH($B15,'Dec 21 - Dec 27'!$B$2:$B$115,0))</f>
        <v>0</v>
      </c>
    </row>
    <row r="16" spans="2:11">
      <c r="B16" s="13" t="s">
        <v>95</v>
      </c>
      <c r="C16" s="14" t="str">
        <f t="array" aca="1" ref="C16" ca="1">INDEX('Rooms Master'!U:U,MATCH(B16,'Rooms Master'!D:D,0))</f>
        <v>N</v>
      </c>
      <c r="D16" s="15">
        <f t="array" ref="D16">INDEX('Dec 28 - Jan 3'!D$2:D$116,MATCH($B16,'Dec 28 - Jan 3'!$B$2:$B$116,0))-INDEX('Dec 21 - Dec 27'!D$2:D$115,MATCH($B16,'Dec 21 - Dec 27'!$B$2:$B$115,0))</f>
        <v>-42</v>
      </c>
      <c r="E16" s="15">
        <f t="array" ref="E16">INDEX('Dec 28 - Jan 3'!E$2:E$116,MATCH($B16,'Dec 28 - Jan 3'!$B$2:$B$116,0))-INDEX('Dec 21 - Dec 27'!E$2:E$115,MATCH($B16,'Dec 21 - Dec 27'!$B$2:$B$115,0))</f>
        <v>25</v>
      </c>
      <c r="F16" s="15">
        <f t="array" ref="F16">INDEX('Dec 28 - Jan 3'!F$2:F$116,MATCH($B16,'Dec 28 - Jan 3'!$B$2:$B$116,0))-INDEX('Dec 21 - Dec 27'!F$2:F$115,MATCH($B16,'Dec 21 - Dec 27'!$B$2:$B$115,0))</f>
        <v>-6</v>
      </c>
      <c r="G16" s="15">
        <f t="array" ref="G16">INDEX('Dec 28 - Jan 3'!G$2:G$116,MATCH($B16,'Dec 28 - Jan 3'!$B$2:$B$116,0))-INDEX('Dec 21 - Dec 27'!G$2:G$115,MATCH($B16,'Dec 21 - Dec 27'!$B$2:$B$115,0))</f>
        <v>4</v>
      </c>
      <c r="H16" s="15">
        <f t="array" ref="H16">INDEX('Dec 28 - Jan 3'!H$2:H$116,MATCH($B16,'Dec 28 - Jan 3'!$B$2:$B$116,0))-INDEX('Dec 21 - Dec 27'!H$2:H$115,MATCH($B16,'Dec 21 - Dec 27'!$B$2:$B$115,0))</f>
        <v>-2</v>
      </c>
      <c r="I16" s="15">
        <f t="array" ref="I16">INDEX('Dec 28 - Jan 3'!I$2:I$116,MATCH($B16,'Dec 28 - Jan 3'!$B$2:$B$116,0))-INDEX('Dec 21 - Dec 27'!I$2:I$115,MATCH($B16,'Dec 21 - Dec 27'!$B$2:$B$115,0))</f>
        <v>1</v>
      </c>
      <c r="J16" s="15">
        <f t="array" ref="J16">INDEX('Dec 28 - Jan 3'!J$2:J$116,MATCH($B16,'Dec 28 - Jan 3'!$B$2:$B$116,0))-INDEX('Dec 21 - Dec 27'!J$2:J$115,MATCH($B16,'Dec 21 - Dec 27'!$B$2:$B$115,0))</f>
        <v>1</v>
      </c>
      <c r="K16" s="15">
        <f t="array" ref="K16">INDEX('Dec 28 - Jan 3'!K$2:K$116,MATCH($B16,'Dec 28 - Jan 3'!$B$2:$B$116,0))-INDEX('Dec 21 - Dec 27'!K$2:K$115,MATCH($B16,'Dec 21 - Dec 27'!$B$2:$B$115,0))</f>
        <v>1</v>
      </c>
    </row>
    <row r="17" spans="2:11">
      <c r="B17" s="13" t="s">
        <v>44</v>
      </c>
      <c r="C17" s="14" t="str">
        <f t="array" aca="1" ref="C17" ca="1">INDEX('Rooms Master'!U:U,MATCH(B17,'Rooms Master'!D:D,0))</f>
        <v>Y</v>
      </c>
      <c r="D17" s="15">
        <f t="array" ref="D17">INDEX('Dec 28 - Jan 3'!D$2:D$116,MATCH($B17,'Dec 28 - Jan 3'!$B$2:$B$116,0))-INDEX('Dec 21 - Dec 27'!D$2:D$115,MATCH($B17,'Dec 21 - Dec 27'!$B$2:$B$115,0))</f>
        <v>-25</v>
      </c>
      <c r="E17" s="15">
        <f t="array" ref="E17">INDEX('Dec 28 - Jan 3'!E$2:E$116,MATCH($B17,'Dec 28 - Jan 3'!$B$2:$B$116,0))-INDEX('Dec 21 - Dec 27'!E$2:E$115,MATCH($B17,'Dec 21 - Dec 27'!$B$2:$B$115,0))</f>
        <v>24</v>
      </c>
      <c r="F17" s="15">
        <f t="array" ref="F17">INDEX('Dec 28 - Jan 3'!F$2:F$116,MATCH($B17,'Dec 28 - Jan 3'!$B$2:$B$116,0))-INDEX('Dec 21 - Dec 27'!F$2:F$115,MATCH($B17,'Dec 21 - Dec 27'!$B$2:$B$115,0))</f>
        <v>1</v>
      </c>
      <c r="G17" s="15">
        <f t="array" ref="G17">INDEX('Dec 28 - Jan 3'!G$2:G$116,MATCH($B17,'Dec 28 - Jan 3'!$B$2:$B$116,0))-INDEX('Dec 21 - Dec 27'!G$2:G$115,MATCH($B17,'Dec 21 - Dec 27'!$B$2:$B$115,0))</f>
        <v>4</v>
      </c>
      <c r="H17" s="15">
        <f t="array" ref="H17">INDEX('Dec 28 - Jan 3'!H$2:H$116,MATCH($B17,'Dec 28 - Jan 3'!$B$2:$B$116,0))-INDEX('Dec 21 - Dec 27'!H$2:H$115,MATCH($B17,'Dec 21 - Dec 27'!$B$2:$B$115,0))</f>
        <v>2</v>
      </c>
      <c r="I17" s="15">
        <f t="array" ref="I17">INDEX('Dec 28 - Jan 3'!I$2:I$116,MATCH($B17,'Dec 28 - Jan 3'!$B$2:$B$116,0))-INDEX('Dec 21 - Dec 27'!I$2:I$115,MATCH($B17,'Dec 21 - Dec 27'!$B$2:$B$115,0))</f>
        <v>0</v>
      </c>
      <c r="J17" s="15">
        <f t="array" ref="J17">INDEX('Dec 28 - Jan 3'!J$2:J$116,MATCH($B17,'Dec 28 - Jan 3'!$B$2:$B$116,0))-INDEX('Dec 21 - Dec 27'!J$2:J$115,MATCH($B17,'Dec 21 - Dec 27'!$B$2:$B$115,0))</f>
        <v>0</v>
      </c>
      <c r="K17" s="15">
        <f t="array" ref="K17">INDEX('Dec 28 - Jan 3'!K$2:K$116,MATCH($B17,'Dec 28 - Jan 3'!$B$2:$B$116,0))-INDEX('Dec 21 - Dec 27'!K$2:K$115,MATCH($B17,'Dec 21 - Dec 27'!$B$2:$B$115,0))</f>
        <v>0</v>
      </c>
    </row>
    <row r="18" spans="2:11">
      <c r="B18" s="13" t="s">
        <v>52</v>
      </c>
      <c r="C18" s="14" t="str">
        <f t="array" aca="1" ref="C18" ca="1">INDEX('Rooms Master'!U:U,MATCH(B18,'Rooms Master'!D:D,0))</f>
        <v>Y</v>
      </c>
      <c r="D18" s="15">
        <f t="array" ref="D18">INDEX('Dec 28 - Jan 3'!D$2:D$116,MATCH($B18,'Dec 28 - Jan 3'!$B$2:$B$116,0))-INDEX('Dec 21 - Dec 27'!D$2:D$115,MATCH($B18,'Dec 21 - Dec 27'!$B$2:$B$115,0))</f>
        <v>-25</v>
      </c>
      <c r="E18" s="15">
        <f t="array" ref="E18">INDEX('Dec 28 - Jan 3'!E$2:E$116,MATCH($B18,'Dec 28 - Jan 3'!$B$2:$B$116,0))-INDEX('Dec 21 - Dec 27'!E$2:E$115,MATCH($B18,'Dec 21 - Dec 27'!$B$2:$B$115,0))</f>
        <v>19</v>
      </c>
      <c r="F18" s="15">
        <f t="array" ref="F18">INDEX('Dec 28 - Jan 3'!F$2:F$116,MATCH($B18,'Dec 28 - Jan 3'!$B$2:$B$116,0))-INDEX('Dec 21 - Dec 27'!F$2:F$115,MATCH($B18,'Dec 21 - Dec 27'!$B$2:$B$115,0))</f>
        <v>7</v>
      </c>
      <c r="G18" s="15">
        <f t="array" ref="G18">INDEX('Dec 28 - Jan 3'!G$2:G$116,MATCH($B18,'Dec 28 - Jan 3'!$B$2:$B$116,0))-INDEX('Dec 21 - Dec 27'!G$2:G$115,MATCH($B18,'Dec 21 - Dec 27'!$B$2:$B$115,0))</f>
        <v>2</v>
      </c>
      <c r="H18" s="15">
        <f t="array" ref="H18">INDEX('Dec 28 - Jan 3'!H$2:H$116,MATCH($B18,'Dec 28 - Jan 3'!$B$2:$B$116,0))-INDEX('Dec 21 - Dec 27'!H$2:H$115,MATCH($B18,'Dec 21 - Dec 27'!$B$2:$B$115,0))</f>
        <v>0</v>
      </c>
      <c r="I18" s="15">
        <f t="array" ref="I18">INDEX('Dec 28 - Jan 3'!I$2:I$116,MATCH($B18,'Dec 28 - Jan 3'!$B$2:$B$116,0))-INDEX('Dec 21 - Dec 27'!I$2:I$115,MATCH($B18,'Dec 21 - Dec 27'!$B$2:$B$115,0))</f>
        <v>0</v>
      </c>
      <c r="J18" s="15">
        <f t="array" ref="J18">INDEX('Dec 28 - Jan 3'!J$2:J$116,MATCH($B18,'Dec 28 - Jan 3'!$B$2:$B$116,0))-INDEX('Dec 21 - Dec 27'!J$2:J$115,MATCH($B18,'Dec 21 - Dec 27'!$B$2:$B$115,0))</f>
        <v>0</v>
      </c>
      <c r="K18" s="15">
        <f t="array" ref="K18">INDEX('Dec 28 - Jan 3'!K$2:K$116,MATCH($B18,'Dec 28 - Jan 3'!$B$2:$B$116,0))-INDEX('Dec 21 - Dec 27'!K$2:K$115,MATCH($B18,'Dec 21 - Dec 27'!$B$2:$B$115,0))</f>
        <v>0</v>
      </c>
    </row>
    <row r="19" spans="2:11">
      <c r="B19" s="13" t="s">
        <v>67</v>
      </c>
      <c r="C19" s="14" t="str">
        <f t="array" aca="1" ref="C19" ca="1">INDEX('Rooms Master'!U:U,MATCH(B19,'Rooms Master'!D:D,0))</f>
        <v>Y</v>
      </c>
      <c r="D19" s="15">
        <f t="array" ref="D19">INDEX('Dec 28 - Jan 3'!D$2:D$116,MATCH($B19,'Dec 28 - Jan 3'!$B$2:$B$116,0))-INDEX('Dec 21 - Dec 27'!D$2:D$115,MATCH($B19,'Dec 21 - Dec 27'!$B$2:$B$115,0))</f>
        <v>-31</v>
      </c>
      <c r="E19" s="15">
        <f t="array" ref="E19">INDEX('Dec 28 - Jan 3'!E$2:E$116,MATCH($B19,'Dec 28 - Jan 3'!$B$2:$B$116,0))-INDEX('Dec 21 - Dec 27'!E$2:E$115,MATCH($B19,'Dec 21 - Dec 27'!$B$2:$B$115,0))</f>
        <v>18</v>
      </c>
      <c r="F19" s="15">
        <f t="array" ref="F19">INDEX('Dec 28 - Jan 3'!F$2:F$116,MATCH($B19,'Dec 28 - Jan 3'!$B$2:$B$116,0))-INDEX('Dec 21 - Dec 27'!F$2:F$115,MATCH($B19,'Dec 21 - Dec 27'!$B$2:$B$115,0))</f>
        <v>5</v>
      </c>
      <c r="G19" s="15">
        <f t="array" ref="G19">INDEX('Dec 28 - Jan 3'!G$2:G$116,MATCH($B19,'Dec 28 - Jan 3'!$B$2:$B$116,0))-INDEX('Dec 21 - Dec 27'!G$2:G$115,MATCH($B19,'Dec 21 - Dec 27'!$B$2:$B$115,0))</f>
        <v>-1</v>
      </c>
      <c r="H19" s="15">
        <f t="array" ref="H19">INDEX('Dec 28 - Jan 3'!H$2:H$116,MATCH($B19,'Dec 28 - Jan 3'!$B$2:$B$116,0))-INDEX('Dec 21 - Dec 27'!H$2:H$115,MATCH($B19,'Dec 21 - Dec 27'!$B$2:$B$115,0))</f>
        <v>2</v>
      </c>
      <c r="I19" s="15">
        <f t="array" ref="I19">INDEX('Dec 28 - Jan 3'!I$2:I$116,MATCH($B19,'Dec 28 - Jan 3'!$B$2:$B$116,0))-INDEX('Dec 21 - Dec 27'!I$2:I$115,MATCH($B19,'Dec 21 - Dec 27'!$B$2:$B$115,0))</f>
        <v>0</v>
      </c>
      <c r="J19" s="15">
        <f t="array" ref="J19">INDEX('Dec 28 - Jan 3'!J$2:J$116,MATCH($B19,'Dec 28 - Jan 3'!$B$2:$B$116,0))-INDEX('Dec 21 - Dec 27'!J$2:J$115,MATCH($B19,'Dec 21 - Dec 27'!$B$2:$B$115,0))</f>
        <v>0</v>
      </c>
      <c r="K19" s="15">
        <f t="array" ref="K19">INDEX('Dec 28 - Jan 3'!K$2:K$116,MATCH($B19,'Dec 28 - Jan 3'!$B$2:$B$116,0))-INDEX('Dec 21 - Dec 27'!K$2:K$115,MATCH($B19,'Dec 21 - Dec 27'!$B$2:$B$115,0))</f>
        <v>0</v>
      </c>
    </row>
    <row r="20" spans="2:11">
      <c r="B20" s="13" t="s">
        <v>47</v>
      </c>
      <c r="C20" s="14" t="str">
        <f t="array" aca="1" ref="C20" ca="1">INDEX('Rooms Master'!U:U,MATCH(B20,'Rooms Master'!D:D,0))</f>
        <v>Y</v>
      </c>
      <c r="D20" s="15">
        <f t="array" ref="D20">INDEX('Dec 28 - Jan 3'!D$2:D$116,MATCH($B20,'Dec 28 - Jan 3'!$B$2:$B$116,0))-INDEX('Dec 21 - Dec 27'!D$2:D$115,MATCH($B20,'Dec 21 - Dec 27'!$B$2:$B$115,0))</f>
        <v>26</v>
      </c>
      <c r="E20" s="15">
        <f t="array" ref="E20">INDEX('Dec 28 - Jan 3'!E$2:E$116,MATCH($B20,'Dec 28 - Jan 3'!$B$2:$B$116,0))-INDEX('Dec 21 - Dec 27'!E$2:E$115,MATCH($B20,'Dec 21 - Dec 27'!$B$2:$B$115,0))</f>
        <v>18</v>
      </c>
      <c r="F20" s="15">
        <f t="array" ref="F20">INDEX('Dec 28 - Jan 3'!F$2:F$116,MATCH($B20,'Dec 28 - Jan 3'!$B$2:$B$116,0))-INDEX('Dec 21 - Dec 27'!F$2:F$115,MATCH($B20,'Dec 21 - Dec 27'!$B$2:$B$115,0))</f>
        <v>18</v>
      </c>
      <c r="G20" s="15">
        <f t="array" ref="G20">INDEX('Dec 28 - Jan 3'!G$2:G$116,MATCH($B20,'Dec 28 - Jan 3'!$B$2:$B$116,0))-INDEX('Dec 21 - Dec 27'!G$2:G$115,MATCH($B20,'Dec 21 - Dec 27'!$B$2:$B$115,0))</f>
        <v>2</v>
      </c>
      <c r="H20" s="15">
        <f t="array" ref="H20">INDEX('Dec 28 - Jan 3'!H$2:H$116,MATCH($B20,'Dec 28 - Jan 3'!$B$2:$B$116,0))-INDEX('Dec 21 - Dec 27'!H$2:H$115,MATCH($B20,'Dec 21 - Dec 27'!$B$2:$B$115,0))</f>
        <v>-8</v>
      </c>
      <c r="I20" s="15">
        <f t="array" ref="I20">INDEX('Dec 28 - Jan 3'!I$2:I$116,MATCH($B20,'Dec 28 - Jan 3'!$B$2:$B$116,0))-INDEX('Dec 21 - Dec 27'!I$2:I$115,MATCH($B20,'Dec 21 - Dec 27'!$B$2:$B$115,0))</f>
        <v>-1</v>
      </c>
      <c r="J20" s="15">
        <f t="array" ref="J20">INDEX('Dec 28 - Jan 3'!J$2:J$116,MATCH($B20,'Dec 28 - Jan 3'!$B$2:$B$116,0))-INDEX('Dec 21 - Dec 27'!J$2:J$115,MATCH($B20,'Dec 21 - Dec 27'!$B$2:$B$115,0))</f>
        <v>0</v>
      </c>
      <c r="K20" s="15">
        <f t="array" ref="K20">INDEX('Dec 28 - Jan 3'!K$2:K$116,MATCH($B20,'Dec 28 - Jan 3'!$B$2:$B$116,0))-INDEX('Dec 21 - Dec 27'!K$2:K$115,MATCH($B20,'Dec 21 - Dec 27'!$B$2:$B$115,0))</f>
        <v>0</v>
      </c>
    </row>
    <row r="21" spans="2:11">
      <c r="B21" s="13" t="s">
        <v>109</v>
      </c>
      <c r="C21" s="14" t="str">
        <f t="array" aca="1" ref="C21" ca="1">INDEX('Rooms Master'!U:U,MATCH(B21,'Rooms Master'!D:D,0))</f>
        <v>Y</v>
      </c>
      <c r="D21" s="15">
        <f t="array" ref="D21">INDEX('Dec 28 - Jan 3'!D$2:D$116,MATCH($B21,'Dec 28 - Jan 3'!$B$2:$B$116,0))-INDEX('Dec 21 - Dec 27'!D$2:D$115,MATCH($B21,'Dec 21 - Dec 27'!$B$2:$B$115,0))</f>
        <v>-27</v>
      </c>
      <c r="E21" s="15">
        <f t="array" ref="E21">INDEX('Dec 28 - Jan 3'!E$2:E$116,MATCH($B21,'Dec 28 - Jan 3'!$B$2:$B$116,0))-INDEX('Dec 21 - Dec 27'!E$2:E$115,MATCH($B21,'Dec 21 - Dec 27'!$B$2:$B$115,0))</f>
        <v>17</v>
      </c>
      <c r="F21" s="15">
        <f t="array" ref="F21">INDEX('Dec 28 - Jan 3'!F$2:F$116,MATCH($B21,'Dec 28 - Jan 3'!$B$2:$B$116,0))-INDEX('Dec 21 - Dec 27'!F$2:F$115,MATCH($B21,'Dec 21 - Dec 27'!$B$2:$B$115,0))</f>
        <v>4</v>
      </c>
      <c r="G21" s="15">
        <f t="array" ref="G21">INDEX('Dec 28 - Jan 3'!G$2:G$116,MATCH($B21,'Dec 28 - Jan 3'!$B$2:$B$116,0))-INDEX('Dec 21 - Dec 27'!G$2:G$115,MATCH($B21,'Dec 21 - Dec 27'!$B$2:$B$115,0))</f>
        <v>2</v>
      </c>
      <c r="H21" s="15">
        <f t="array" ref="H21">INDEX('Dec 28 - Jan 3'!H$2:H$116,MATCH($B21,'Dec 28 - Jan 3'!$B$2:$B$116,0))-INDEX('Dec 21 - Dec 27'!H$2:H$115,MATCH($B21,'Dec 21 - Dec 27'!$B$2:$B$115,0))</f>
        <v>0</v>
      </c>
      <c r="I21" s="15">
        <f t="array" ref="I21">INDEX('Dec 28 - Jan 3'!I$2:I$116,MATCH($B21,'Dec 28 - Jan 3'!$B$2:$B$116,0))-INDEX('Dec 21 - Dec 27'!I$2:I$115,MATCH($B21,'Dec 21 - Dec 27'!$B$2:$B$115,0))</f>
        <v>0</v>
      </c>
      <c r="J21" s="15">
        <f t="array" ref="J21">INDEX('Dec 28 - Jan 3'!J$2:J$116,MATCH($B21,'Dec 28 - Jan 3'!$B$2:$B$116,0))-INDEX('Dec 21 - Dec 27'!J$2:J$115,MATCH($B21,'Dec 21 - Dec 27'!$B$2:$B$115,0))</f>
        <v>0</v>
      </c>
      <c r="K21" s="15">
        <f t="array" ref="K21">INDEX('Dec 28 - Jan 3'!K$2:K$116,MATCH($B21,'Dec 28 - Jan 3'!$B$2:$B$116,0))-INDEX('Dec 21 - Dec 27'!K$2:K$115,MATCH($B21,'Dec 21 - Dec 27'!$B$2:$B$115,0))</f>
        <v>0</v>
      </c>
    </row>
    <row r="22" spans="2:11" ht="12.75">
      <c r="B22" s="13" t="s">
        <v>50</v>
      </c>
      <c r="C22" s="14" t="str">
        <f t="array" aca="1" ref="C22" ca="1">INDEX('Rooms Master'!U:U,MATCH(B22,'Rooms Master'!D:D,0))</f>
        <v>Y</v>
      </c>
      <c r="D22" s="15">
        <f t="array" ref="D22">INDEX('Dec 28 - Jan 3'!D$2:D$116,MATCH($B22,'Dec 28 - Jan 3'!$B$2:$B$116,0))-INDEX('Dec 21 - Dec 27'!D$2:D$115,MATCH($B22,'Dec 21 - Dec 27'!$B$2:$B$115,0))</f>
        <v>32</v>
      </c>
      <c r="E22" s="15">
        <f t="array" ref="E22">INDEX('Dec 28 - Jan 3'!E$2:E$116,MATCH($B22,'Dec 28 - Jan 3'!$B$2:$B$116,0))-INDEX('Dec 21 - Dec 27'!E$2:E$115,MATCH($B22,'Dec 21 - Dec 27'!$B$2:$B$115,0))</f>
        <v>17</v>
      </c>
      <c r="F22" s="15">
        <f t="array" ref="F22">INDEX('Dec 28 - Jan 3'!F$2:F$116,MATCH($B22,'Dec 28 - Jan 3'!$B$2:$B$116,0))-INDEX('Dec 21 - Dec 27'!F$2:F$115,MATCH($B22,'Dec 21 - Dec 27'!$B$2:$B$115,0))</f>
        <v>6</v>
      </c>
      <c r="G22" s="15">
        <f t="array" ref="G22">INDEX('Dec 28 - Jan 3'!G$2:G$116,MATCH($B22,'Dec 28 - Jan 3'!$B$2:$B$116,0))-INDEX('Dec 21 - Dec 27'!G$2:G$115,MATCH($B22,'Dec 21 - Dec 27'!$B$2:$B$115,0))</f>
        <v>5</v>
      </c>
      <c r="H22" s="15">
        <f t="array" ref="H22">INDEX('Dec 28 - Jan 3'!H$2:H$116,MATCH($B22,'Dec 28 - Jan 3'!$B$2:$B$116,0))-INDEX('Dec 21 - Dec 27'!H$2:H$115,MATCH($B22,'Dec 21 - Dec 27'!$B$2:$B$115,0))</f>
        <v>-1</v>
      </c>
      <c r="I22" s="15">
        <f t="array" ref="I22">INDEX('Dec 28 - Jan 3'!I$2:I$116,MATCH($B22,'Dec 28 - Jan 3'!$B$2:$B$116,0))-INDEX('Dec 21 - Dec 27'!I$2:I$115,MATCH($B22,'Dec 21 - Dec 27'!$B$2:$B$115,0))</f>
        <v>0</v>
      </c>
      <c r="J22" s="15">
        <f t="array" ref="J22">INDEX('Dec 28 - Jan 3'!J$2:J$116,MATCH($B22,'Dec 28 - Jan 3'!$B$2:$B$116,0))-INDEX('Dec 21 - Dec 27'!J$2:J$115,MATCH($B22,'Dec 21 - Dec 27'!$B$2:$B$115,0))</f>
        <v>0</v>
      </c>
      <c r="K22" s="15">
        <f t="array" ref="K22">INDEX('Dec 28 - Jan 3'!K$2:K$116,MATCH($B22,'Dec 28 - Jan 3'!$B$2:$B$116,0))-INDEX('Dec 21 - Dec 27'!K$2:K$115,MATCH($B22,'Dec 21 - Dec 27'!$B$2:$B$115,0))</f>
        <v>0</v>
      </c>
    </row>
    <row r="23" spans="2:11" ht="12.75">
      <c r="B23" s="13" t="s">
        <v>49</v>
      </c>
      <c r="C23" s="14" t="str">
        <f t="array" aca="1" ref="C23" ca="1">INDEX('Rooms Master'!U:U,MATCH(B23,'Rooms Master'!D:D,0))</f>
        <v>Y</v>
      </c>
      <c r="D23" s="15">
        <f t="array" ref="D23">INDEX('Dec 28 - Jan 3'!D$2:D$116,MATCH($B23,'Dec 28 - Jan 3'!$B$2:$B$116,0))-INDEX('Dec 21 - Dec 27'!D$2:D$115,MATCH($B23,'Dec 21 - Dec 27'!$B$2:$B$115,0))</f>
        <v>-18</v>
      </c>
      <c r="E23" s="15">
        <f t="array" ref="E23">INDEX('Dec 28 - Jan 3'!E$2:E$116,MATCH($B23,'Dec 28 - Jan 3'!$B$2:$B$116,0))-INDEX('Dec 21 - Dec 27'!E$2:E$115,MATCH($B23,'Dec 21 - Dec 27'!$B$2:$B$115,0))</f>
        <v>16</v>
      </c>
      <c r="F23" s="15">
        <f t="array" ref="F23">INDEX('Dec 28 - Jan 3'!F$2:F$116,MATCH($B23,'Dec 28 - Jan 3'!$B$2:$B$116,0))-INDEX('Dec 21 - Dec 27'!F$2:F$115,MATCH($B23,'Dec 21 - Dec 27'!$B$2:$B$115,0))</f>
        <v>8</v>
      </c>
      <c r="G23" s="15">
        <f t="array" ref="G23">INDEX('Dec 28 - Jan 3'!G$2:G$116,MATCH($B23,'Dec 28 - Jan 3'!$B$2:$B$116,0))-INDEX('Dec 21 - Dec 27'!G$2:G$115,MATCH($B23,'Dec 21 - Dec 27'!$B$2:$B$115,0))</f>
        <v>2</v>
      </c>
      <c r="H23" s="15">
        <f t="array" ref="H23">INDEX('Dec 28 - Jan 3'!H$2:H$116,MATCH($B23,'Dec 28 - Jan 3'!$B$2:$B$116,0))-INDEX('Dec 21 - Dec 27'!H$2:H$115,MATCH($B23,'Dec 21 - Dec 27'!$B$2:$B$115,0))</f>
        <v>0</v>
      </c>
      <c r="I23" s="15">
        <f t="array" ref="I23">INDEX('Dec 28 - Jan 3'!I$2:I$116,MATCH($B23,'Dec 28 - Jan 3'!$B$2:$B$116,0))-INDEX('Dec 21 - Dec 27'!I$2:I$115,MATCH($B23,'Dec 21 - Dec 27'!$B$2:$B$115,0))</f>
        <v>0</v>
      </c>
      <c r="J23" s="15">
        <f t="array" ref="J23">INDEX('Dec 28 - Jan 3'!J$2:J$116,MATCH($B23,'Dec 28 - Jan 3'!$B$2:$B$116,0))-INDEX('Dec 21 - Dec 27'!J$2:J$115,MATCH($B23,'Dec 21 - Dec 27'!$B$2:$B$115,0))</f>
        <v>0</v>
      </c>
      <c r="K23" s="15">
        <f t="array" ref="K23">INDEX('Dec 28 - Jan 3'!K$2:K$116,MATCH($B23,'Dec 28 - Jan 3'!$B$2:$B$116,0))-INDEX('Dec 21 - Dec 27'!K$2:K$115,MATCH($B23,'Dec 21 - Dec 27'!$B$2:$B$115,0))</f>
        <v>0</v>
      </c>
    </row>
    <row r="24" spans="2:11" ht="12.75">
      <c r="B24" s="13" t="s">
        <v>22</v>
      </c>
      <c r="C24" s="14" t="str">
        <f t="array" aca="1" ref="C24" ca="1">INDEX('Rooms Master'!U:U,MATCH(B24,'Rooms Master'!D:D,0))</f>
        <v>Y</v>
      </c>
      <c r="D24" s="15">
        <f t="array" ref="D24">INDEX('Dec 28 - Jan 3'!D$2:D$116,MATCH($B24,'Dec 28 - Jan 3'!$B$2:$B$116,0))-INDEX('Dec 21 - Dec 27'!D$2:D$115,MATCH($B24,'Dec 21 - Dec 27'!$B$2:$B$115,0))</f>
        <v>-19</v>
      </c>
      <c r="E24" s="15">
        <f t="array" ref="E24">INDEX('Dec 28 - Jan 3'!E$2:E$116,MATCH($B24,'Dec 28 - Jan 3'!$B$2:$B$116,0))-INDEX('Dec 21 - Dec 27'!E$2:E$115,MATCH($B24,'Dec 21 - Dec 27'!$B$2:$B$115,0))</f>
        <v>15</v>
      </c>
      <c r="F24" s="15">
        <f t="array" ref="F24">INDEX('Dec 28 - Jan 3'!F$2:F$116,MATCH($B24,'Dec 28 - Jan 3'!$B$2:$B$116,0))-INDEX('Dec 21 - Dec 27'!F$2:F$115,MATCH($B24,'Dec 21 - Dec 27'!$B$2:$B$115,0))</f>
        <v>8</v>
      </c>
      <c r="G24" s="15">
        <f t="array" ref="G24">INDEX('Dec 28 - Jan 3'!G$2:G$116,MATCH($B24,'Dec 28 - Jan 3'!$B$2:$B$116,0))-INDEX('Dec 21 - Dec 27'!G$2:G$115,MATCH($B24,'Dec 21 - Dec 27'!$B$2:$B$115,0))</f>
        <v>6</v>
      </c>
      <c r="H24" s="15">
        <f t="array" ref="H24">INDEX('Dec 28 - Jan 3'!H$2:H$116,MATCH($B24,'Dec 28 - Jan 3'!$B$2:$B$116,0))-INDEX('Dec 21 - Dec 27'!H$2:H$115,MATCH($B24,'Dec 21 - Dec 27'!$B$2:$B$115,0))</f>
        <v>-8</v>
      </c>
      <c r="I24" s="15">
        <f t="array" ref="I24">INDEX('Dec 28 - Jan 3'!I$2:I$116,MATCH($B24,'Dec 28 - Jan 3'!$B$2:$B$116,0))-INDEX('Dec 21 - Dec 27'!I$2:I$115,MATCH($B24,'Dec 21 - Dec 27'!$B$2:$B$115,0))</f>
        <v>1</v>
      </c>
      <c r="J24" s="15">
        <f t="array" ref="J24">INDEX('Dec 28 - Jan 3'!J$2:J$116,MATCH($B24,'Dec 28 - Jan 3'!$B$2:$B$116,0))-INDEX('Dec 21 - Dec 27'!J$2:J$115,MATCH($B24,'Dec 21 - Dec 27'!$B$2:$B$115,0))</f>
        <v>0</v>
      </c>
      <c r="K24" s="15">
        <f t="array" ref="K24">INDEX('Dec 28 - Jan 3'!K$2:K$116,MATCH($B24,'Dec 28 - Jan 3'!$B$2:$B$116,0))-INDEX('Dec 21 - Dec 27'!K$2:K$115,MATCH($B24,'Dec 21 - Dec 27'!$B$2:$B$115,0))</f>
        <v>0</v>
      </c>
    </row>
    <row r="25" spans="2:11" ht="12.75">
      <c r="B25" s="13" t="s">
        <v>107</v>
      </c>
      <c r="C25" s="14" t="str">
        <f t="array" aca="1" ref="C25" ca="1">INDEX('Rooms Master'!U:U,MATCH(B25,'Rooms Master'!D:D,0))</f>
        <v>Y</v>
      </c>
      <c r="D25" s="15">
        <f t="array" ref="D25">INDEX('Dec 28 - Jan 3'!D$2:D$116,MATCH($B25,'Dec 28 - Jan 3'!$B$2:$B$116,0))-INDEX('Dec 21 - Dec 27'!D$2:D$115,MATCH($B25,'Dec 21 - Dec 27'!$B$2:$B$115,0))</f>
        <v>47</v>
      </c>
      <c r="E25" s="15">
        <f t="array" ref="E25">INDEX('Dec 28 - Jan 3'!E$2:E$116,MATCH($B25,'Dec 28 - Jan 3'!$B$2:$B$116,0))-INDEX('Dec 21 - Dec 27'!E$2:E$115,MATCH($B25,'Dec 21 - Dec 27'!$B$2:$B$115,0))</f>
        <v>15</v>
      </c>
      <c r="F25" s="15">
        <f t="array" ref="F25">INDEX('Dec 28 - Jan 3'!F$2:F$116,MATCH($B25,'Dec 28 - Jan 3'!$B$2:$B$116,0))-INDEX('Dec 21 - Dec 27'!F$2:F$115,MATCH($B25,'Dec 21 - Dec 27'!$B$2:$B$115,0))</f>
        <v>3</v>
      </c>
      <c r="G25" s="15">
        <f t="array" ref="G25">INDEX('Dec 28 - Jan 3'!G$2:G$116,MATCH($B25,'Dec 28 - Jan 3'!$B$2:$B$116,0))-INDEX('Dec 21 - Dec 27'!G$2:G$115,MATCH($B25,'Dec 21 - Dec 27'!$B$2:$B$115,0))</f>
        <v>0</v>
      </c>
      <c r="H25" s="15">
        <f t="array" ref="H25">INDEX('Dec 28 - Jan 3'!H$2:H$116,MATCH($B25,'Dec 28 - Jan 3'!$B$2:$B$116,0))-INDEX('Dec 21 - Dec 27'!H$2:H$115,MATCH($B25,'Dec 21 - Dec 27'!$B$2:$B$115,0))</f>
        <v>0</v>
      </c>
      <c r="I25" s="15">
        <f t="array" ref="I25">INDEX('Dec 28 - Jan 3'!I$2:I$116,MATCH($B25,'Dec 28 - Jan 3'!$B$2:$B$116,0))-INDEX('Dec 21 - Dec 27'!I$2:I$115,MATCH($B25,'Dec 21 - Dec 27'!$B$2:$B$115,0))</f>
        <v>0</v>
      </c>
      <c r="J25" s="15">
        <f t="array" ref="J25">INDEX('Dec 28 - Jan 3'!J$2:J$116,MATCH($B25,'Dec 28 - Jan 3'!$B$2:$B$116,0))-INDEX('Dec 21 - Dec 27'!J$2:J$115,MATCH($B25,'Dec 21 - Dec 27'!$B$2:$B$115,0))</f>
        <v>0</v>
      </c>
      <c r="K25" s="15">
        <f t="array" ref="K25">INDEX('Dec 28 - Jan 3'!K$2:K$116,MATCH($B25,'Dec 28 - Jan 3'!$B$2:$B$116,0))-INDEX('Dec 21 - Dec 27'!K$2:K$115,MATCH($B25,'Dec 21 - Dec 27'!$B$2:$B$115,0))</f>
        <v>0</v>
      </c>
    </row>
    <row r="26" spans="2:11" ht="12.75">
      <c r="B26" s="13" t="s">
        <v>58</v>
      </c>
      <c r="C26" s="14" t="str">
        <f t="array" aca="1" ref="C26" ca="1">INDEX('Rooms Master'!U:U,MATCH(B26,'Rooms Master'!D:D,0))</f>
        <v>Y</v>
      </c>
      <c r="D26" s="15">
        <f t="array" ref="D26">INDEX('Dec 28 - Jan 3'!D$2:D$116,MATCH($B26,'Dec 28 - Jan 3'!$B$2:$B$116,0))-INDEX('Dec 21 - Dec 27'!D$2:D$115,MATCH($B26,'Dec 21 - Dec 27'!$B$2:$B$115,0))</f>
        <v>-19</v>
      </c>
      <c r="E26" s="15">
        <f t="array" ref="E26">INDEX('Dec 28 - Jan 3'!E$2:E$116,MATCH($B26,'Dec 28 - Jan 3'!$B$2:$B$116,0))-INDEX('Dec 21 - Dec 27'!E$2:E$115,MATCH($B26,'Dec 21 - Dec 27'!$B$2:$B$115,0))</f>
        <v>14</v>
      </c>
      <c r="F26" s="15">
        <f t="array" ref="F26">INDEX('Dec 28 - Jan 3'!F$2:F$116,MATCH($B26,'Dec 28 - Jan 3'!$B$2:$B$116,0))-INDEX('Dec 21 - Dec 27'!F$2:F$115,MATCH($B26,'Dec 21 - Dec 27'!$B$2:$B$115,0))</f>
        <v>8</v>
      </c>
      <c r="G26" s="15">
        <f t="array" ref="G26">INDEX('Dec 28 - Jan 3'!G$2:G$116,MATCH($B26,'Dec 28 - Jan 3'!$B$2:$B$116,0))-INDEX('Dec 21 - Dec 27'!G$2:G$115,MATCH($B26,'Dec 21 - Dec 27'!$B$2:$B$115,0))</f>
        <v>0</v>
      </c>
      <c r="H26" s="15">
        <f t="array" ref="H26">INDEX('Dec 28 - Jan 3'!H$2:H$116,MATCH($B26,'Dec 28 - Jan 3'!$B$2:$B$116,0))-INDEX('Dec 21 - Dec 27'!H$2:H$115,MATCH($B26,'Dec 21 - Dec 27'!$B$2:$B$115,0))</f>
        <v>2</v>
      </c>
      <c r="I26" s="15">
        <f t="array" ref="I26">INDEX('Dec 28 - Jan 3'!I$2:I$116,MATCH($B26,'Dec 28 - Jan 3'!$B$2:$B$116,0))-INDEX('Dec 21 - Dec 27'!I$2:I$115,MATCH($B26,'Dec 21 - Dec 27'!$B$2:$B$115,0))</f>
        <v>0</v>
      </c>
      <c r="J26" s="15">
        <f t="array" ref="J26">INDEX('Dec 28 - Jan 3'!J$2:J$116,MATCH($B26,'Dec 28 - Jan 3'!$B$2:$B$116,0))-INDEX('Dec 21 - Dec 27'!J$2:J$115,MATCH($B26,'Dec 21 - Dec 27'!$B$2:$B$115,0))</f>
        <v>0</v>
      </c>
      <c r="K26" s="15">
        <f t="array" ref="K26">INDEX('Dec 28 - Jan 3'!K$2:K$116,MATCH($B26,'Dec 28 - Jan 3'!$B$2:$B$116,0))-INDEX('Dec 21 - Dec 27'!K$2:K$115,MATCH($B26,'Dec 21 - Dec 27'!$B$2:$B$115,0))</f>
        <v>0</v>
      </c>
    </row>
    <row r="27" spans="2:11" ht="12.75">
      <c r="B27" s="13" t="s">
        <v>17</v>
      </c>
      <c r="C27" s="14" t="str">
        <f t="array" aca="1" ref="C27" ca="1">INDEX('Rooms Master'!U:U,MATCH(B27,'Rooms Master'!D:D,0))</f>
        <v>Y</v>
      </c>
      <c r="D27" s="15">
        <f t="array" ref="D27">INDEX('Dec 28 - Jan 3'!D$2:D$116,MATCH($B27,'Dec 28 - Jan 3'!$B$2:$B$116,0))-INDEX('Dec 21 - Dec 27'!D$2:D$115,MATCH($B27,'Dec 21 - Dec 27'!$B$2:$B$115,0))</f>
        <v>55</v>
      </c>
      <c r="E27" s="15">
        <f t="array" ref="E27">INDEX('Dec 28 - Jan 3'!E$2:E$116,MATCH($B27,'Dec 28 - Jan 3'!$B$2:$B$116,0))-INDEX('Dec 21 - Dec 27'!E$2:E$115,MATCH($B27,'Dec 21 - Dec 27'!$B$2:$B$115,0))</f>
        <v>14</v>
      </c>
      <c r="F27" s="15">
        <f t="array" ref="F27">INDEX('Dec 28 - Jan 3'!F$2:F$116,MATCH($B27,'Dec 28 - Jan 3'!$B$2:$B$116,0))-INDEX('Dec 21 - Dec 27'!F$2:F$115,MATCH($B27,'Dec 21 - Dec 27'!$B$2:$B$115,0))</f>
        <v>1</v>
      </c>
      <c r="G27" s="15">
        <f t="array" ref="G27">INDEX('Dec 28 - Jan 3'!G$2:G$116,MATCH($B27,'Dec 28 - Jan 3'!$B$2:$B$116,0))-INDEX('Dec 21 - Dec 27'!G$2:G$115,MATCH($B27,'Dec 21 - Dec 27'!$B$2:$B$115,0))</f>
        <v>1</v>
      </c>
      <c r="H27" s="15">
        <f t="array" ref="H27">INDEX('Dec 28 - Jan 3'!H$2:H$116,MATCH($B27,'Dec 28 - Jan 3'!$B$2:$B$116,0))-INDEX('Dec 21 - Dec 27'!H$2:H$115,MATCH($B27,'Dec 21 - Dec 27'!$B$2:$B$115,0))</f>
        <v>0</v>
      </c>
      <c r="I27" s="15">
        <f t="array" ref="I27">INDEX('Dec 28 - Jan 3'!I$2:I$116,MATCH($B27,'Dec 28 - Jan 3'!$B$2:$B$116,0))-INDEX('Dec 21 - Dec 27'!I$2:I$115,MATCH($B27,'Dec 21 - Dec 27'!$B$2:$B$115,0))</f>
        <v>-1</v>
      </c>
      <c r="J27" s="15">
        <f t="array" ref="J27">INDEX('Dec 28 - Jan 3'!J$2:J$116,MATCH($B27,'Dec 28 - Jan 3'!$B$2:$B$116,0))-INDEX('Dec 21 - Dec 27'!J$2:J$115,MATCH($B27,'Dec 21 - Dec 27'!$B$2:$B$115,0))</f>
        <v>1</v>
      </c>
      <c r="K27" s="15">
        <f t="array" ref="K27">INDEX('Dec 28 - Jan 3'!K$2:K$116,MATCH($B27,'Dec 28 - Jan 3'!$B$2:$B$116,0))-INDEX('Dec 21 - Dec 27'!K$2:K$115,MATCH($B27,'Dec 21 - Dec 27'!$B$2:$B$115,0))</f>
        <v>1</v>
      </c>
    </row>
    <row r="28" spans="2:11" ht="12.75">
      <c r="B28" s="13" t="s">
        <v>111</v>
      </c>
      <c r="C28" s="14" t="str">
        <f t="array" aca="1" ref="C28" ca="1">INDEX('Rooms Master'!U:U,MATCH(B28,'Rooms Master'!D:D,0))</f>
        <v>N</v>
      </c>
      <c r="D28" s="15">
        <f t="array" ref="D28">INDEX('Dec 28 - Jan 3'!D$2:D$116,MATCH($B28,'Dec 28 - Jan 3'!$B$2:$B$116,0))-INDEX('Dec 21 - Dec 27'!D$2:D$115,MATCH($B28,'Dec 21 - Dec 27'!$B$2:$B$115,0))</f>
        <v>39</v>
      </c>
      <c r="E28" s="15">
        <f t="array" ref="E28">INDEX('Dec 28 - Jan 3'!E$2:E$116,MATCH($B28,'Dec 28 - Jan 3'!$B$2:$B$116,0))-INDEX('Dec 21 - Dec 27'!E$2:E$115,MATCH($B28,'Dec 21 - Dec 27'!$B$2:$B$115,0))</f>
        <v>14</v>
      </c>
      <c r="F28" s="15">
        <f t="array" ref="F28">INDEX('Dec 28 - Jan 3'!F$2:F$116,MATCH($B28,'Dec 28 - Jan 3'!$B$2:$B$116,0))-INDEX('Dec 21 - Dec 27'!F$2:F$115,MATCH($B28,'Dec 21 - Dec 27'!$B$2:$B$115,0))</f>
        <v>3</v>
      </c>
      <c r="G28" s="15">
        <f t="array" ref="G28">INDEX('Dec 28 - Jan 3'!G$2:G$116,MATCH($B28,'Dec 28 - Jan 3'!$B$2:$B$116,0))-INDEX('Dec 21 - Dec 27'!G$2:G$115,MATCH($B28,'Dec 21 - Dec 27'!$B$2:$B$115,0))</f>
        <v>0</v>
      </c>
      <c r="H28" s="15">
        <f t="array" ref="H28">INDEX('Dec 28 - Jan 3'!H$2:H$116,MATCH($B28,'Dec 28 - Jan 3'!$B$2:$B$116,0))-INDEX('Dec 21 - Dec 27'!H$2:H$115,MATCH($B28,'Dec 21 - Dec 27'!$B$2:$B$115,0))</f>
        <v>0</v>
      </c>
      <c r="I28" s="15">
        <f t="array" ref="I28">INDEX('Dec 28 - Jan 3'!I$2:I$116,MATCH($B28,'Dec 28 - Jan 3'!$B$2:$B$116,0))-INDEX('Dec 21 - Dec 27'!I$2:I$115,MATCH($B28,'Dec 21 - Dec 27'!$B$2:$B$115,0))</f>
        <v>0</v>
      </c>
      <c r="J28" s="15">
        <f t="array" ref="J28">INDEX('Dec 28 - Jan 3'!J$2:J$116,MATCH($B28,'Dec 28 - Jan 3'!$B$2:$B$116,0))-INDEX('Dec 21 - Dec 27'!J$2:J$115,MATCH($B28,'Dec 21 - Dec 27'!$B$2:$B$115,0))</f>
        <v>0</v>
      </c>
      <c r="K28" s="15">
        <f t="array" ref="K28">INDEX('Dec 28 - Jan 3'!K$2:K$116,MATCH($B28,'Dec 28 - Jan 3'!$B$2:$B$116,0))-INDEX('Dec 21 - Dec 27'!K$2:K$115,MATCH($B28,'Dec 21 - Dec 27'!$B$2:$B$115,0))</f>
        <v>0</v>
      </c>
    </row>
    <row r="29" spans="2:11" ht="12.75">
      <c r="B29" s="13" t="s">
        <v>55</v>
      </c>
      <c r="C29" s="14" t="str">
        <f t="array" aca="1" ref="C29" ca="1">INDEX('Rooms Master'!U:U,MATCH(B29,'Rooms Master'!D:D,0))</f>
        <v>Y</v>
      </c>
      <c r="D29" s="15">
        <f t="array" ref="D29">INDEX('Dec 28 - Jan 3'!D$2:D$116,MATCH($B29,'Dec 28 - Jan 3'!$B$2:$B$116,0))-INDEX('Dec 21 - Dec 27'!D$2:D$115,MATCH($B29,'Dec 21 - Dec 27'!$B$2:$B$115,0))</f>
        <v>-53</v>
      </c>
      <c r="E29" s="15">
        <f t="array" ref="E29">INDEX('Dec 28 - Jan 3'!E$2:E$116,MATCH($B29,'Dec 28 - Jan 3'!$B$2:$B$116,0))-INDEX('Dec 21 - Dec 27'!E$2:E$115,MATCH($B29,'Dec 21 - Dec 27'!$B$2:$B$115,0))</f>
        <v>13</v>
      </c>
      <c r="F29" s="15">
        <f t="array" ref="F29">INDEX('Dec 28 - Jan 3'!F$2:F$116,MATCH($B29,'Dec 28 - Jan 3'!$B$2:$B$116,0))-INDEX('Dec 21 - Dec 27'!F$2:F$115,MATCH($B29,'Dec 21 - Dec 27'!$B$2:$B$115,0))</f>
        <v>8</v>
      </c>
      <c r="G29" s="15">
        <f t="array" ref="G29">INDEX('Dec 28 - Jan 3'!G$2:G$116,MATCH($B29,'Dec 28 - Jan 3'!$B$2:$B$116,0))-INDEX('Dec 21 - Dec 27'!G$2:G$115,MATCH($B29,'Dec 21 - Dec 27'!$B$2:$B$115,0))</f>
        <v>1</v>
      </c>
      <c r="H29" s="15">
        <f t="array" ref="H29">INDEX('Dec 28 - Jan 3'!H$2:H$116,MATCH($B29,'Dec 28 - Jan 3'!$B$2:$B$116,0))-INDEX('Dec 21 - Dec 27'!H$2:H$115,MATCH($B29,'Dec 21 - Dec 27'!$B$2:$B$115,0))</f>
        <v>-2</v>
      </c>
      <c r="I29" s="15">
        <f t="array" ref="I29">INDEX('Dec 28 - Jan 3'!I$2:I$116,MATCH($B29,'Dec 28 - Jan 3'!$B$2:$B$116,0))-INDEX('Dec 21 - Dec 27'!I$2:I$115,MATCH($B29,'Dec 21 - Dec 27'!$B$2:$B$115,0))</f>
        <v>0</v>
      </c>
      <c r="J29" s="15">
        <f t="array" ref="J29">INDEX('Dec 28 - Jan 3'!J$2:J$116,MATCH($B29,'Dec 28 - Jan 3'!$B$2:$B$116,0))-INDEX('Dec 21 - Dec 27'!J$2:J$115,MATCH($B29,'Dec 21 - Dec 27'!$B$2:$B$115,0))</f>
        <v>0</v>
      </c>
      <c r="K29" s="15">
        <f t="array" ref="K29">INDEX('Dec 28 - Jan 3'!K$2:K$116,MATCH($B29,'Dec 28 - Jan 3'!$B$2:$B$116,0))-INDEX('Dec 21 - Dec 27'!K$2:K$115,MATCH($B29,'Dec 21 - Dec 27'!$B$2:$B$115,0))</f>
        <v>0</v>
      </c>
    </row>
    <row r="30" spans="2:11" ht="12.75">
      <c r="B30" s="13" t="s">
        <v>40</v>
      </c>
      <c r="C30" s="14" t="str">
        <f t="array" aca="1" ref="C30" ca="1">INDEX('Rooms Master'!U:U,MATCH(B30,'Rooms Master'!D:D,0))</f>
        <v>Y</v>
      </c>
      <c r="D30" s="15">
        <f t="array" ref="D30">INDEX('Dec 28 - Jan 3'!D$2:D$116,MATCH($B30,'Dec 28 - Jan 3'!$B$2:$B$116,0))-INDEX('Dec 21 - Dec 27'!D$2:D$115,MATCH($B30,'Dec 21 - Dec 27'!$B$2:$B$115,0))</f>
        <v>-26</v>
      </c>
      <c r="E30" s="15">
        <f t="array" ref="E30">INDEX('Dec 28 - Jan 3'!E$2:E$116,MATCH($B30,'Dec 28 - Jan 3'!$B$2:$B$116,0))-INDEX('Dec 21 - Dec 27'!E$2:E$115,MATCH($B30,'Dec 21 - Dec 27'!$B$2:$B$115,0))</f>
        <v>13</v>
      </c>
      <c r="F30" s="15">
        <f t="array" ref="F30">INDEX('Dec 28 - Jan 3'!F$2:F$116,MATCH($B30,'Dec 28 - Jan 3'!$B$2:$B$116,0))-INDEX('Dec 21 - Dec 27'!F$2:F$115,MATCH($B30,'Dec 21 - Dec 27'!$B$2:$B$115,0))</f>
        <v>3</v>
      </c>
      <c r="G30" s="15">
        <f t="array" ref="G30">INDEX('Dec 28 - Jan 3'!G$2:G$116,MATCH($B30,'Dec 28 - Jan 3'!$B$2:$B$116,0))-INDEX('Dec 21 - Dec 27'!G$2:G$115,MATCH($B30,'Dec 21 - Dec 27'!$B$2:$B$115,0))</f>
        <v>1</v>
      </c>
      <c r="H30" s="15">
        <f t="array" ref="H30">INDEX('Dec 28 - Jan 3'!H$2:H$116,MATCH($B30,'Dec 28 - Jan 3'!$B$2:$B$116,0))-INDEX('Dec 21 - Dec 27'!H$2:H$115,MATCH($B30,'Dec 21 - Dec 27'!$B$2:$B$115,0))</f>
        <v>0</v>
      </c>
      <c r="I30" s="15">
        <f t="array" ref="I30">INDEX('Dec 28 - Jan 3'!I$2:I$116,MATCH($B30,'Dec 28 - Jan 3'!$B$2:$B$116,0))-INDEX('Dec 21 - Dec 27'!I$2:I$115,MATCH($B30,'Dec 21 - Dec 27'!$B$2:$B$115,0))</f>
        <v>0</v>
      </c>
      <c r="J30" s="15">
        <f t="array" ref="J30">INDEX('Dec 28 - Jan 3'!J$2:J$116,MATCH($B30,'Dec 28 - Jan 3'!$B$2:$B$116,0))-INDEX('Dec 21 - Dec 27'!J$2:J$115,MATCH($B30,'Dec 21 - Dec 27'!$B$2:$B$115,0))</f>
        <v>0</v>
      </c>
      <c r="K30" s="15">
        <f t="array" ref="K30">INDEX('Dec 28 - Jan 3'!K$2:K$116,MATCH($B30,'Dec 28 - Jan 3'!$B$2:$B$116,0))-INDEX('Dec 21 - Dec 27'!K$2:K$115,MATCH($B30,'Dec 21 - Dec 27'!$B$2:$B$115,0))</f>
        <v>0</v>
      </c>
    </row>
    <row r="31" spans="2:11" ht="12.75">
      <c r="B31" s="13" t="s">
        <v>94</v>
      </c>
      <c r="C31" s="14" t="str">
        <f t="array" aca="1" ref="C31" ca="1">INDEX('Rooms Master'!U:U,MATCH(B31,'Rooms Master'!D:D,0))</f>
        <v>Y</v>
      </c>
      <c r="D31" s="15">
        <f t="array" ref="D31">INDEX('Dec 28 - Jan 3'!D$2:D$116,MATCH($B31,'Dec 28 - Jan 3'!$B$2:$B$116,0))-INDEX('Dec 21 - Dec 27'!D$2:D$115,MATCH($B31,'Dec 21 - Dec 27'!$B$2:$B$115,0))</f>
        <v>-22</v>
      </c>
      <c r="E31" s="15">
        <f t="array" ref="E31">INDEX('Dec 28 - Jan 3'!E$2:E$116,MATCH($B31,'Dec 28 - Jan 3'!$B$2:$B$116,0))-INDEX('Dec 21 - Dec 27'!E$2:E$115,MATCH($B31,'Dec 21 - Dec 27'!$B$2:$B$115,0))</f>
        <v>12</v>
      </c>
      <c r="F31" s="15">
        <f t="array" ref="F31">INDEX('Dec 28 - Jan 3'!F$2:F$116,MATCH($B31,'Dec 28 - Jan 3'!$B$2:$B$116,0))-INDEX('Dec 21 - Dec 27'!F$2:F$115,MATCH($B31,'Dec 21 - Dec 27'!$B$2:$B$115,0))</f>
        <v>1</v>
      </c>
      <c r="G31" s="15">
        <f t="array" ref="G31">INDEX('Dec 28 - Jan 3'!G$2:G$116,MATCH($B31,'Dec 28 - Jan 3'!$B$2:$B$116,0))-INDEX('Dec 21 - Dec 27'!G$2:G$115,MATCH($B31,'Dec 21 - Dec 27'!$B$2:$B$115,0))</f>
        <v>4</v>
      </c>
      <c r="H31" s="15">
        <f t="array" ref="H31">INDEX('Dec 28 - Jan 3'!H$2:H$116,MATCH($B31,'Dec 28 - Jan 3'!$B$2:$B$116,0))-INDEX('Dec 21 - Dec 27'!H$2:H$115,MATCH($B31,'Dec 21 - Dec 27'!$B$2:$B$115,0))</f>
        <v>1</v>
      </c>
      <c r="I31" s="15">
        <f t="array" ref="I31">INDEX('Dec 28 - Jan 3'!I$2:I$116,MATCH($B31,'Dec 28 - Jan 3'!$B$2:$B$116,0))-INDEX('Dec 21 - Dec 27'!I$2:I$115,MATCH($B31,'Dec 21 - Dec 27'!$B$2:$B$115,0))</f>
        <v>0</v>
      </c>
      <c r="J31" s="15">
        <f t="array" ref="J31">INDEX('Dec 28 - Jan 3'!J$2:J$116,MATCH($B31,'Dec 28 - Jan 3'!$B$2:$B$116,0))-INDEX('Dec 21 - Dec 27'!J$2:J$115,MATCH($B31,'Dec 21 - Dec 27'!$B$2:$B$115,0))</f>
        <v>0</v>
      </c>
      <c r="K31" s="15">
        <f t="array" ref="K31">INDEX('Dec 28 - Jan 3'!K$2:K$116,MATCH($B31,'Dec 28 - Jan 3'!$B$2:$B$116,0))-INDEX('Dec 21 - Dec 27'!K$2:K$115,MATCH($B31,'Dec 21 - Dec 27'!$B$2:$B$115,0))</f>
        <v>0</v>
      </c>
    </row>
    <row r="32" spans="2:11" ht="12.75">
      <c r="B32" s="13" t="s">
        <v>51</v>
      </c>
      <c r="C32" s="14" t="str">
        <f t="array" aca="1" ref="C32" ca="1">INDEX('Rooms Master'!U:U,MATCH(B32,'Rooms Master'!D:D,0))</f>
        <v>Y</v>
      </c>
      <c r="D32" s="15">
        <f t="array" ref="D32">INDEX('Dec 28 - Jan 3'!D$2:D$116,MATCH($B32,'Dec 28 - Jan 3'!$B$2:$B$116,0))-INDEX('Dec 21 - Dec 27'!D$2:D$115,MATCH($B32,'Dec 21 - Dec 27'!$B$2:$B$115,0))</f>
        <v>-21</v>
      </c>
      <c r="E32" s="15">
        <f t="array" ref="E32">INDEX('Dec 28 - Jan 3'!E$2:E$116,MATCH($B32,'Dec 28 - Jan 3'!$B$2:$B$116,0))-INDEX('Dec 21 - Dec 27'!E$2:E$115,MATCH($B32,'Dec 21 - Dec 27'!$B$2:$B$115,0))</f>
        <v>11</v>
      </c>
      <c r="F32" s="15">
        <f t="array" ref="F32">INDEX('Dec 28 - Jan 3'!F$2:F$116,MATCH($B32,'Dec 28 - Jan 3'!$B$2:$B$116,0))-INDEX('Dec 21 - Dec 27'!F$2:F$115,MATCH($B32,'Dec 21 - Dec 27'!$B$2:$B$115,0))</f>
        <v>3</v>
      </c>
      <c r="G32" s="15">
        <f t="array" ref="G32">INDEX('Dec 28 - Jan 3'!G$2:G$116,MATCH($B32,'Dec 28 - Jan 3'!$B$2:$B$116,0))-INDEX('Dec 21 - Dec 27'!G$2:G$115,MATCH($B32,'Dec 21 - Dec 27'!$B$2:$B$115,0))</f>
        <v>1</v>
      </c>
      <c r="H32" s="15">
        <f t="array" ref="H32">INDEX('Dec 28 - Jan 3'!H$2:H$116,MATCH($B32,'Dec 28 - Jan 3'!$B$2:$B$116,0))-INDEX('Dec 21 - Dec 27'!H$2:H$115,MATCH($B32,'Dec 21 - Dec 27'!$B$2:$B$115,0))</f>
        <v>1</v>
      </c>
      <c r="I32" s="15">
        <f t="array" ref="I32">INDEX('Dec 28 - Jan 3'!I$2:I$116,MATCH($B32,'Dec 28 - Jan 3'!$B$2:$B$116,0))-INDEX('Dec 21 - Dec 27'!I$2:I$115,MATCH($B32,'Dec 21 - Dec 27'!$B$2:$B$115,0))</f>
        <v>0</v>
      </c>
      <c r="J32" s="15">
        <f t="array" ref="J32">INDEX('Dec 28 - Jan 3'!J$2:J$116,MATCH($B32,'Dec 28 - Jan 3'!$B$2:$B$116,0))-INDEX('Dec 21 - Dec 27'!J$2:J$115,MATCH($B32,'Dec 21 - Dec 27'!$B$2:$B$115,0))</f>
        <v>0</v>
      </c>
      <c r="K32" s="15">
        <f t="array" ref="K32">INDEX('Dec 28 - Jan 3'!K$2:K$116,MATCH($B32,'Dec 28 - Jan 3'!$B$2:$B$116,0))-INDEX('Dec 21 - Dec 27'!K$2:K$115,MATCH($B32,'Dec 21 - Dec 27'!$B$2:$B$115,0))</f>
        <v>0</v>
      </c>
    </row>
    <row r="33" spans="2:11" ht="12.75">
      <c r="B33" s="13" t="s">
        <v>66</v>
      </c>
      <c r="C33" s="14" t="str">
        <f t="array" aca="1" ref="C33" ca="1">INDEX('Rooms Master'!U:U,MATCH(B33,'Rooms Master'!D:D,0))</f>
        <v>Y</v>
      </c>
      <c r="D33" s="15">
        <f t="array" ref="D33">INDEX('Dec 28 - Jan 3'!D$2:D$116,MATCH($B33,'Dec 28 - Jan 3'!$B$2:$B$116,0))-INDEX('Dec 21 - Dec 27'!D$2:D$115,MATCH($B33,'Dec 21 - Dec 27'!$B$2:$B$115,0))</f>
        <v>60</v>
      </c>
      <c r="E33" s="15">
        <f t="array" ref="E33">INDEX('Dec 28 - Jan 3'!E$2:E$116,MATCH($B33,'Dec 28 - Jan 3'!$B$2:$B$116,0))-INDEX('Dec 21 - Dec 27'!E$2:E$115,MATCH($B33,'Dec 21 - Dec 27'!$B$2:$B$115,0))</f>
        <v>11</v>
      </c>
      <c r="F33" s="15">
        <f t="array" ref="F33">INDEX('Dec 28 - Jan 3'!F$2:F$116,MATCH($B33,'Dec 28 - Jan 3'!$B$2:$B$116,0))-INDEX('Dec 21 - Dec 27'!F$2:F$115,MATCH($B33,'Dec 21 - Dec 27'!$B$2:$B$115,0))</f>
        <v>-3</v>
      </c>
      <c r="G33" s="15">
        <f t="array" ref="G33">INDEX('Dec 28 - Jan 3'!G$2:G$116,MATCH($B33,'Dec 28 - Jan 3'!$B$2:$B$116,0))-INDEX('Dec 21 - Dec 27'!G$2:G$115,MATCH($B33,'Dec 21 - Dec 27'!$B$2:$B$115,0))</f>
        <v>1</v>
      </c>
      <c r="H33" s="15">
        <f t="array" ref="H33">INDEX('Dec 28 - Jan 3'!H$2:H$116,MATCH($B33,'Dec 28 - Jan 3'!$B$2:$B$116,0))-INDEX('Dec 21 - Dec 27'!H$2:H$115,MATCH($B33,'Dec 21 - Dec 27'!$B$2:$B$115,0))</f>
        <v>0</v>
      </c>
      <c r="I33" s="15">
        <f t="array" ref="I33">INDEX('Dec 28 - Jan 3'!I$2:I$116,MATCH($B33,'Dec 28 - Jan 3'!$B$2:$B$116,0))-INDEX('Dec 21 - Dec 27'!I$2:I$115,MATCH($B33,'Dec 21 - Dec 27'!$B$2:$B$115,0))</f>
        <v>0</v>
      </c>
      <c r="J33" s="15">
        <f t="array" ref="J33">INDEX('Dec 28 - Jan 3'!J$2:J$116,MATCH($B33,'Dec 28 - Jan 3'!$B$2:$B$116,0))-INDEX('Dec 21 - Dec 27'!J$2:J$115,MATCH($B33,'Dec 21 - Dec 27'!$B$2:$B$115,0))</f>
        <v>0</v>
      </c>
      <c r="K33" s="15">
        <f t="array" ref="K33">INDEX('Dec 28 - Jan 3'!K$2:K$116,MATCH($B33,'Dec 28 - Jan 3'!$B$2:$B$116,0))-INDEX('Dec 21 - Dec 27'!K$2:K$115,MATCH($B33,'Dec 21 - Dec 27'!$B$2:$B$115,0))</f>
        <v>0</v>
      </c>
    </row>
    <row r="34" spans="2:11" ht="12.75">
      <c r="B34" s="13" t="s">
        <v>65</v>
      </c>
      <c r="C34" s="14" t="str">
        <f t="array" aca="1" ref="C34" ca="1">INDEX('Rooms Master'!U:U,MATCH(B34,'Rooms Master'!D:D,0))</f>
        <v>Y</v>
      </c>
      <c r="D34" s="15">
        <f t="array" ref="D34">INDEX('Dec 28 - Jan 3'!D$2:D$116,MATCH($B34,'Dec 28 - Jan 3'!$B$2:$B$116,0))-INDEX('Dec 21 - Dec 27'!D$2:D$115,MATCH($B34,'Dec 21 - Dec 27'!$B$2:$B$115,0))</f>
        <v>11</v>
      </c>
      <c r="E34" s="15">
        <f t="array" ref="E34">INDEX('Dec 28 - Jan 3'!E$2:E$116,MATCH($B34,'Dec 28 - Jan 3'!$B$2:$B$116,0))-INDEX('Dec 21 - Dec 27'!E$2:E$115,MATCH($B34,'Dec 21 - Dec 27'!$B$2:$B$115,0))</f>
        <v>11</v>
      </c>
      <c r="F34" s="15">
        <f t="array" ref="F34">INDEX('Dec 28 - Jan 3'!F$2:F$116,MATCH($B34,'Dec 28 - Jan 3'!$B$2:$B$116,0))-INDEX('Dec 21 - Dec 27'!F$2:F$115,MATCH($B34,'Dec 21 - Dec 27'!$B$2:$B$115,0))</f>
        <v>9</v>
      </c>
      <c r="G34" s="15">
        <f t="array" ref="G34">INDEX('Dec 28 - Jan 3'!G$2:G$116,MATCH($B34,'Dec 28 - Jan 3'!$B$2:$B$116,0))-INDEX('Dec 21 - Dec 27'!G$2:G$115,MATCH($B34,'Dec 21 - Dec 27'!$B$2:$B$115,0))</f>
        <v>4</v>
      </c>
      <c r="H34" s="15">
        <f t="array" ref="H34">INDEX('Dec 28 - Jan 3'!H$2:H$116,MATCH($B34,'Dec 28 - Jan 3'!$B$2:$B$116,0))-INDEX('Dec 21 - Dec 27'!H$2:H$115,MATCH($B34,'Dec 21 - Dec 27'!$B$2:$B$115,0))</f>
        <v>1</v>
      </c>
      <c r="I34" s="15">
        <f t="array" ref="I34">INDEX('Dec 28 - Jan 3'!I$2:I$116,MATCH($B34,'Dec 28 - Jan 3'!$B$2:$B$116,0))-INDEX('Dec 21 - Dec 27'!I$2:I$115,MATCH($B34,'Dec 21 - Dec 27'!$B$2:$B$115,0))</f>
        <v>0</v>
      </c>
      <c r="J34" s="15">
        <f t="array" ref="J34">INDEX('Dec 28 - Jan 3'!J$2:J$116,MATCH($B34,'Dec 28 - Jan 3'!$B$2:$B$116,0))-INDEX('Dec 21 - Dec 27'!J$2:J$115,MATCH($B34,'Dec 21 - Dec 27'!$B$2:$B$115,0))</f>
        <v>0</v>
      </c>
      <c r="K34" s="15">
        <f t="array" ref="K34">INDEX('Dec 28 - Jan 3'!K$2:K$116,MATCH($B34,'Dec 28 - Jan 3'!$B$2:$B$116,0))-INDEX('Dec 21 - Dec 27'!K$2:K$115,MATCH($B34,'Dec 21 - Dec 27'!$B$2:$B$115,0))</f>
        <v>0</v>
      </c>
    </row>
    <row r="35" spans="2:11" ht="12.75">
      <c r="B35" s="13" t="s">
        <v>81</v>
      </c>
      <c r="C35" s="14" t="str">
        <f t="array" aca="1" ref="C35" ca="1">INDEX('Rooms Master'!U:U,MATCH(B35,'Rooms Master'!D:D,0))</f>
        <v>Y</v>
      </c>
      <c r="D35" s="15">
        <f t="array" ref="D35">INDEX('Dec 28 - Jan 3'!D$2:D$116,MATCH($B35,'Dec 28 - Jan 3'!$B$2:$B$116,0))-INDEX('Dec 21 - Dec 27'!D$2:D$115,MATCH($B35,'Dec 21 - Dec 27'!$B$2:$B$115,0))</f>
        <v>-25</v>
      </c>
      <c r="E35" s="15">
        <f t="array" ref="E35">INDEX('Dec 28 - Jan 3'!E$2:E$116,MATCH($B35,'Dec 28 - Jan 3'!$B$2:$B$116,0))-INDEX('Dec 21 - Dec 27'!E$2:E$115,MATCH($B35,'Dec 21 - Dec 27'!$B$2:$B$115,0))</f>
        <v>10</v>
      </c>
      <c r="F35" s="15">
        <f t="array" ref="F35">INDEX('Dec 28 - Jan 3'!F$2:F$116,MATCH($B35,'Dec 28 - Jan 3'!$B$2:$B$116,0))-INDEX('Dec 21 - Dec 27'!F$2:F$115,MATCH($B35,'Dec 21 - Dec 27'!$B$2:$B$115,0))</f>
        <v>1</v>
      </c>
      <c r="G35" s="15">
        <f t="array" ref="G35">INDEX('Dec 28 - Jan 3'!G$2:G$116,MATCH($B35,'Dec 28 - Jan 3'!$B$2:$B$116,0))-INDEX('Dec 21 - Dec 27'!G$2:G$115,MATCH($B35,'Dec 21 - Dec 27'!$B$2:$B$115,0))</f>
        <v>1</v>
      </c>
      <c r="H35" s="15">
        <f t="array" ref="H35">INDEX('Dec 28 - Jan 3'!H$2:H$116,MATCH($B35,'Dec 28 - Jan 3'!$B$2:$B$116,0))-INDEX('Dec 21 - Dec 27'!H$2:H$115,MATCH($B35,'Dec 21 - Dec 27'!$B$2:$B$115,0))</f>
        <v>-2</v>
      </c>
      <c r="I35" s="15">
        <f t="array" ref="I35">INDEX('Dec 28 - Jan 3'!I$2:I$116,MATCH($B35,'Dec 28 - Jan 3'!$B$2:$B$116,0))-INDEX('Dec 21 - Dec 27'!I$2:I$115,MATCH($B35,'Dec 21 - Dec 27'!$B$2:$B$115,0))</f>
        <v>1</v>
      </c>
      <c r="J35" s="15">
        <f t="array" ref="J35">INDEX('Dec 28 - Jan 3'!J$2:J$116,MATCH($B35,'Dec 28 - Jan 3'!$B$2:$B$116,0))-INDEX('Dec 21 - Dec 27'!J$2:J$115,MATCH($B35,'Dec 21 - Dec 27'!$B$2:$B$115,0))</f>
        <v>0</v>
      </c>
      <c r="K35" s="15">
        <f t="array" ref="K35">INDEX('Dec 28 - Jan 3'!K$2:K$116,MATCH($B35,'Dec 28 - Jan 3'!$B$2:$B$116,0))-INDEX('Dec 21 - Dec 27'!K$2:K$115,MATCH($B35,'Dec 21 - Dec 27'!$B$2:$B$115,0))</f>
        <v>0</v>
      </c>
    </row>
    <row r="36" spans="2:11" ht="12.75">
      <c r="B36" s="13" t="s">
        <v>71</v>
      </c>
      <c r="C36" s="14" t="str">
        <f t="array" aca="1" ref="C36" ca="1">INDEX('Rooms Master'!U:U,MATCH(B36,'Rooms Master'!D:D,0))</f>
        <v>Y</v>
      </c>
      <c r="D36" s="15">
        <f t="array" ref="D36">INDEX('Dec 28 - Jan 3'!D$2:D$116,MATCH($B36,'Dec 28 - Jan 3'!$B$2:$B$116,0))-INDEX('Dec 21 - Dec 27'!D$2:D$115,MATCH($B36,'Dec 21 - Dec 27'!$B$2:$B$115,0))</f>
        <v>40</v>
      </c>
      <c r="E36" s="15">
        <f t="array" ref="E36">INDEX('Dec 28 - Jan 3'!E$2:E$116,MATCH($B36,'Dec 28 - Jan 3'!$B$2:$B$116,0))-INDEX('Dec 21 - Dec 27'!E$2:E$115,MATCH($B36,'Dec 21 - Dec 27'!$B$2:$B$115,0))</f>
        <v>10</v>
      </c>
      <c r="F36" s="15">
        <f t="array" ref="F36">INDEX('Dec 28 - Jan 3'!F$2:F$116,MATCH($B36,'Dec 28 - Jan 3'!$B$2:$B$116,0))-INDEX('Dec 21 - Dec 27'!F$2:F$115,MATCH($B36,'Dec 21 - Dec 27'!$B$2:$B$115,0))</f>
        <v>-2</v>
      </c>
      <c r="G36" s="15">
        <f t="array" ref="G36">INDEX('Dec 28 - Jan 3'!G$2:G$116,MATCH($B36,'Dec 28 - Jan 3'!$B$2:$B$116,0))-INDEX('Dec 21 - Dec 27'!G$2:G$115,MATCH($B36,'Dec 21 - Dec 27'!$B$2:$B$115,0))</f>
        <v>1</v>
      </c>
      <c r="H36" s="15">
        <f t="array" ref="H36">INDEX('Dec 28 - Jan 3'!H$2:H$116,MATCH($B36,'Dec 28 - Jan 3'!$B$2:$B$116,0))-INDEX('Dec 21 - Dec 27'!H$2:H$115,MATCH($B36,'Dec 21 - Dec 27'!$B$2:$B$115,0))</f>
        <v>1</v>
      </c>
      <c r="I36" s="15">
        <f t="array" ref="I36">INDEX('Dec 28 - Jan 3'!I$2:I$116,MATCH($B36,'Dec 28 - Jan 3'!$B$2:$B$116,0))-INDEX('Dec 21 - Dec 27'!I$2:I$115,MATCH($B36,'Dec 21 - Dec 27'!$B$2:$B$115,0))</f>
        <v>-2</v>
      </c>
      <c r="J36" s="15">
        <f t="array" ref="J36">INDEX('Dec 28 - Jan 3'!J$2:J$116,MATCH($B36,'Dec 28 - Jan 3'!$B$2:$B$116,0))-INDEX('Dec 21 - Dec 27'!J$2:J$115,MATCH($B36,'Dec 21 - Dec 27'!$B$2:$B$115,0))</f>
        <v>0</v>
      </c>
      <c r="K36" s="15">
        <f t="array" ref="K36">INDEX('Dec 28 - Jan 3'!K$2:K$116,MATCH($B36,'Dec 28 - Jan 3'!$B$2:$B$116,0))-INDEX('Dec 21 - Dec 27'!K$2:K$115,MATCH($B36,'Dec 21 - Dec 27'!$B$2:$B$115,0))</f>
        <v>0</v>
      </c>
    </row>
    <row r="37" spans="2:11" ht="12.75">
      <c r="B37" s="13" t="s">
        <v>46</v>
      </c>
      <c r="C37" s="14" t="str">
        <f t="array" aca="1" ref="C37" ca="1">INDEX('Rooms Master'!U:U,MATCH(B37,'Rooms Master'!D:D,0))</f>
        <v>Y</v>
      </c>
      <c r="D37" s="15">
        <f t="array" ref="D37">INDEX('Dec 28 - Jan 3'!D$2:D$116,MATCH($B37,'Dec 28 - Jan 3'!$B$2:$B$116,0))-INDEX('Dec 21 - Dec 27'!D$2:D$115,MATCH($B37,'Dec 21 - Dec 27'!$B$2:$B$115,0))</f>
        <v>-19</v>
      </c>
      <c r="E37" s="15">
        <f t="array" ref="E37">INDEX('Dec 28 - Jan 3'!E$2:E$116,MATCH($B37,'Dec 28 - Jan 3'!$B$2:$B$116,0))-INDEX('Dec 21 - Dec 27'!E$2:E$115,MATCH($B37,'Dec 21 - Dec 27'!$B$2:$B$115,0))</f>
        <v>9</v>
      </c>
      <c r="F37" s="15">
        <f t="array" ref="F37">INDEX('Dec 28 - Jan 3'!F$2:F$116,MATCH($B37,'Dec 28 - Jan 3'!$B$2:$B$116,0))-INDEX('Dec 21 - Dec 27'!F$2:F$115,MATCH($B37,'Dec 21 - Dec 27'!$B$2:$B$115,0))</f>
        <v>-3</v>
      </c>
      <c r="G37" s="15">
        <f t="array" ref="G37">INDEX('Dec 28 - Jan 3'!G$2:G$116,MATCH($B37,'Dec 28 - Jan 3'!$B$2:$B$116,0))-INDEX('Dec 21 - Dec 27'!G$2:G$115,MATCH($B37,'Dec 21 - Dec 27'!$B$2:$B$115,0))</f>
        <v>1</v>
      </c>
      <c r="H37" s="15">
        <f t="array" ref="H37">INDEX('Dec 28 - Jan 3'!H$2:H$116,MATCH($B37,'Dec 28 - Jan 3'!$B$2:$B$116,0))-INDEX('Dec 21 - Dec 27'!H$2:H$115,MATCH($B37,'Dec 21 - Dec 27'!$B$2:$B$115,0))</f>
        <v>-2</v>
      </c>
      <c r="I37" s="15">
        <f t="array" ref="I37">INDEX('Dec 28 - Jan 3'!I$2:I$116,MATCH($B37,'Dec 28 - Jan 3'!$B$2:$B$116,0))-INDEX('Dec 21 - Dec 27'!I$2:I$115,MATCH($B37,'Dec 21 - Dec 27'!$B$2:$B$115,0))</f>
        <v>0</v>
      </c>
      <c r="J37" s="15">
        <f t="array" ref="J37">INDEX('Dec 28 - Jan 3'!J$2:J$116,MATCH($B37,'Dec 28 - Jan 3'!$B$2:$B$116,0))-INDEX('Dec 21 - Dec 27'!J$2:J$115,MATCH($B37,'Dec 21 - Dec 27'!$B$2:$B$115,0))</f>
        <v>0</v>
      </c>
      <c r="K37" s="15">
        <f t="array" ref="K37">INDEX('Dec 28 - Jan 3'!K$2:K$116,MATCH($B37,'Dec 28 - Jan 3'!$B$2:$B$116,0))-INDEX('Dec 21 - Dec 27'!K$2:K$115,MATCH($B37,'Dec 21 - Dec 27'!$B$2:$B$115,0))</f>
        <v>0</v>
      </c>
    </row>
    <row r="38" spans="2:11" ht="12.75">
      <c r="B38" s="13" t="s">
        <v>56</v>
      </c>
      <c r="C38" s="14" t="str">
        <f t="array" aca="1" ref="C38" ca="1">INDEX('Rooms Master'!U:U,MATCH(B38,'Rooms Master'!D:D,0))</f>
        <v>Y</v>
      </c>
      <c r="D38" s="15">
        <f t="array" ref="D38">INDEX('Dec 28 - Jan 3'!D$2:D$116,MATCH($B38,'Dec 28 - Jan 3'!$B$2:$B$116,0))-INDEX('Dec 21 - Dec 27'!D$2:D$115,MATCH($B38,'Dec 21 - Dec 27'!$B$2:$B$115,0))</f>
        <v>-2</v>
      </c>
      <c r="E38" s="15">
        <f t="array" ref="E38">INDEX('Dec 28 - Jan 3'!E$2:E$116,MATCH($B38,'Dec 28 - Jan 3'!$B$2:$B$116,0))-INDEX('Dec 21 - Dec 27'!E$2:E$115,MATCH($B38,'Dec 21 - Dec 27'!$B$2:$B$115,0))</f>
        <v>8</v>
      </c>
      <c r="F38" s="15">
        <f t="array" ref="F38">INDEX('Dec 28 - Jan 3'!F$2:F$116,MATCH($B38,'Dec 28 - Jan 3'!$B$2:$B$116,0))-INDEX('Dec 21 - Dec 27'!F$2:F$115,MATCH($B38,'Dec 21 - Dec 27'!$B$2:$B$115,0))</f>
        <v>-2</v>
      </c>
      <c r="G38" s="15">
        <f t="array" ref="G38">INDEX('Dec 28 - Jan 3'!G$2:G$116,MATCH($B38,'Dec 28 - Jan 3'!$B$2:$B$116,0))-INDEX('Dec 21 - Dec 27'!G$2:G$115,MATCH($B38,'Dec 21 - Dec 27'!$B$2:$B$115,0))</f>
        <v>0</v>
      </c>
      <c r="H38" s="15">
        <f t="array" ref="H38">INDEX('Dec 28 - Jan 3'!H$2:H$116,MATCH($B38,'Dec 28 - Jan 3'!$B$2:$B$116,0))-INDEX('Dec 21 - Dec 27'!H$2:H$115,MATCH($B38,'Dec 21 - Dec 27'!$B$2:$B$115,0))</f>
        <v>0</v>
      </c>
      <c r="I38" s="15">
        <f t="array" ref="I38">INDEX('Dec 28 - Jan 3'!I$2:I$116,MATCH($B38,'Dec 28 - Jan 3'!$B$2:$B$116,0))-INDEX('Dec 21 - Dec 27'!I$2:I$115,MATCH($B38,'Dec 21 - Dec 27'!$B$2:$B$115,0))</f>
        <v>0</v>
      </c>
      <c r="J38" s="15">
        <f t="array" ref="J38">INDEX('Dec 28 - Jan 3'!J$2:J$116,MATCH($B38,'Dec 28 - Jan 3'!$B$2:$B$116,0))-INDEX('Dec 21 - Dec 27'!J$2:J$115,MATCH($B38,'Dec 21 - Dec 27'!$B$2:$B$115,0))</f>
        <v>0</v>
      </c>
      <c r="K38" s="15">
        <f t="array" ref="K38">INDEX('Dec 28 - Jan 3'!K$2:K$116,MATCH($B38,'Dec 28 - Jan 3'!$B$2:$B$116,0))-INDEX('Dec 21 - Dec 27'!K$2:K$115,MATCH($B38,'Dec 21 - Dec 27'!$B$2:$B$115,0))</f>
        <v>0</v>
      </c>
    </row>
    <row r="39" spans="2:11" ht="12.75">
      <c r="B39" s="13" t="s">
        <v>42</v>
      </c>
      <c r="C39" s="14" t="str">
        <f t="array" aca="1" ref="C39" ca="1">INDEX('Rooms Master'!U:U,MATCH(B39,'Rooms Master'!D:D,0))</f>
        <v>Y</v>
      </c>
      <c r="D39" s="15">
        <f t="array" ref="D39">INDEX('Dec 28 - Jan 3'!D$2:D$116,MATCH($B39,'Dec 28 - Jan 3'!$B$2:$B$116,0))-INDEX('Dec 21 - Dec 27'!D$2:D$115,MATCH($B39,'Dec 21 - Dec 27'!$B$2:$B$115,0))</f>
        <v>39</v>
      </c>
      <c r="E39" s="15">
        <f t="array" ref="E39">INDEX('Dec 28 - Jan 3'!E$2:E$116,MATCH($B39,'Dec 28 - Jan 3'!$B$2:$B$116,0))-INDEX('Dec 21 - Dec 27'!E$2:E$115,MATCH($B39,'Dec 21 - Dec 27'!$B$2:$B$115,0))</f>
        <v>7</v>
      </c>
      <c r="F39" s="15">
        <f t="array" ref="F39">INDEX('Dec 28 - Jan 3'!F$2:F$116,MATCH($B39,'Dec 28 - Jan 3'!$B$2:$B$116,0))-INDEX('Dec 21 - Dec 27'!F$2:F$115,MATCH($B39,'Dec 21 - Dec 27'!$B$2:$B$115,0))</f>
        <v>-10</v>
      </c>
      <c r="G39" s="15">
        <f t="array" ref="G39">INDEX('Dec 28 - Jan 3'!G$2:G$116,MATCH($B39,'Dec 28 - Jan 3'!$B$2:$B$116,0))-INDEX('Dec 21 - Dec 27'!G$2:G$115,MATCH($B39,'Dec 21 - Dec 27'!$B$2:$B$115,0))</f>
        <v>0</v>
      </c>
      <c r="H39" s="15">
        <f t="array" ref="H39">INDEX('Dec 28 - Jan 3'!H$2:H$116,MATCH($B39,'Dec 28 - Jan 3'!$B$2:$B$116,0))-INDEX('Dec 21 - Dec 27'!H$2:H$115,MATCH($B39,'Dec 21 - Dec 27'!$B$2:$B$115,0))</f>
        <v>-1</v>
      </c>
      <c r="I39" s="15">
        <f t="array" ref="I39">INDEX('Dec 28 - Jan 3'!I$2:I$116,MATCH($B39,'Dec 28 - Jan 3'!$B$2:$B$116,0))-INDEX('Dec 21 - Dec 27'!I$2:I$115,MATCH($B39,'Dec 21 - Dec 27'!$B$2:$B$115,0))</f>
        <v>0</v>
      </c>
      <c r="J39" s="15">
        <f t="array" ref="J39">INDEX('Dec 28 - Jan 3'!J$2:J$116,MATCH($B39,'Dec 28 - Jan 3'!$B$2:$B$116,0))-INDEX('Dec 21 - Dec 27'!J$2:J$115,MATCH($B39,'Dec 21 - Dec 27'!$B$2:$B$115,0))</f>
        <v>-1</v>
      </c>
      <c r="K39" s="15">
        <f t="array" ref="K39">INDEX('Dec 28 - Jan 3'!K$2:K$116,MATCH($B39,'Dec 28 - Jan 3'!$B$2:$B$116,0))-INDEX('Dec 21 - Dec 27'!K$2:K$115,MATCH($B39,'Dec 21 - Dec 27'!$B$2:$B$115,0))</f>
        <v>-1</v>
      </c>
    </row>
    <row r="40" spans="2:11" ht="12.75">
      <c r="B40" s="13" t="s">
        <v>78</v>
      </c>
      <c r="C40" s="14" t="str">
        <f t="array" aca="1" ref="C40" ca="1">INDEX('Rooms Master'!U:U,MATCH(B40,'Rooms Master'!D:D,0))</f>
        <v>Y</v>
      </c>
      <c r="D40" s="15">
        <f t="array" ref="D40">INDEX('Dec 28 - Jan 3'!D$2:D$116,MATCH($B40,'Dec 28 - Jan 3'!$B$2:$B$116,0))-INDEX('Dec 21 - Dec 27'!D$2:D$115,MATCH($B40,'Dec 21 - Dec 27'!$B$2:$B$115,0))</f>
        <v>-24</v>
      </c>
      <c r="E40" s="15">
        <f t="array" ref="E40">INDEX('Dec 28 - Jan 3'!E$2:E$116,MATCH($B40,'Dec 28 - Jan 3'!$B$2:$B$116,0))-INDEX('Dec 21 - Dec 27'!E$2:E$115,MATCH($B40,'Dec 21 - Dec 27'!$B$2:$B$115,0))</f>
        <v>7</v>
      </c>
      <c r="F40" s="15">
        <f t="array" ref="F40">INDEX('Dec 28 - Jan 3'!F$2:F$116,MATCH($B40,'Dec 28 - Jan 3'!$B$2:$B$116,0))-INDEX('Dec 21 - Dec 27'!F$2:F$115,MATCH($B40,'Dec 21 - Dec 27'!$B$2:$B$115,0))</f>
        <v>-2</v>
      </c>
      <c r="G40" s="15">
        <f t="array" ref="G40">INDEX('Dec 28 - Jan 3'!G$2:G$116,MATCH($B40,'Dec 28 - Jan 3'!$B$2:$B$116,0))-INDEX('Dec 21 - Dec 27'!G$2:G$115,MATCH($B40,'Dec 21 - Dec 27'!$B$2:$B$115,0))</f>
        <v>2</v>
      </c>
      <c r="H40" s="15">
        <f t="array" ref="H40">INDEX('Dec 28 - Jan 3'!H$2:H$116,MATCH($B40,'Dec 28 - Jan 3'!$B$2:$B$116,0))-INDEX('Dec 21 - Dec 27'!H$2:H$115,MATCH($B40,'Dec 21 - Dec 27'!$B$2:$B$115,0))</f>
        <v>-2</v>
      </c>
      <c r="I40" s="15">
        <f t="array" ref="I40">INDEX('Dec 28 - Jan 3'!I$2:I$116,MATCH($B40,'Dec 28 - Jan 3'!$B$2:$B$116,0))-INDEX('Dec 21 - Dec 27'!I$2:I$115,MATCH($B40,'Dec 21 - Dec 27'!$B$2:$B$115,0))</f>
        <v>0</v>
      </c>
      <c r="J40" s="15">
        <f t="array" ref="J40">INDEX('Dec 28 - Jan 3'!J$2:J$116,MATCH($B40,'Dec 28 - Jan 3'!$B$2:$B$116,0))-INDEX('Dec 21 - Dec 27'!J$2:J$115,MATCH($B40,'Dec 21 - Dec 27'!$B$2:$B$115,0))</f>
        <v>0</v>
      </c>
      <c r="K40" s="15">
        <f t="array" ref="K40">INDEX('Dec 28 - Jan 3'!K$2:K$116,MATCH($B40,'Dec 28 - Jan 3'!$B$2:$B$116,0))-INDEX('Dec 21 - Dec 27'!K$2:K$115,MATCH($B40,'Dec 21 - Dec 27'!$B$2:$B$115,0))</f>
        <v>0</v>
      </c>
    </row>
    <row r="41" spans="2:11" ht="12.75">
      <c r="B41" s="13" t="s">
        <v>89</v>
      </c>
      <c r="C41" s="14" t="str">
        <f t="array" aca="1" ref="C41" ca="1">INDEX('Rooms Master'!U:U,MATCH(B41,'Rooms Master'!D:D,0))</f>
        <v>Y</v>
      </c>
      <c r="D41" s="15">
        <f t="array" ref="D41">INDEX('Dec 28 - Jan 3'!D$2:D$116,MATCH($B41,'Dec 28 - Jan 3'!$B$2:$B$116,0))-INDEX('Dec 21 - Dec 27'!D$2:D$115,MATCH($B41,'Dec 21 - Dec 27'!$B$2:$B$115,0))</f>
        <v>30</v>
      </c>
      <c r="E41" s="15">
        <f t="array" ref="E41">INDEX('Dec 28 - Jan 3'!E$2:E$116,MATCH($B41,'Dec 28 - Jan 3'!$B$2:$B$116,0))-INDEX('Dec 21 - Dec 27'!E$2:E$115,MATCH($B41,'Dec 21 - Dec 27'!$B$2:$B$115,0))</f>
        <v>7</v>
      </c>
      <c r="F41" s="15">
        <f t="array" ref="F41">INDEX('Dec 28 - Jan 3'!F$2:F$116,MATCH($B41,'Dec 28 - Jan 3'!$B$2:$B$116,0))-INDEX('Dec 21 - Dec 27'!F$2:F$115,MATCH($B41,'Dec 21 - Dec 27'!$B$2:$B$115,0))</f>
        <v>-1</v>
      </c>
      <c r="G41" s="15">
        <f t="array" ref="G41">INDEX('Dec 28 - Jan 3'!G$2:G$116,MATCH($B41,'Dec 28 - Jan 3'!$B$2:$B$116,0))-INDEX('Dec 21 - Dec 27'!G$2:G$115,MATCH($B41,'Dec 21 - Dec 27'!$B$2:$B$115,0))</f>
        <v>-1</v>
      </c>
      <c r="H41" s="15">
        <f t="array" ref="H41">INDEX('Dec 28 - Jan 3'!H$2:H$116,MATCH($B41,'Dec 28 - Jan 3'!$B$2:$B$116,0))-INDEX('Dec 21 - Dec 27'!H$2:H$115,MATCH($B41,'Dec 21 - Dec 27'!$B$2:$B$115,0))</f>
        <v>0</v>
      </c>
      <c r="I41" s="15">
        <f t="array" ref="I41">INDEX('Dec 28 - Jan 3'!I$2:I$116,MATCH($B41,'Dec 28 - Jan 3'!$B$2:$B$116,0))-INDEX('Dec 21 - Dec 27'!I$2:I$115,MATCH($B41,'Dec 21 - Dec 27'!$B$2:$B$115,0))</f>
        <v>0</v>
      </c>
      <c r="J41" s="15">
        <f t="array" ref="J41">INDEX('Dec 28 - Jan 3'!J$2:J$116,MATCH($B41,'Dec 28 - Jan 3'!$B$2:$B$116,0))-INDEX('Dec 21 - Dec 27'!J$2:J$115,MATCH($B41,'Dec 21 - Dec 27'!$B$2:$B$115,0))</f>
        <v>0</v>
      </c>
      <c r="K41" s="15">
        <f t="array" ref="K41">INDEX('Dec 28 - Jan 3'!K$2:K$116,MATCH($B41,'Dec 28 - Jan 3'!$B$2:$B$116,0))-INDEX('Dec 21 - Dec 27'!K$2:K$115,MATCH($B41,'Dec 21 - Dec 27'!$B$2:$B$115,0))</f>
        <v>0</v>
      </c>
    </row>
    <row r="42" spans="2:11" ht="12.75">
      <c r="B42" s="13" t="s">
        <v>96</v>
      </c>
      <c r="C42" s="14" t="str">
        <f t="array" aca="1" ref="C42" ca="1">INDEX('Rooms Master'!U:U,MATCH(B42,'Rooms Master'!D:D,0))</f>
        <v>N</v>
      </c>
      <c r="D42" s="15">
        <f t="array" ref="D42">INDEX('Dec 28 - Jan 3'!D$2:D$116,MATCH($B42,'Dec 28 - Jan 3'!$B$2:$B$116,0))-INDEX('Dec 21 - Dec 27'!D$2:D$115,MATCH($B42,'Dec 21 - Dec 27'!$B$2:$B$115,0))</f>
        <v>-49</v>
      </c>
      <c r="E42" s="15">
        <f t="array" ref="E42">INDEX('Dec 28 - Jan 3'!E$2:E$116,MATCH($B42,'Dec 28 - Jan 3'!$B$2:$B$116,0))-INDEX('Dec 21 - Dec 27'!E$2:E$115,MATCH($B42,'Dec 21 - Dec 27'!$B$2:$B$115,0))</f>
        <v>6</v>
      </c>
      <c r="F42" s="15">
        <f t="array" ref="F42">INDEX('Dec 28 - Jan 3'!F$2:F$116,MATCH($B42,'Dec 28 - Jan 3'!$B$2:$B$116,0))-INDEX('Dec 21 - Dec 27'!F$2:F$115,MATCH($B42,'Dec 21 - Dec 27'!$B$2:$B$115,0))</f>
        <v>-5</v>
      </c>
      <c r="G42" s="15">
        <f t="array" ref="G42">INDEX('Dec 28 - Jan 3'!G$2:G$116,MATCH($B42,'Dec 28 - Jan 3'!$B$2:$B$116,0))-INDEX('Dec 21 - Dec 27'!G$2:G$115,MATCH($B42,'Dec 21 - Dec 27'!$B$2:$B$115,0))</f>
        <v>4</v>
      </c>
      <c r="H42" s="15">
        <f t="array" ref="H42">INDEX('Dec 28 - Jan 3'!H$2:H$116,MATCH($B42,'Dec 28 - Jan 3'!$B$2:$B$116,0))-INDEX('Dec 21 - Dec 27'!H$2:H$115,MATCH($B42,'Dec 21 - Dec 27'!$B$2:$B$115,0))</f>
        <v>-2</v>
      </c>
      <c r="I42" s="15">
        <f t="array" ref="I42">INDEX('Dec 28 - Jan 3'!I$2:I$116,MATCH($B42,'Dec 28 - Jan 3'!$B$2:$B$116,0))-INDEX('Dec 21 - Dec 27'!I$2:I$115,MATCH($B42,'Dec 21 - Dec 27'!$B$2:$B$115,0))</f>
        <v>1</v>
      </c>
      <c r="J42" s="15">
        <f t="array" ref="J42">INDEX('Dec 28 - Jan 3'!J$2:J$116,MATCH($B42,'Dec 28 - Jan 3'!$B$2:$B$116,0))-INDEX('Dec 21 - Dec 27'!J$2:J$115,MATCH($B42,'Dec 21 - Dec 27'!$B$2:$B$115,0))</f>
        <v>1</v>
      </c>
      <c r="K42" s="15">
        <f t="array" ref="K42">INDEX('Dec 28 - Jan 3'!K$2:K$116,MATCH($B42,'Dec 28 - Jan 3'!$B$2:$B$116,0))-INDEX('Dec 21 - Dec 27'!K$2:K$115,MATCH($B42,'Dec 21 - Dec 27'!$B$2:$B$115,0))</f>
        <v>1</v>
      </c>
    </row>
    <row r="43" spans="2:11" ht="12.75">
      <c r="B43" s="13" t="s">
        <v>112</v>
      </c>
      <c r="C43" s="14" t="str">
        <f t="array" aca="1" ref="C43" ca="1">INDEX('Rooms Master'!U:U,MATCH(B43,'Rooms Master'!D:D,0))</f>
        <v>Y</v>
      </c>
      <c r="D43" s="15">
        <f t="array" ref="D43">INDEX('Dec 28 - Jan 3'!D$2:D$116,MATCH($B43,'Dec 28 - Jan 3'!$B$2:$B$116,0))-INDEX('Dec 21 - Dec 27'!D$2:D$115,MATCH($B43,'Dec 21 - Dec 27'!$B$2:$B$115,0))</f>
        <v>-23</v>
      </c>
      <c r="E43" s="15">
        <f t="array" ref="E43">INDEX('Dec 28 - Jan 3'!E$2:E$116,MATCH($B43,'Dec 28 - Jan 3'!$B$2:$B$116,0))-INDEX('Dec 21 - Dec 27'!E$2:E$115,MATCH($B43,'Dec 21 - Dec 27'!$B$2:$B$115,0))</f>
        <v>6</v>
      </c>
      <c r="F43" s="15">
        <f t="array" ref="F43">INDEX('Dec 28 - Jan 3'!F$2:F$116,MATCH($B43,'Dec 28 - Jan 3'!$B$2:$B$116,0))-INDEX('Dec 21 - Dec 27'!F$2:F$115,MATCH($B43,'Dec 21 - Dec 27'!$B$2:$B$115,0))</f>
        <v>2</v>
      </c>
      <c r="G43" s="15">
        <f t="array" ref="G43">INDEX('Dec 28 - Jan 3'!G$2:G$116,MATCH($B43,'Dec 28 - Jan 3'!$B$2:$B$116,0))-INDEX('Dec 21 - Dec 27'!G$2:G$115,MATCH($B43,'Dec 21 - Dec 27'!$B$2:$B$115,0))</f>
        <v>2</v>
      </c>
      <c r="H43" s="15">
        <f t="array" ref="H43">INDEX('Dec 28 - Jan 3'!H$2:H$116,MATCH($B43,'Dec 28 - Jan 3'!$B$2:$B$116,0))-INDEX('Dec 21 - Dec 27'!H$2:H$115,MATCH($B43,'Dec 21 - Dec 27'!$B$2:$B$115,0))</f>
        <v>1</v>
      </c>
      <c r="I43" s="15">
        <f t="array" ref="I43">INDEX('Dec 28 - Jan 3'!I$2:I$116,MATCH($B43,'Dec 28 - Jan 3'!$B$2:$B$116,0))-INDEX('Dec 21 - Dec 27'!I$2:I$115,MATCH($B43,'Dec 21 - Dec 27'!$B$2:$B$115,0))</f>
        <v>0</v>
      </c>
      <c r="J43" s="15">
        <f t="array" ref="J43">INDEX('Dec 28 - Jan 3'!J$2:J$116,MATCH($B43,'Dec 28 - Jan 3'!$B$2:$B$116,0))-INDEX('Dec 21 - Dec 27'!J$2:J$115,MATCH($B43,'Dec 21 - Dec 27'!$B$2:$B$115,0))</f>
        <v>0</v>
      </c>
      <c r="K43" s="15">
        <f t="array" ref="K43">INDEX('Dec 28 - Jan 3'!K$2:K$116,MATCH($B43,'Dec 28 - Jan 3'!$B$2:$B$116,0))-INDEX('Dec 21 - Dec 27'!K$2:K$115,MATCH($B43,'Dec 21 - Dec 27'!$B$2:$B$115,0))</f>
        <v>0</v>
      </c>
    </row>
    <row r="44" spans="2:11" ht="12.75">
      <c r="B44" s="13" t="s">
        <v>69</v>
      </c>
      <c r="C44" s="14" t="str">
        <f t="array" aca="1" ref="C44" ca="1">INDEX('Rooms Master'!U:U,MATCH(B44,'Rooms Master'!D:D,0))</f>
        <v>Y</v>
      </c>
      <c r="D44" s="15">
        <f t="array" ref="D44">INDEX('Dec 28 - Jan 3'!D$2:D$116,MATCH($B44,'Dec 28 - Jan 3'!$B$2:$B$116,0))-INDEX('Dec 21 - Dec 27'!D$2:D$115,MATCH($B44,'Dec 21 - Dec 27'!$B$2:$B$115,0))</f>
        <v>-28</v>
      </c>
      <c r="E44" s="15">
        <f t="array" ref="E44">INDEX('Dec 28 - Jan 3'!E$2:E$116,MATCH($B44,'Dec 28 - Jan 3'!$B$2:$B$116,0))-INDEX('Dec 21 - Dec 27'!E$2:E$115,MATCH($B44,'Dec 21 - Dec 27'!$B$2:$B$115,0))</f>
        <v>6</v>
      </c>
      <c r="F44" s="15">
        <f t="array" ref="F44">INDEX('Dec 28 - Jan 3'!F$2:F$116,MATCH($B44,'Dec 28 - Jan 3'!$B$2:$B$116,0))-INDEX('Dec 21 - Dec 27'!F$2:F$115,MATCH($B44,'Dec 21 - Dec 27'!$B$2:$B$115,0))</f>
        <v>-6</v>
      </c>
      <c r="G44" s="15">
        <f t="array" ref="G44">INDEX('Dec 28 - Jan 3'!G$2:G$116,MATCH($B44,'Dec 28 - Jan 3'!$B$2:$B$116,0))-INDEX('Dec 21 - Dec 27'!G$2:G$115,MATCH($B44,'Dec 21 - Dec 27'!$B$2:$B$115,0))</f>
        <v>0</v>
      </c>
      <c r="H44" s="15">
        <f t="array" ref="H44">INDEX('Dec 28 - Jan 3'!H$2:H$116,MATCH($B44,'Dec 28 - Jan 3'!$B$2:$B$116,0))-INDEX('Dec 21 - Dec 27'!H$2:H$115,MATCH($B44,'Dec 21 - Dec 27'!$B$2:$B$115,0))</f>
        <v>-2</v>
      </c>
      <c r="I44" s="15">
        <f t="array" ref="I44">INDEX('Dec 28 - Jan 3'!I$2:I$116,MATCH($B44,'Dec 28 - Jan 3'!$B$2:$B$116,0))-INDEX('Dec 21 - Dec 27'!I$2:I$115,MATCH($B44,'Dec 21 - Dec 27'!$B$2:$B$115,0))</f>
        <v>0</v>
      </c>
      <c r="J44" s="15">
        <f t="array" ref="J44">INDEX('Dec 28 - Jan 3'!J$2:J$116,MATCH($B44,'Dec 28 - Jan 3'!$B$2:$B$116,0))-INDEX('Dec 21 - Dec 27'!J$2:J$115,MATCH($B44,'Dec 21 - Dec 27'!$B$2:$B$115,0))</f>
        <v>0</v>
      </c>
      <c r="K44" s="15">
        <f t="array" ref="K44">INDEX('Dec 28 - Jan 3'!K$2:K$116,MATCH($B44,'Dec 28 - Jan 3'!$B$2:$B$116,0))-INDEX('Dec 21 - Dec 27'!K$2:K$115,MATCH($B44,'Dec 21 - Dec 27'!$B$2:$B$115,0))</f>
        <v>0</v>
      </c>
    </row>
    <row r="45" spans="2:11" ht="12.75">
      <c r="B45" s="13" t="s">
        <v>28</v>
      </c>
      <c r="C45" s="14" t="str">
        <f t="array" aca="1" ref="C45" ca="1">INDEX('Rooms Master'!U:U,MATCH(B45,'Rooms Master'!D:D,0))</f>
        <v>Y</v>
      </c>
      <c r="D45" s="15">
        <f t="array" ref="D45">INDEX('Dec 28 - Jan 3'!D$2:D$116,MATCH($B45,'Dec 28 - Jan 3'!$B$2:$B$116,0))-INDEX('Dec 21 - Dec 27'!D$2:D$115,MATCH($B45,'Dec 21 - Dec 27'!$B$2:$B$115,0))</f>
        <v>-2</v>
      </c>
      <c r="E45" s="15">
        <f t="array" ref="E45">INDEX('Dec 28 - Jan 3'!E$2:E$116,MATCH($B45,'Dec 28 - Jan 3'!$B$2:$B$116,0))-INDEX('Dec 21 - Dec 27'!E$2:E$115,MATCH($B45,'Dec 21 - Dec 27'!$B$2:$B$115,0))</f>
        <v>6</v>
      </c>
      <c r="F45" s="15">
        <f t="array" ref="F45">INDEX('Dec 28 - Jan 3'!F$2:F$116,MATCH($B45,'Dec 28 - Jan 3'!$B$2:$B$116,0))-INDEX('Dec 21 - Dec 27'!F$2:F$115,MATCH($B45,'Dec 21 - Dec 27'!$B$2:$B$115,0))</f>
        <v>-13</v>
      </c>
      <c r="G45" s="15">
        <f t="array" ref="G45">INDEX('Dec 28 - Jan 3'!G$2:G$116,MATCH($B45,'Dec 28 - Jan 3'!$B$2:$B$116,0))-INDEX('Dec 21 - Dec 27'!G$2:G$115,MATCH($B45,'Dec 21 - Dec 27'!$B$2:$B$115,0))</f>
        <v>0</v>
      </c>
      <c r="H45" s="15">
        <f t="array" ref="H45">INDEX('Dec 28 - Jan 3'!H$2:H$116,MATCH($B45,'Dec 28 - Jan 3'!$B$2:$B$116,0))-INDEX('Dec 21 - Dec 27'!H$2:H$115,MATCH($B45,'Dec 21 - Dec 27'!$B$2:$B$115,0))</f>
        <v>3</v>
      </c>
      <c r="I45" s="15">
        <f t="array" ref="I45">INDEX('Dec 28 - Jan 3'!I$2:I$116,MATCH($B45,'Dec 28 - Jan 3'!$B$2:$B$116,0))-INDEX('Dec 21 - Dec 27'!I$2:I$115,MATCH($B45,'Dec 21 - Dec 27'!$B$2:$B$115,0))</f>
        <v>1</v>
      </c>
      <c r="J45" s="15">
        <f t="array" ref="J45">INDEX('Dec 28 - Jan 3'!J$2:J$116,MATCH($B45,'Dec 28 - Jan 3'!$B$2:$B$116,0))-INDEX('Dec 21 - Dec 27'!J$2:J$115,MATCH($B45,'Dec 21 - Dec 27'!$B$2:$B$115,0))</f>
        <v>0</v>
      </c>
      <c r="K45" s="15">
        <f t="array" ref="K45">INDEX('Dec 28 - Jan 3'!K$2:K$116,MATCH($B45,'Dec 28 - Jan 3'!$B$2:$B$116,0))-INDEX('Dec 21 - Dec 27'!K$2:K$115,MATCH($B45,'Dec 21 - Dec 27'!$B$2:$B$115,0))</f>
        <v>0</v>
      </c>
    </row>
    <row r="46" spans="2:11" ht="12.75">
      <c r="B46" s="13" t="s">
        <v>108</v>
      </c>
      <c r="C46" s="14" t="str">
        <f t="array" aca="1" ref="C46" ca="1">INDEX('Rooms Master'!U:U,MATCH(B46,'Rooms Master'!D:D,0))</f>
        <v>Y</v>
      </c>
      <c r="D46" s="15">
        <f t="array" ref="D46">INDEX('Dec 28 - Jan 3'!D$2:D$116,MATCH($B46,'Dec 28 - Jan 3'!$B$2:$B$116,0))-INDEX('Dec 21 - Dec 27'!D$2:D$115,MATCH($B46,'Dec 21 - Dec 27'!$B$2:$B$115,0))</f>
        <v>-26</v>
      </c>
      <c r="E46" s="15">
        <f t="array" ref="E46">INDEX('Dec 28 - Jan 3'!E$2:E$116,MATCH($B46,'Dec 28 - Jan 3'!$B$2:$B$116,0))-INDEX('Dec 21 - Dec 27'!E$2:E$115,MATCH($B46,'Dec 21 - Dec 27'!$B$2:$B$115,0))</f>
        <v>5</v>
      </c>
      <c r="F46" s="15">
        <f t="array" ref="F46">INDEX('Dec 28 - Jan 3'!F$2:F$116,MATCH($B46,'Dec 28 - Jan 3'!$B$2:$B$116,0))-INDEX('Dec 21 - Dec 27'!F$2:F$115,MATCH($B46,'Dec 21 - Dec 27'!$B$2:$B$115,0))</f>
        <v>2</v>
      </c>
      <c r="G46" s="15">
        <f t="array" ref="G46">INDEX('Dec 28 - Jan 3'!G$2:G$116,MATCH($B46,'Dec 28 - Jan 3'!$B$2:$B$116,0))-INDEX('Dec 21 - Dec 27'!G$2:G$115,MATCH($B46,'Dec 21 - Dec 27'!$B$2:$B$115,0))</f>
        <v>4</v>
      </c>
      <c r="H46" s="15">
        <f t="array" ref="H46">INDEX('Dec 28 - Jan 3'!H$2:H$116,MATCH($B46,'Dec 28 - Jan 3'!$B$2:$B$116,0))-INDEX('Dec 21 - Dec 27'!H$2:H$115,MATCH($B46,'Dec 21 - Dec 27'!$B$2:$B$115,0))</f>
        <v>2</v>
      </c>
      <c r="I46" s="15">
        <f t="array" ref="I46">INDEX('Dec 28 - Jan 3'!I$2:I$116,MATCH($B46,'Dec 28 - Jan 3'!$B$2:$B$116,0))-INDEX('Dec 21 - Dec 27'!I$2:I$115,MATCH($B46,'Dec 21 - Dec 27'!$B$2:$B$115,0))</f>
        <v>0</v>
      </c>
      <c r="J46" s="15">
        <f t="array" ref="J46">INDEX('Dec 28 - Jan 3'!J$2:J$116,MATCH($B46,'Dec 28 - Jan 3'!$B$2:$B$116,0))-INDEX('Dec 21 - Dec 27'!J$2:J$115,MATCH($B46,'Dec 21 - Dec 27'!$B$2:$B$115,0))</f>
        <v>0</v>
      </c>
      <c r="K46" s="15">
        <f t="array" ref="K46">INDEX('Dec 28 - Jan 3'!K$2:K$116,MATCH($B46,'Dec 28 - Jan 3'!$B$2:$B$116,0))-INDEX('Dec 21 - Dec 27'!K$2:K$115,MATCH($B46,'Dec 21 - Dec 27'!$B$2:$B$115,0))</f>
        <v>0</v>
      </c>
    </row>
    <row r="47" spans="2:11" ht="12.75">
      <c r="B47" s="13" t="s">
        <v>72</v>
      </c>
      <c r="C47" s="14" t="str">
        <f t="array" aca="1" ref="C47" ca="1">INDEX('Rooms Master'!U:U,MATCH(B47,'Rooms Master'!D:D,0))</f>
        <v>N</v>
      </c>
      <c r="D47" s="15">
        <f t="array" ref="D47">INDEX('Dec 28 - Jan 3'!D$2:D$116,MATCH($B47,'Dec 28 - Jan 3'!$B$2:$B$116,0))-INDEX('Dec 21 - Dec 27'!D$2:D$115,MATCH($B47,'Dec 21 - Dec 27'!$B$2:$B$115,0))</f>
        <v>52</v>
      </c>
      <c r="E47" s="15">
        <f t="array" ref="E47">INDEX('Dec 28 - Jan 3'!E$2:E$116,MATCH($B47,'Dec 28 - Jan 3'!$B$2:$B$116,0))-INDEX('Dec 21 - Dec 27'!E$2:E$115,MATCH($B47,'Dec 21 - Dec 27'!$B$2:$B$115,0))</f>
        <v>5</v>
      </c>
      <c r="F47" s="15">
        <f t="array" ref="F47">INDEX('Dec 28 - Jan 3'!F$2:F$116,MATCH($B47,'Dec 28 - Jan 3'!$B$2:$B$116,0))-INDEX('Dec 21 - Dec 27'!F$2:F$115,MATCH($B47,'Dec 21 - Dec 27'!$B$2:$B$115,0))</f>
        <v>7</v>
      </c>
      <c r="G47" s="15">
        <f t="array" ref="G47">INDEX('Dec 28 - Jan 3'!G$2:G$116,MATCH($B47,'Dec 28 - Jan 3'!$B$2:$B$116,0))-INDEX('Dec 21 - Dec 27'!G$2:G$115,MATCH($B47,'Dec 21 - Dec 27'!$B$2:$B$115,0))</f>
        <v>5</v>
      </c>
      <c r="H47" s="15">
        <f t="array" ref="H47">INDEX('Dec 28 - Jan 3'!H$2:H$116,MATCH($B47,'Dec 28 - Jan 3'!$B$2:$B$116,0))-INDEX('Dec 21 - Dec 27'!H$2:H$115,MATCH($B47,'Dec 21 - Dec 27'!$B$2:$B$115,0))</f>
        <v>0</v>
      </c>
      <c r="I47" s="15">
        <f t="array" ref="I47">INDEX('Dec 28 - Jan 3'!I$2:I$116,MATCH($B47,'Dec 28 - Jan 3'!$B$2:$B$116,0))-INDEX('Dec 21 - Dec 27'!I$2:I$115,MATCH($B47,'Dec 21 - Dec 27'!$B$2:$B$115,0))</f>
        <v>0</v>
      </c>
      <c r="J47" s="15">
        <f t="array" ref="J47">INDEX('Dec 28 - Jan 3'!J$2:J$116,MATCH($B47,'Dec 28 - Jan 3'!$B$2:$B$116,0))-INDEX('Dec 21 - Dec 27'!J$2:J$115,MATCH($B47,'Dec 21 - Dec 27'!$B$2:$B$115,0))</f>
        <v>0</v>
      </c>
      <c r="K47" s="15">
        <f t="array" ref="K47">INDEX('Dec 28 - Jan 3'!K$2:K$116,MATCH($B47,'Dec 28 - Jan 3'!$B$2:$B$116,0))-INDEX('Dec 21 - Dec 27'!K$2:K$115,MATCH($B47,'Dec 21 - Dec 27'!$B$2:$B$115,0))</f>
        <v>0</v>
      </c>
    </row>
    <row r="48" spans="2:11" ht="12.75">
      <c r="B48" s="13" t="s">
        <v>31</v>
      </c>
      <c r="C48" s="14" t="str">
        <f t="array" aca="1" ref="C48" ca="1">INDEX('Rooms Master'!U:U,MATCH(B48,'Rooms Master'!D:D,0))</f>
        <v>Y</v>
      </c>
      <c r="D48" s="15">
        <f t="array" ref="D48">INDEX('Dec 28 - Jan 3'!D$2:D$116,MATCH($B48,'Dec 28 - Jan 3'!$B$2:$B$116,0))-INDEX('Dec 21 - Dec 27'!D$2:D$115,MATCH($B48,'Dec 21 - Dec 27'!$B$2:$B$115,0))</f>
        <v>-20</v>
      </c>
      <c r="E48" s="15">
        <f t="array" ref="E48">INDEX('Dec 28 - Jan 3'!E$2:E$116,MATCH($B48,'Dec 28 - Jan 3'!$B$2:$B$116,0))-INDEX('Dec 21 - Dec 27'!E$2:E$115,MATCH($B48,'Dec 21 - Dec 27'!$B$2:$B$115,0))</f>
        <v>4</v>
      </c>
      <c r="F48" s="15">
        <f t="array" ref="F48">INDEX('Dec 28 - Jan 3'!F$2:F$116,MATCH($B48,'Dec 28 - Jan 3'!$B$2:$B$116,0))-INDEX('Dec 21 - Dec 27'!F$2:F$115,MATCH($B48,'Dec 21 - Dec 27'!$B$2:$B$115,0))</f>
        <v>1</v>
      </c>
      <c r="G48" s="15">
        <f t="array" ref="G48">INDEX('Dec 28 - Jan 3'!G$2:G$116,MATCH($B48,'Dec 28 - Jan 3'!$B$2:$B$116,0))-INDEX('Dec 21 - Dec 27'!G$2:G$115,MATCH($B48,'Dec 21 - Dec 27'!$B$2:$B$115,0))</f>
        <v>-1</v>
      </c>
      <c r="H48" s="15">
        <f t="array" ref="H48">INDEX('Dec 28 - Jan 3'!H$2:H$116,MATCH($B48,'Dec 28 - Jan 3'!$B$2:$B$116,0))-INDEX('Dec 21 - Dec 27'!H$2:H$115,MATCH($B48,'Dec 21 - Dec 27'!$B$2:$B$115,0))</f>
        <v>1</v>
      </c>
      <c r="I48" s="15">
        <f t="array" ref="I48">INDEX('Dec 28 - Jan 3'!I$2:I$116,MATCH($B48,'Dec 28 - Jan 3'!$B$2:$B$116,0))-INDEX('Dec 21 - Dec 27'!I$2:I$115,MATCH($B48,'Dec 21 - Dec 27'!$B$2:$B$115,0))</f>
        <v>0</v>
      </c>
      <c r="J48" s="15">
        <f t="array" ref="J48">INDEX('Dec 28 - Jan 3'!J$2:J$116,MATCH($B48,'Dec 28 - Jan 3'!$B$2:$B$116,0))-INDEX('Dec 21 - Dec 27'!J$2:J$115,MATCH($B48,'Dec 21 - Dec 27'!$B$2:$B$115,0))</f>
        <v>-1</v>
      </c>
      <c r="K48" s="15">
        <f t="array" ref="K48">INDEX('Dec 28 - Jan 3'!K$2:K$116,MATCH($B48,'Dec 28 - Jan 3'!$B$2:$B$116,0))-INDEX('Dec 21 - Dec 27'!K$2:K$115,MATCH($B48,'Dec 21 - Dec 27'!$B$2:$B$115,0))</f>
        <v>-1</v>
      </c>
    </row>
    <row r="49" spans="2:11" ht="12.75">
      <c r="B49" s="13" t="s">
        <v>79</v>
      </c>
      <c r="C49" s="14" t="str">
        <f t="array" aca="1" ref="C49" ca="1">INDEX('Rooms Master'!U:U,MATCH(B49,'Rooms Master'!D:D,0))</f>
        <v>Y</v>
      </c>
      <c r="D49" s="15">
        <f t="array" ref="D49">INDEX('Dec 28 - Jan 3'!D$2:D$116,MATCH($B49,'Dec 28 - Jan 3'!$B$2:$B$116,0))-INDEX('Dec 21 - Dec 27'!D$2:D$115,MATCH($B49,'Dec 21 - Dec 27'!$B$2:$B$115,0))</f>
        <v>-46</v>
      </c>
      <c r="E49" s="15">
        <f t="array" ref="E49">INDEX('Dec 28 - Jan 3'!E$2:E$116,MATCH($B49,'Dec 28 - Jan 3'!$B$2:$B$116,0))-INDEX('Dec 21 - Dec 27'!E$2:E$115,MATCH($B49,'Dec 21 - Dec 27'!$B$2:$B$115,0))</f>
        <v>4</v>
      </c>
      <c r="F49" s="15">
        <f t="array" ref="F49">INDEX('Dec 28 - Jan 3'!F$2:F$116,MATCH($B49,'Dec 28 - Jan 3'!$B$2:$B$116,0))-INDEX('Dec 21 - Dec 27'!F$2:F$115,MATCH($B49,'Dec 21 - Dec 27'!$B$2:$B$115,0))</f>
        <v>2</v>
      </c>
      <c r="G49" s="15">
        <f t="array" ref="G49">INDEX('Dec 28 - Jan 3'!G$2:G$116,MATCH($B49,'Dec 28 - Jan 3'!$B$2:$B$116,0))-INDEX('Dec 21 - Dec 27'!G$2:G$115,MATCH($B49,'Dec 21 - Dec 27'!$B$2:$B$115,0))</f>
        <v>2</v>
      </c>
      <c r="H49" s="15">
        <f t="array" ref="H49">INDEX('Dec 28 - Jan 3'!H$2:H$116,MATCH($B49,'Dec 28 - Jan 3'!$B$2:$B$116,0))-INDEX('Dec 21 - Dec 27'!H$2:H$115,MATCH($B49,'Dec 21 - Dec 27'!$B$2:$B$115,0))</f>
        <v>-2</v>
      </c>
      <c r="I49" s="15">
        <f t="array" ref="I49">INDEX('Dec 28 - Jan 3'!I$2:I$116,MATCH($B49,'Dec 28 - Jan 3'!$B$2:$B$116,0))-INDEX('Dec 21 - Dec 27'!I$2:I$115,MATCH($B49,'Dec 21 - Dec 27'!$B$2:$B$115,0))</f>
        <v>0</v>
      </c>
      <c r="J49" s="15">
        <f t="array" ref="J49">INDEX('Dec 28 - Jan 3'!J$2:J$116,MATCH($B49,'Dec 28 - Jan 3'!$B$2:$B$116,0))-INDEX('Dec 21 - Dec 27'!J$2:J$115,MATCH($B49,'Dec 21 - Dec 27'!$B$2:$B$115,0))</f>
        <v>0</v>
      </c>
      <c r="K49" s="15">
        <f t="array" ref="K49">INDEX('Dec 28 - Jan 3'!K$2:K$116,MATCH($B49,'Dec 28 - Jan 3'!$B$2:$B$116,0))-INDEX('Dec 21 - Dec 27'!K$2:K$115,MATCH($B49,'Dec 21 - Dec 27'!$B$2:$B$115,0))</f>
        <v>0</v>
      </c>
    </row>
    <row r="50" spans="2:11" ht="12.75">
      <c r="B50" s="13" t="s">
        <v>59</v>
      </c>
      <c r="C50" s="14" t="str">
        <f t="array" aca="1" ref="C50" ca="1">INDEX('Rooms Master'!U:U,MATCH(B50,'Rooms Master'!D:D,0))</f>
        <v>Y</v>
      </c>
      <c r="D50" s="15">
        <f t="array" ref="D50">INDEX('Dec 28 - Jan 3'!D$2:D$116,MATCH($B50,'Dec 28 - Jan 3'!$B$2:$B$116,0))-INDEX('Dec 21 - Dec 27'!D$2:D$115,MATCH($B50,'Dec 21 - Dec 27'!$B$2:$B$115,0))</f>
        <v>58</v>
      </c>
      <c r="E50" s="15">
        <f t="array" ref="E50">INDEX('Dec 28 - Jan 3'!E$2:E$116,MATCH($B50,'Dec 28 - Jan 3'!$B$2:$B$116,0))-INDEX('Dec 21 - Dec 27'!E$2:E$115,MATCH($B50,'Dec 21 - Dec 27'!$B$2:$B$115,0))</f>
        <v>4</v>
      </c>
      <c r="F50" s="15">
        <f t="array" ref="F50">INDEX('Dec 28 - Jan 3'!F$2:F$116,MATCH($B50,'Dec 28 - Jan 3'!$B$2:$B$116,0))-INDEX('Dec 21 - Dec 27'!F$2:F$115,MATCH($B50,'Dec 21 - Dec 27'!$B$2:$B$115,0))</f>
        <v>4</v>
      </c>
      <c r="G50" s="15">
        <f t="array" ref="G50">INDEX('Dec 28 - Jan 3'!G$2:G$116,MATCH($B50,'Dec 28 - Jan 3'!$B$2:$B$116,0))-INDEX('Dec 21 - Dec 27'!G$2:G$115,MATCH($B50,'Dec 21 - Dec 27'!$B$2:$B$115,0))</f>
        <v>2</v>
      </c>
      <c r="H50" s="15">
        <f t="array" ref="H50">INDEX('Dec 28 - Jan 3'!H$2:H$116,MATCH($B50,'Dec 28 - Jan 3'!$B$2:$B$116,0))-INDEX('Dec 21 - Dec 27'!H$2:H$115,MATCH($B50,'Dec 21 - Dec 27'!$B$2:$B$115,0))</f>
        <v>-4</v>
      </c>
      <c r="I50" s="15">
        <f t="array" ref="I50">INDEX('Dec 28 - Jan 3'!I$2:I$116,MATCH($B50,'Dec 28 - Jan 3'!$B$2:$B$116,0))-INDEX('Dec 21 - Dec 27'!I$2:I$115,MATCH($B50,'Dec 21 - Dec 27'!$B$2:$B$115,0))</f>
        <v>0</v>
      </c>
      <c r="J50" s="15">
        <f t="array" ref="J50">INDEX('Dec 28 - Jan 3'!J$2:J$116,MATCH($B50,'Dec 28 - Jan 3'!$B$2:$B$116,0))-INDEX('Dec 21 - Dec 27'!J$2:J$115,MATCH($B50,'Dec 21 - Dec 27'!$B$2:$B$115,0))</f>
        <v>0</v>
      </c>
      <c r="K50" s="15">
        <f t="array" ref="K50">INDEX('Dec 28 - Jan 3'!K$2:K$116,MATCH($B50,'Dec 28 - Jan 3'!$B$2:$B$116,0))-INDEX('Dec 21 - Dec 27'!K$2:K$115,MATCH($B50,'Dec 21 - Dec 27'!$B$2:$B$115,0))</f>
        <v>0</v>
      </c>
    </row>
    <row r="51" spans="2:11" ht="12.75">
      <c r="B51" s="13" t="s">
        <v>120</v>
      </c>
      <c r="C51" s="14" t="str">
        <f t="array" aca="1" ref="C51" ca="1">INDEX('Rooms Master'!U:U,MATCH(B51,'Rooms Master'!D:D,0))</f>
        <v>N</v>
      </c>
      <c r="D51" s="15">
        <f t="array" ref="D51">INDEX('Dec 28 - Jan 3'!D$2:D$116,MATCH($B51,'Dec 28 - Jan 3'!$B$2:$B$116,0))-INDEX('Dec 21 - Dec 27'!D$2:D$115,MATCH($B51,'Dec 21 - Dec 27'!$B$2:$B$115,0))</f>
        <v>0</v>
      </c>
      <c r="E51" s="15">
        <f t="array" ref="E51">INDEX('Dec 28 - Jan 3'!E$2:E$116,MATCH($B51,'Dec 28 - Jan 3'!$B$2:$B$116,0))-INDEX('Dec 21 - Dec 27'!E$2:E$115,MATCH($B51,'Dec 21 - Dec 27'!$B$2:$B$115,0))</f>
        <v>3</v>
      </c>
      <c r="F51" s="15">
        <f t="array" ref="F51">INDEX('Dec 28 - Jan 3'!F$2:F$116,MATCH($B51,'Dec 28 - Jan 3'!$B$2:$B$116,0))-INDEX('Dec 21 - Dec 27'!F$2:F$115,MATCH($B51,'Dec 21 - Dec 27'!$B$2:$B$115,0))</f>
        <v>3</v>
      </c>
      <c r="G51" s="15">
        <f t="array" ref="G51">INDEX('Dec 28 - Jan 3'!G$2:G$116,MATCH($B51,'Dec 28 - Jan 3'!$B$2:$B$116,0))-INDEX('Dec 21 - Dec 27'!G$2:G$115,MATCH($B51,'Dec 21 - Dec 27'!$B$2:$B$115,0))</f>
        <v>0</v>
      </c>
      <c r="H51" s="15">
        <f t="array" ref="H51">INDEX('Dec 28 - Jan 3'!H$2:H$116,MATCH($B51,'Dec 28 - Jan 3'!$B$2:$B$116,0))-INDEX('Dec 21 - Dec 27'!H$2:H$115,MATCH($B51,'Dec 21 - Dec 27'!$B$2:$B$115,0))</f>
        <v>0</v>
      </c>
      <c r="I51" s="15">
        <f t="array" ref="I51">INDEX('Dec 28 - Jan 3'!I$2:I$116,MATCH($B51,'Dec 28 - Jan 3'!$B$2:$B$116,0))-INDEX('Dec 21 - Dec 27'!I$2:I$115,MATCH($B51,'Dec 21 - Dec 27'!$B$2:$B$115,0))</f>
        <v>0</v>
      </c>
      <c r="J51" s="15">
        <f t="array" ref="J51">INDEX('Dec 28 - Jan 3'!J$2:J$116,MATCH($B51,'Dec 28 - Jan 3'!$B$2:$B$116,0))-INDEX('Dec 21 - Dec 27'!J$2:J$115,MATCH($B51,'Dec 21 - Dec 27'!$B$2:$B$115,0))</f>
        <v>0</v>
      </c>
      <c r="K51" s="15">
        <f t="array" ref="K51">INDEX('Dec 28 - Jan 3'!K$2:K$116,MATCH($B51,'Dec 28 - Jan 3'!$B$2:$B$116,0))-INDEX('Dec 21 - Dec 27'!K$2:K$115,MATCH($B51,'Dec 21 - Dec 27'!$B$2:$B$115,0))</f>
        <v>0</v>
      </c>
    </row>
    <row r="52" spans="2:11" ht="12.75">
      <c r="B52" s="1" t="s">
        <v>53</v>
      </c>
      <c r="C52" s="14" t="str">
        <f t="array" aca="1" ref="C52" ca="1">INDEX('Rooms Master'!U:U,MATCH(B52,'Rooms Master'!D:D,0))</f>
        <v>Y</v>
      </c>
      <c r="D52" s="15">
        <f t="array" ref="D52">INDEX('Dec 28 - Jan 3'!D$2:D$116,MATCH($B52,'Dec 28 - Jan 3'!$B$2:$B$116,0))-INDEX('Dec 21 - Dec 27'!D$2:D$115,MATCH($B52,'Dec 21 - Dec 27'!$B$2:$B$115,0))</f>
        <v>41</v>
      </c>
      <c r="E52" s="15">
        <f t="array" ref="E52">INDEX('Dec 28 - Jan 3'!E$2:E$116,MATCH($B52,'Dec 28 - Jan 3'!$B$2:$B$116,0))-INDEX('Dec 21 - Dec 27'!E$2:E$115,MATCH($B52,'Dec 21 - Dec 27'!$B$2:$B$115,0))</f>
        <v>3</v>
      </c>
      <c r="F52" s="15">
        <f t="array" ref="F52">INDEX('Dec 28 - Jan 3'!F$2:F$116,MATCH($B52,'Dec 28 - Jan 3'!$B$2:$B$116,0))-INDEX('Dec 21 - Dec 27'!F$2:F$115,MATCH($B52,'Dec 21 - Dec 27'!$B$2:$B$115,0))</f>
        <v>-2</v>
      </c>
      <c r="G52" s="15">
        <f t="array" ref="G52">INDEX('Dec 28 - Jan 3'!G$2:G$116,MATCH($B52,'Dec 28 - Jan 3'!$B$2:$B$116,0))-INDEX('Dec 21 - Dec 27'!G$2:G$115,MATCH($B52,'Dec 21 - Dec 27'!$B$2:$B$115,0))</f>
        <v>2</v>
      </c>
      <c r="H52" s="15">
        <f t="array" ref="H52">INDEX('Dec 28 - Jan 3'!H$2:H$116,MATCH($B52,'Dec 28 - Jan 3'!$B$2:$B$116,0))-INDEX('Dec 21 - Dec 27'!H$2:H$115,MATCH($B52,'Dec 21 - Dec 27'!$B$2:$B$115,0))</f>
        <v>-1</v>
      </c>
      <c r="I52" s="15">
        <f t="array" ref="I52">INDEX('Dec 28 - Jan 3'!I$2:I$116,MATCH($B52,'Dec 28 - Jan 3'!$B$2:$B$116,0))-INDEX('Dec 21 - Dec 27'!I$2:I$115,MATCH($B52,'Dec 21 - Dec 27'!$B$2:$B$115,0))</f>
        <v>1</v>
      </c>
      <c r="J52" s="15">
        <f t="array" ref="J52">INDEX('Dec 28 - Jan 3'!J$2:J$116,MATCH($B52,'Dec 28 - Jan 3'!$B$2:$B$116,0))-INDEX('Dec 21 - Dec 27'!J$2:J$115,MATCH($B52,'Dec 21 - Dec 27'!$B$2:$B$115,0))</f>
        <v>1</v>
      </c>
      <c r="K52" s="15">
        <f t="array" ref="K52">INDEX('Dec 28 - Jan 3'!K$2:K$116,MATCH($B52,'Dec 28 - Jan 3'!$B$2:$B$116,0))-INDEX('Dec 21 - Dec 27'!K$2:K$115,MATCH($B52,'Dec 21 - Dec 27'!$B$2:$B$115,0))</f>
        <v>1</v>
      </c>
    </row>
    <row r="53" spans="2:11" ht="12.75">
      <c r="B53" s="13" t="s">
        <v>113</v>
      </c>
      <c r="C53" s="14" t="str">
        <f t="array" aca="1" ref="C53" ca="1">INDEX('Rooms Master'!U:U,MATCH(B53,'Rooms Master'!D:D,0))</f>
        <v>Y</v>
      </c>
      <c r="D53" s="15">
        <f t="array" ref="D53">INDEX('Dec 28 - Jan 3'!D$2:D$116,MATCH($B53,'Dec 28 - Jan 3'!$B$2:$B$116,0))-INDEX('Dec 21 - Dec 27'!D$2:D$115,MATCH($B53,'Dec 21 - Dec 27'!$B$2:$B$115,0))</f>
        <v>47</v>
      </c>
      <c r="E53" s="15">
        <f t="array" ref="E53">INDEX('Dec 28 - Jan 3'!E$2:E$116,MATCH($B53,'Dec 28 - Jan 3'!$B$2:$B$116,0))-INDEX('Dec 21 - Dec 27'!E$2:E$115,MATCH($B53,'Dec 21 - Dec 27'!$B$2:$B$115,0))</f>
        <v>3</v>
      </c>
      <c r="F53" s="15">
        <f t="array" ref="F53">INDEX('Dec 28 - Jan 3'!F$2:F$116,MATCH($B53,'Dec 28 - Jan 3'!$B$2:$B$116,0))-INDEX('Dec 21 - Dec 27'!F$2:F$115,MATCH($B53,'Dec 21 - Dec 27'!$B$2:$B$115,0))</f>
        <v>2</v>
      </c>
      <c r="G53" s="15">
        <f t="array" ref="G53">INDEX('Dec 28 - Jan 3'!G$2:G$116,MATCH($B53,'Dec 28 - Jan 3'!$B$2:$B$116,0))-INDEX('Dec 21 - Dec 27'!G$2:G$115,MATCH($B53,'Dec 21 - Dec 27'!$B$2:$B$115,0))</f>
        <v>1</v>
      </c>
      <c r="H53" s="15">
        <f t="array" ref="H53">INDEX('Dec 28 - Jan 3'!H$2:H$116,MATCH($B53,'Dec 28 - Jan 3'!$B$2:$B$116,0))-INDEX('Dec 21 - Dec 27'!H$2:H$115,MATCH($B53,'Dec 21 - Dec 27'!$B$2:$B$115,0))</f>
        <v>4</v>
      </c>
      <c r="I53" s="15">
        <f t="array" ref="I53">INDEX('Dec 28 - Jan 3'!I$2:I$116,MATCH($B53,'Dec 28 - Jan 3'!$B$2:$B$116,0))-INDEX('Dec 21 - Dec 27'!I$2:I$115,MATCH($B53,'Dec 21 - Dec 27'!$B$2:$B$115,0))</f>
        <v>0</v>
      </c>
      <c r="J53" s="15">
        <f t="array" ref="J53">INDEX('Dec 28 - Jan 3'!J$2:J$116,MATCH($B53,'Dec 28 - Jan 3'!$B$2:$B$116,0))-INDEX('Dec 21 - Dec 27'!J$2:J$115,MATCH($B53,'Dec 21 - Dec 27'!$B$2:$B$115,0))</f>
        <v>0</v>
      </c>
      <c r="K53" s="15">
        <f t="array" ref="K53">INDEX('Dec 28 - Jan 3'!K$2:K$116,MATCH($B53,'Dec 28 - Jan 3'!$B$2:$B$116,0))-INDEX('Dec 21 - Dec 27'!K$2:K$115,MATCH($B53,'Dec 21 - Dec 27'!$B$2:$B$115,0))</f>
        <v>0</v>
      </c>
    </row>
    <row r="54" spans="2:11" ht="12.75">
      <c r="B54" s="13" t="s">
        <v>118</v>
      </c>
      <c r="C54" s="14" t="str">
        <f t="array" aca="1" ref="C54" ca="1">INDEX('Rooms Master'!U:U,MATCH(B54,'Rooms Master'!D:D,0))</f>
        <v>N</v>
      </c>
      <c r="D54" s="15">
        <f t="array" ref="D54">INDEX('Dec 28 - Jan 3'!D$2:D$116,MATCH($B54,'Dec 28 - Jan 3'!$B$2:$B$116,0))-INDEX('Dec 21 - Dec 27'!D$2:D$115,MATCH($B54,'Dec 21 - Dec 27'!$B$2:$B$115,0))</f>
        <v>0</v>
      </c>
      <c r="E54" s="15">
        <f t="array" ref="E54">INDEX('Dec 28 - Jan 3'!E$2:E$116,MATCH($B54,'Dec 28 - Jan 3'!$B$2:$B$116,0))-INDEX('Dec 21 - Dec 27'!E$2:E$115,MATCH($B54,'Dec 21 - Dec 27'!$B$2:$B$115,0))</f>
        <v>2</v>
      </c>
      <c r="F54" s="15">
        <f t="array" ref="F54">INDEX('Dec 28 - Jan 3'!F$2:F$116,MATCH($B54,'Dec 28 - Jan 3'!$B$2:$B$116,0))-INDEX('Dec 21 - Dec 27'!F$2:F$115,MATCH($B54,'Dec 21 - Dec 27'!$B$2:$B$115,0))</f>
        <v>2</v>
      </c>
      <c r="G54" s="15">
        <f t="array" ref="G54">INDEX('Dec 28 - Jan 3'!G$2:G$116,MATCH($B54,'Dec 28 - Jan 3'!$B$2:$B$116,0))-INDEX('Dec 21 - Dec 27'!G$2:G$115,MATCH($B54,'Dec 21 - Dec 27'!$B$2:$B$115,0))</f>
        <v>8</v>
      </c>
      <c r="H54" s="15">
        <f t="array" ref="H54">INDEX('Dec 28 - Jan 3'!H$2:H$116,MATCH($B54,'Dec 28 - Jan 3'!$B$2:$B$116,0))-INDEX('Dec 21 - Dec 27'!H$2:H$115,MATCH($B54,'Dec 21 - Dec 27'!$B$2:$B$115,0))</f>
        <v>0</v>
      </c>
      <c r="I54" s="15">
        <f t="array" ref="I54">INDEX('Dec 28 - Jan 3'!I$2:I$116,MATCH($B54,'Dec 28 - Jan 3'!$B$2:$B$116,0))-INDEX('Dec 21 - Dec 27'!I$2:I$115,MATCH($B54,'Dec 21 - Dec 27'!$B$2:$B$115,0))</f>
        <v>0</v>
      </c>
      <c r="J54" s="15">
        <f t="array" ref="J54">INDEX('Dec 28 - Jan 3'!J$2:J$116,MATCH($B54,'Dec 28 - Jan 3'!$B$2:$B$116,0))-INDEX('Dec 21 - Dec 27'!J$2:J$115,MATCH($B54,'Dec 21 - Dec 27'!$B$2:$B$115,0))</f>
        <v>0</v>
      </c>
      <c r="K54" s="15">
        <f t="array" ref="K54">INDEX('Dec 28 - Jan 3'!K$2:K$116,MATCH($B54,'Dec 28 - Jan 3'!$B$2:$B$116,0))-INDEX('Dec 21 - Dec 27'!K$2:K$115,MATCH($B54,'Dec 21 - Dec 27'!$B$2:$B$115,0))</f>
        <v>0</v>
      </c>
    </row>
    <row r="55" spans="2:11" ht="12.75">
      <c r="B55" s="13" t="s">
        <v>114</v>
      </c>
      <c r="C55" s="14" t="str">
        <f t="array" aca="1" ref="C55" ca="1">INDEX('Rooms Master'!U:U,MATCH(B55,'Rooms Master'!D:D,0))</f>
        <v>Y</v>
      </c>
      <c r="D55" s="15">
        <f t="array" ref="D55">INDEX('Dec 28 - Jan 3'!D$2:D$116,MATCH($B55,'Dec 28 - Jan 3'!$B$2:$B$116,0))-INDEX('Dec 21 - Dec 27'!D$2:D$115,MATCH($B55,'Dec 21 - Dec 27'!$B$2:$B$115,0))</f>
        <v>66</v>
      </c>
      <c r="E55" s="15">
        <f t="array" ref="E55">INDEX('Dec 28 - Jan 3'!E$2:E$116,MATCH($B55,'Dec 28 - Jan 3'!$B$2:$B$116,0))-INDEX('Dec 21 - Dec 27'!E$2:E$115,MATCH($B55,'Dec 21 - Dec 27'!$B$2:$B$115,0))</f>
        <v>2</v>
      </c>
      <c r="F55" s="15">
        <f t="array" ref="F55">INDEX('Dec 28 - Jan 3'!F$2:F$116,MATCH($B55,'Dec 28 - Jan 3'!$B$2:$B$116,0))-INDEX('Dec 21 - Dec 27'!F$2:F$115,MATCH($B55,'Dec 21 - Dec 27'!$B$2:$B$115,0))</f>
        <v>2</v>
      </c>
      <c r="G55" s="15">
        <f t="array" ref="G55">INDEX('Dec 28 - Jan 3'!G$2:G$116,MATCH($B55,'Dec 28 - Jan 3'!$B$2:$B$116,0))-INDEX('Dec 21 - Dec 27'!G$2:G$115,MATCH($B55,'Dec 21 - Dec 27'!$B$2:$B$115,0))</f>
        <v>5</v>
      </c>
      <c r="H55" s="15">
        <f t="array" ref="H55">INDEX('Dec 28 - Jan 3'!H$2:H$116,MATCH($B55,'Dec 28 - Jan 3'!$B$2:$B$116,0))-INDEX('Dec 21 - Dec 27'!H$2:H$115,MATCH($B55,'Dec 21 - Dec 27'!$B$2:$B$115,0))</f>
        <v>0</v>
      </c>
      <c r="I55" s="15">
        <f t="array" ref="I55">INDEX('Dec 28 - Jan 3'!I$2:I$116,MATCH($B55,'Dec 28 - Jan 3'!$B$2:$B$116,0))-INDEX('Dec 21 - Dec 27'!I$2:I$115,MATCH($B55,'Dec 21 - Dec 27'!$B$2:$B$115,0))</f>
        <v>0</v>
      </c>
      <c r="J55" s="15">
        <f t="array" ref="J55">INDEX('Dec 28 - Jan 3'!J$2:J$116,MATCH($B55,'Dec 28 - Jan 3'!$B$2:$B$116,0))-INDEX('Dec 21 - Dec 27'!J$2:J$115,MATCH($B55,'Dec 21 - Dec 27'!$B$2:$B$115,0))</f>
        <v>0</v>
      </c>
      <c r="K55" s="15">
        <f t="array" ref="K55">INDEX('Dec 28 - Jan 3'!K$2:K$116,MATCH($B55,'Dec 28 - Jan 3'!$B$2:$B$116,0))-INDEX('Dec 21 - Dec 27'!K$2:K$115,MATCH($B55,'Dec 21 - Dec 27'!$B$2:$B$115,0))</f>
        <v>0</v>
      </c>
    </row>
    <row r="56" spans="2:11" ht="12.75">
      <c r="B56" s="13" t="s">
        <v>122</v>
      </c>
      <c r="C56" s="14" t="str">
        <f t="array" aca="1" ref="C56" ca="1">INDEX('Rooms Master'!U:U,MATCH(B56,'Rooms Master'!D:D,0))</f>
        <v>N</v>
      </c>
      <c r="D56" s="15">
        <f t="array" ref="D56">INDEX('Dec 28 - Jan 3'!D$2:D$116,MATCH($B56,'Dec 28 - Jan 3'!$B$2:$B$116,0))-INDEX('Dec 21 - Dec 27'!D$2:D$115,MATCH($B56,'Dec 21 - Dec 27'!$B$2:$B$115,0))</f>
        <v>0</v>
      </c>
      <c r="E56" s="15">
        <f t="array" ref="E56">INDEX('Dec 28 - Jan 3'!E$2:E$116,MATCH($B56,'Dec 28 - Jan 3'!$B$2:$B$116,0))-INDEX('Dec 21 - Dec 27'!E$2:E$115,MATCH($B56,'Dec 21 - Dec 27'!$B$2:$B$115,0))</f>
        <v>2</v>
      </c>
      <c r="F56" s="15">
        <f t="array" ref="F56">INDEX('Dec 28 - Jan 3'!F$2:F$116,MATCH($B56,'Dec 28 - Jan 3'!$B$2:$B$116,0))-INDEX('Dec 21 - Dec 27'!F$2:F$115,MATCH($B56,'Dec 21 - Dec 27'!$B$2:$B$115,0))</f>
        <v>-1</v>
      </c>
      <c r="G56" s="15">
        <f t="array" ref="G56">INDEX('Dec 28 - Jan 3'!G$2:G$116,MATCH($B56,'Dec 28 - Jan 3'!$B$2:$B$116,0))-INDEX('Dec 21 - Dec 27'!G$2:G$115,MATCH($B56,'Dec 21 - Dec 27'!$B$2:$B$115,0))</f>
        <v>4</v>
      </c>
      <c r="H56" s="15">
        <f t="array" ref="H56">INDEX('Dec 28 - Jan 3'!H$2:H$116,MATCH($B56,'Dec 28 - Jan 3'!$B$2:$B$116,0))-INDEX('Dec 21 - Dec 27'!H$2:H$115,MATCH($B56,'Dec 21 - Dec 27'!$B$2:$B$115,0))</f>
        <v>0</v>
      </c>
      <c r="I56" s="15">
        <f t="array" ref="I56">INDEX('Dec 28 - Jan 3'!I$2:I$116,MATCH($B56,'Dec 28 - Jan 3'!$B$2:$B$116,0))-INDEX('Dec 21 - Dec 27'!I$2:I$115,MATCH($B56,'Dec 21 - Dec 27'!$B$2:$B$115,0))</f>
        <v>0</v>
      </c>
      <c r="J56" s="15">
        <f t="array" ref="J56">INDEX('Dec 28 - Jan 3'!J$2:J$116,MATCH($B56,'Dec 28 - Jan 3'!$B$2:$B$116,0))-INDEX('Dec 21 - Dec 27'!J$2:J$115,MATCH($B56,'Dec 21 - Dec 27'!$B$2:$B$115,0))</f>
        <v>0</v>
      </c>
      <c r="K56" s="15">
        <f t="array" ref="K56">INDEX('Dec 28 - Jan 3'!K$2:K$116,MATCH($B56,'Dec 28 - Jan 3'!$B$2:$B$116,0))-INDEX('Dec 21 - Dec 27'!K$2:K$115,MATCH($B56,'Dec 21 - Dec 27'!$B$2:$B$115,0))</f>
        <v>0</v>
      </c>
    </row>
    <row r="57" spans="2:11" ht="12.75">
      <c r="B57" s="13" t="s">
        <v>106</v>
      </c>
      <c r="C57" s="14" t="str">
        <f t="array" aca="1" ref="C57" ca="1">INDEX('Rooms Master'!U:U,MATCH(B57,'Rooms Master'!D:D,0))</f>
        <v>N</v>
      </c>
      <c r="D57" s="15">
        <f t="array" ref="D57">INDEX('Dec 28 - Jan 3'!D$2:D$116,MATCH($B57,'Dec 28 - Jan 3'!$B$2:$B$116,0))-INDEX('Dec 21 - Dec 27'!D$2:D$115,MATCH($B57,'Dec 21 - Dec 27'!$B$2:$B$115,0))</f>
        <v>1</v>
      </c>
      <c r="E57" s="15">
        <f t="array" ref="E57">INDEX('Dec 28 - Jan 3'!E$2:E$116,MATCH($B57,'Dec 28 - Jan 3'!$B$2:$B$116,0))-INDEX('Dec 21 - Dec 27'!E$2:E$115,MATCH($B57,'Dec 21 - Dec 27'!$B$2:$B$115,0))</f>
        <v>2</v>
      </c>
      <c r="F57" s="15">
        <f t="array" ref="F57">INDEX('Dec 28 - Jan 3'!F$2:F$116,MATCH($B57,'Dec 28 - Jan 3'!$B$2:$B$116,0))-INDEX('Dec 21 - Dec 27'!F$2:F$115,MATCH($B57,'Dec 21 - Dec 27'!$B$2:$B$115,0))</f>
        <v>0</v>
      </c>
      <c r="G57" s="15">
        <f t="array" ref="G57">INDEX('Dec 28 - Jan 3'!G$2:G$116,MATCH($B57,'Dec 28 - Jan 3'!$B$2:$B$116,0))-INDEX('Dec 21 - Dec 27'!G$2:G$115,MATCH($B57,'Dec 21 - Dec 27'!$B$2:$B$115,0))</f>
        <v>2</v>
      </c>
      <c r="H57" s="15">
        <f t="array" ref="H57">INDEX('Dec 28 - Jan 3'!H$2:H$116,MATCH($B57,'Dec 28 - Jan 3'!$B$2:$B$116,0))-INDEX('Dec 21 - Dec 27'!H$2:H$115,MATCH($B57,'Dec 21 - Dec 27'!$B$2:$B$115,0))</f>
        <v>1</v>
      </c>
      <c r="I57" s="15">
        <f t="array" ref="I57">INDEX('Dec 28 - Jan 3'!I$2:I$116,MATCH($B57,'Dec 28 - Jan 3'!$B$2:$B$116,0))-INDEX('Dec 21 - Dec 27'!I$2:I$115,MATCH($B57,'Dec 21 - Dec 27'!$B$2:$B$115,0))</f>
        <v>0</v>
      </c>
      <c r="J57" s="15">
        <f t="array" ref="J57">INDEX('Dec 28 - Jan 3'!J$2:J$116,MATCH($B57,'Dec 28 - Jan 3'!$B$2:$B$116,0))-INDEX('Dec 21 - Dec 27'!J$2:J$115,MATCH($B57,'Dec 21 - Dec 27'!$B$2:$B$115,0))</f>
        <v>0</v>
      </c>
      <c r="K57" s="15">
        <f t="array" ref="K57">INDEX('Dec 28 - Jan 3'!K$2:K$116,MATCH($B57,'Dec 28 - Jan 3'!$B$2:$B$116,0))-INDEX('Dec 21 - Dec 27'!K$2:K$115,MATCH($B57,'Dec 21 - Dec 27'!$B$2:$B$115,0))</f>
        <v>0</v>
      </c>
    </row>
    <row r="58" spans="2:11" ht="12.75">
      <c r="B58" s="13" t="s">
        <v>110</v>
      </c>
      <c r="C58" s="14" t="str">
        <f t="array" aca="1" ref="C58" ca="1">INDEX('Rooms Master'!U:U,MATCH(B58,'Rooms Master'!D:D,0))</f>
        <v>Y</v>
      </c>
      <c r="D58" s="15">
        <f t="array" ref="D58">INDEX('Dec 28 - Jan 3'!D$2:D$116,MATCH($B58,'Dec 28 - Jan 3'!$B$2:$B$116,0))-INDEX('Dec 21 - Dec 27'!D$2:D$115,MATCH($B58,'Dec 21 - Dec 27'!$B$2:$B$115,0))</f>
        <v>37</v>
      </c>
      <c r="E58" s="15">
        <f t="array" ref="E58">INDEX('Dec 28 - Jan 3'!E$2:E$116,MATCH($B58,'Dec 28 - Jan 3'!$B$2:$B$116,0))-INDEX('Dec 21 - Dec 27'!E$2:E$115,MATCH($B58,'Dec 21 - Dec 27'!$B$2:$B$115,0))</f>
        <v>1</v>
      </c>
      <c r="F58" s="15">
        <f t="array" ref="F58">INDEX('Dec 28 - Jan 3'!F$2:F$116,MATCH($B58,'Dec 28 - Jan 3'!$B$2:$B$116,0))-INDEX('Dec 21 - Dec 27'!F$2:F$115,MATCH($B58,'Dec 21 - Dec 27'!$B$2:$B$115,0))</f>
        <v>0</v>
      </c>
      <c r="G58" s="15">
        <f t="array" ref="G58">INDEX('Dec 28 - Jan 3'!G$2:G$116,MATCH($B58,'Dec 28 - Jan 3'!$B$2:$B$116,0))-INDEX('Dec 21 - Dec 27'!G$2:G$115,MATCH($B58,'Dec 21 - Dec 27'!$B$2:$B$115,0))</f>
        <v>4</v>
      </c>
      <c r="H58" s="15">
        <f t="array" ref="H58">INDEX('Dec 28 - Jan 3'!H$2:H$116,MATCH($B58,'Dec 28 - Jan 3'!$B$2:$B$116,0))-INDEX('Dec 21 - Dec 27'!H$2:H$115,MATCH($B58,'Dec 21 - Dec 27'!$B$2:$B$115,0))</f>
        <v>-8</v>
      </c>
      <c r="I58" s="15">
        <f t="array" ref="I58">INDEX('Dec 28 - Jan 3'!I$2:I$116,MATCH($B58,'Dec 28 - Jan 3'!$B$2:$B$116,0))-INDEX('Dec 21 - Dec 27'!I$2:I$115,MATCH($B58,'Dec 21 - Dec 27'!$B$2:$B$115,0))</f>
        <v>0</v>
      </c>
      <c r="J58" s="15">
        <f t="array" ref="J58">INDEX('Dec 28 - Jan 3'!J$2:J$116,MATCH($B58,'Dec 28 - Jan 3'!$B$2:$B$116,0))-INDEX('Dec 21 - Dec 27'!J$2:J$115,MATCH($B58,'Dec 21 - Dec 27'!$B$2:$B$115,0))</f>
        <v>0</v>
      </c>
      <c r="K58" s="15">
        <f t="array" ref="K58">INDEX('Dec 28 - Jan 3'!K$2:K$116,MATCH($B58,'Dec 28 - Jan 3'!$B$2:$B$116,0))-INDEX('Dec 21 - Dec 27'!K$2:K$115,MATCH($B58,'Dec 21 - Dec 27'!$B$2:$B$115,0))</f>
        <v>0</v>
      </c>
    </row>
    <row r="59" spans="2:11" ht="12.75">
      <c r="B59" s="13" t="s">
        <v>61</v>
      </c>
      <c r="C59" s="14" t="str">
        <f t="array" aca="1" ref="C59" ca="1">INDEX('Rooms Master'!U:U,MATCH(B59,'Rooms Master'!D:D,0))</f>
        <v>Y</v>
      </c>
      <c r="D59" s="15">
        <f t="array" ref="D59">INDEX('Dec 28 - Jan 3'!D$2:D$116,MATCH($B59,'Dec 28 - Jan 3'!$B$2:$B$116,0))-INDEX('Dec 21 - Dec 27'!D$2:D$115,MATCH($B59,'Dec 21 - Dec 27'!$B$2:$B$115,0))</f>
        <v>-23</v>
      </c>
      <c r="E59" s="15">
        <f t="array" ref="E59">INDEX('Dec 28 - Jan 3'!E$2:E$116,MATCH($B59,'Dec 28 - Jan 3'!$B$2:$B$116,0))-INDEX('Dec 21 - Dec 27'!E$2:E$115,MATCH($B59,'Dec 21 - Dec 27'!$B$2:$B$115,0))</f>
        <v>1</v>
      </c>
      <c r="F59" s="15">
        <f t="array" ref="F59">INDEX('Dec 28 - Jan 3'!F$2:F$116,MATCH($B59,'Dec 28 - Jan 3'!$B$2:$B$116,0))-INDEX('Dec 21 - Dec 27'!F$2:F$115,MATCH($B59,'Dec 21 - Dec 27'!$B$2:$B$115,0))</f>
        <v>-4</v>
      </c>
      <c r="G59" s="15">
        <f t="array" ref="G59">INDEX('Dec 28 - Jan 3'!G$2:G$116,MATCH($B59,'Dec 28 - Jan 3'!$B$2:$B$116,0))-INDEX('Dec 21 - Dec 27'!G$2:G$115,MATCH($B59,'Dec 21 - Dec 27'!$B$2:$B$115,0))</f>
        <v>1</v>
      </c>
      <c r="H59" s="15">
        <f t="array" ref="H59">INDEX('Dec 28 - Jan 3'!H$2:H$116,MATCH($B59,'Dec 28 - Jan 3'!$B$2:$B$116,0))-INDEX('Dec 21 - Dec 27'!H$2:H$115,MATCH($B59,'Dec 21 - Dec 27'!$B$2:$B$115,0))</f>
        <v>1</v>
      </c>
      <c r="I59" s="15">
        <f t="array" ref="I59">INDEX('Dec 28 - Jan 3'!I$2:I$116,MATCH($B59,'Dec 28 - Jan 3'!$B$2:$B$116,0))-INDEX('Dec 21 - Dec 27'!I$2:I$115,MATCH($B59,'Dec 21 - Dec 27'!$B$2:$B$115,0))</f>
        <v>0</v>
      </c>
      <c r="J59" s="15">
        <f t="array" ref="J59">INDEX('Dec 28 - Jan 3'!J$2:J$116,MATCH($B59,'Dec 28 - Jan 3'!$B$2:$B$116,0))-INDEX('Dec 21 - Dec 27'!J$2:J$115,MATCH($B59,'Dec 21 - Dec 27'!$B$2:$B$115,0))</f>
        <v>0</v>
      </c>
      <c r="K59" s="15">
        <f t="array" ref="K59">INDEX('Dec 28 - Jan 3'!K$2:K$116,MATCH($B59,'Dec 28 - Jan 3'!$B$2:$B$116,0))-INDEX('Dec 21 - Dec 27'!K$2:K$115,MATCH($B59,'Dec 21 - Dec 27'!$B$2:$B$115,0))</f>
        <v>0</v>
      </c>
    </row>
    <row r="60" spans="2:11" ht="12.75">
      <c r="B60" s="13" t="s">
        <v>57</v>
      </c>
      <c r="C60" s="14" t="str">
        <f t="array" aca="1" ref="C60" ca="1">INDEX('Rooms Master'!U:U,MATCH(B60,'Rooms Master'!D:D,0))</f>
        <v>Y</v>
      </c>
      <c r="D60" s="15">
        <f t="array" ref="D60">INDEX('Dec 28 - Jan 3'!D$2:D$116,MATCH($B60,'Dec 28 - Jan 3'!$B$2:$B$116,0))-INDEX('Dec 21 - Dec 27'!D$2:D$115,MATCH($B60,'Dec 21 - Dec 27'!$B$2:$B$115,0))</f>
        <v>-26</v>
      </c>
      <c r="E60" s="15">
        <f t="array" ref="E60">INDEX('Dec 28 - Jan 3'!E$2:E$116,MATCH($B60,'Dec 28 - Jan 3'!$B$2:$B$116,0))-INDEX('Dec 21 - Dec 27'!E$2:E$115,MATCH($B60,'Dec 21 - Dec 27'!$B$2:$B$115,0))</f>
        <v>0</v>
      </c>
      <c r="F60" s="15">
        <f t="array" ref="F60">INDEX('Dec 28 - Jan 3'!F$2:F$116,MATCH($B60,'Dec 28 - Jan 3'!$B$2:$B$116,0))-INDEX('Dec 21 - Dec 27'!F$2:F$115,MATCH($B60,'Dec 21 - Dec 27'!$B$2:$B$115,0))</f>
        <v>1</v>
      </c>
      <c r="G60" s="15">
        <f t="array" ref="G60">INDEX('Dec 28 - Jan 3'!G$2:G$116,MATCH($B60,'Dec 28 - Jan 3'!$B$2:$B$116,0))-INDEX('Dec 21 - Dec 27'!G$2:G$115,MATCH($B60,'Dec 21 - Dec 27'!$B$2:$B$115,0))</f>
        <v>-1</v>
      </c>
      <c r="H60" s="15">
        <f t="array" ref="H60">INDEX('Dec 28 - Jan 3'!H$2:H$116,MATCH($B60,'Dec 28 - Jan 3'!$B$2:$B$116,0))-INDEX('Dec 21 - Dec 27'!H$2:H$115,MATCH($B60,'Dec 21 - Dec 27'!$B$2:$B$115,0))</f>
        <v>4</v>
      </c>
      <c r="I60" s="15">
        <f t="array" ref="I60">INDEX('Dec 28 - Jan 3'!I$2:I$116,MATCH($B60,'Dec 28 - Jan 3'!$B$2:$B$116,0))-INDEX('Dec 21 - Dec 27'!I$2:I$115,MATCH($B60,'Dec 21 - Dec 27'!$B$2:$B$115,0))</f>
        <v>1</v>
      </c>
      <c r="J60" s="15">
        <f t="array" ref="J60">INDEX('Dec 28 - Jan 3'!J$2:J$116,MATCH($B60,'Dec 28 - Jan 3'!$B$2:$B$116,0))-INDEX('Dec 21 - Dec 27'!J$2:J$115,MATCH($B60,'Dec 21 - Dec 27'!$B$2:$B$115,0))</f>
        <v>-1</v>
      </c>
      <c r="K60" s="15">
        <f t="array" ref="K60">INDEX('Dec 28 - Jan 3'!K$2:K$116,MATCH($B60,'Dec 28 - Jan 3'!$B$2:$B$116,0))-INDEX('Dec 21 - Dec 27'!K$2:K$115,MATCH($B60,'Dec 21 - Dec 27'!$B$2:$B$115,0))</f>
        <v>0</v>
      </c>
    </row>
    <row r="61" spans="2:11" ht="12.75">
      <c r="B61" s="13" t="s">
        <v>100</v>
      </c>
      <c r="C61" s="14" t="str">
        <f t="array" aca="1" ref="C61" ca="1">INDEX('Rooms Master'!U:U,MATCH(B61,'Rooms Master'!D:D,0))</f>
        <v>N</v>
      </c>
      <c r="D61" s="15">
        <f t="array" ref="D61">INDEX('Dec 28 - Jan 3'!D$2:D$116,MATCH($B61,'Dec 28 - Jan 3'!$B$2:$B$116,0))-INDEX('Dec 21 - Dec 27'!D$2:D$115,MATCH($B61,'Dec 21 - Dec 27'!$B$2:$B$115,0))</f>
        <v>0</v>
      </c>
      <c r="E61" s="15">
        <f t="array" ref="E61">INDEX('Dec 28 - Jan 3'!E$2:E$116,MATCH($B61,'Dec 28 - Jan 3'!$B$2:$B$116,0))-INDEX('Dec 21 - Dec 27'!E$2:E$115,MATCH($B61,'Dec 21 - Dec 27'!$B$2:$B$115,0))</f>
        <v>0</v>
      </c>
      <c r="F61" s="15">
        <f t="array" ref="F61">INDEX('Dec 28 - Jan 3'!F$2:F$116,MATCH($B61,'Dec 28 - Jan 3'!$B$2:$B$116,0))-INDEX('Dec 21 - Dec 27'!F$2:F$115,MATCH($B61,'Dec 21 - Dec 27'!$B$2:$B$115,0))</f>
        <v>0</v>
      </c>
      <c r="G61" s="15">
        <f t="array" ref="G61">INDEX('Dec 28 - Jan 3'!G$2:G$116,MATCH($B61,'Dec 28 - Jan 3'!$B$2:$B$116,0))-INDEX('Dec 21 - Dec 27'!G$2:G$115,MATCH($B61,'Dec 21 - Dec 27'!$B$2:$B$115,0))</f>
        <v>3</v>
      </c>
      <c r="H61" s="15">
        <f t="array" ref="H61">INDEX('Dec 28 - Jan 3'!H$2:H$116,MATCH($B61,'Dec 28 - Jan 3'!$B$2:$B$116,0))-INDEX('Dec 21 - Dec 27'!H$2:H$115,MATCH($B61,'Dec 21 - Dec 27'!$B$2:$B$115,0))</f>
        <v>0</v>
      </c>
      <c r="I61" s="15">
        <f t="array" ref="I61">INDEX('Dec 28 - Jan 3'!I$2:I$116,MATCH($B61,'Dec 28 - Jan 3'!$B$2:$B$116,0))-INDEX('Dec 21 - Dec 27'!I$2:I$115,MATCH($B61,'Dec 21 - Dec 27'!$B$2:$B$115,0))</f>
        <v>0</v>
      </c>
      <c r="J61" s="15">
        <f t="array" ref="J61">INDEX('Dec 28 - Jan 3'!J$2:J$116,MATCH($B61,'Dec 28 - Jan 3'!$B$2:$B$116,0))-INDEX('Dec 21 - Dec 27'!J$2:J$115,MATCH($B61,'Dec 21 - Dec 27'!$B$2:$B$115,0))</f>
        <v>0</v>
      </c>
      <c r="K61" s="15">
        <f t="array" ref="K61">INDEX('Dec 28 - Jan 3'!K$2:K$116,MATCH($B61,'Dec 28 - Jan 3'!$B$2:$B$116,0))-INDEX('Dec 21 - Dec 27'!K$2:K$115,MATCH($B61,'Dec 21 - Dec 27'!$B$2:$B$115,0))</f>
        <v>0</v>
      </c>
    </row>
    <row r="62" spans="2:11" ht="12.75">
      <c r="B62" s="13" t="s">
        <v>117</v>
      </c>
      <c r="C62" s="14" t="str">
        <f t="array" aca="1" ref="C62" ca="1">INDEX('Rooms Master'!U:U,MATCH(B62,'Rooms Master'!D:D,0))</f>
        <v>N</v>
      </c>
      <c r="D62" s="15">
        <f t="array" ref="D62">INDEX('Dec 28 - Jan 3'!D$2:D$116,MATCH($B62,'Dec 28 - Jan 3'!$B$2:$B$116,0))-INDEX('Dec 21 - Dec 27'!D$2:D$115,MATCH($B62,'Dec 21 - Dec 27'!$B$2:$B$115,0))</f>
        <v>-37</v>
      </c>
      <c r="E62" s="15">
        <f t="array" ref="E62">INDEX('Dec 28 - Jan 3'!E$2:E$116,MATCH($B62,'Dec 28 - Jan 3'!$B$2:$B$116,0))-INDEX('Dec 21 - Dec 27'!E$2:E$115,MATCH($B62,'Dec 21 - Dec 27'!$B$2:$B$115,0))</f>
        <v>0</v>
      </c>
      <c r="F62" s="15">
        <f t="array" ref="F62">INDEX('Dec 28 - Jan 3'!F$2:F$116,MATCH($B62,'Dec 28 - Jan 3'!$B$2:$B$116,0))-INDEX('Dec 21 - Dec 27'!F$2:F$115,MATCH($B62,'Dec 21 - Dec 27'!$B$2:$B$115,0))</f>
        <v>-9</v>
      </c>
      <c r="G62" s="15">
        <f t="array" ref="G62">INDEX('Dec 28 - Jan 3'!G$2:G$116,MATCH($B62,'Dec 28 - Jan 3'!$B$2:$B$116,0))-INDEX('Dec 21 - Dec 27'!G$2:G$115,MATCH($B62,'Dec 21 - Dec 27'!$B$2:$B$115,0))</f>
        <v>1</v>
      </c>
      <c r="H62" s="15">
        <f t="array" ref="H62">INDEX('Dec 28 - Jan 3'!H$2:H$116,MATCH($B62,'Dec 28 - Jan 3'!$B$2:$B$116,0))-INDEX('Dec 21 - Dec 27'!H$2:H$115,MATCH($B62,'Dec 21 - Dec 27'!$B$2:$B$115,0))</f>
        <v>0</v>
      </c>
      <c r="I62" s="15">
        <f t="array" ref="I62">INDEX('Dec 28 - Jan 3'!I$2:I$116,MATCH($B62,'Dec 28 - Jan 3'!$B$2:$B$116,0))-INDEX('Dec 21 - Dec 27'!I$2:I$115,MATCH($B62,'Dec 21 - Dec 27'!$B$2:$B$115,0))</f>
        <v>0</v>
      </c>
      <c r="J62" s="15">
        <f t="array" ref="J62">INDEX('Dec 28 - Jan 3'!J$2:J$116,MATCH($B62,'Dec 28 - Jan 3'!$B$2:$B$116,0))-INDEX('Dec 21 - Dec 27'!J$2:J$115,MATCH($B62,'Dec 21 - Dec 27'!$B$2:$B$115,0))</f>
        <v>-3</v>
      </c>
      <c r="K62" s="15">
        <f t="array" ref="K62">INDEX('Dec 28 - Jan 3'!K$2:K$116,MATCH($B62,'Dec 28 - Jan 3'!$B$2:$B$116,0))-INDEX('Dec 21 - Dec 27'!K$2:K$115,MATCH($B62,'Dec 21 - Dec 27'!$B$2:$B$115,0))</f>
        <v>-3</v>
      </c>
    </row>
    <row r="63" spans="2:11" ht="12.75">
      <c r="B63" s="13" t="s">
        <v>127</v>
      </c>
      <c r="C63" s="14" t="str">
        <f t="array" aca="1" ref="C63" ca="1">INDEX('Rooms Master'!U:U,MATCH(B63,'Rooms Master'!D:D,0))</f>
        <v>N</v>
      </c>
      <c r="D63" s="15">
        <f t="array" ref="D63">INDEX('Dec 28 - Jan 3'!D$2:D$116,MATCH($B63,'Dec 28 - Jan 3'!$B$2:$B$116,0))-INDEX('Dec 21 - Dec 27'!D$2:D$115,MATCH($B63,'Dec 21 - Dec 27'!$B$2:$B$115,0))</f>
        <v>0</v>
      </c>
      <c r="E63" s="15">
        <f t="array" ref="E63">INDEX('Dec 28 - Jan 3'!E$2:E$116,MATCH($B63,'Dec 28 - Jan 3'!$B$2:$B$116,0))-INDEX('Dec 21 - Dec 27'!E$2:E$115,MATCH($B63,'Dec 21 - Dec 27'!$B$2:$B$115,0))</f>
        <v>0</v>
      </c>
      <c r="F63" s="15">
        <f t="array" ref="F63">INDEX('Dec 28 - Jan 3'!F$2:F$116,MATCH($B63,'Dec 28 - Jan 3'!$B$2:$B$116,0))-INDEX('Dec 21 - Dec 27'!F$2:F$115,MATCH($B63,'Dec 21 - Dec 27'!$B$2:$B$115,0))</f>
        <v>0</v>
      </c>
      <c r="G63" s="15">
        <f t="array" ref="G63">INDEX('Dec 28 - Jan 3'!G$2:G$116,MATCH($B63,'Dec 28 - Jan 3'!$B$2:$B$116,0))-INDEX('Dec 21 - Dec 27'!G$2:G$115,MATCH($B63,'Dec 21 - Dec 27'!$B$2:$B$115,0))</f>
        <v>0</v>
      </c>
      <c r="H63" s="15">
        <f t="array" ref="H63">INDEX('Dec 28 - Jan 3'!H$2:H$116,MATCH($B63,'Dec 28 - Jan 3'!$B$2:$B$116,0))-INDEX('Dec 21 - Dec 27'!H$2:H$115,MATCH($B63,'Dec 21 - Dec 27'!$B$2:$B$115,0))</f>
        <v>0</v>
      </c>
      <c r="I63" s="15">
        <f t="array" ref="I63">INDEX('Dec 28 - Jan 3'!I$2:I$116,MATCH($B63,'Dec 28 - Jan 3'!$B$2:$B$116,0))-INDEX('Dec 21 - Dec 27'!I$2:I$115,MATCH($B63,'Dec 21 - Dec 27'!$B$2:$B$115,0))</f>
        <v>0</v>
      </c>
      <c r="J63" s="15">
        <f t="array" ref="J63">INDEX('Dec 28 - Jan 3'!J$2:J$116,MATCH($B63,'Dec 28 - Jan 3'!$B$2:$B$116,0))-INDEX('Dec 21 - Dec 27'!J$2:J$115,MATCH($B63,'Dec 21 - Dec 27'!$B$2:$B$115,0))</f>
        <v>0</v>
      </c>
      <c r="K63" s="15">
        <f t="array" ref="K63">INDEX('Dec 28 - Jan 3'!K$2:K$116,MATCH($B63,'Dec 28 - Jan 3'!$B$2:$B$116,0))-INDEX('Dec 21 - Dec 27'!K$2:K$115,MATCH($B63,'Dec 21 - Dec 27'!$B$2:$B$115,0))</f>
        <v>0</v>
      </c>
    </row>
    <row r="64" spans="2:11" ht="12.75">
      <c r="B64" s="13" t="s">
        <v>125</v>
      </c>
      <c r="C64" s="14" t="str">
        <f t="array" aca="1" ref="C64" ca="1">INDEX('Rooms Master'!U:U,MATCH(B64,'Rooms Master'!D:D,0))</f>
        <v>N</v>
      </c>
      <c r="D64" s="15">
        <f t="array" ref="D64">INDEX('Dec 28 - Jan 3'!D$2:D$116,MATCH($B64,'Dec 28 - Jan 3'!$B$2:$B$116,0))-INDEX('Dec 21 - Dec 27'!D$2:D$115,MATCH($B64,'Dec 21 - Dec 27'!$B$2:$B$115,0))</f>
        <v>0</v>
      </c>
      <c r="E64" s="15">
        <f t="array" ref="E64">INDEX('Dec 28 - Jan 3'!E$2:E$116,MATCH($B64,'Dec 28 - Jan 3'!$B$2:$B$116,0))-INDEX('Dec 21 - Dec 27'!E$2:E$115,MATCH($B64,'Dec 21 - Dec 27'!$B$2:$B$115,0))</f>
        <v>0</v>
      </c>
      <c r="F64" s="15">
        <f t="array" ref="F64">INDEX('Dec 28 - Jan 3'!F$2:F$116,MATCH($B64,'Dec 28 - Jan 3'!$B$2:$B$116,0))-INDEX('Dec 21 - Dec 27'!F$2:F$115,MATCH($B64,'Dec 21 - Dec 27'!$B$2:$B$115,0))</f>
        <v>1</v>
      </c>
      <c r="G64" s="15">
        <f t="array" ref="G64">INDEX('Dec 28 - Jan 3'!G$2:G$116,MATCH($B64,'Dec 28 - Jan 3'!$B$2:$B$116,0))-INDEX('Dec 21 - Dec 27'!G$2:G$115,MATCH($B64,'Dec 21 - Dec 27'!$B$2:$B$115,0))</f>
        <v>1</v>
      </c>
      <c r="H64" s="15">
        <f t="array" ref="H64">INDEX('Dec 28 - Jan 3'!H$2:H$116,MATCH($B64,'Dec 28 - Jan 3'!$B$2:$B$116,0))-INDEX('Dec 21 - Dec 27'!H$2:H$115,MATCH($B64,'Dec 21 - Dec 27'!$B$2:$B$115,0))</f>
        <v>0</v>
      </c>
      <c r="I64" s="15">
        <f t="array" ref="I64">INDEX('Dec 28 - Jan 3'!I$2:I$116,MATCH($B64,'Dec 28 - Jan 3'!$B$2:$B$116,0))-INDEX('Dec 21 - Dec 27'!I$2:I$115,MATCH($B64,'Dec 21 - Dec 27'!$B$2:$B$115,0))</f>
        <v>0</v>
      </c>
      <c r="J64" s="15">
        <f t="array" ref="J64">INDEX('Dec 28 - Jan 3'!J$2:J$116,MATCH($B64,'Dec 28 - Jan 3'!$B$2:$B$116,0))-INDEX('Dec 21 - Dec 27'!J$2:J$115,MATCH($B64,'Dec 21 - Dec 27'!$B$2:$B$115,0))</f>
        <v>0</v>
      </c>
      <c r="K64" s="15">
        <f t="array" ref="K64">INDEX('Dec 28 - Jan 3'!K$2:K$116,MATCH($B64,'Dec 28 - Jan 3'!$B$2:$B$116,0))-INDEX('Dec 21 - Dec 27'!K$2:K$115,MATCH($B64,'Dec 21 - Dec 27'!$B$2:$B$115,0))</f>
        <v>0</v>
      </c>
    </row>
    <row r="65" spans="2:11" ht="12.75">
      <c r="B65" s="13" t="s">
        <v>128</v>
      </c>
      <c r="C65" s="14" t="str">
        <f t="array" aca="1" ref="C65" ca="1">INDEX('Rooms Master'!U:U,MATCH(B65,'Rooms Master'!D:D,0))</f>
        <v>N</v>
      </c>
      <c r="D65" s="15">
        <f t="array" ref="D65">INDEX('Dec 28 - Jan 3'!D$2:D$116,MATCH($B65,'Dec 28 - Jan 3'!$B$2:$B$116,0))-INDEX('Dec 21 - Dec 27'!D$2:D$115,MATCH($B65,'Dec 21 - Dec 27'!$B$2:$B$115,0))</f>
        <v>0</v>
      </c>
      <c r="E65" s="15">
        <f t="array" ref="E65">INDEX('Dec 28 - Jan 3'!E$2:E$116,MATCH($B65,'Dec 28 - Jan 3'!$B$2:$B$116,0))-INDEX('Dec 21 - Dec 27'!E$2:E$115,MATCH($B65,'Dec 21 - Dec 27'!$B$2:$B$115,0))</f>
        <v>0</v>
      </c>
      <c r="F65" s="15">
        <f t="array" ref="F65">INDEX('Dec 28 - Jan 3'!F$2:F$116,MATCH($B65,'Dec 28 - Jan 3'!$B$2:$B$116,0))-INDEX('Dec 21 - Dec 27'!F$2:F$115,MATCH($B65,'Dec 21 - Dec 27'!$B$2:$B$115,0))</f>
        <v>0</v>
      </c>
      <c r="G65" s="15">
        <f t="array" ref="G65">INDEX('Dec 28 - Jan 3'!G$2:G$116,MATCH($B65,'Dec 28 - Jan 3'!$B$2:$B$116,0))-INDEX('Dec 21 - Dec 27'!G$2:G$115,MATCH($B65,'Dec 21 - Dec 27'!$B$2:$B$115,0))</f>
        <v>4</v>
      </c>
      <c r="H65" s="15">
        <f t="array" ref="H65">INDEX('Dec 28 - Jan 3'!H$2:H$116,MATCH($B65,'Dec 28 - Jan 3'!$B$2:$B$116,0))-INDEX('Dec 21 - Dec 27'!H$2:H$115,MATCH($B65,'Dec 21 - Dec 27'!$B$2:$B$115,0))</f>
        <v>0</v>
      </c>
      <c r="I65" s="15">
        <f t="array" ref="I65">INDEX('Dec 28 - Jan 3'!I$2:I$116,MATCH($B65,'Dec 28 - Jan 3'!$B$2:$B$116,0))-INDEX('Dec 21 - Dec 27'!I$2:I$115,MATCH($B65,'Dec 21 - Dec 27'!$B$2:$B$115,0))</f>
        <v>0</v>
      </c>
      <c r="J65" s="15">
        <f t="array" ref="J65">INDEX('Dec 28 - Jan 3'!J$2:J$116,MATCH($B65,'Dec 28 - Jan 3'!$B$2:$B$116,0))-INDEX('Dec 21 - Dec 27'!J$2:J$115,MATCH($B65,'Dec 21 - Dec 27'!$B$2:$B$115,0))</f>
        <v>0</v>
      </c>
      <c r="K65" s="15">
        <f t="array" ref="K65">INDEX('Dec 28 - Jan 3'!K$2:K$116,MATCH($B65,'Dec 28 - Jan 3'!$B$2:$B$116,0))-INDEX('Dec 21 - Dec 27'!K$2:K$115,MATCH($B65,'Dec 21 - Dec 27'!$B$2:$B$115,0))</f>
        <v>0</v>
      </c>
    </row>
    <row r="66" spans="2:11" ht="12.75">
      <c r="B66" s="13" t="s">
        <v>131</v>
      </c>
      <c r="C66" s="14" t="str">
        <f t="array" aca="1" ref="C66" ca="1">INDEX('Rooms Master'!U:U,MATCH(B66,'Rooms Master'!D:D,0))</f>
        <v>N</v>
      </c>
      <c r="D66" s="15">
        <f t="array" ref="D66">INDEX('Dec 28 - Jan 3'!D$2:D$116,MATCH($B66,'Dec 28 - Jan 3'!$B$2:$B$116,0))-INDEX('Dec 21 - Dec 27'!D$2:D$115,MATCH($B66,'Dec 21 - Dec 27'!$B$2:$B$115,0))</f>
        <v>0</v>
      </c>
      <c r="E66" s="15">
        <f t="array" ref="E66">INDEX('Dec 28 - Jan 3'!E$2:E$116,MATCH($B66,'Dec 28 - Jan 3'!$B$2:$B$116,0))-INDEX('Dec 21 - Dec 27'!E$2:E$115,MATCH($B66,'Dec 21 - Dec 27'!$B$2:$B$115,0))</f>
        <v>0</v>
      </c>
      <c r="F66" s="15">
        <f t="array" ref="F66">INDEX('Dec 28 - Jan 3'!F$2:F$116,MATCH($B66,'Dec 28 - Jan 3'!$B$2:$B$116,0))-INDEX('Dec 21 - Dec 27'!F$2:F$115,MATCH($B66,'Dec 21 - Dec 27'!$B$2:$B$115,0))</f>
        <v>0</v>
      </c>
      <c r="G66" s="15">
        <f t="array" ref="G66">INDEX('Dec 28 - Jan 3'!G$2:G$116,MATCH($B66,'Dec 28 - Jan 3'!$B$2:$B$116,0))-INDEX('Dec 21 - Dec 27'!G$2:G$115,MATCH($B66,'Dec 21 - Dec 27'!$B$2:$B$115,0))</f>
        <v>0</v>
      </c>
      <c r="H66" s="15">
        <f t="array" ref="H66">INDEX('Dec 28 - Jan 3'!H$2:H$116,MATCH($B66,'Dec 28 - Jan 3'!$B$2:$B$116,0))-INDEX('Dec 21 - Dec 27'!H$2:H$115,MATCH($B66,'Dec 21 - Dec 27'!$B$2:$B$115,0))</f>
        <v>0</v>
      </c>
      <c r="I66" s="15">
        <f t="array" ref="I66">INDEX('Dec 28 - Jan 3'!I$2:I$116,MATCH($B66,'Dec 28 - Jan 3'!$B$2:$B$116,0))-INDEX('Dec 21 - Dec 27'!I$2:I$115,MATCH($B66,'Dec 21 - Dec 27'!$B$2:$B$115,0))</f>
        <v>0</v>
      </c>
      <c r="J66" s="15">
        <f t="array" ref="J66">INDEX('Dec 28 - Jan 3'!J$2:J$116,MATCH($B66,'Dec 28 - Jan 3'!$B$2:$B$116,0))-INDEX('Dec 21 - Dec 27'!J$2:J$115,MATCH($B66,'Dec 21 - Dec 27'!$B$2:$B$115,0))</f>
        <v>0</v>
      </c>
      <c r="K66" s="15">
        <f t="array" ref="K66">INDEX('Dec 28 - Jan 3'!K$2:K$116,MATCH($B66,'Dec 28 - Jan 3'!$B$2:$B$116,0))-INDEX('Dec 21 - Dec 27'!K$2:K$115,MATCH($B66,'Dec 21 - Dec 27'!$B$2:$B$115,0))</f>
        <v>0</v>
      </c>
    </row>
    <row r="67" spans="2:11" ht="12.75">
      <c r="B67" s="13" t="s">
        <v>130</v>
      </c>
      <c r="C67" s="14" t="str">
        <f t="array" aca="1" ref="C67" ca="1">INDEX('Rooms Master'!U:U,MATCH(B67,'Rooms Master'!D:D,0))</f>
        <v>N</v>
      </c>
      <c r="D67" s="15">
        <f t="array" ref="D67">INDEX('Dec 28 - Jan 3'!D$2:D$116,MATCH($B67,'Dec 28 - Jan 3'!$B$2:$B$116,0))-INDEX('Dec 21 - Dec 27'!D$2:D$115,MATCH($B67,'Dec 21 - Dec 27'!$B$2:$B$115,0))</f>
        <v>0</v>
      </c>
      <c r="E67" s="15">
        <f t="array" ref="E67">INDEX('Dec 28 - Jan 3'!E$2:E$116,MATCH($B67,'Dec 28 - Jan 3'!$B$2:$B$116,0))-INDEX('Dec 21 - Dec 27'!E$2:E$115,MATCH($B67,'Dec 21 - Dec 27'!$B$2:$B$115,0))</f>
        <v>0</v>
      </c>
      <c r="F67" s="15">
        <f t="array" ref="F67">INDEX('Dec 28 - Jan 3'!F$2:F$116,MATCH($B67,'Dec 28 - Jan 3'!$B$2:$B$116,0))-INDEX('Dec 21 - Dec 27'!F$2:F$115,MATCH($B67,'Dec 21 - Dec 27'!$B$2:$B$115,0))</f>
        <v>0</v>
      </c>
      <c r="G67" s="15">
        <f t="array" ref="G67">INDEX('Dec 28 - Jan 3'!G$2:G$116,MATCH($B67,'Dec 28 - Jan 3'!$B$2:$B$116,0))-INDEX('Dec 21 - Dec 27'!G$2:G$115,MATCH($B67,'Dec 21 - Dec 27'!$B$2:$B$115,0))</f>
        <v>0</v>
      </c>
      <c r="H67" s="15">
        <f t="array" ref="H67">INDEX('Dec 28 - Jan 3'!H$2:H$116,MATCH($B67,'Dec 28 - Jan 3'!$B$2:$B$116,0))-INDEX('Dec 21 - Dec 27'!H$2:H$115,MATCH($B67,'Dec 21 - Dec 27'!$B$2:$B$115,0))</f>
        <v>0</v>
      </c>
      <c r="I67" s="15">
        <f t="array" ref="I67">INDEX('Dec 28 - Jan 3'!I$2:I$116,MATCH($B67,'Dec 28 - Jan 3'!$B$2:$B$116,0))-INDEX('Dec 21 - Dec 27'!I$2:I$115,MATCH($B67,'Dec 21 - Dec 27'!$B$2:$B$115,0))</f>
        <v>0</v>
      </c>
      <c r="J67" s="15">
        <f t="array" ref="J67">INDEX('Dec 28 - Jan 3'!J$2:J$116,MATCH($B67,'Dec 28 - Jan 3'!$B$2:$B$116,0))-INDEX('Dec 21 - Dec 27'!J$2:J$115,MATCH($B67,'Dec 21 - Dec 27'!$B$2:$B$115,0))</f>
        <v>0</v>
      </c>
      <c r="K67" s="15">
        <f t="array" ref="K67">INDEX('Dec 28 - Jan 3'!K$2:K$116,MATCH($B67,'Dec 28 - Jan 3'!$B$2:$B$116,0))-INDEX('Dec 21 - Dec 27'!K$2:K$115,MATCH($B67,'Dec 21 - Dec 27'!$B$2:$B$115,0))</f>
        <v>0</v>
      </c>
    </row>
    <row r="68" spans="2:11" ht="12.75">
      <c r="B68" s="13" t="s">
        <v>132</v>
      </c>
      <c r="C68" s="14" t="str">
        <f t="array" aca="1" ref="C68" ca="1">INDEX('Rooms Master'!U:U,MATCH(B68,'Rooms Master'!D:D,0))</f>
        <v>N</v>
      </c>
      <c r="D68" s="15">
        <f t="array" ref="D68">INDEX('Dec 28 - Jan 3'!D$2:D$116,MATCH($B68,'Dec 28 - Jan 3'!$B$2:$B$116,0))-INDEX('Dec 21 - Dec 27'!D$2:D$115,MATCH($B68,'Dec 21 - Dec 27'!$B$2:$B$115,0))</f>
        <v>0</v>
      </c>
      <c r="E68" s="15">
        <f t="array" ref="E68">INDEX('Dec 28 - Jan 3'!E$2:E$116,MATCH($B68,'Dec 28 - Jan 3'!$B$2:$B$116,0))-INDEX('Dec 21 - Dec 27'!E$2:E$115,MATCH($B68,'Dec 21 - Dec 27'!$B$2:$B$115,0))</f>
        <v>0</v>
      </c>
      <c r="F68" s="15">
        <f t="array" ref="F68">INDEX('Dec 28 - Jan 3'!F$2:F$116,MATCH($B68,'Dec 28 - Jan 3'!$B$2:$B$116,0))-INDEX('Dec 21 - Dec 27'!F$2:F$115,MATCH($B68,'Dec 21 - Dec 27'!$B$2:$B$115,0))</f>
        <v>0</v>
      </c>
      <c r="G68" s="15">
        <f t="array" ref="G68">INDEX('Dec 28 - Jan 3'!G$2:G$116,MATCH($B68,'Dec 28 - Jan 3'!$B$2:$B$116,0))-INDEX('Dec 21 - Dec 27'!G$2:G$115,MATCH($B68,'Dec 21 - Dec 27'!$B$2:$B$115,0))</f>
        <v>0</v>
      </c>
      <c r="H68" s="15">
        <f t="array" ref="H68">INDEX('Dec 28 - Jan 3'!H$2:H$116,MATCH($B68,'Dec 28 - Jan 3'!$B$2:$B$116,0))-INDEX('Dec 21 - Dec 27'!H$2:H$115,MATCH($B68,'Dec 21 - Dec 27'!$B$2:$B$115,0))</f>
        <v>0</v>
      </c>
      <c r="I68" s="15">
        <f t="array" ref="I68">INDEX('Dec 28 - Jan 3'!I$2:I$116,MATCH($B68,'Dec 28 - Jan 3'!$B$2:$B$116,0))-INDEX('Dec 21 - Dec 27'!I$2:I$115,MATCH($B68,'Dec 21 - Dec 27'!$B$2:$B$115,0))</f>
        <v>0</v>
      </c>
      <c r="J68" s="15">
        <f t="array" ref="J68">INDEX('Dec 28 - Jan 3'!J$2:J$116,MATCH($B68,'Dec 28 - Jan 3'!$B$2:$B$116,0))-INDEX('Dec 21 - Dec 27'!J$2:J$115,MATCH($B68,'Dec 21 - Dec 27'!$B$2:$B$115,0))</f>
        <v>0</v>
      </c>
      <c r="K68" s="15">
        <f t="array" ref="K68">INDEX('Dec 28 - Jan 3'!K$2:K$116,MATCH($B68,'Dec 28 - Jan 3'!$B$2:$B$116,0))-INDEX('Dec 21 - Dec 27'!K$2:K$115,MATCH($B68,'Dec 21 - Dec 27'!$B$2:$B$115,0))</f>
        <v>0</v>
      </c>
    </row>
    <row r="69" spans="2:11" ht="12.75">
      <c r="B69" s="13" t="s">
        <v>119</v>
      </c>
      <c r="C69" s="14" t="str">
        <f t="array" aca="1" ref="C69" ca="1">INDEX('Rooms Master'!U:U,MATCH(B69,'Rooms Master'!D:D,0))</f>
        <v>N</v>
      </c>
      <c r="D69" s="15">
        <f t="array" ref="D69">INDEX('Dec 28 - Jan 3'!D$2:D$116,MATCH($B69,'Dec 28 - Jan 3'!$B$2:$B$116,0))-INDEX('Dec 21 - Dec 27'!D$2:D$115,MATCH($B69,'Dec 21 - Dec 27'!$B$2:$B$115,0))</f>
        <v>0</v>
      </c>
      <c r="E69" s="15">
        <f t="array" ref="E69">INDEX('Dec 28 - Jan 3'!E$2:E$116,MATCH($B69,'Dec 28 - Jan 3'!$B$2:$B$116,0))-INDEX('Dec 21 - Dec 27'!E$2:E$115,MATCH($B69,'Dec 21 - Dec 27'!$B$2:$B$115,0))</f>
        <v>0</v>
      </c>
      <c r="F69" s="15">
        <f t="array" ref="F69">INDEX('Dec 28 - Jan 3'!F$2:F$116,MATCH($B69,'Dec 28 - Jan 3'!$B$2:$B$116,0))-INDEX('Dec 21 - Dec 27'!F$2:F$115,MATCH($B69,'Dec 21 - Dec 27'!$B$2:$B$115,0))</f>
        <v>0</v>
      </c>
      <c r="G69" s="15">
        <f t="array" ref="G69">INDEX('Dec 28 - Jan 3'!G$2:G$116,MATCH($B69,'Dec 28 - Jan 3'!$B$2:$B$116,0))-INDEX('Dec 21 - Dec 27'!G$2:G$115,MATCH($B69,'Dec 21 - Dec 27'!$B$2:$B$115,0))</f>
        <v>0</v>
      </c>
      <c r="H69" s="15">
        <f t="array" ref="H69">INDEX('Dec 28 - Jan 3'!H$2:H$116,MATCH($B69,'Dec 28 - Jan 3'!$B$2:$B$116,0))-INDEX('Dec 21 - Dec 27'!H$2:H$115,MATCH($B69,'Dec 21 - Dec 27'!$B$2:$B$115,0))</f>
        <v>0</v>
      </c>
      <c r="I69" s="15">
        <f t="array" ref="I69">INDEX('Dec 28 - Jan 3'!I$2:I$116,MATCH($B69,'Dec 28 - Jan 3'!$B$2:$B$116,0))-INDEX('Dec 21 - Dec 27'!I$2:I$115,MATCH($B69,'Dec 21 - Dec 27'!$B$2:$B$115,0))</f>
        <v>0</v>
      </c>
      <c r="J69" s="15">
        <f t="array" ref="J69">INDEX('Dec 28 - Jan 3'!J$2:J$116,MATCH($B69,'Dec 28 - Jan 3'!$B$2:$B$116,0))-INDEX('Dec 21 - Dec 27'!J$2:J$115,MATCH($B69,'Dec 21 - Dec 27'!$B$2:$B$115,0))</f>
        <v>0</v>
      </c>
      <c r="K69" s="15">
        <f t="array" ref="K69">INDEX('Dec 28 - Jan 3'!K$2:K$116,MATCH($B69,'Dec 28 - Jan 3'!$B$2:$B$116,0))-INDEX('Dec 21 - Dec 27'!K$2:K$115,MATCH($B69,'Dec 21 - Dec 27'!$B$2:$B$115,0))</f>
        <v>0</v>
      </c>
    </row>
    <row r="70" spans="2:11" ht="12.75">
      <c r="B70" s="13" t="s">
        <v>133</v>
      </c>
      <c r="C70" s="14" t="str">
        <f t="array" aca="1" ref="C70" ca="1">INDEX('Rooms Master'!U:U,MATCH(B70,'Rooms Master'!D:D,0))</f>
        <v>N</v>
      </c>
      <c r="D70" s="15">
        <f t="array" ref="D70">INDEX('Dec 28 - Jan 3'!D$2:D$116,MATCH($B70,'Dec 28 - Jan 3'!$B$2:$B$116,0))-INDEX('Dec 21 - Dec 27'!D$2:D$115,MATCH($B70,'Dec 21 - Dec 27'!$B$2:$B$115,0))</f>
        <v>0</v>
      </c>
      <c r="E70" s="15">
        <f t="array" ref="E70">INDEX('Dec 28 - Jan 3'!E$2:E$116,MATCH($B70,'Dec 28 - Jan 3'!$B$2:$B$116,0))-INDEX('Dec 21 - Dec 27'!E$2:E$115,MATCH($B70,'Dec 21 - Dec 27'!$B$2:$B$115,0))</f>
        <v>0</v>
      </c>
      <c r="F70" s="15">
        <f t="array" ref="F70">INDEX('Dec 28 - Jan 3'!F$2:F$116,MATCH($B70,'Dec 28 - Jan 3'!$B$2:$B$116,0))-INDEX('Dec 21 - Dec 27'!F$2:F$115,MATCH($B70,'Dec 21 - Dec 27'!$B$2:$B$115,0))</f>
        <v>0</v>
      </c>
      <c r="G70" s="15">
        <f t="array" ref="G70">INDEX('Dec 28 - Jan 3'!G$2:G$116,MATCH($B70,'Dec 28 - Jan 3'!$B$2:$B$116,0))-INDEX('Dec 21 - Dec 27'!G$2:G$115,MATCH($B70,'Dec 21 - Dec 27'!$B$2:$B$115,0))</f>
        <v>0</v>
      </c>
      <c r="H70" s="15">
        <f t="array" ref="H70">INDEX('Dec 28 - Jan 3'!H$2:H$116,MATCH($B70,'Dec 28 - Jan 3'!$B$2:$B$116,0))-INDEX('Dec 21 - Dec 27'!H$2:H$115,MATCH($B70,'Dec 21 - Dec 27'!$B$2:$B$115,0))</f>
        <v>0</v>
      </c>
      <c r="I70" s="15">
        <f t="array" ref="I70">INDEX('Dec 28 - Jan 3'!I$2:I$116,MATCH($B70,'Dec 28 - Jan 3'!$B$2:$B$116,0))-INDEX('Dec 21 - Dec 27'!I$2:I$115,MATCH($B70,'Dec 21 - Dec 27'!$B$2:$B$115,0))</f>
        <v>0</v>
      </c>
      <c r="J70" s="15">
        <f t="array" ref="J70">INDEX('Dec 28 - Jan 3'!J$2:J$116,MATCH($B70,'Dec 28 - Jan 3'!$B$2:$B$116,0))-INDEX('Dec 21 - Dec 27'!J$2:J$115,MATCH($B70,'Dec 21 - Dec 27'!$B$2:$B$115,0))</f>
        <v>0</v>
      </c>
      <c r="K70" s="15">
        <f t="array" ref="K70">INDEX('Dec 28 - Jan 3'!K$2:K$116,MATCH($B70,'Dec 28 - Jan 3'!$B$2:$B$116,0))-INDEX('Dec 21 - Dec 27'!K$2:K$115,MATCH($B70,'Dec 21 - Dec 27'!$B$2:$B$115,0))</f>
        <v>0</v>
      </c>
    </row>
    <row r="71" spans="2:11" ht="12.75">
      <c r="B71" s="13" t="s">
        <v>134</v>
      </c>
      <c r="C71" s="14" t="str">
        <f t="array" aca="1" ref="C71" ca="1">INDEX('Rooms Master'!U:U,MATCH(B71,'Rooms Master'!D:D,0))</f>
        <v>N</v>
      </c>
      <c r="D71" s="15">
        <f t="array" ref="D71">INDEX('Dec 28 - Jan 3'!D$2:D$116,MATCH($B71,'Dec 28 - Jan 3'!$B$2:$B$116,0))-INDEX('Dec 21 - Dec 27'!D$2:D$115,MATCH($B71,'Dec 21 - Dec 27'!$B$2:$B$115,0))</f>
        <v>0</v>
      </c>
      <c r="E71" s="15">
        <f t="array" ref="E71">INDEX('Dec 28 - Jan 3'!E$2:E$116,MATCH($B71,'Dec 28 - Jan 3'!$B$2:$B$116,0))-INDEX('Dec 21 - Dec 27'!E$2:E$115,MATCH($B71,'Dec 21 - Dec 27'!$B$2:$B$115,0))</f>
        <v>0</v>
      </c>
      <c r="F71" s="15">
        <f t="array" ref="F71">INDEX('Dec 28 - Jan 3'!F$2:F$116,MATCH($B71,'Dec 28 - Jan 3'!$B$2:$B$116,0))-INDEX('Dec 21 - Dec 27'!F$2:F$115,MATCH($B71,'Dec 21 - Dec 27'!$B$2:$B$115,0))</f>
        <v>0</v>
      </c>
      <c r="G71" s="15">
        <f t="array" ref="G71">INDEX('Dec 28 - Jan 3'!G$2:G$116,MATCH($B71,'Dec 28 - Jan 3'!$B$2:$B$116,0))-INDEX('Dec 21 - Dec 27'!G$2:G$115,MATCH($B71,'Dec 21 - Dec 27'!$B$2:$B$115,0))</f>
        <v>0</v>
      </c>
      <c r="H71" s="15">
        <f t="array" ref="H71">INDEX('Dec 28 - Jan 3'!H$2:H$116,MATCH($B71,'Dec 28 - Jan 3'!$B$2:$B$116,0))-INDEX('Dec 21 - Dec 27'!H$2:H$115,MATCH($B71,'Dec 21 - Dec 27'!$B$2:$B$115,0))</f>
        <v>0</v>
      </c>
      <c r="I71" s="15">
        <f t="array" ref="I71">INDEX('Dec 28 - Jan 3'!I$2:I$116,MATCH($B71,'Dec 28 - Jan 3'!$B$2:$B$116,0))-INDEX('Dec 21 - Dec 27'!I$2:I$115,MATCH($B71,'Dec 21 - Dec 27'!$B$2:$B$115,0))</f>
        <v>0</v>
      </c>
      <c r="J71" s="15">
        <f t="array" ref="J71">INDEX('Dec 28 - Jan 3'!J$2:J$116,MATCH($B71,'Dec 28 - Jan 3'!$B$2:$B$116,0))-INDEX('Dec 21 - Dec 27'!J$2:J$115,MATCH($B71,'Dec 21 - Dec 27'!$B$2:$B$115,0))</f>
        <v>0</v>
      </c>
      <c r="K71" s="15">
        <f t="array" ref="K71">INDEX('Dec 28 - Jan 3'!K$2:K$116,MATCH($B71,'Dec 28 - Jan 3'!$B$2:$B$116,0))-INDEX('Dec 21 - Dec 27'!K$2:K$115,MATCH($B71,'Dec 21 - Dec 27'!$B$2:$B$115,0))</f>
        <v>0</v>
      </c>
    </row>
    <row r="72" spans="2:11" ht="12.75">
      <c r="B72" s="13" t="s">
        <v>105</v>
      </c>
      <c r="C72" s="14" t="str">
        <f t="array" aca="1" ref="C72" ca="1">INDEX('Rooms Master'!U:U,MATCH(B72,'Rooms Master'!D:D,0))</f>
        <v>Y</v>
      </c>
      <c r="D72" s="15">
        <f t="array" ref="D72">INDEX('Dec 28 - Jan 3'!D$2:D$116,MATCH($B72,'Dec 28 - Jan 3'!$B$2:$B$116,0))-INDEX('Dec 21 - Dec 27'!D$2:D$115,MATCH($B72,'Dec 21 - Dec 27'!$B$2:$B$115,0))</f>
        <v>-11</v>
      </c>
      <c r="E72" s="15">
        <f t="array" ref="E72">INDEX('Dec 28 - Jan 3'!E$2:E$116,MATCH($B72,'Dec 28 - Jan 3'!$B$2:$B$116,0))-INDEX('Dec 21 - Dec 27'!E$2:E$115,MATCH($B72,'Dec 21 - Dec 27'!$B$2:$B$115,0))</f>
        <v>0</v>
      </c>
      <c r="F72" s="15">
        <f t="array" ref="F72">INDEX('Dec 28 - Jan 3'!F$2:F$116,MATCH($B72,'Dec 28 - Jan 3'!$B$2:$B$116,0))-INDEX('Dec 21 - Dec 27'!F$2:F$115,MATCH($B72,'Dec 21 - Dec 27'!$B$2:$B$115,0))</f>
        <v>0</v>
      </c>
      <c r="G72" s="15">
        <f t="array" ref="G72">INDEX('Dec 28 - Jan 3'!G$2:G$116,MATCH($B72,'Dec 28 - Jan 3'!$B$2:$B$116,0))-INDEX('Dec 21 - Dec 27'!G$2:G$115,MATCH($B72,'Dec 21 - Dec 27'!$B$2:$B$115,0))</f>
        <v>0</v>
      </c>
      <c r="H72" s="15">
        <f t="array" ref="H72">INDEX('Dec 28 - Jan 3'!H$2:H$116,MATCH($B72,'Dec 28 - Jan 3'!$B$2:$B$116,0))-INDEX('Dec 21 - Dec 27'!H$2:H$115,MATCH($B72,'Dec 21 - Dec 27'!$B$2:$B$115,0))</f>
        <v>4</v>
      </c>
      <c r="I72" s="15">
        <f t="array" ref="I72">INDEX('Dec 28 - Jan 3'!I$2:I$116,MATCH($B72,'Dec 28 - Jan 3'!$B$2:$B$116,0))-INDEX('Dec 21 - Dec 27'!I$2:I$115,MATCH($B72,'Dec 21 - Dec 27'!$B$2:$B$115,0))</f>
        <v>0</v>
      </c>
      <c r="J72" s="15">
        <f t="array" ref="J72">INDEX('Dec 28 - Jan 3'!J$2:J$116,MATCH($B72,'Dec 28 - Jan 3'!$B$2:$B$116,0))-INDEX('Dec 21 - Dec 27'!J$2:J$115,MATCH($B72,'Dec 21 - Dec 27'!$B$2:$B$115,0))</f>
        <v>0</v>
      </c>
      <c r="K72" s="15">
        <f t="array" ref="K72">INDEX('Dec 28 - Jan 3'!K$2:K$116,MATCH($B72,'Dec 28 - Jan 3'!$B$2:$B$116,0))-INDEX('Dec 21 - Dec 27'!K$2:K$115,MATCH($B72,'Dec 21 - Dec 27'!$B$2:$B$115,0))</f>
        <v>0</v>
      </c>
    </row>
    <row r="73" spans="2:11" ht="12.75">
      <c r="B73" s="13" t="s">
        <v>139</v>
      </c>
      <c r="C73" s="14" t="str">
        <f t="array" aca="1" ref="C73" ca="1">INDEX('Rooms Master'!U:U,MATCH(B73,'Rooms Master'!D:D,0))</f>
        <v>N</v>
      </c>
      <c r="D73" s="15">
        <f t="array" ref="D73">INDEX('Dec 28 - Jan 3'!D$2:D$116,MATCH($B73,'Dec 28 - Jan 3'!$B$2:$B$116,0))-INDEX('Dec 21 - Dec 27'!D$2:D$115,MATCH($B73,'Dec 21 - Dec 27'!$B$2:$B$115,0))</f>
        <v>0</v>
      </c>
      <c r="E73" s="15">
        <f t="array" ref="E73">INDEX('Dec 28 - Jan 3'!E$2:E$116,MATCH($B73,'Dec 28 - Jan 3'!$B$2:$B$116,0))-INDEX('Dec 21 - Dec 27'!E$2:E$115,MATCH($B73,'Dec 21 - Dec 27'!$B$2:$B$115,0))</f>
        <v>0</v>
      </c>
      <c r="F73" s="15">
        <f t="array" ref="F73">INDEX('Dec 28 - Jan 3'!F$2:F$116,MATCH($B73,'Dec 28 - Jan 3'!$B$2:$B$116,0))-INDEX('Dec 21 - Dec 27'!F$2:F$115,MATCH($B73,'Dec 21 - Dec 27'!$B$2:$B$115,0))</f>
        <v>0</v>
      </c>
      <c r="G73" s="15">
        <f t="array" ref="G73">INDEX('Dec 28 - Jan 3'!G$2:G$116,MATCH($B73,'Dec 28 - Jan 3'!$B$2:$B$116,0))-INDEX('Dec 21 - Dec 27'!G$2:G$115,MATCH($B73,'Dec 21 - Dec 27'!$B$2:$B$115,0))</f>
        <v>0</v>
      </c>
      <c r="H73" s="15">
        <f t="array" ref="H73">INDEX('Dec 28 - Jan 3'!H$2:H$116,MATCH($B73,'Dec 28 - Jan 3'!$B$2:$B$116,0))-INDEX('Dec 21 - Dec 27'!H$2:H$115,MATCH($B73,'Dec 21 - Dec 27'!$B$2:$B$115,0))</f>
        <v>0</v>
      </c>
      <c r="I73" s="15">
        <f t="array" ref="I73">INDEX('Dec 28 - Jan 3'!I$2:I$116,MATCH($B73,'Dec 28 - Jan 3'!$B$2:$B$116,0))-INDEX('Dec 21 - Dec 27'!I$2:I$115,MATCH($B73,'Dec 21 - Dec 27'!$B$2:$B$115,0))</f>
        <v>0</v>
      </c>
      <c r="J73" s="15">
        <f t="array" ref="J73">INDEX('Dec 28 - Jan 3'!J$2:J$116,MATCH($B73,'Dec 28 - Jan 3'!$B$2:$B$116,0))-INDEX('Dec 21 - Dec 27'!J$2:J$115,MATCH($B73,'Dec 21 - Dec 27'!$B$2:$B$115,0))</f>
        <v>0</v>
      </c>
      <c r="K73" s="15">
        <f t="array" ref="K73">INDEX('Dec 28 - Jan 3'!K$2:K$116,MATCH($B73,'Dec 28 - Jan 3'!$B$2:$B$116,0))-INDEX('Dec 21 - Dec 27'!K$2:K$115,MATCH($B73,'Dec 21 - Dec 27'!$B$2:$B$115,0))</f>
        <v>0</v>
      </c>
    </row>
    <row r="74" spans="2:11" ht="12.75">
      <c r="B74" s="13" t="s">
        <v>140</v>
      </c>
      <c r="C74" s="14" t="str">
        <f t="array" aca="1" ref="C74" ca="1">INDEX('Rooms Master'!U:U,MATCH(B74,'Rooms Master'!D:D,0))</f>
        <v>N</v>
      </c>
      <c r="D74" s="15">
        <f t="array" ref="D74">INDEX('Dec 28 - Jan 3'!D$2:D$116,MATCH($B74,'Dec 28 - Jan 3'!$B$2:$B$116,0))-INDEX('Dec 21 - Dec 27'!D$2:D$115,MATCH($B74,'Dec 21 - Dec 27'!$B$2:$B$115,0))</f>
        <v>0</v>
      </c>
      <c r="E74" s="15">
        <f t="array" ref="E74">INDEX('Dec 28 - Jan 3'!E$2:E$116,MATCH($B74,'Dec 28 - Jan 3'!$B$2:$B$116,0))-INDEX('Dec 21 - Dec 27'!E$2:E$115,MATCH($B74,'Dec 21 - Dec 27'!$B$2:$B$115,0))</f>
        <v>0</v>
      </c>
      <c r="F74" s="15">
        <f t="array" ref="F74">INDEX('Dec 28 - Jan 3'!F$2:F$116,MATCH($B74,'Dec 28 - Jan 3'!$B$2:$B$116,0))-INDEX('Dec 21 - Dec 27'!F$2:F$115,MATCH($B74,'Dec 21 - Dec 27'!$B$2:$B$115,0))</f>
        <v>0</v>
      </c>
      <c r="G74" s="15">
        <f t="array" ref="G74">INDEX('Dec 28 - Jan 3'!G$2:G$116,MATCH($B74,'Dec 28 - Jan 3'!$B$2:$B$116,0))-INDEX('Dec 21 - Dec 27'!G$2:G$115,MATCH($B74,'Dec 21 - Dec 27'!$B$2:$B$115,0))</f>
        <v>4</v>
      </c>
      <c r="H74" s="15">
        <f t="array" ref="H74">INDEX('Dec 28 - Jan 3'!H$2:H$116,MATCH($B74,'Dec 28 - Jan 3'!$B$2:$B$116,0))-INDEX('Dec 21 - Dec 27'!H$2:H$115,MATCH($B74,'Dec 21 - Dec 27'!$B$2:$B$115,0))</f>
        <v>0</v>
      </c>
      <c r="I74" s="15">
        <f t="array" ref="I74">INDEX('Dec 28 - Jan 3'!I$2:I$116,MATCH($B74,'Dec 28 - Jan 3'!$B$2:$B$116,0))-INDEX('Dec 21 - Dec 27'!I$2:I$115,MATCH($B74,'Dec 21 - Dec 27'!$B$2:$B$115,0))</f>
        <v>0</v>
      </c>
      <c r="J74" s="15">
        <f t="array" ref="J74">INDEX('Dec 28 - Jan 3'!J$2:J$116,MATCH($B74,'Dec 28 - Jan 3'!$B$2:$B$116,0))-INDEX('Dec 21 - Dec 27'!J$2:J$115,MATCH($B74,'Dec 21 - Dec 27'!$B$2:$B$115,0))</f>
        <v>0</v>
      </c>
      <c r="K74" s="15">
        <f t="array" ref="K74">INDEX('Dec 28 - Jan 3'!K$2:K$116,MATCH($B74,'Dec 28 - Jan 3'!$B$2:$B$116,0))-INDEX('Dec 21 - Dec 27'!K$2:K$115,MATCH($B74,'Dec 21 - Dec 27'!$B$2:$B$115,0))</f>
        <v>0</v>
      </c>
    </row>
    <row r="75" spans="2:11" ht="12.75">
      <c r="B75" s="13" t="s">
        <v>141</v>
      </c>
      <c r="C75" s="14" t="str">
        <f t="array" aca="1" ref="C75" ca="1">INDEX('Rooms Master'!U:U,MATCH(B75,'Rooms Master'!D:D,0))</f>
        <v>N</v>
      </c>
      <c r="D75" s="15">
        <f t="array" ref="D75">INDEX('Dec 28 - Jan 3'!D$2:D$116,MATCH($B75,'Dec 28 - Jan 3'!$B$2:$B$116,0))-INDEX('Dec 21 - Dec 27'!D$2:D$115,MATCH($B75,'Dec 21 - Dec 27'!$B$2:$B$115,0))</f>
        <v>0</v>
      </c>
      <c r="E75" s="15">
        <f t="array" ref="E75">INDEX('Dec 28 - Jan 3'!E$2:E$116,MATCH($B75,'Dec 28 - Jan 3'!$B$2:$B$116,0))-INDEX('Dec 21 - Dec 27'!E$2:E$115,MATCH($B75,'Dec 21 - Dec 27'!$B$2:$B$115,0))</f>
        <v>0</v>
      </c>
      <c r="F75" s="15">
        <f t="array" ref="F75">INDEX('Dec 28 - Jan 3'!F$2:F$116,MATCH($B75,'Dec 28 - Jan 3'!$B$2:$B$116,0))-INDEX('Dec 21 - Dec 27'!F$2:F$115,MATCH($B75,'Dec 21 - Dec 27'!$B$2:$B$115,0))</f>
        <v>0</v>
      </c>
      <c r="G75" s="15">
        <f t="array" ref="G75">INDEX('Dec 28 - Jan 3'!G$2:G$116,MATCH($B75,'Dec 28 - Jan 3'!$B$2:$B$116,0))-INDEX('Dec 21 - Dec 27'!G$2:G$115,MATCH($B75,'Dec 21 - Dec 27'!$B$2:$B$115,0))</f>
        <v>2</v>
      </c>
      <c r="H75" s="15">
        <f t="array" ref="H75">INDEX('Dec 28 - Jan 3'!H$2:H$116,MATCH($B75,'Dec 28 - Jan 3'!$B$2:$B$116,0))-INDEX('Dec 21 - Dec 27'!H$2:H$115,MATCH($B75,'Dec 21 - Dec 27'!$B$2:$B$115,0))</f>
        <v>0</v>
      </c>
      <c r="I75" s="15">
        <f t="array" ref="I75">INDEX('Dec 28 - Jan 3'!I$2:I$116,MATCH($B75,'Dec 28 - Jan 3'!$B$2:$B$116,0))-INDEX('Dec 21 - Dec 27'!I$2:I$115,MATCH($B75,'Dec 21 - Dec 27'!$B$2:$B$115,0))</f>
        <v>0</v>
      </c>
      <c r="J75" s="15">
        <f t="array" ref="J75">INDEX('Dec 28 - Jan 3'!J$2:J$116,MATCH($B75,'Dec 28 - Jan 3'!$B$2:$B$116,0))-INDEX('Dec 21 - Dec 27'!J$2:J$115,MATCH($B75,'Dec 21 - Dec 27'!$B$2:$B$115,0))</f>
        <v>0</v>
      </c>
      <c r="K75" s="15">
        <f t="array" ref="K75">INDEX('Dec 28 - Jan 3'!K$2:K$116,MATCH($B75,'Dec 28 - Jan 3'!$B$2:$B$116,0))-INDEX('Dec 21 - Dec 27'!K$2:K$115,MATCH($B75,'Dec 21 - Dec 27'!$B$2:$B$115,0))</f>
        <v>0</v>
      </c>
    </row>
    <row r="76" spans="2:11" ht="12.75">
      <c r="B76" s="13" t="s">
        <v>121</v>
      </c>
      <c r="C76" s="14" t="str">
        <f t="array" aca="1" ref="C76" ca="1">INDEX('Rooms Master'!U:U,MATCH(B76,'Rooms Master'!D:D,0))</f>
        <v>N</v>
      </c>
      <c r="D76" s="15">
        <f t="array" ref="D76">INDEX('Dec 28 - Jan 3'!D$2:D$116,MATCH($B76,'Dec 28 - Jan 3'!$B$2:$B$116,0))-INDEX('Dec 21 - Dec 27'!D$2:D$115,MATCH($B76,'Dec 21 - Dec 27'!$B$2:$B$115,0))</f>
        <v>0</v>
      </c>
      <c r="E76" s="15">
        <f t="array" ref="E76">INDEX('Dec 28 - Jan 3'!E$2:E$116,MATCH($B76,'Dec 28 - Jan 3'!$B$2:$B$116,0))-INDEX('Dec 21 - Dec 27'!E$2:E$115,MATCH($B76,'Dec 21 - Dec 27'!$B$2:$B$115,0))</f>
        <v>0</v>
      </c>
      <c r="F76" s="15">
        <f t="array" ref="F76">INDEX('Dec 28 - Jan 3'!F$2:F$116,MATCH($B76,'Dec 28 - Jan 3'!$B$2:$B$116,0))-INDEX('Dec 21 - Dec 27'!F$2:F$115,MATCH($B76,'Dec 21 - Dec 27'!$B$2:$B$115,0))</f>
        <v>0</v>
      </c>
      <c r="G76" s="15">
        <f t="array" ref="G76">INDEX('Dec 28 - Jan 3'!G$2:G$116,MATCH($B76,'Dec 28 - Jan 3'!$B$2:$B$116,0))-INDEX('Dec 21 - Dec 27'!G$2:G$115,MATCH($B76,'Dec 21 - Dec 27'!$B$2:$B$115,0))</f>
        <v>0</v>
      </c>
      <c r="H76" s="15">
        <f t="array" ref="H76">INDEX('Dec 28 - Jan 3'!H$2:H$116,MATCH($B76,'Dec 28 - Jan 3'!$B$2:$B$116,0))-INDEX('Dec 21 - Dec 27'!H$2:H$115,MATCH($B76,'Dec 21 - Dec 27'!$B$2:$B$115,0))</f>
        <v>0</v>
      </c>
      <c r="I76" s="15">
        <f t="array" ref="I76">INDEX('Dec 28 - Jan 3'!I$2:I$116,MATCH($B76,'Dec 28 - Jan 3'!$B$2:$B$116,0))-INDEX('Dec 21 - Dec 27'!I$2:I$115,MATCH($B76,'Dec 21 - Dec 27'!$B$2:$B$115,0))</f>
        <v>0</v>
      </c>
      <c r="J76" s="15">
        <f t="array" ref="J76">INDEX('Dec 28 - Jan 3'!J$2:J$116,MATCH($B76,'Dec 28 - Jan 3'!$B$2:$B$116,0))-INDEX('Dec 21 - Dec 27'!J$2:J$115,MATCH($B76,'Dec 21 - Dec 27'!$B$2:$B$115,0))</f>
        <v>0</v>
      </c>
      <c r="K76" s="15">
        <f t="array" ref="K76">INDEX('Dec 28 - Jan 3'!K$2:K$116,MATCH($B76,'Dec 28 - Jan 3'!$B$2:$B$116,0))-INDEX('Dec 21 - Dec 27'!K$2:K$115,MATCH($B76,'Dec 21 - Dec 27'!$B$2:$B$115,0))</f>
        <v>0</v>
      </c>
    </row>
    <row r="77" spans="2:11" ht="12.75">
      <c r="B77" s="13" t="s">
        <v>45</v>
      </c>
      <c r="C77" s="14" t="str">
        <f t="array" aca="1" ref="C77" ca="1">INDEX('Rooms Master'!U:U,MATCH(B77,'Rooms Master'!D:D,0))</f>
        <v>Y</v>
      </c>
      <c r="D77" s="15">
        <f t="array" ref="D77">INDEX('Dec 28 - Jan 3'!D$2:D$116,MATCH($B77,'Dec 28 - Jan 3'!$B$2:$B$116,0))-INDEX('Dec 21 - Dec 27'!D$2:D$115,MATCH($B77,'Dec 21 - Dec 27'!$B$2:$B$115,0))</f>
        <v>-30</v>
      </c>
      <c r="E77" s="15">
        <f t="array" ref="E77">INDEX('Dec 28 - Jan 3'!E$2:E$116,MATCH($B77,'Dec 28 - Jan 3'!$B$2:$B$116,0))-INDEX('Dec 21 - Dec 27'!E$2:E$115,MATCH($B77,'Dec 21 - Dec 27'!$B$2:$B$115,0))</f>
        <v>0</v>
      </c>
      <c r="F77" s="15">
        <f t="array" ref="F77">INDEX('Dec 28 - Jan 3'!F$2:F$116,MATCH($B77,'Dec 28 - Jan 3'!$B$2:$B$116,0))-INDEX('Dec 21 - Dec 27'!F$2:F$115,MATCH($B77,'Dec 21 - Dec 27'!$B$2:$B$115,0))</f>
        <v>-3</v>
      </c>
      <c r="G77" s="15">
        <f t="array" ref="G77">INDEX('Dec 28 - Jan 3'!G$2:G$116,MATCH($B77,'Dec 28 - Jan 3'!$B$2:$B$116,0))-INDEX('Dec 21 - Dec 27'!G$2:G$115,MATCH($B77,'Dec 21 - Dec 27'!$B$2:$B$115,0))</f>
        <v>1</v>
      </c>
      <c r="H77" s="15">
        <f t="array" ref="H77">INDEX('Dec 28 - Jan 3'!H$2:H$116,MATCH($B77,'Dec 28 - Jan 3'!$B$2:$B$116,0))-INDEX('Dec 21 - Dec 27'!H$2:H$115,MATCH($B77,'Dec 21 - Dec 27'!$B$2:$B$115,0))</f>
        <v>-1</v>
      </c>
      <c r="I77" s="15">
        <f t="array" ref="I77">INDEX('Dec 28 - Jan 3'!I$2:I$116,MATCH($B77,'Dec 28 - Jan 3'!$B$2:$B$116,0))-INDEX('Dec 21 - Dec 27'!I$2:I$115,MATCH($B77,'Dec 21 - Dec 27'!$B$2:$B$115,0))</f>
        <v>-1</v>
      </c>
      <c r="J77" s="15">
        <f t="array" ref="J77">INDEX('Dec 28 - Jan 3'!J$2:J$116,MATCH($B77,'Dec 28 - Jan 3'!$B$2:$B$116,0))-INDEX('Dec 21 - Dec 27'!J$2:J$115,MATCH($B77,'Dec 21 - Dec 27'!$B$2:$B$115,0))</f>
        <v>0</v>
      </c>
      <c r="K77" s="15">
        <f t="array" ref="K77">INDEX('Dec 28 - Jan 3'!K$2:K$116,MATCH($B77,'Dec 28 - Jan 3'!$B$2:$B$116,0))-INDEX('Dec 21 - Dec 27'!K$2:K$115,MATCH($B77,'Dec 21 - Dec 27'!$B$2:$B$115,0))</f>
        <v>1</v>
      </c>
    </row>
    <row r="78" spans="2:11" ht="12.75">
      <c r="B78" s="13" t="s">
        <v>75</v>
      </c>
      <c r="C78" s="14" t="str">
        <f t="array" aca="1" ref="C78" ca="1">INDEX('Rooms Master'!U:U,MATCH(B78,'Rooms Master'!D:D,0))</f>
        <v>N</v>
      </c>
      <c r="D78" s="15">
        <f t="array" ref="D78">INDEX('Dec 28 - Jan 3'!D$2:D$116,MATCH($B78,'Dec 28 - Jan 3'!$B$2:$B$116,0))-INDEX('Dec 21 - Dec 27'!D$2:D$115,MATCH($B78,'Dec 21 - Dec 27'!$B$2:$B$115,0))</f>
        <v>0</v>
      </c>
      <c r="E78" s="15">
        <f t="array" ref="E78">INDEX('Dec 28 - Jan 3'!E$2:E$116,MATCH($B78,'Dec 28 - Jan 3'!$B$2:$B$116,0))-INDEX('Dec 21 - Dec 27'!E$2:E$115,MATCH($B78,'Dec 21 - Dec 27'!$B$2:$B$115,0))</f>
        <v>-1</v>
      </c>
      <c r="F78" s="15">
        <f t="array" ref="F78">INDEX('Dec 28 - Jan 3'!F$2:F$116,MATCH($B78,'Dec 28 - Jan 3'!$B$2:$B$116,0))-INDEX('Dec 21 - Dec 27'!F$2:F$115,MATCH($B78,'Dec 21 - Dec 27'!$B$2:$B$115,0))</f>
        <v>-1</v>
      </c>
      <c r="G78" s="15">
        <f t="array" ref="G78">INDEX('Dec 28 - Jan 3'!G$2:G$116,MATCH($B78,'Dec 28 - Jan 3'!$B$2:$B$116,0))-INDEX('Dec 21 - Dec 27'!G$2:G$115,MATCH($B78,'Dec 21 - Dec 27'!$B$2:$B$115,0))</f>
        <v>0</v>
      </c>
      <c r="H78" s="15">
        <f t="array" ref="H78">INDEX('Dec 28 - Jan 3'!H$2:H$116,MATCH($B78,'Dec 28 - Jan 3'!$B$2:$B$116,0))-INDEX('Dec 21 - Dec 27'!H$2:H$115,MATCH($B78,'Dec 21 - Dec 27'!$B$2:$B$115,0))</f>
        <v>0</v>
      </c>
      <c r="I78" s="15">
        <f t="array" ref="I78">INDEX('Dec 28 - Jan 3'!I$2:I$116,MATCH($B78,'Dec 28 - Jan 3'!$B$2:$B$116,0))-INDEX('Dec 21 - Dec 27'!I$2:I$115,MATCH($B78,'Dec 21 - Dec 27'!$B$2:$B$115,0))</f>
        <v>0</v>
      </c>
      <c r="J78" s="15">
        <f t="array" ref="J78">INDEX('Dec 28 - Jan 3'!J$2:J$116,MATCH($B78,'Dec 28 - Jan 3'!$B$2:$B$116,0))-INDEX('Dec 21 - Dec 27'!J$2:J$115,MATCH($B78,'Dec 21 - Dec 27'!$B$2:$B$115,0))</f>
        <v>0</v>
      </c>
      <c r="K78" s="15">
        <f t="array" ref="K78">INDEX('Dec 28 - Jan 3'!K$2:K$116,MATCH($B78,'Dec 28 - Jan 3'!$B$2:$B$116,0))-INDEX('Dec 21 - Dec 27'!K$2:K$115,MATCH($B78,'Dec 21 - Dec 27'!$B$2:$B$115,0))</f>
        <v>0</v>
      </c>
    </row>
    <row r="79" spans="2:11" ht="12.75">
      <c r="B79" s="13" t="s">
        <v>80</v>
      </c>
      <c r="C79" s="14" t="str">
        <f t="array" aca="1" ref="C79" ca="1">INDEX('Rooms Master'!U:U,MATCH(B79,'Rooms Master'!D:D,0))</f>
        <v>Y</v>
      </c>
      <c r="D79" s="15">
        <f t="array" ref="D79">INDEX('Dec 28 - Jan 3'!D$2:D$116,MATCH($B79,'Dec 28 - Jan 3'!$B$2:$B$116,0))-INDEX('Dec 21 - Dec 27'!D$2:D$115,MATCH($B79,'Dec 21 - Dec 27'!$B$2:$B$115,0))</f>
        <v>5</v>
      </c>
      <c r="E79" s="15">
        <f t="array" ref="E79">INDEX('Dec 28 - Jan 3'!E$2:E$116,MATCH($B79,'Dec 28 - Jan 3'!$B$2:$B$116,0))-INDEX('Dec 21 - Dec 27'!E$2:E$115,MATCH($B79,'Dec 21 - Dec 27'!$B$2:$B$115,0))</f>
        <v>-1</v>
      </c>
      <c r="F79" s="15">
        <f t="array" ref="F79">INDEX('Dec 28 - Jan 3'!F$2:F$116,MATCH($B79,'Dec 28 - Jan 3'!$B$2:$B$116,0))-INDEX('Dec 21 - Dec 27'!F$2:F$115,MATCH($B79,'Dec 21 - Dec 27'!$B$2:$B$115,0))</f>
        <v>-3</v>
      </c>
      <c r="G79" s="15">
        <f t="array" ref="G79">INDEX('Dec 28 - Jan 3'!G$2:G$116,MATCH($B79,'Dec 28 - Jan 3'!$B$2:$B$116,0))-INDEX('Dec 21 - Dec 27'!G$2:G$115,MATCH($B79,'Dec 21 - Dec 27'!$B$2:$B$115,0))</f>
        <v>1</v>
      </c>
      <c r="H79" s="15">
        <f t="array" ref="H79">INDEX('Dec 28 - Jan 3'!H$2:H$116,MATCH($B79,'Dec 28 - Jan 3'!$B$2:$B$116,0))-INDEX('Dec 21 - Dec 27'!H$2:H$115,MATCH($B79,'Dec 21 - Dec 27'!$B$2:$B$115,0))</f>
        <v>2</v>
      </c>
      <c r="I79" s="15">
        <f t="array" ref="I79">INDEX('Dec 28 - Jan 3'!I$2:I$116,MATCH($B79,'Dec 28 - Jan 3'!$B$2:$B$116,0))-INDEX('Dec 21 - Dec 27'!I$2:I$115,MATCH($B79,'Dec 21 - Dec 27'!$B$2:$B$115,0))</f>
        <v>1</v>
      </c>
      <c r="J79" s="15">
        <f t="array" ref="J79">INDEX('Dec 28 - Jan 3'!J$2:J$116,MATCH($B79,'Dec 28 - Jan 3'!$B$2:$B$116,0))-INDEX('Dec 21 - Dec 27'!J$2:J$115,MATCH($B79,'Dec 21 - Dec 27'!$B$2:$B$115,0))</f>
        <v>1</v>
      </c>
      <c r="K79" s="15">
        <f t="array" ref="K79">INDEX('Dec 28 - Jan 3'!K$2:K$116,MATCH($B79,'Dec 28 - Jan 3'!$B$2:$B$116,0))-INDEX('Dec 21 - Dec 27'!K$2:K$115,MATCH($B79,'Dec 21 - Dec 27'!$B$2:$B$115,0))</f>
        <v>1</v>
      </c>
    </row>
    <row r="80" spans="2:11" ht="12.75">
      <c r="B80" s="13" t="s">
        <v>84</v>
      </c>
      <c r="C80" s="14" t="str">
        <f t="array" aca="1" ref="C80" ca="1">INDEX('Rooms Master'!U:U,MATCH(B80,'Rooms Master'!D:D,0))</f>
        <v>Y</v>
      </c>
      <c r="D80" s="15">
        <f t="array" ref="D80">INDEX('Dec 28 - Jan 3'!D$2:D$116,MATCH($B80,'Dec 28 - Jan 3'!$B$2:$B$116,0))-INDEX('Dec 21 - Dec 27'!D$2:D$115,MATCH($B80,'Dec 21 - Dec 27'!$B$2:$B$115,0))</f>
        <v>21</v>
      </c>
      <c r="E80" s="15">
        <f t="array" ref="E80">INDEX('Dec 28 - Jan 3'!E$2:E$116,MATCH($B80,'Dec 28 - Jan 3'!$B$2:$B$116,0))-INDEX('Dec 21 - Dec 27'!E$2:E$115,MATCH($B80,'Dec 21 - Dec 27'!$B$2:$B$115,0))</f>
        <v>-1</v>
      </c>
      <c r="F80" s="15">
        <f t="array" ref="F80">INDEX('Dec 28 - Jan 3'!F$2:F$116,MATCH($B80,'Dec 28 - Jan 3'!$B$2:$B$116,0))-INDEX('Dec 21 - Dec 27'!F$2:F$115,MATCH($B80,'Dec 21 - Dec 27'!$B$2:$B$115,0))</f>
        <v>-1</v>
      </c>
      <c r="G80" s="15">
        <f t="array" ref="G80">INDEX('Dec 28 - Jan 3'!G$2:G$116,MATCH($B80,'Dec 28 - Jan 3'!$B$2:$B$116,0))-INDEX('Dec 21 - Dec 27'!G$2:G$115,MATCH($B80,'Dec 21 - Dec 27'!$B$2:$B$115,0))</f>
        <v>0</v>
      </c>
      <c r="H80" s="15">
        <f t="array" ref="H80">INDEX('Dec 28 - Jan 3'!H$2:H$116,MATCH($B80,'Dec 28 - Jan 3'!$B$2:$B$116,0))-INDEX('Dec 21 - Dec 27'!H$2:H$115,MATCH($B80,'Dec 21 - Dec 27'!$B$2:$B$115,0))</f>
        <v>0</v>
      </c>
      <c r="I80" s="15">
        <f t="array" ref="I80">INDEX('Dec 28 - Jan 3'!I$2:I$116,MATCH($B80,'Dec 28 - Jan 3'!$B$2:$B$116,0))-INDEX('Dec 21 - Dec 27'!I$2:I$115,MATCH($B80,'Dec 21 - Dec 27'!$B$2:$B$115,0))</f>
        <v>0</v>
      </c>
      <c r="J80" s="15">
        <f t="array" ref="J80">INDEX('Dec 28 - Jan 3'!J$2:J$116,MATCH($B80,'Dec 28 - Jan 3'!$B$2:$B$116,0))-INDEX('Dec 21 - Dec 27'!J$2:J$115,MATCH($B80,'Dec 21 - Dec 27'!$B$2:$B$115,0))</f>
        <v>0</v>
      </c>
      <c r="K80" s="15">
        <f t="array" ref="K80">INDEX('Dec 28 - Jan 3'!K$2:K$116,MATCH($B80,'Dec 28 - Jan 3'!$B$2:$B$116,0))-INDEX('Dec 21 - Dec 27'!K$2:K$115,MATCH($B80,'Dec 21 - Dec 27'!$B$2:$B$115,0))</f>
        <v>0</v>
      </c>
    </row>
    <row r="81" spans="2:11" ht="12.75">
      <c r="B81" s="13" t="s">
        <v>116</v>
      </c>
      <c r="C81" s="14" t="str">
        <f t="array" aca="1" ref="C81" ca="1">INDEX('Rooms Master'!U:U,MATCH(B81,'Rooms Master'!D:D,0))</f>
        <v>Y</v>
      </c>
      <c r="D81" s="15">
        <f t="array" ref="D81">INDEX('Dec 28 - Jan 3'!D$2:D$116,MATCH($B81,'Dec 28 - Jan 3'!$B$2:$B$116,0))-INDEX('Dec 21 - Dec 27'!D$2:D$115,MATCH($B81,'Dec 21 - Dec 27'!$B$2:$B$115,0))</f>
        <v>42</v>
      </c>
      <c r="E81" s="15">
        <f t="array" ref="E81">INDEX('Dec 28 - Jan 3'!E$2:E$116,MATCH($B81,'Dec 28 - Jan 3'!$B$2:$B$116,0))-INDEX('Dec 21 - Dec 27'!E$2:E$115,MATCH($B81,'Dec 21 - Dec 27'!$B$2:$B$115,0))</f>
        <v>-1</v>
      </c>
      <c r="F81" s="15">
        <f t="array" ref="F81">INDEX('Dec 28 - Jan 3'!F$2:F$116,MATCH($B81,'Dec 28 - Jan 3'!$B$2:$B$116,0))-INDEX('Dec 21 - Dec 27'!F$2:F$115,MATCH($B81,'Dec 21 - Dec 27'!$B$2:$B$115,0))</f>
        <v>-2</v>
      </c>
      <c r="G81" s="15">
        <f t="array" ref="G81">INDEX('Dec 28 - Jan 3'!G$2:G$116,MATCH($B81,'Dec 28 - Jan 3'!$B$2:$B$116,0))-INDEX('Dec 21 - Dec 27'!G$2:G$115,MATCH($B81,'Dec 21 - Dec 27'!$B$2:$B$115,0))</f>
        <v>0</v>
      </c>
      <c r="H81" s="15">
        <f t="array" ref="H81">INDEX('Dec 28 - Jan 3'!H$2:H$116,MATCH($B81,'Dec 28 - Jan 3'!$B$2:$B$116,0))-INDEX('Dec 21 - Dec 27'!H$2:H$115,MATCH($B81,'Dec 21 - Dec 27'!$B$2:$B$115,0))</f>
        <v>0</v>
      </c>
      <c r="I81" s="15">
        <f t="array" ref="I81">INDEX('Dec 28 - Jan 3'!I$2:I$116,MATCH($B81,'Dec 28 - Jan 3'!$B$2:$B$116,0))-INDEX('Dec 21 - Dec 27'!I$2:I$115,MATCH($B81,'Dec 21 - Dec 27'!$B$2:$B$115,0))</f>
        <v>0</v>
      </c>
      <c r="J81" s="15">
        <f t="array" ref="J81">INDEX('Dec 28 - Jan 3'!J$2:J$116,MATCH($B81,'Dec 28 - Jan 3'!$B$2:$B$116,0))-INDEX('Dec 21 - Dec 27'!J$2:J$115,MATCH($B81,'Dec 21 - Dec 27'!$B$2:$B$115,0))</f>
        <v>0</v>
      </c>
      <c r="K81" s="15">
        <f t="array" ref="K81">INDEX('Dec 28 - Jan 3'!K$2:K$116,MATCH($B81,'Dec 28 - Jan 3'!$B$2:$B$116,0))-INDEX('Dec 21 - Dec 27'!K$2:K$115,MATCH($B81,'Dec 21 - Dec 27'!$B$2:$B$115,0))</f>
        <v>0</v>
      </c>
    </row>
    <row r="82" spans="2:11" ht="12.75">
      <c r="B82" s="13" t="s">
        <v>102</v>
      </c>
      <c r="C82" s="14" t="str">
        <f t="array" aca="1" ref="C82" ca="1">INDEX('Rooms Master'!U:U,MATCH(B82,'Rooms Master'!D:D,0))</f>
        <v>N</v>
      </c>
      <c r="D82" s="15">
        <f t="array" ref="D82">INDEX('Dec 28 - Jan 3'!D$2:D$116,MATCH($B82,'Dec 28 - Jan 3'!$B$2:$B$116,0))-INDEX('Dec 21 - Dec 27'!D$2:D$115,MATCH($B82,'Dec 21 - Dec 27'!$B$2:$B$115,0))</f>
        <v>-4</v>
      </c>
      <c r="E82" s="15">
        <f t="array" ref="E82">INDEX('Dec 28 - Jan 3'!E$2:E$116,MATCH($B82,'Dec 28 - Jan 3'!$B$2:$B$116,0))-INDEX('Dec 21 - Dec 27'!E$2:E$115,MATCH($B82,'Dec 21 - Dec 27'!$B$2:$B$115,0))</f>
        <v>-1</v>
      </c>
      <c r="F82" s="15">
        <f t="array" ref="F82">INDEX('Dec 28 - Jan 3'!F$2:F$116,MATCH($B82,'Dec 28 - Jan 3'!$B$2:$B$116,0))-INDEX('Dec 21 - Dec 27'!F$2:F$115,MATCH($B82,'Dec 21 - Dec 27'!$B$2:$B$115,0))</f>
        <v>-1</v>
      </c>
      <c r="G82" s="15">
        <f t="array" ref="G82">INDEX('Dec 28 - Jan 3'!G$2:G$116,MATCH($B82,'Dec 28 - Jan 3'!$B$2:$B$116,0))-INDEX('Dec 21 - Dec 27'!G$2:G$115,MATCH($B82,'Dec 21 - Dec 27'!$B$2:$B$115,0))</f>
        <v>1</v>
      </c>
      <c r="H82" s="15">
        <f t="array" ref="H82">INDEX('Dec 28 - Jan 3'!H$2:H$116,MATCH($B82,'Dec 28 - Jan 3'!$B$2:$B$116,0))-INDEX('Dec 21 - Dec 27'!H$2:H$115,MATCH($B82,'Dec 21 - Dec 27'!$B$2:$B$115,0))</f>
        <v>0</v>
      </c>
      <c r="I82" s="15">
        <f t="array" ref="I82">INDEX('Dec 28 - Jan 3'!I$2:I$116,MATCH($B82,'Dec 28 - Jan 3'!$B$2:$B$116,0))-INDEX('Dec 21 - Dec 27'!I$2:I$115,MATCH($B82,'Dec 21 - Dec 27'!$B$2:$B$115,0))</f>
        <v>0</v>
      </c>
      <c r="J82" s="15">
        <f t="array" ref="J82">INDEX('Dec 28 - Jan 3'!J$2:J$116,MATCH($B82,'Dec 28 - Jan 3'!$B$2:$B$116,0))-INDEX('Dec 21 - Dec 27'!J$2:J$115,MATCH($B82,'Dec 21 - Dec 27'!$B$2:$B$115,0))</f>
        <v>0</v>
      </c>
      <c r="K82" s="15">
        <f t="array" ref="K82">INDEX('Dec 28 - Jan 3'!K$2:K$116,MATCH($B82,'Dec 28 - Jan 3'!$B$2:$B$116,0))-INDEX('Dec 21 - Dec 27'!K$2:K$115,MATCH($B82,'Dec 21 - Dec 27'!$B$2:$B$115,0))</f>
        <v>0</v>
      </c>
    </row>
    <row r="83" spans="2:11" ht="12.75">
      <c r="B83" s="13" t="s">
        <v>38</v>
      </c>
      <c r="C83" s="14" t="str">
        <f t="array" aca="1" ref="C83" ca="1">INDEX('Rooms Master'!U:U,MATCH(B83,'Rooms Master'!D:D,0))</f>
        <v>Y</v>
      </c>
      <c r="D83" s="15">
        <f t="array" ref="D83">INDEX('Dec 28 - Jan 3'!D$2:D$116,MATCH($B83,'Dec 28 - Jan 3'!$B$2:$B$116,0))-INDEX('Dec 21 - Dec 27'!D$2:D$115,MATCH($B83,'Dec 21 - Dec 27'!$B$2:$B$115,0))</f>
        <v>40</v>
      </c>
      <c r="E83" s="15">
        <f t="array" ref="E83">INDEX('Dec 28 - Jan 3'!E$2:E$116,MATCH($B83,'Dec 28 - Jan 3'!$B$2:$B$116,0))-INDEX('Dec 21 - Dec 27'!E$2:E$115,MATCH($B83,'Dec 21 - Dec 27'!$B$2:$B$115,0))</f>
        <v>-2</v>
      </c>
      <c r="F83" s="15">
        <f t="array" ref="F83">INDEX('Dec 28 - Jan 3'!F$2:F$116,MATCH($B83,'Dec 28 - Jan 3'!$B$2:$B$116,0))-INDEX('Dec 21 - Dec 27'!F$2:F$115,MATCH($B83,'Dec 21 - Dec 27'!$B$2:$B$115,0))</f>
        <v>-4</v>
      </c>
      <c r="G83" s="15">
        <f t="array" ref="G83">INDEX('Dec 28 - Jan 3'!G$2:G$116,MATCH($B83,'Dec 28 - Jan 3'!$B$2:$B$116,0))-INDEX('Dec 21 - Dec 27'!G$2:G$115,MATCH($B83,'Dec 21 - Dec 27'!$B$2:$B$115,0))</f>
        <v>4</v>
      </c>
      <c r="H83" s="15">
        <f t="array" ref="H83">INDEX('Dec 28 - Jan 3'!H$2:H$116,MATCH($B83,'Dec 28 - Jan 3'!$B$2:$B$116,0))-INDEX('Dec 21 - Dec 27'!H$2:H$115,MATCH($B83,'Dec 21 - Dec 27'!$B$2:$B$115,0))</f>
        <v>-2</v>
      </c>
      <c r="I83" s="15">
        <f t="array" ref="I83">INDEX('Dec 28 - Jan 3'!I$2:I$116,MATCH($B83,'Dec 28 - Jan 3'!$B$2:$B$116,0))-INDEX('Dec 21 - Dec 27'!I$2:I$115,MATCH($B83,'Dec 21 - Dec 27'!$B$2:$B$115,0))</f>
        <v>0</v>
      </c>
      <c r="J83" s="15">
        <f t="array" ref="J83">INDEX('Dec 28 - Jan 3'!J$2:J$116,MATCH($B83,'Dec 28 - Jan 3'!$B$2:$B$116,0))-INDEX('Dec 21 - Dec 27'!J$2:J$115,MATCH($B83,'Dec 21 - Dec 27'!$B$2:$B$115,0))</f>
        <v>0</v>
      </c>
      <c r="K83" s="15">
        <f t="array" ref="K83">INDEX('Dec 28 - Jan 3'!K$2:K$116,MATCH($B83,'Dec 28 - Jan 3'!$B$2:$B$116,0))-INDEX('Dec 21 - Dec 27'!K$2:K$115,MATCH($B83,'Dec 21 - Dec 27'!$B$2:$B$115,0))</f>
        <v>0</v>
      </c>
    </row>
    <row r="84" spans="2:11" ht="12.75">
      <c r="B84" s="13" t="s">
        <v>97</v>
      </c>
      <c r="C84" s="14" t="str">
        <f t="array" aca="1" ref="C84" ca="1">INDEX('Rooms Master'!U:U,MATCH(B84,'Rooms Master'!D:D,0))</f>
        <v>N</v>
      </c>
      <c r="D84" s="15">
        <f t="array" ref="D84">INDEX('Dec 28 - Jan 3'!D$2:D$116,MATCH($B84,'Dec 28 - Jan 3'!$B$2:$B$116,0))-INDEX('Dec 21 - Dec 27'!D$2:D$115,MATCH($B84,'Dec 21 - Dec 27'!$B$2:$B$115,0))</f>
        <v>-50</v>
      </c>
      <c r="E84" s="15">
        <f t="array" ref="E84">INDEX('Dec 28 - Jan 3'!E$2:E$116,MATCH($B84,'Dec 28 - Jan 3'!$B$2:$B$116,0))-INDEX('Dec 21 - Dec 27'!E$2:E$115,MATCH($B84,'Dec 21 - Dec 27'!$B$2:$B$115,0))</f>
        <v>-2</v>
      </c>
      <c r="F84" s="15">
        <f t="array" ref="F84">INDEX('Dec 28 - Jan 3'!F$2:F$116,MATCH($B84,'Dec 28 - Jan 3'!$B$2:$B$116,0))-INDEX('Dec 21 - Dec 27'!F$2:F$115,MATCH($B84,'Dec 21 - Dec 27'!$B$2:$B$115,0))</f>
        <v>2</v>
      </c>
      <c r="G84" s="15">
        <f t="array" ref="G84">INDEX('Dec 28 - Jan 3'!G$2:G$116,MATCH($B84,'Dec 28 - Jan 3'!$B$2:$B$116,0))-INDEX('Dec 21 - Dec 27'!G$2:G$115,MATCH($B84,'Dec 21 - Dec 27'!$B$2:$B$115,0))</f>
        <v>0</v>
      </c>
      <c r="H84" s="15">
        <f t="array" ref="H84">INDEX('Dec 28 - Jan 3'!H$2:H$116,MATCH($B84,'Dec 28 - Jan 3'!$B$2:$B$116,0))-INDEX('Dec 21 - Dec 27'!H$2:H$115,MATCH($B84,'Dec 21 - Dec 27'!$B$2:$B$115,0))</f>
        <v>0</v>
      </c>
      <c r="I84" s="15">
        <f t="array" ref="I84">INDEX('Dec 28 - Jan 3'!I$2:I$116,MATCH($B84,'Dec 28 - Jan 3'!$B$2:$B$116,0))-INDEX('Dec 21 - Dec 27'!I$2:I$115,MATCH($B84,'Dec 21 - Dec 27'!$B$2:$B$115,0))</f>
        <v>-1</v>
      </c>
      <c r="J84" s="15">
        <f t="array" ref="J84">INDEX('Dec 28 - Jan 3'!J$2:J$116,MATCH($B84,'Dec 28 - Jan 3'!$B$2:$B$116,0))-INDEX('Dec 21 - Dec 27'!J$2:J$115,MATCH($B84,'Dec 21 - Dec 27'!$B$2:$B$115,0))</f>
        <v>1</v>
      </c>
      <c r="K84" s="15">
        <f t="array" ref="K84">INDEX('Dec 28 - Jan 3'!K$2:K$116,MATCH($B84,'Dec 28 - Jan 3'!$B$2:$B$116,0))-INDEX('Dec 21 - Dec 27'!K$2:K$115,MATCH($B84,'Dec 21 - Dec 27'!$B$2:$B$115,0))</f>
        <v>1</v>
      </c>
    </row>
    <row r="85" spans="2:11" ht="12.75">
      <c r="B85" s="13" t="s">
        <v>137</v>
      </c>
      <c r="C85" s="14" t="str">
        <f t="array" aca="1" ref="C85" ca="1">INDEX('Rooms Master'!U:U,MATCH(B85,'Rooms Master'!D:D,0))</f>
        <v>N</v>
      </c>
      <c r="D85" s="15">
        <f t="array" ref="D85">INDEX('Dec 28 - Jan 3'!D$2:D$116,MATCH($B85,'Dec 28 - Jan 3'!$B$2:$B$116,0))-INDEX('Dec 21 - Dec 27'!D$2:D$115,MATCH($B85,'Dec 21 - Dec 27'!$B$2:$B$115,0))</f>
        <v>0</v>
      </c>
      <c r="E85" s="15">
        <f t="array" ref="E85">INDEX('Dec 28 - Jan 3'!E$2:E$116,MATCH($B85,'Dec 28 - Jan 3'!$B$2:$B$116,0))-INDEX('Dec 21 - Dec 27'!E$2:E$115,MATCH($B85,'Dec 21 - Dec 27'!$B$2:$B$115,0))</f>
        <v>-2</v>
      </c>
      <c r="F85" s="15">
        <f t="array" ref="F85">INDEX('Dec 28 - Jan 3'!F$2:F$116,MATCH($B85,'Dec 28 - Jan 3'!$B$2:$B$116,0))-INDEX('Dec 21 - Dec 27'!F$2:F$115,MATCH($B85,'Dec 21 - Dec 27'!$B$2:$B$115,0))</f>
        <v>-2</v>
      </c>
      <c r="G85" s="15">
        <f t="array" ref="G85">INDEX('Dec 28 - Jan 3'!G$2:G$116,MATCH($B85,'Dec 28 - Jan 3'!$B$2:$B$116,0))-INDEX('Dec 21 - Dec 27'!G$2:G$115,MATCH($B85,'Dec 21 - Dec 27'!$B$2:$B$115,0))</f>
        <v>6</v>
      </c>
      <c r="H85" s="15">
        <f t="array" ref="H85">INDEX('Dec 28 - Jan 3'!H$2:H$116,MATCH($B85,'Dec 28 - Jan 3'!$B$2:$B$116,0))-INDEX('Dec 21 - Dec 27'!H$2:H$115,MATCH($B85,'Dec 21 - Dec 27'!$B$2:$B$115,0))</f>
        <v>0</v>
      </c>
      <c r="I85" s="15">
        <f t="array" ref="I85">INDEX('Dec 28 - Jan 3'!I$2:I$116,MATCH($B85,'Dec 28 - Jan 3'!$B$2:$B$116,0))-INDEX('Dec 21 - Dec 27'!I$2:I$115,MATCH($B85,'Dec 21 - Dec 27'!$B$2:$B$115,0))</f>
        <v>0</v>
      </c>
      <c r="J85" s="15">
        <f t="array" ref="J85">INDEX('Dec 28 - Jan 3'!J$2:J$116,MATCH($B85,'Dec 28 - Jan 3'!$B$2:$B$116,0))-INDEX('Dec 21 - Dec 27'!J$2:J$115,MATCH($B85,'Dec 21 - Dec 27'!$B$2:$B$115,0))</f>
        <v>0</v>
      </c>
      <c r="K85" s="15">
        <f t="array" ref="K85">INDEX('Dec 28 - Jan 3'!K$2:K$116,MATCH($B85,'Dec 28 - Jan 3'!$B$2:$B$116,0))-INDEX('Dec 21 - Dec 27'!K$2:K$115,MATCH($B85,'Dec 21 - Dec 27'!$B$2:$B$115,0))</f>
        <v>0</v>
      </c>
    </row>
    <row r="86" spans="2:11" ht="12.75">
      <c r="B86" s="13" t="s">
        <v>85</v>
      </c>
      <c r="C86" s="14" t="str">
        <f t="array" aca="1" ref="C86" ca="1">INDEX('Rooms Master'!U:U,MATCH(B86,'Rooms Master'!D:D,0))</f>
        <v>N</v>
      </c>
      <c r="D86" s="15">
        <f t="array" ref="D86">INDEX('Dec 28 - Jan 3'!D$2:D$116,MATCH($B86,'Dec 28 - Jan 3'!$B$2:$B$116,0))-INDEX('Dec 21 - Dec 27'!D$2:D$115,MATCH($B86,'Dec 21 - Dec 27'!$B$2:$B$115,0))</f>
        <v>-79</v>
      </c>
      <c r="E86" s="15">
        <f t="array" ref="E86">INDEX('Dec 28 - Jan 3'!E$2:E$116,MATCH($B86,'Dec 28 - Jan 3'!$B$2:$B$116,0))-INDEX('Dec 21 - Dec 27'!E$2:E$115,MATCH($B86,'Dec 21 - Dec 27'!$B$2:$B$115,0))</f>
        <v>-3</v>
      </c>
      <c r="F86" s="15">
        <f t="array" ref="F86">INDEX('Dec 28 - Jan 3'!F$2:F$116,MATCH($B86,'Dec 28 - Jan 3'!$B$2:$B$116,0))-INDEX('Dec 21 - Dec 27'!F$2:F$115,MATCH($B86,'Dec 21 - Dec 27'!$B$2:$B$115,0))</f>
        <v>-1</v>
      </c>
      <c r="G86" s="15">
        <f t="array" ref="G86">INDEX('Dec 28 - Jan 3'!G$2:G$116,MATCH($B86,'Dec 28 - Jan 3'!$B$2:$B$116,0))-INDEX('Dec 21 - Dec 27'!G$2:G$115,MATCH($B86,'Dec 21 - Dec 27'!$B$2:$B$115,0))</f>
        <v>2</v>
      </c>
      <c r="H86" s="15">
        <f t="array" ref="H86">INDEX('Dec 28 - Jan 3'!H$2:H$116,MATCH($B86,'Dec 28 - Jan 3'!$B$2:$B$116,0))-INDEX('Dec 21 - Dec 27'!H$2:H$115,MATCH($B86,'Dec 21 - Dec 27'!$B$2:$B$115,0))</f>
        <v>0</v>
      </c>
      <c r="I86" s="15">
        <f t="array" ref="I86">INDEX('Dec 28 - Jan 3'!I$2:I$116,MATCH($B86,'Dec 28 - Jan 3'!$B$2:$B$116,0))-INDEX('Dec 21 - Dec 27'!I$2:I$115,MATCH($B86,'Dec 21 - Dec 27'!$B$2:$B$115,0))</f>
        <v>0</v>
      </c>
      <c r="J86" s="15">
        <f t="array" ref="J86">INDEX('Dec 28 - Jan 3'!J$2:J$116,MATCH($B86,'Dec 28 - Jan 3'!$B$2:$B$116,0))-INDEX('Dec 21 - Dec 27'!J$2:J$115,MATCH($B86,'Dec 21 - Dec 27'!$B$2:$B$115,0))</f>
        <v>0</v>
      </c>
      <c r="K86" s="15">
        <f t="array" ref="K86">INDEX('Dec 28 - Jan 3'!K$2:K$116,MATCH($B86,'Dec 28 - Jan 3'!$B$2:$B$116,0))-INDEX('Dec 21 - Dec 27'!K$2:K$115,MATCH($B86,'Dec 21 - Dec 27'!$B$2:$B$115,0))</f>
        <v>0</v>
      </c>
    </row>
    <row r="87" spans="2:11" ht="12.75">
      <c r="B87" s="13" t="s">
        <v>87</v>
      </c>
      <c r="C87" s="14" t="str">
        <f t="array" aca="1" ref="C87" ca="1">INDEX('Rooms Master'!U:U,MATCH(B87,'Rooms Master'!D:D,0))</f>
        <v>Y</v>
      </c>
      <c r="D87" s="15">
        <f t="array" ref="D87">INDEX('Dec 28 - Jan 3'!D$2:D$116,MATCH($B87,'Dec 28 - Jan 3'!$B$2:$B$116,0))-INDEX('Dec 21 - Dec 27'!D$2:D$115,MATCH($B87,'Dec 21 - Dec 27'!$B$2:$B$115,0))</f>
        <v>-26</v>
      </c>
      <c r="E87" s="15">
        <f t="array" ref="E87">INDEX('Dec 28 - Jan 3'!E$2:E$116,MATCH($B87,'Dec 28 - Jan 3'!$B$2:$B$116,0))-INDEX('Dec 21 - Dec 27'!E$2:E$115,MATCH($B87,'Dec 21 - Dec 27'!$B$2:$B$115,0))</f>
        <v>-3</v>
      </c>
      <c r="F87" s="15">
        <f t="array" ref="F87">INDEX('Dec 28 - Jan 3'!F$2:F$116,MATCH($B87,'Dec 28 - Jan 3'!$B$2:$B$116,0))-INDEX('Dec 21 - Dec 27'!F$2:F$115,MATCH($B87,'Dec 21 - Dec 27'!$B$2:$B$115,0))</f>
        <v>-1</v>
      </c>
      <c r="G87" s="15">
        <f t="array" ref="G87">INDEX('Dec 28 - Jan 3'!G$2:G$116,MATCH($B87,'Dec 28 - Jan 3'!$B$2:$B$116,0))-INDEX('Dec 21 - Dec 27'!G$2:G$115,MATCH($B87,'Dec 21 - Dec 27'!$B$2:$B$115,0))</f>
        <v>1</v>
      </c>
      <c r="H87" s="15">
        <f t="array" ref="H87">INDEX('Dec 28 - Jan 3'!H$2:H$116,MATCH($B87,'Dec 28 - Jan 3'!$B$2:$B$116,0))-INDEX('Dec 21 - Dec 27'!H$2:H$115,MATCH($B87,'Dec 21 - Dec 27'!$B$2:$B$115,0))</f>
        <v>0</v>
      </c>
      <c r="I87" s="15">
        <f t="array" ref="I87">INDEX('Dec 28 - Jan 3'!I$2:I$116,MATCH($B87,'Dec 28 - Jan 3'!$B$2:$B$116,0))-INDEX('Dec 21 - Dec 27'!I$2:I$115,MATCH($B87,'Dec 21 - Dec 27'!$B$2:$B$115,0))</f>
        <v>0</v>
      </c>
      <c r="J87" s="15">
        <f t="array" ref="J87">INDEX('Dec 28 - Jan 3'!J$2:J$116,MATCH($B87,'Dec 28 - Jan 3'!$B$2:$B$116,0))-INDEX('Dec 21 - Dec 27'!J$2:J$115,MATCH($B87,'Dec 21 - Dec 27'!$B$2:$B$115,0))</f>
        <v>0</v>
      </c>
      <c r="K87" s="15">
        <f t="array" ref="K87">INDEX('Dec 28 - Jan 3'!K$2:K$116,MATCH($B87,'Dec 28 - Jan 3'!$B$2:$B$116,0))-INDEX('Dec 21 - Dec 27'!K$2:K$115,MATCH($B87,'Dec 21 - Dec 27'!$B$2:$B$115,0))</f>
        <v>0</v>
      </c>
    </row>
    <row r="88" spans="2:11" ht="12.75">
      <c r="B88" s="13" t="s">
        <v>63</v>
      </c>
      <c r="C88" s="14" t="str">
        <f t="array" aca="1" ref="C88" ca="1">INDEX('Rooms Master'!U:U,MATCH(B88,'Rooms Master'!D:D,0))</f>
        <v>Y</v>
      </c>
      <c r="D88" s="15">
        <f t="array" ref="D88">INDEX('Dec 28 - Jan 3'!D$2:D$116,MATCH($B88,'Dec 28 - Jan 3'!$B$2:$B$116,0))-INDEX('Dec 21 - Dec 27'!D$2:D$115,MATCH($B88,'Dec 21 - Dec 27'!$B$2:$B$115,0))</f>
        <v>-24</v>
      </c>
      <c r="E88" s="15">
        <f t="array" ref="E88">INDEX('Dec 28 - Jan 3'!E$2:E$116,MATCH($B88,'Dec 28 - Jan 3'!$B$2:$B$116,0))-INDEX('Dec 21 - Dec 27'!E$2:E$115,MATCH($B88,'Dec 21 - Dec 27'!$B$2:$B$115,0))</f>
        <v>-3</v>
      </c>
      <c r="F88" s="15">
        <f t="array" ref="F88">INDEX('Dec 28 - Jan 3'!F$2:F$116,MATCH($B88,'Dec 28 - Jan 3'!$B$2:$B$116,0))-INDEX('Dec 21 - Dec 27'!F$2:F$115,MATCH($B88,'Dec 21 - Dec 27'!$B$2:$B$115,0))</f>
        <v>-2</v>
      </c>
      <c r="G88" s="15">
        <f t="array" ref="G88">INDEX('Dec 28 - Jan 3'!G$2:G$116,MATCH($B88,'Dec 28 - Jan 3'!$B$2:$B$116,0))-INDEX('Dec 21 - Dec 27'!G$2:G$115,MATCH($B88,'Dec 21 - Dec 27'!$B$2:$B$115,0))</f>
        <v>-2</v>
      </c>
      <c r="H88" s="15">
        <f t="array" ref="H88">INDEX('Dec 28 - Jan 3'!H$2:H$116,MATCH($B88,'Dec 28 - Jan 3'!$B$2:$B$116,0))-INDEX('Dec 21 - Dec 27'!H$2:H$115,MATCH($B88,'Dec 21 - Dec 27'!$B$2:$B$115,0))</f>
        <v>1</v>
      </c>
      <c r="I88" s="15">
        <f t="array" ref="I88">INDEX('Dec 28 - Jan 3'!I$2:I$116,MATCH($B88,'Dec 28 - Jan 3'!$B$2:$B$116,0))-INDEX('Dec 21 - Dec 27'!I$2:I$115,MATCH($B88,'Dec 21 - Dec 27'!$B$2:$B$115,0))</f>
        <v>0</v>
      </c>
      <c r="J88" s="15">
        <f t="array" ref="J88">INDEX('Dec 28 - Jan 3'!J$2:J$116,MATCH($B88,'Dec 28 - Jan 3'!$B$2:$B$116,0))-INDEX('Dec 21 - Dec 27'!J$2:J$115,MATCH($B88,'Dec 21 - Dec 27'!$B$2:$B$115,0))</f>
        <v>0</v>
      </c>
      <c r="K88" s="15">
        <f t="array" ref="K88">INDEX('Dec 28 - Jan 3'!K$2:K$116,MATCH($B88,'Dec 28 - Jan 3'!$B$2:$B$116,0))-INDEX('Dec 21 - Dec 27'!K$2:K$115,MATCH($B88,'Dec 21 - Dec 27'!$B$2:$B$115,0))</f>
        <v>0</v>
      </c>
    </row>
    <row r="89" spans="2:11" ht="12.75">
      <c r="B89" s="13" t="s">
        <v>70</v>
      </c>
      <c r="C89" s="14" t="str">
        <f t="array" aca="1" ref="C89" ca="1">INDEX('Rooms Master'!U:U,MATCH(B89,'Rooms Master'!D:D,0))</f>
        <v>N</v>
      </c>
      <c r="D89" s="15">
        <f t="array" ref="D89">INDEX('Dec 28 - Jan 3'!D$2:D$116,MATCH($B89,'Dec 28 - Jan 3'!$B$2:$B$116,0))-INDEX('Dec 21 - Dec 27'!D$2:D$115,MATCH($B89,'Dec 21 - Dec 27'!$B$2:$B$115,0))</f>
        <v>-20</v>
      </c>
      <c r="E89" s="15">
        <f t="array" ref="E89">INDEX('Dec 28 - Jan 3'!E$2:E$116,MATCH($B89,'Dec 28 - Jan 3'!$B$2:$B$116,0))-INDEX('Dec 21 - Dec 27'!E$2:E$115,MATCH($B89,'Dec 21 - Dec 27'!$B$2:$B$115,0))</f>
        <v>-4</v>
      </c>
      <c r="F89" s="15">
        <f t="array" ref="F89">INDEX('Dec 28 - Jan 3'!F$2:F$116,MATCH($B89,'Dec 28 - Jan 3'!$B$2:$B$116,0))-INDEX('Dec 21 - Dec 27'!F$2:F$115,MATCH($B89,'Dec 21 - Dec 27'!$B$2:$B$115,0))</f>
        <v>-3</v>
      </c>
      <c r="G89" s="15">
        <f t="array" ref="G89">INDEX('Dec 28 - Jan 3'!G$2:G$116,MATCH($B89,'Dec 28 - Jan 3'!$B$2:$B$116,0))-INDEX('Dec 21 - Dec 27'!G$2:G$115,MATCH($B89,'Dec 21 - Dec 27'!$B$2:$B$115,0))</f>
        <v>-2</v>
      </c>
      <c r="H89" s="15">
        <f t="array" ref="H89">INDEX('Dec 28 - Jan 3'!H$2:H$116,MATCH($B89,'Dec 28 - Jan 3'!$B$2:$B$116,0))-INDEX('Dec 21 - Dec 27'!H$2:H$115,MATCH($B89,'Dec 21 - Dec 27'!$B$2:$B$115,0))</f>
        <v>0</v>
      </c>
      <c r="I89" s="15">
        <f t="array" ref="I89">INDEX('Dec 28 - Jan 3'!I$2:I$116,MATCH($B89,'Dec 28 - Jan 3'!$B$2:$B$116,0))-INDEX('Dec 21 - Dec 27'!I$2:I$115,MATCH($B89,'Dec 21 - Dec 27'!$B$2:$B$115,0))</f>
        <v>0</v>
      </c>
      <c r="J89" s="15">
        <f t="array" ref="J89">INDEX('Dec 28 - Jan 3'!J$2:J$116,MATCH($B89,'Dec 28 - Jan 3'!$B$2:$B$116,0))-INDEX('Dec 21 - Dec 27'!J$2:J$115,MATCH($B89,'Dec 21 - Dec 27'!$B$2:$B$115,0))</f>
        <v>0</v>
      </c>
      <c r="K89" s="15">
        <f t="array" ref="K89">INDEX('Dec 28 - Jan 3'!K$2:K$116,MATCH($B89,'Dec 28 - Jan 3'!$B$2:$B$116,0))-INDEX('Dec 21 - Dec 27'!K$2:K$115,MATCH($B89,'Dec 21 - Dec 27'!$B$2:$B$115,0))</f>
        <v>0</v>
      </c>
    </row>
    <row r="90" spans="2:11" ht="12.75">
      <c r="B90" s="13" t="s">
        <v>23</v>
      </c>
      <c r="C90" s="14" t="str">
        <f t="array" aca="1" ref="C90" ca="1">INDEX('Rooms Master'!U:U,MATCH(B90,'Rooms Master'!D:D,0))</f>
        <v>Y</v>
      </c>
      <c r="D90" s="15">
        <f t="array" ref="D90">INDEX('Dec 28 - Jan 3'!D$2:D$116,MATCH($B90,'Dec 28 - Jan 3'!$B$2:$B$116,0))-INDEX('Dec 21 - Dec 27'!D$2:D$115,MATCH($B90,'Dec 21 - Dec 27'!$B$2:$B$115,0))</f>
        <v>-7</v>
      </c>
      <c r="E90" s="15">
        <f t="array" ref="E90">INDEX('Dec 28 - Jan 3'!E$2:E$116,MATCH($B90,'Dec 28 - Jan 3'!$B$2:$B$116,0))-INDEX('Dec 21 - Dec 27'!E$2:E$115,MATCH($B90,'Dec 21 - Dec 27'!$B$2:$B$115,0))</f>
        <v>-4</v>
      </c>
      <c r="F90" s="15">
        <f t="array" ref="F90">INDEX('Dec 28 - Jan 3'!F$2:F$116,MATCH($B90,'Dec 28 - Jan 3'!$B$2:$B$116,0))-INDEX('Dec 21 - Dec 27'!F$2:F$115,MATCH($B90,'Dec 21 - Dec 27'!$B$2:$B$115,0))</f>
        <v>0</v>
      </c>
      <c r="G90" s="15">
        <f t="array" ref="G90">INDEX('Dec 28 - Jan 3'!G$2:G$116,MATCH($B90,'Dec 28 - Jan 3'!$B$2:$B$116,0))-INDEX('Dec 21 - Dec 27'!G$2:G$115,MATCH($B90,'Dec 21 - Dec 27'!$B$2:$B$115,0))</f>
        <v>1</v>
      </c>
      <c r="H90" s="15">
        <f t="array" ref="H90">INDEX('Dec 28 - Jan 3'!H$2:H$116,MATCH($B90,'Dec 28 - Jan 3'!$B$2:$B$116,0))-INDEX('Dec 21 - Dec 27'!H$2:H$115,MATCH($B90,'Dec 21 - Dec 27'!$B$2:$B$115,0))</f>
        <v>-1</v>
      </c>
      <c r="I90" s="15">
        <f t="array" ref="I90">INDEX('Dec 28 - Jan 3'!I$2:I$116,MATCH($B90,'Dec 28 - Jan 3'!$B$2:$B$116,0))-INDEX('Dec 21 - Dec 27'!I$2:I$115,MATCH($B90,'Dec 21 - Dec 27'!$B$2:$B$115,0))</f>
        <v>0</v>
      </c>
      <c r="J90" s="15">
        <f t="array" ref="J90">INDEX('Dec 28 - Jan 3'!J$2:J$116,MATCH($B90,'Dec 28 - Jan 3'!$B$2:$B$116,0))-INDEX('Dec 21 - Dec 27'!J$2:J$115,MATCH($B90,'Dec 21 - Dec 27'!$B$2:$B$115,0))</f>
        <v>0</v>
      </c>
      <c r="K90" s="15">
        <f t="array" ref="K90">INDEX('Dec 28 - Jan 3'!K$2:K$116,MATCH($B90,'Dec 28 - Jan 3'!$B$2:$B$116,0))-INDEX('Dec 21 - Dec 27'!K$2:K$115,MATCH($B90,'Dec 21 - Dec 27'!$B$2:$B$115,0))</f>
        <v>0</v>
      </c>
    </row>
    <row r="91" spans="2:11" ht="12.75">
      <c r="B91" s="13" t="s">
        <v>82</v>
      </c>
      <c r="C91" s="14" t="str">
        <f t="array" aca="1" ref="C91" ca="1">INDEX('Rooms Master'!U:U,MATCH(B91,'Rooms Master'!D:D,0))</f>
        <v>Y</v>
      </c>
      <c r="D91" s="15">
        <f t="array" ref="D91">INDEX('Dec 28 - Jan 3'!D$2:D$116,MATCH($B91,'Dec 28 - Jan 3'!$B$2:$B$116,0))-INDEX('Dec 21 - Dec 27'!D$2:D$115,MATCH($B91,'Dec 21 - Dec 27'!$B$2:$B$115,0))</f>
        <v>39</v>
      </c>
      <c r="E91" s="15">
        <f t="array" ref="E91">INDEX('Dec 28 - Jan 3'!E$2:E$116,MATCH($B91,'Dec 28 - Jan 3'!$B$2:$B$116,0))-INDEX('Dec 21 - Dec 27'!E$2:E$115,MATCH($B91,'Dec 21 - Dec 27'!$B$2:$B$115,0))</f>
        <v>-4</v>
      </c>
      <c r="F91" s="15">
        <f t="array" ref="F91">INDEX('Dec 28 - Jan 3'!F$2:F$116,MATCH($B91,'Dec 28 - Jan 3'!$B$2:$B$116,0))-INDEX('Dec 21 - Dec 27'!F$2:F$115,MATCH($B91,'Dec 21 - Dec 27'!$B$2:$B$115,0))</f>
        <v>-1</v>
      </c>
      <c r="G91" s="15">
        <f t="array" ref="G91">INDEX('Dec 28 - Jan 3'!G$2:G$116,MATCH($B91,'Dec 28 - Jan 3'!$B$2:$B$116,0))-INDEX('Dec 21 - Dec 27'!G$2:G$115,MATCH($B91,'Dec 21 - Dec 27'!$B$2:$B$115,0))</f>
        <v>0</v>
      </c>
      <c r="H91" s="15">
        <f t="array" ref="H91">INDEX('Dec 28 - Jan 3'!H$2:H$116,MATCH($B91,'Dec 28 - Jan 3'!$B$2:$B$116,0))-INDEX('Dec 21 - Dec 27'!H$2:H$115,MATCH($B91,'Dec 21 - Dec 27'!$B$2:$B$115,0))</f>
        <v>0</v>
      </c>
      <c r="I91" s="15">
        <f t="array" ref="I91">INDEX('Dec 28 - Jan 3'!I$2:I$116,MATCH($B91,'Dec 28 - Jan 3'!$B$2:$B$116,0))-INDEX('Dec 21 - Dec 27'!I$2:I$115,MATCH($B91,'Dec 21 - Dec 27'!$B$2:$B$115,0))</f>
        <v>0</v>
      </c>
      <c r="J91" s="15">
        <f t="array" ref="J91">INDEX('Dec 28 - Jan 3'!J$2:J$116,MATCH($B91,'Dec 28 - Jan 3'!$B$2:$B$116,0))-INDEX('Dec 21 - Dec 27'!J$2:J$115,MATCH($B91,'Dec 21 - Dec 27'!$B$2:$B$115,0))</f>
        <v>0</v>
      </c>
      <c r="K91" s="15">
        <f t="array" ref="K91">INDEX('Dec 28 - Jan 3'!K$2:K$116,MATCH($B91,'Dec 28 - Jan 3'!$B$2:$B$116,0))-INDEX('Dec 21 - Dec 27'!K$2:K$115,MATCH($B91,'Dec 21 - Dec 27'!$B$2:$B$115,0))</f>
        <v>0</v>
      </c>
    </row>
    <row r="92" spans="2:11" ht="12.75">
      <c r="B92" s="13" t="s">
        <v>32</v>
      </c>
      <c r="C92" s="14" t="str">
        <f t="array" aca="1" ref="C92" ca="1">INDEX('Rooms Master'!U:U,MATCH(B92,'Rooms Master'!D:D,0))</f>
        <v>Y</v>
      </c>
      <c r="D92" s="15">
        <f t="array" ref="D92">INDEX('Dec 28 - Jan 3'!D$2:D$116,MATCH($B92,'Dec 28 - Jan 3'!$B$2:$B$116,0))-INDEX('Dec 21 - Dec 27'!D$2:D$115,MATCH($B92,'Dec 21 - Dec 27'!$B$2:$B$115,0))</f>
        <v>-20</v>
      </c>
      <c r="E92" s="15">
        <f t="array" ref="E92">INDEX('Dec 28 - Jan 3'!E$2:E$116,MATCH($B92,'Dec 28 - Jan 3'!$B$2:$B$116,0))-INDEX('Dec 21 - Dec 27'!E$2:E$115,MATCH($B92,'Dec 21 - Dec 27'!$B$2:$B$115,0))</f>
        <v>-5</v>
      </c>
      <c r="F92" s="15">
        <f t="array" ref="F92">INDEX('Dec 28 - Jan 3'!F$2:F$116,MATCH($B92,'Dec 28 - Jan 3'!$B$2:$B$116,0))-INDEX('Dec 21 - Dec 27'!F$2:F$115,MATCH($B92,'Dec 21 - Dec 27'!$B$2:$B$115,0))</f>
        <v>-7</v>
      </c>
      <c r="G92" s="15">
        <f t="array" ref="G92">INDEX('Dec 28 - Jan 3'!G$2:G$116,MATCH($B92,'Dec 28 - Jan 3'!$B$2:$B$116,0))-INDEX('Dec 21 - Dec 27'!G$2:G$115,MATCH($B92,'Dec 21 - Dec 27'!$B$2:$B$115,0))</f>
        <v>0</v>
      </c>
      <c r="H92" s="15">
        <f t="array" ref="H92">INDEX('Dec 28 - Jan 3'!H$2:H$116,MATCH($B92,'Dec 28 - Jan 3'!$B$2:$B$116,0))-INDEX('Dec 21 - Dec 27'!H$2:H$115,MATCH($B92,'Dec 21 - Dec 27'!$B$2:$B$115,0))</f>
        <v>-3</v>
      </c>
      <c r="I92" s="15">
        <f t="array" ref="I92">INDEX('Dec 28 - Jan 3'!I$2:I$116,MATCH($B92,'Dec 28 - Jan 3'!$B$2:$B$116,0))-INDEX('Dec 21 - Dec 27'!I$2:I$115,MATCH($B92,'Dec 21 - Dec 27'!$B$2:$B$115,0))</f>
        <v>0</v>
      </c>
      <c r="J92" s="15">
        <f t="array" ref="J92">INDEX('Dec 28 - Jan 3'!J$2:J$116,MATCH($B92,'Dec 28 - Jan 3'!$B$2:$B$116,0))-INDEX('Dec 21 - Dec 27'!J$2:J$115,MATCH($B92,'Dec 21 - Dec 27'!$B$2:$B$115,0))</f>
        <v>0</v>
      </c>
      <c r="K92" s="15">
        <f t="array" ref="K92">INDEX('Dec 28 - Jan 3'!K$2:K$116,MATCH($B92,'Dec 28 - Jan 3'!$B$2:$B$116,0))-INDEX('Dec 21 - Dec 27'!K$2:K$115,MATCH($B92,'Dec 21 - Dec 27'!$B$2:$B$115,0))</f>
        <v>0</v>
      </c>
    </row>
    <row r="93" spans="2:11" ht="12.75">
      <c r="B93" s="13" t="s">
        <v>83</v>
      </c>
      <c r="C93" s="14" t="str">
        <f t="array" aca="1" ref="C93" ca="1">INDEX('Rooms Master'!U:U,MATCH(B93,'Rooms Master'!D:D,0))</f>
        <v>Y</v>
      </c>
      <c r="D93" s="15">
        <f t="array" ref="D93">INDEX('Dec 28 - Jan 3'!D$2:D$116,MATCH($B93,'Dec 28 - Jan 3'!$B$2:$B$116,0))-INDEX('Dec 21 - Dec 27'!D$2:D$115,MATCH($B93,'Dec 21 - Dec 27'!$B$2:$B$115,0))</f>
        <v>54</v>
      </c>
      <c r="E93" s="15">
        <f t="array" ref="E93">INDEX('Dec 28 - Jan 3'!E$2:E$116,MATCH($B93,'Dec 28 - Jan 3'!$B$2:$B$116,0))-INDEX('Dec 21 - Dec 27'!E$2:E$115,MATCH($B93,'Dec 21 - Dec 27'!$B$2:$B$115,0))</f>
        <v>-5</v>
      </c>
      <c r="F93" s="15">
        <f t="array" ref="F93">INDEX('Dec 28 - Jan 3'!F$2:F$116,MATCH($B93,'Dec 28 - Jan 3'!$B$2:$B$116,0))-INDEX('Dec 21 - Dec 27'!F$2:F$115,MATCH($B93,'Dec 21 - Dec 27'!$B$2:$B$115,0))</f>
        <v>2</v>
      </c>
      <c r="G93" s="15">
        <f t="array" ref="G93">INDEX('Dec 28 - Jan 3'!G$2:G$116,MATCH($B93,'Dec 28 - Jan 3'!$B$2:$B$116,0))-INDEX('Dec 21 - Dec 27'!G$2:G$115,MATCH($B93,'Dec 21 - Dec 27'!$B$2:$B$115,0))</f>
        <v>0</v>
      </c>
      <c r="H93" s="15">
        <f t="array" ref="H93">INDEX('Dec 28 - Jan 3'!H$2:H$116,MATCH($B93,'Dec 28 - Jan 3'!$B$2:$B$116,0))-INDEX('Dec 21 - Dec 27'!H$2:H$115,MATCH($B93,'Dec 21 - Dec 27'!$B$2:$B$115,0))</f>
        <v>0</v>
      </c>
      <c r="I93" s="15">
        <f t="array" ref="I93">INDEX('Dec 28 - Jan 3'!I$2:I$116,MATCH($B93,'Dec 28 - Jan 3'!$B$2:$B$116,0))-INDEX('Dec 21 - Dec 27'!I$2:I$115,MATCH($B93,'Dec 21 - Dec 27'!$B$2:$B$115,0))</f>
        <v>0</v>
      </c>
      <c r="J93" s="15">
        <f t="array" ref="J93">INDEX('Dec 28 - Jan 3'!J$2:J$116,MATCH($B93,'Dec 28 - Jan 3'!$B$2:$B$116,0))-INDEX('Dec 21 - Dec 27'!J$2:J$115,MATCH($B93,'Dec 21 - Dec 27'!$B$2:$B$115,0))</f>
        <v>0</v>
      </c>
      <c r="K93" s="15">
        <f t="array" ref="K93">INDEX('Dec 28 - Jan 3'!K$2:K$116,MATCH($B93,'Dec 28 - Jan 3'!$B$2:$B$116,0))-INDEX('Dec 21 - Dec 27'!K$2:K$115,MATCH($B93,'Dec 21 - Dec 27'!$B$2:$B$115,0))</f>
        <v>0</v>
      </c>
    </row>
    <row r="94" spans="2:11" ht="12.75">
      <c r="B94" s="13" t="s">
        <v>136</v>
      </c>
      <c r="C94" s="14" t="str">
        <f t="array" aca="1" ref="C94" ca="1">INDEX('Rooms Master'!U:U,MATCH(B94,'Rooms Master'!D:D,0))</f>
        <v>N</v>
      </c>
      <c r="D94" s="15">
        <f t="array" ref="D94">INDEX('Dec 28 - Jan 3'!D$2:D$116,MATCH($B94,'Dec 28 - Jan 3'!$B$2:$B$116,0))-INDEX('Dec 21 - Dec 27'!D$2:D$115,MATCH($B94,'Dec 21 - Dec 27'!$B$2:$B$115,0))</f>
        <v>-24</v>
      </c>
      <c r="E94" s="15">
        <f t="array" ref="E94">INDEX('Dec 28 - Jan 3'!E$2:E$116,MATCH($B94,'Dec 28 - Jan 3'!$B$2:$B$116,0))-INDEX('Dec 21 - Dec 27'!E$2:E$115,MATCH($B94,'Dec 21 - Dec 27'!$B$2:$B$115,0))</f>
        <v>-6</v>
      </c>
      <c r="F94" s="15">
        <f t="array" ref="F94">INDEX('Dec 28 - Jan 3'!F$2:F$116,MATCH($B94,'Dec 28 - Jan 3'!$B$2:$B$116,0))-INDEX('Dec 21 - Dec 27'!F$2:F$115,MATCH($B94,'Dec 21 - Dec 27'!$B$2:$B$115,0))</f>
        <v>-4</v>
      </c>
      <c r="G94" s="15">
        <f t="array" ref="G94">INDEX('Dec 28 - Jan 3'!G$2:G$116,MATCH($B94,'Dec 28 - Jan 3'!$B$2:$B$116,0))-INDEX('Dec 21 - Dec 27'!G$2:G$115,MATCH($B94,'Dec 21 - Dec 27'!$B$2:$B$115,0))</f>
        <v>-1</v>
      </c>
      <c r="H94" s="15">
        <f t="array" ref="H94">INDEX('Dec 28 - Jan 3'!H$2:H$116,MATCH($B94,'Dec 28 - Jan 3'!$B$2:$B$116,0))-INDEX('Dec 21 - Dec 27'!H$2:H$115,MATCH($B94,'Dec 21 - Dec 27'!$B$2:$B$115,0))</f>
        <v>-3</v>
      </c>
      <c r="I94" s="15">
        <f t="array" ref="I94">INDEX('Dec 28 - Jan 3'!I$2:I$116,MATCH($B94,'Dec 28 - Jan 3'!$B$2:$B$116,0))-INDEX('Dec 21 - Dec 27'!I$2:I$115,MATCH($B94,'Dec 21 - Dec 27'!$B$2:$B$115,0))</f>
        <v>0</v>
      </c>
      <c r="J94" s="15">
        <f t="array" ref="J94">INDEX('Dec 28 - Jan 3'!J$2:J$116,MATCH($B94,'Dec 28 - Jan 3'!$B$2:$B$116,0))-INDEX('Dec 21 - Dec 27'!J$2:J$115,MATCH($B94,'Dec 21 - Dec 27'!$B$2:$B$115,0))</f>
        <v>0</v>
      </c>
      <c r="K94" s="15">
        <f t="array" ref="K94">INDEX('Dec 28 - Jan 3'!K$2:K$116,MATCH($B94,'Dec 28 - Jan 3'!$B$2:$B$116,0))-INDEX('Dec 21 - Dec 27'!K$2:K$115,MATCH($B94,'Dec 21 - Dec 27'!$B$2:$B$115,0))</f>
        <v>0</v>
      </c>
    </row>
    <row r="95" spans="2:11" ht="12.75">
      <c r="B95" s="13" t="s">
        <v>36</v>
      </c>
      <c r="C95" s="14" t="str">
        <f t="array" aca="1" ref="C95" ca="1">INDEX('Rooms Master'!U:U,MATCH(B95,'Rooms Master'!D:D,0))</f>
        <v>Y</v>
      </c>
      <c r="D95" s="15">
        <f t="array" ref="D95">INDEX('Dec 28 - Jan 3'!D$2:D$116,MATCH($B95,'Dec 28 - Jan 3'!$B$2:$B$116,0))-INDEX('Dec 21 - Dec 27'!D$2:D$115,MATCH($B95,'Dec 21 - Dec 27'!$B$2:$B$115,0))</f>
        <v>-45</v>
      </c>
      <c r="E95" s="15">
        <f t="array" ref="E95">INDEX('Dec 28 - Jan 3'!E$2:E$116,MATCH($B95,'Dec 28 - Jan 3'!$B$2:$B$116,0))-INDEX('Dec 21 - Dec 27'!E$2:E$115,MATCH($B95,'Dec 21 - Dec 27'!$B$2:$B$115,0))</f>
        <v>-7</v>
      </c>
      <c r="F95" s="15">
        <f t="array" ref="F95">INDEX('Dec 28 - Jan 3'!F$2:F$116,MATCH($B95,'Dec 28 - Jan 3'!$B$2:$B$116,0))-INDEX('Dec 21 - Dec 27'!F$2:F$115,MATCH($B95,'Dec 21 - Dec 27'!$B$2:$B$115,0))</f>
        <v>-26</v>
      </c>
      <c r="G95" s="15">
        <f t="array" ref="G95">INDEX('Dec 28 - Jan 3'!G$2:G$116,MATCH($B95,'Dec 28 - Jan 3'!$B$2:$B$116,0))-INDEX('Dec 21 - Dec 27'!G$2:G$115,MATCH($B95,'Dec 21 - Dec 27'!$B$2:$B$115,0))</f>
        <v>2</v>
      </c>
      <c r="H95" s="15">
        <f t="array" ref="H95">INDEX('Dec 28 - Jan 3'!H$2:H$116,MATCH($B95,'Dec 28 - Jan 3'!$B$2:$B$116,0))-INDEX('Dec 21 - Dec 27'!H$2:H$115,MATCH($B95,'Dec 21 - Dec 27'!$B$2:$B$115,0))</f>
        <v>0</v>
      </c>
      <c r="I95" s="15">
        <f t="array" ref="I95">INDEX('Dec 28 - Jan 3'!I$2:I$116,MATCH($B95,'Dec 28 - Jan 3'!$B$2:$B$116,0))-INDEX('Dec 21 - Dec 27'!I$2:I$115,MATCH($B95,'Dec 21 - Dec 27'!$B$2:$B$115,0))</f>
        <v>0</v>
      </c>
      <c r="J95" s="15">
        <f t="array" ref="J95">INDEX('Dec 28 - Jan 3'!J$2:J$116,MATCH($B95,'Dec 28 - Jan 3'!$B$2:$B$116,0))-INDEX('Dec 21 - Dec 27'!J$2:J$115,MATCH($B95,'Dec 21 - Dec 27'!$B$2:$B$115,0))</f>
        <v>0</v>
      </c>
      <c r="K95" s="15">
        <f t="array" ref="K95">INDEX('Dec 28 - Jan 3'!K$2:K$116,MATCH($B95,'Dec 28 - Jan 3'!$B$2:$B$116,0))-INDEX('Dec 21 - Dec 27'!K$2:K$115,MATCH($B95,'Dec 21 - Dec 27'!$B$2:$B$115,0))</f>
        <v>1</v>
      </c>
    </row>
    <row r="96" spans="2:11" ht="12.75">
      <c r="B96" s="13" t="s">
        <v>124</v>
      </c>
      <c r="C96" s="14" t="str">
        <f t="array" aca="1" ref="C96" ca="1">INDEX('Rooms Master'!U:U,MATCH(B96,'Rooms Master'!D:D,0))</f>
        <v>N</v>
      </c>
      <c r="D96" s="15">
        <f t="array" ref="D96">INDEX('Dec 28 - Jan 3'!D$2:D$116,MATCH($B96,'Dec 28 - Jan 3'!$B$2:$B$116,0))-INDEX('Dec 21 - Dec 27'!D$2:D$115,MATCH($B96,'Dec 21 - Dec 27'!$B$2:$B$115,0))</f>
        <v>-17</v>
      </c>
      <c r="E96" s="15">
        <f t="array" ref="E96">INDEX('Dec 28 - Jan 3'!E$2:E$116,MATCH($B96,'Dec 28 - Jan 3'!$B$2:$B$116,0))-INDEX('Dec 21 - Dec 27'!E$2:E$115,MATCH($B96,'Dec 21 - Dec 27'!$B$2:$B$115,0))</f>
        <v>-7</v>
      </c>
      <c r="F96" s="15">
        <f t="array" ref="F96">INDEX('Dec 28 - Jan 3'!F$2:F$116,MATCH($B96,'Dec 28 - Jan 3'!$B$2:$B$116,0))-INDEX('Dec 21 - Dec 27'!F$2:F$115,MATCH($B96,'Dec 21 - Dec 27'!$B$2:$B$115,0))</f>
        <v>1</v>
      </c>
      <c r="G96" s="15">
        <f t="array" ref="G96">INDEX('Dec 28 - Jan 3'!G$2:G$116,MATCH($B96,'Dec 28 - Jan 3'!$B$2:$B$116,0))-INDEX('Dec 21 - Dec 27'!G$2:G$115,MATCH($B96,'Dec 21 - Dec 27'!$B$2:$B$115,0))</f>
        <v>1</v>
      </c>
      <c r="H96" s="15">
        <f t="array" ref="H96">INDEX('Dec 28 - Jan 3'!H$2:H$116,MATCH($B96,'Dec 28 - Jan 3'!$B$2:$B$116,0))-INDEX('Dec 21 - Dec 27'!H$2:H$115,MATCH($B96,'Dec 21 - Dec 27'!$B$2:$B$115,0))</f>
        <v>0</v>
      </c>
      <c r="I96" s="15">
        <f t="array" ref="I96">INDEX('Dec 28 - Jan 3'!I$2:I$116,MATCH($B96,'Dec 28 - Jan 3'!$B$2:$B$116,0))-INDEX('Dec 21 - Dec 27'!I$2:I$115,MATCH($B96,'Dec 21 - Dec 27'!$B$2:$B$115,0))</f>
        <v>0</v>
      </c>
      <c r="J96" s="15">
        <f t="array" ref="J96">INDEX('Dec 28 - Jan 3'!J$2:J$116,MATCH($B96,'Dec 28 - Jan 3'!$B$2:$B$116,0))-INDEX('Dec 21 - Dec 27'!J$2:J$115,MATCH($B96,'Dec 21 - Dec 27'!$B$2:$B$115,0))</f>
        <v>0</v>
      </c>
      <c r="K96" s="15">
        <f t="array" ref="K96">INDEX('Dec 28 - Jan 3'!K$2:K$116,MATCH($B96,'Dec 28 - Jan 3'!$B$2:$B$116,0))-INDEX('Dec 21 - Dec 27'!K$2:K$115,MATCH($B96,'Dec 21 - Dec 27'!$B$2:$B$115,0))</f>
        <v>-1</v>
      </c>
    </row>
    <row r="97" spans="2:11" ht="12.75">
      <c r="B97" s="13" t="s">
        <v>129</v>
      </c>
      <c r="C97" s="14" t="str">
        <f t="array" aca="1" ref="C97" ca="1">INDEX('Rooms Master'!U:U,MATCH(B97,'Rooms Master'!D:D,0))</f>
        <v>N</v>
      </c>
      <c r="D97" s="15">
        <f t="array" ref="D97">INDEX('Dec 28 - Jan 3'!D$2:D$116,MATCH($B97,'Dec 28 - Jan 3'!$B$2:$B$116,0))-INDEX('Dec 21 - Dec 27'!D$2:D$115,MATCH($B97,'Dec 21 - Dec 27'!$B$2:$B$115,0))</f>
        <v>-34</v>
      </c>
      <c r="E97" s="15">
        <f t="array" ref="E97">INDEX('Dec 28 - Jan 3'!E$2:E$116,MATCH($B97,'Dec 28 - Jan 3'!$B$2:$B$116,0))-INDEX('Dec 21 - Dec 27'!E$2:E$115,MATCH($B97,'Dec 21 - Dec 27'!$B$2:$B$115,0))</f>
        <v>-8</v>
      </c>
      <c r="F97" s="15">
        <f t="array" ref="F97">INDEX('Dec 28 - Jan 3'!F$2:F$116,MATCH($B97,'Dec 28 - Jan 3'!$B$2:$B$116,0))-INDEX('Dec 21 - Dec 27'!F$2:F$115,MATCH($B97,'Dec 21 - Dec 27'!$B$2:$B$115,0))</f>
        <v>-3</v>
      </c>
      <c r="G97" s="15">
        <f t="array" ref="G97">INDEX('Dec 28 - Jan 3'!G$2:G$116,MATCH($B97,'Dec 28 - Jan 3'!$B$2:$B$116,0))-INDEX('Dec 21 - Dec 27'!G$2:G$115,MATCH($B97,'Dec 21 - Dec 27'!$B$2:$B$115,0))</f>
        <v>0</v>
      </c>
      <c r="H97" s="15">
        <f t="array" ref="H97">INDEX('Dec 28 - Jan 3'!H$2:H$116,MATCH($B97,'Dec 28 - Jan 3'!$B$2:$B$116,0))-INDEX('Dec 21 - Dec 27'!H$2:H$115,MATCH($B97,'Dec 21 - Dec 27'!$B$2:$B$115,0))</f>
        <v>-1</v>
      </c>
      <c r="I97" s="15">
        <f t="array" ref="I97">INDEX('Dec 28 - Jan 3'!I$2:I$116,MATCH($B97,'Dec 28 - Jan 3'!$B$2:$B$116,0))-INDEX('Dec 21 - Dec 27'!I$2:I$115,MATCH($B97,'Dec 21 - Dec 27'!$B$2:$B$115,0))</f>
        <v>0</v>
      </c>
      <c r="J97" s="15">
        <f t="array" ref="J97">INDEX('Dec 28 - Jan 3'!J$2:J$116,MATCH($B97,'Dec 28 - Jan 3'!$B$2:$B$116,0))-INDEX('Dec 21 - Dec 27'!J$2:J$115,MATCH($B97,'Dec 21 - Dec 27'!$B$2:$B$115,0))</f>
        <v>-1</v>
      </c>
      <c r="K97" s="15">
        <f t="array" ref="K97">INDEX('Dec 28 - Jan 3'!K$2:K$116,MATCH($B97,'Dec 28 - Jan 3'!$B$2:$B$116,0))-INDEX('Dec 21 - Dec 27'!K$2:K$115,MATCH($B97,'Dec 21 - Dec 27'!$B$2:$B$115,0))</f>
        <v>2</v>
      </c>
    </row>
    <row r="98" spans="2:11" ht="12.75">
      <c r="B98" s="13" t="s">
        <v>62</v>
      </c>
      <c r="C98" s="14" t="str">
        <f t="array" aca="1" ref="C98" ca="1">INDEX('Rooms Master'!U:U,MATCH(B98,'Rooms Master'!D:D,0))</f>
        <v>N</v>
      </c>
      <c r="D98" s="15">
        <f t="array" ref="D98">INDEX('Dec 28 - Jan 3'!D$2:D$116,MATCH($B98,'Dec 28 - Jan 3'!$B$2:$B$116,0))-INDEX('Dec 21 - Dec 27'!D$2:D$115,MATCH($B98,'Dec 21 - Dec 27'!$B$2:$B$115,0))</f>
        <v>-22</v>
      </c>
      <c r="E98" s="15">
        <f t="array" ref="E98">INDEX('Dec 28 - Jan 3'!E$2:E$116,MATCH($B98,'Dec 28 - Jan 3'!$B$2:$B$116,0))-INDEX('Dec 21 - Dec 27'!E$2:E$115,MATCH($B98,'Dec 21 - Dec 27'!$B$2:$B$115,0))</f>
        <v>-8</v>
      </c>
      <c r="F98" s="15">
        <f t="array" ref="F98">INDEX('Dec 28 - Jan 3'!F$2:F$116,MATCH($B98,'Dec 28 - Jan 3'!$B$2:$B$116,0))-INDEX('Dec 21 - Dec 27'!F$2:F$115,MATCH($B98,'Dec 21 - Dec 27'!$B$2:$B$115,0))</f>
        <v>0</v>
      </c>
      <c r="G98" s="15">
        <f t="array" ref="G98">INDEX('Dec 28 - Jan 3'!G$2:G$116,MATCH($B98,'Dec 28 - Jan 3'!$B$2:$B$116,0))-INDEX('Dec 21 - Dec 27'!G$2:G$115,MATCH($B98,'Dec 21 - Dec 27'!$B$2:$B$115,0))</f>
        <v>0</v>
      </c>
      <c r="H98" s="15">
        <f t="array" ref="H98">INDEX('Dec 28 - Jan 3'!H$2:H$116,MATCH($B98,'Dec 28 - Jan 3'!$B$2:$B$116,0))-INDEX('Dec 21 - Dec 27'!H$2:H$115,MATCH($B98,'Dec 21 - Dec 27'!$B$2:$B$115,0))</f>
        <v>-1</v>
      </c>
      <c r="I98" s="15">
        <f t="array" ref="I98">INDEX('Dec 28 - Jan 3'!I$2:I$116,MATCH($B98,'Dec 28 - Jan 3'!$B$2:$B$116,0))-INDEX('Dec 21 - Dec 27'!I$2:I$115,MATCH($B98,'Dec 21 - Dec 27'!$B$2:$B$115,0))</f>
        <v>0</v>
      </c>
      <c r="J98" s="15">
        <f t="array" ref="J98">INDEX('Dec 28 - Jan 3'!J$2:J$116,MATCH($B98,'Dec 28 - Jan 3'!$B$2:$B$116,0))-INDEX('Dec 21 - Dec 27'!J$2:J$115,MATCH($B98,'Dec 21 - Dec 27'!$B$2:$B$115,0))</f>
        <v>0</v>
      </c>
      <c r="K98" s="15">
        <f t="array" ref="K98">INDEX('Dec 28 - Jan 3'!K$2:K$116,MATCH($B98,'Dec 28 - Jan 3'!$B$2:$B$116,0))-INDEX('Dec 21 - Dec 27'!K$2:K$115,MATCH($B98,'Dec 21 - Dec 27'!$B$2:$B$115,0))</f>
        <v>0</v>
      </c>
    </row>
    <row r="99" spans="2:11" ht="12.75">
      <c r="B99" s="13" t="s">
        <v>101</v>
      </c>
      <c r="C99" s="14" t="str">
        <f t="array" aca="1" ref="C99" ca="1">INDEX('Rooms Master'!U:U,MATCH(B99,'Rooms Master'!D:D,0))</f>
        <v>N</v>
      </c>
      <c r="D99" s="15">
        <f t="array" ref="D99">INDEX('Dec 28 - Jan 3'!D$2:D$116,MATCH($B99,'Dec 28 - Jan 3'!$B$2:$B$116,0))-INDEX('Dec 21 - Dec 27'!D$2:D$115,MATCH($B99,'Dec 21 - Dec 27'!$B$2:$B$115,0))</f>
        <v>-65</v>
      </c>
      <c r="E99" s="15">
        <f t="array" ref="E99">INDEX('Dec 28 - Jan 3'!E$2:E$116,MATCH($B99,'Dec 28 - Jan 3'!$B$2:$B$116,0))-INDEX('Dec 21 - Dec 27'!E$2:E$115,MATCH($B99,'Dec 21 - Dec 27'!$B$2:$B$115,0))</f>
        <v>-9</v>
      </c>
      <c r="F99" s="15">
        <f t="array" ref="F99">INDEX('Dec 28 - Jan 3'!F$2:F$116,MATCH($B99,'Dec 28 - Jan 3'!$B$2:$B$116,0))-INDEX('Dec 21 - Dec 27'!F$2:F$115,MATCH($B99,'Dec 21 - Dec 27'!$B$2:$B$115,0))</f>
        <v>-4</v>
      </c>
      <c r="G99" s="15">
        <f t="array" ref="G99">INDEX('Dec 28 - Jan 3'!G$2:G$116,MATCH($B99,'Dec 28 - Jan 3'!$B$2:$B$116,0))-INDEX('Dec 21 - Dec 27'!G$2:G$115,MATCH($B99,'Dec 21 - Dec 27'!$B$2:$B$115,0))</f>
        <v>-1</v>
      </c>
      <c r="H99" s="15">
        <f t="array" ref="H99">INDEX('Dec 28 - Jan 3'!H$2:H$116,MATCH($B99,'Dec 28 - Jan 3'!$B$2:$B$116,0))-INDEX('Dec 21 - Dec 27'!H$2:H$115,MATCH($B99,'Dec 21 - Dec 27'!$B$2:$B$115,0))</f>
        <v>0</v>
      </c>
      <c r="I99" s="15">
        <f t="array" ref="I99">INDEX('Dec 28 - Jan 3'!I$2:I$116,MATCH($B99,'Dec 28 - Jan 3'!$B$2:$B$116,0))-INDEX('Dec 21 - Dec 27'!I$2:I$115,MATCH($B99,'Dec 21 - Dec 27'!$B$2:$B$115,0))</f>
        <v>0</v>
      </c>
      <c r="J99" s="15">
        <f t="array" ref="J99">INDEX('Dec 28 - Jan 3'!J$2:J$116,MATCH($B99,'Dec 28 - Jan 3'!$B$2:$B$116,0))-INDEX('Dec 21 - Dec 27'!J$2:J$115,MATCH($B99,'Dec 21 - Dec 27'!$B$2:$B$115,0))</f>
        <v>0</v>
      </c>
      <c r="K99" s="15">
        <f t="array" ref="K99">INDEX('Dec 28 - Jan 3'!K$2:K$116,MATCH($B99,'Dec 28 - Jan 3'!$B$2:$B$116,0))-INDEX('Dec 21 - Dec 27'!K$2:K$115,MATCH($B99,'Dec 21 - Dec 27'!$B$2:$B$115,0))</f>
        <v>-1</v>
      </c>
    </row>
    <row r="100" spans="2:11" ht="12.75">
      <c r="B100" s="13" t="s">
        <v>91</v>
      </c>
      <c r="C100" s="14" t="str">
        <f t="array" aca="1" ref="C100" ca="1">INDEX('Rooms Master'!U:U,MATCH(B100,'Rooms Master'!D:D,0))</f>
        <v>N</v>
      </c>
      <c r="D100" s="15">
        <f t="array" ref="D100">INDEX('Dec 28 - Jan 3'!D$2:D$116,MATCH($B100,'Dec 28 - Jan 3'!$B$2:$B$116,0))-INDEX('Dec 21 - Dec 27'!D$2:D$115,MATCH($B100,'Dec 21 - Dec 27'!$B$2:$B$115,0))</f>
        <v>0</v>
      </c>
      <c r="E100" s="15">
        <f t="array" ref="E100">INDEX('Dec 28 - Jan 3'!E$2:E$116,MATCH($B100,'Dec 28 - Jan 3'!$B$2:$B$116,0))-INDEX('Dec 21 - Dec 27'!E$2:E$115,MATCH($B100,'Dec 21 - Dec 27'!$B$2:$B$115,0))</f>
        <v>-9</v>
      </c>
      <c r="F100" s="15">
        <f t="array" ref="F100">INDEX('Dec 28 - Jan 3'!F$2:F$116,MATCH($B100,'Dec 28 - Jan 3'!$B$2:$B$116,0))-INDEX('Dec 21 - Dec 27'!F$2:F$115,MATCH($B100,'Dec 21 - Dec 27'!$B$2:$B$115,0))</f>
        <v>-7</v>
      </c>
      <c r="G100" s="15">
        <f t="array" ref="G100">INDEX('Dec 28 - Jan 3'!G$2:G$116,MATCH($B100,'Dec 28 - Jan 3'!$B$2:$B$116,0))-INDEX('Dec 21 - Dec 27'!G$2:G$115,MATCH($B100,'Dec 21 - Dec 27'!$B$2:$B$115,0))</f>
        <v>3</v>
      </c>
      <c r="H100" s="15">
        <f t="array" ref="H100">INDEX('Dec 28 - Jan 3'!H$2:H$116,MATCH($B100,'Dec 28 - Jan 3'!$B$2:$B$116,0))-INDEX('Dec 21 - Dec 27'!H$2:H$115,MATCH($B100,'Dec 21 - Dec 27'!$B$2:$B$115,0))</f>
        <v>0</v>
      </c>
      <c r="I100" s="15">
        <f t="array" ref="I100">INDEX('Dec 28 - Jan 3'!I$2:I$116,MATCH($B100,'Dec 28 - Jan 3'!$B$2:$B$116,0))-INDEX('Dec 21 - Dec 27'!I$2:I$115,MATCH($B100,'Dec 21 - Dec 27'!$B$2:$B$115,0))</f>
        <v>0</v>
      </c>
      <c r="J100" s="15">
        <f t="array" ref="J100">INDEX('Dec 28 - Jan 3'!J$2:J$116,MATCH($B100,'Dec 28 - Jan 3'!$B$2:$B$116,0))-INDEX('Dec 21 - Dec 27'!J$2:J$115,MATCH($B100,'Dec 21 - Dec 27'!$B$2:$B$115,0))</f>
        <v>0</v>
      </c>
      <c r="K100" s="15">
        <f t="array" ref="K100">INDEX('Dec 28 - Jan 3'!K$2:K$116,MATCH($B100,'Dec 28 - Jan 3'!$B$2:$B$116,0))-INDEX('Dec 21 - Dec 27'!K$2:K$115,MATCH($B100,'Dec 21 - Dec 27'!$B$2:$B$115,0))</f>
        <v>0</v>
      </c>
    </row>
    <row r="101" spans="2:11" ht="12.75">
      <c r="B101" s="13" t="s">
        <v>90</v>
      </c>
      <c r="C101" s="14" t="str">
        <f t="array" aca="1" ref="C101" ca="1">INDEX('Rooms Master'!U:U,MATCH(B101,'Rooms Master'!D:D,0))</f>
        <v>N</v>
      </c>
      <c r="D101" s="15">
        <f t="array" ref="D101">INDEX('Dec 28 - Jan 3'!D$2:D$116,MATCH($B101,'Dec 28 - Jan 3'!$B$2:$B$116,0))-INDEX('Dec 21 - Dec 27'!D$2:D$115,MATCH($B101,'Dec 21 - Dec 27'!$B$2:$B$115,0))</f>
        <v>-38</v>
      </c>
      <c r="E101" s="15">
        <f t="array" ref="E101">INDEX('Dec 28 - Jan 3'!E$2:E$116,MATCH($B101,'Dec 28 - Jan 3'!$B$2:$B$116,0))-INDEX('Dec 21 - Dec 27'!E$2:E$115,MATCH($B101,'Dec 21 - Dec 27'!$B$2:$B$115,0))</f>
        <v>-10</v>
      </c>
      <c r="F101" s="15">
        <f t="array" ref="F101">INDEX('Dec 28 - Jan 3'!F$2:F$116,MATCH($B101,'Dec 28 - Jan 3'!$B$2:$B$116,0))-INDEX('Dec 21 - Dec 27'!F$2:F$115,MATCH($B101,'Dec 21 - Dec 27'!$B$2:$B$115,0))</f>
        <v>-9</v>
      </c>
      <c r="G101" s="15">
        <f t="array" ref="G101">INDEX('Dec 28 - Jan 3'!G$2:G$116,MATCH($B101,'Dec 28 - Jan 3'!$B$2:$B$116,0))-INDEX('Dec 21 - Dec 27'!G$2:G$115,MATCH($B101,'Dec 21 - Dec 27'!$B$2:$B$115,0))</f>
        <v>1</v>
      </c>
      <c r="H101" s="15">
        <f t="array" ref="H101">INDEX('Dec 28 - Jan 3'!H$2:H$116,MATCH($B101,'Dec 28 - Jan 3'!$B$2:$B$116,0))-INDEX('Dec 21 - Dec 27'!H$2:H$115,MATCH($B101,'Dec 21 - Dec 27'!$B$2:$B$115,0))</f>
        <v>-2</v>
      </c>
      <c r="I101" s="15">
        <f t="array" ref="I101">INDEX('Dec 28 - Jan 3'!I$2:I$116,MATCH($B101,'Dec 28 - Jan 3'!$B$2:$B$116,0))-INDEX('Dec 21 - Dec 27'!I$2:I$115,MATCH($B101,'Dec 21 - Dec 27'!$B$2:$B$115,0))</f>
        <v>0</v>
      </c>
      <c r="J101" s="15">
        <f t="array" ref="J101">INDEX('Dec 28 - Jan 3'!J$2:J$116,MATCH($B101,'Dec 28 - Jan 3'!$B$2:$B$116,0))-INDEX('Dec 21 - Dec 27'!J$2:J$115,MATCH($B101,'Dec 21 - Dec 27'!$B$2:$B$115,0))</f>
        <v>0</v>
      </c>
      <c r="K101" s="15">
        <f t="array" ref="K101">INDEX('Dec 28 - Jan 3'!K$2:K$116,MATCH($B101,'Dec 28 - Jan 3'!$B$2:$B$116,0))-INDEX('Dec 21 - Dec 27'!K$2:K$115,MATCH($B101,'Dec 21 - Dec 27'!$B$2:$B$115,0))</f>
        <v>0</v>
      </c>
    </row>
    <row r="102" spans="2:11" ht="12.75">
      <c r="B102" s="13" t="s">
        <v>76</v>
      </c>
      <c r="C102" s="14" t="str">
        <f t="array" aca="1" ref="C102" ca="1">INDEX('Rooms Master'!U:U,MATCH(B102,'Rooms Master'!D:D,0))</f>
        <v>N</v>
      </c>
      <c r="D102" s="15">
        <f t="array" ref="D102">INDEX('Dec 28 - Jan 3'!D$2:D$116,MATCH($B102,'Dec 28 - Jan 3'!$B$2:$B$116,0))-INDEX('Dec 21 - Dec 27'!D$2:D$115,MATCH($B102,'Dec 21 - Dec 27'!$B$2:$B$115,0))</f>
        <v>0</v>
      </c>
      <c r="E102" s="15">
        <f t="array" ref="E102">INDEX('Dec 28 - Jan 3'!E$2:E$116,MATCH($B102,'Dec 28 - Jan 3'!$B$2:$B$116,0))-INDEX('Dec 21 - Dec 27'!E$2:E$115,MATCH($B102,'Dec 21 - Dec 27'!$B$2:$B$115,0))</f>
        <v>-11</v>
      </c>
      <c r="F102" s="15">
        <f t="array" ref="F102">INDEX('Dec 28 - Jan 3'!F$2:F$116,MATCH($B102,'Dec 28 - Jan 3'!$B$2:$B$116,0))-INDEX('Dec 21 - Dec 27'!F$2:F$115,MATCH($B102,'Dec 21 - Dec 27'!$B$2:$B$115,0))</f>
        <v>-8</v>
      </c>
      <c r="G102" s="15">
        <f t="array" ref="G102">INDEX('Dec 28 - Jan 3'!G$2:G$116,MATCH($B102,'Dec 28 - Jan 3'!$B$2:$B$116,0))-INDEX('Dec 21 - Dec 27'!G$2:G$115,MATCH($B102,'Dec 21 - Dec 27'!$B$2:$B$115,0))</f>
        <v>0</v>
      </c>
      <c r="H102" s="15">
        <f t="array" ref="H102">INDEX('Dec 28 - Jan 3'!H$2:H$116,MATCH($B102,'Dec 28 - Jan 3'!$B$2:$B$116,0))-INDEX('Dec 21 - Dec 27'!H$2:H$115,MATCH($B102,'Dec 21 - Dec 27'!$B$2:$B$115,0))</f>
        <v>0</v>
      </c>
      <c r="I102" s="15">
        <f t="array" ref="I102">INDEX('Dec 28 - Jan 3'!I$2:I$116,MATCH($B102,'Dec 28 - Jan 3'!$B$2:$B$116,0))-INDEX('Dec 21 - Dec 27'!I$2:I$115,MATCH($B102,'Dec 21 - Dec 27'!$B$2:$B$115,0))</f>
        <v>0</v>
      </c>
      <c r="J102" s="15">
        <f t="array" ref="J102">INDEX('Dec 28 - Jan 3'!J$2:J$116,MATCH($B102,'Dec 28 - Jan 3'!$B$2:$B$116,0))-INDEX('Dec 21 - Dec 27'!J$2:J$115,MATCH($B102,'Dec 21 - Dec 27'!$B$2:$B$115,0))</f>
        <v>0</v>
      </c>
      <c r="K102" s="15">
        <f t="array" ref="K102">INDEX('Dec 28 - Jan 3'!K$2:K$116,MATCH($B102,'Dec 28 - Jan 3'!$B$2:$B$116,0))-INDEX('Dec 21 - Dec 27'!K$2:K$115,MATCH($B102,'Dec 21 - Dec 27'!$B$2:$B$115,0))</f>
        <v>0</v>
      </c>
    </row>
    <row r="103" spans="2:11" ht="12.75">
      <c r="B103" s="13" t="s">
        <v>93</v>
      </c>
      <c r="C103" s="14" t="str">
        <f t="array" aca="1" ref="C103" ca="1">INDEX('Rooms Master'!U:U,MATCH(B103,'Rooms Master'!D:D,0))</f>
        <v>Y</v>
      </c>
      <c r="D103" s="15">
        <f t="array" ref="D103">INDEX('Dec 28 - Jan 3'!D$2:D$116,MATCH($B103,'Dec 28 - Jan 3'!$B$2:$B$116,0))-INDEX('Dec 21 - Dec 27'!D$2:D$115,MATCH($B103,'Dec 21 - Dec 27'!$B$2:$B$115,0))</f>
        <v>9</v>
      </c>
      <c r="E103" s="15">
        <f t="array" ref="E103">INDEX('Dec 28 - Jan 3'!E$2:E$116,MATCH($B103,'Dec 28 - Jan 3'!$B$2:$B$116,0))-INDEX('Dec 21 - Dec 27'!E$2:E$115,MATCH($B103,'Dec 21 - Dec 27'!$B$2:$B$115,0))</f>
        <v>-11</v>
      </c>
      <c r="F103" s="15">
        <f t="array" ref="F103">INDEX('Dec 28 - Jan 3'!F$2:F$116,MATCH($B103,'Dec 28 - Jan 3'!$B$2:$B$116,0))-INDEX('Dec 21 - Dec 27'!F$2:F$115,MATCH($B103,'Dec 21 - Dec 27'!$B$2:$B$115,0))</f>
        <v>-7</v>
      </c>
      <c r="G103" s="15">
        <f t="array" ref="G103">INDEX('Dec 28 - Jan 3'!G$2:G$116,MATCH($B103,'Dec 28 - Jan 3'!$B$2:$B$116,0))-INDEX('Dec 21 - Dec 27'!G$2:G$115,MATCH($B103,'Dec 21 - Dec 27'!$B$2:$B$115,0))</f>
        <v>1</v>
      </c>
      <c r="H103" s="15">
        <f t="array" ref="H103">INDEX('Dec 28 - Jan 3'!H$2:H$116,MATCH($B103,'Dec 28 - Jan 3'!$B$2:$B$116,0))-INDEX('Dec 21 - Dec 27'!H$2:H$115,MATCH($B103,'Dec 21 - Dec 27'!$B$2:$B$115,0))</f>
        <v>-1</v>
      </c>
      <c r="I103" s="15">
        <f t="array" ref="I103">INDEX('Dec 28 - Jan 3'!I$2:I$116,MATCH($B103,'Dec 28 - Jan 3'!$B$2:$B$116,0))-INDEX('Dec 21 - Dec 27'!I$2:I$115,MATCH($B103,'Dec 21 - Dec 27'!$B$2:$B$115,0))</f>
        <v>0</v>
      </c>
      <c r="J103" s="15">
        <f t="array" ref="J103">INDEX('Dec 28 - Jan 3'!J$2:J$116,MATCH($B103,'Dec 28 - Jan 3'!$B$2:$B$116,0))-INDEX('Dec 21 - Dec 27'!J$2:J$115,MATCH($B103,'Dec 21 - Dec 27'!$B$2:$B$115,0))</f>
        <v>0</v>
      </c>
      <c r="K103" s="15">
        <f t="array" ref="K103">INDEX('Dec 28 - Jan 3'!K$2:K$116,MATCH($B103,'Dec 28 - Jan 3'!$B$2:$B$116,0))-INDEX('Dec 21 - Dec 27'!K$2:K$115,MATCH($B103,'Dec 21 - Dec 27'!$B$2:$B$115,0))</f>
        <v>0</v>
      </c>
    </row>
    <row r="104" spans="2:11" ht="12.75">
      <c r="B104" s="13" t="s">
        <v>41</v>
      </c>
      <c r="C104" s="14" t="str">
        <f t="array" aca="1" ref="C104" ca="1">INDEX('Rooms Master'!U:U,MATCH(B104,'Rooms Master'!D:D,0))</f>
        <v>Y</v>
      </c>
      <c r="D104" s="15">
        <f t="array" ref="D104">INDEX('Dec 28 - Jan 3'!D$2:D$116,MATCH($B104,'Dec 28 - Jan 3'!$B$2:$B$116,0))-INDEX('Dec 21 - Dec 27'!D$2:D$115,MATCH($B104,'Dec 21 - Dec 27'!$B$2:$B$115,0))</f>
        <v>-6</v>
      </c>
      <c r="E104" s="15">
        <f t="array" ref="E104">INDEX('Dec 28 - Jan 3'!E$2:E$116,MATCH($B104,'Dec 28 - Jan 3'!$B$2:$B$116,0))-INDEX('Dec 21 - Dec 27'!E$2:E$115,MATCH($B104,'Dec 21 - Dec 27'!$B$2:$B$115,0))</f>
        <v>-12</v>
      </c>
      <c r="F104" s="15">
        <f t="array" ref="F104">INDEX('Dec 28 - Jan 3'!F$2:F$116,MATCH($B104,'Dec 28 - Jan 3'!$B$2:$B$116,0))-INDEX('Dec 21 - Dec 27'!F$2:F$115,MATCH($B104,'Dec 21 - Dec 27'!$B$2:$B$115,0))</f>
        <v>-4</v>
      </c>
      <c r="G104" s="15">
        <f t="array" ref="G104">INDEX('Dec 28 - Jan 3'!G$2:G$116,MATCH($B104,'Dec 28 - Jan 3'!$B$2:$B$116,0))-INDEX('Dec 21 - Dec 27'!G$2:G$115,MATCH($B104,'Dec 21 - Dec 27'!$B$2:$B$115,0))</f>
        <v>3</v>
      </c>
      <c r="H104" s="15">
        <f t="array" ref="H104">INDEX('Dec 28 - Jan 3'!H$2:H$116,MATCH($B104,'Dec 28 - Jan 3'!$B$2:$B$116,0))-INDEX('Dec 21 - Dec 27'!H$2:H$115,MATCH($B104,'Dec 21 - Dec 27'!$B$2:$B$115,0))</f>
        <v>-4</v>
      </c>
      <c r="I104" s="15">
        <f t="array" ref="I104">INDEX('Dec 28 - Jan 3'!I$2:I$116,MATCH($B104,'Dec 28 - Jan 3'!$B$2:$B$116,0))-INDEX('Dec 21 - Dec 27'!I$2:I$115,MATCH($B104,'Dec 21 - Dec 27'!$B$2:$B$115,0))</f>
        <v>-1</v>
      </c>
      <c r="J104" s="15">
        <f t="array" ref="J104">INDEX('Dec 28 - Jan 3'!J$2:J$116,MATCH($B104,'Dec 28 - Jan 3'!$B$2:$B$116,0))-INDEX('Dec 21 - Dec 27'!J$2:J$115,MATCH($B104,'Dec 21 - Dec 27'!$B$2:$B$115,0))</f>
        <v>0</v>
      </c>
      <c r="K104" s="15">
        <f t="array" ref="K104">INDEX('Dec 28 - Jan 3'!K$2:K$116,MATCH($B104,'Dec 28 - Jan 3'!$B$2:$B$116,0))-INDEX('Dec 21 - Dec 27'!K$2:K$115,MATCH($B104,'Dec 21 - Dec 27'!$B$2:$B$115,0))</f>
        <v>0</v>
      </c>
    </row>
    <row r="105" spans="2:11" ht="12.75">
      <c r="B105" s="13" t="s">
        <v>21</v>
      </c>
      <c r="C105" s="14" t="str">
        <f t="array" aca="1" ref="C105" ca="1">INDEX('Rooms Master'!U:U,MATCH(B105,'Rooms Master'!D:D,0))</f>
        <v>Y</v>
      </c>
      <c r="D105" s="15">
        <f t="array" ref="D105">INDEX('Dec 28 - Jan 3'!D$2:D$116,MATCH($B105,'Dec 28 - Jan 3'!$B$2:$B$116,0))-INDEX('Dec 21 - Dec 27'!D$2:D$115,MATCH($B105,'Dec 21 - Dec 27'!$B$2:$B$115,0))</f>
        <v>59</v>
      </c>
      <c r="E105" s="15">
        <f t="array" ref="E105">INDEX('Dec 28 - Jan 3'!E$2:E$116,MATCH($B105,'Dec 28 - Jan 3'!$B$2:$B$116,0))-INDEX('Dec 21 - Dec 27'!E$2:E$115,MATCH($B105,'Dec 21 - Dec 27'!$B$2:$B$115,0))</f>
        <v>-12</v>
      </c>
      <c r="F105" s="15">
        <f t="array" ref="F105">INDEX('Dec 28 - Jan 3'!F$2:F$116,MATCH($B105,'Dec 28 - Jan 3'!$B$2:$B$116,0))-INDEX('Dec 21 - Dec 27'!F$2:F$115,MATCH($B105,'Dec 21 - Dec 27'!$B$2:$B$115,0))</f>
        <v>5</v>
      </c>
      <c r="G105" s="15">
        <f t="array" ref="G105">INDEX('Dec 28 - Jan 3'!G$2:G$116,MATCH($B105,'Dec 28 - Jan 3'!$B$2:$B$116,0))-INDEX('Dec 21 - Dec 27'!G$2:G$115,MATCH($B105,'Dec 21 - Dec 27'!$B$2:$B$115,0))</f>
        <v>5</v>
      </c>
      <c r="H105" s="15">
        <f t="array" ref="H105">INDEX('Dec 28 - Jan 3'!H$2:H$116,MATCH($B105,'Dec 28 - Jan 3'!$B$2:$B$116,0))-INDEX('Dec 21 - Dec 27'!H$2:H$115,MATCH($B105,'Dec 21 - Dec 27'!$B$2:$B$115,0))</f>
        <v>-12</v>
      </c>
      <c r="I105" s="15">
        <f t="array" ref="I105">INDEX('Dec 28 - Jan 3'!I$2:I$116,MATCH($B105,'Dec 28 - Jan 3'!$B$2:$B$116,0))-INDEX('Dec 21 - Dec 27'!I$2:I$115,MATCH($B105,'Dec 21 - Dec 27'!$B$2:$B$115,0))</f>
        <v>0</v>
      </c>
      <c r="J105" s="15">
        <f t="array" ref="J105">INDEX('Dec 28 - Jan 3'!J$2:J$116,MATCH($B105,'Dec 28 - Jan 3'!$B$2:$B$116,0))-INDEX('Dec 21 - Dec 27'!J$2:J$115,MATCH($B105,'Dec 21 - Dec 27'!$B$2:$B$115,0))</f>
        <v>1</v>
      </c>
      <c r="K105" s="15">
        <f t="array" ref="K105">INDEX('Dec 28 - Jan 3'!K$2:K$116,MATCH($B105,'Dec 28 - Jan 3'!$B$2:$B$116,0))-INDEX('Dec 21 - Dec 27'!K$2:K$115,MATCH($B105,'Dec 21 - Dec 27'!$B$2:$B$115,0))</f>
        <v>1</v>
      </c>
    </row>
    <row r="106" spans="2:11" ht="12.75">
      <c r="B106" s="13" t="s">
        <v>68</v>
      </c>
      <c r="C106" s="15" t="s">
        <v>142</v>
      </c>
      <c r="D106" s="15">
        <f t="array" ref="D106">INDEX('Dec 28 - Jan 3'!D$2:D$116,MATCH($B106,'Dec 28 - Jan 3'!$B$2:$B$116,0))-INDEX('Dec 21 - Dec 27'!D$2:D$115,MATCH($B106,'Dec 21 - Dec 27'!$B$2:$B$115,0))</f>
        <v>12</v>
      </c>
      <c r="E106" s="15">
        <f t="array" ref="E106">INDEX('Dec 28 - Jan 3'!E$2:E$116,MATCH($B106,'Dec 28 - Jan 3'!$B$2:$B$116,0))-INDEX('Dec 21 - Dec 27'!E$2:E$115,MATCH($B106,'Dec 21 - Dec 27'!$B$2:$B$115,0))</f>
        <v>-12</v>
      </c>
      <c r="F106" s="15">
        <f t="array" ref="F106">INDEX('Dec 28 - Jan 3'!F$2:F$116,MATCH($B106,'Dec 28 - Jan 3'!$B$2:$B$116,0))-INDEX('Dec 21 - Dec 27'!F$2:F$115,MATCH($B106,'Dec 21 - Dec 27'!$B$2:$B$115,0))</f>
        <v>2</v>
      </c>
      <c r="G106" s="15">
        <f t="array" ref="G106">INDEX('Dec 28 - Jan 3'!G$2:G$116,MATCH($B106,'Dec 28 - Jan 3'!$B$2:$B$116,0))-INDEX('Dec 21 - Dec 27'!G$2:G$115,MATCH($B106,'Dec 21 - Dec 27'!$B$2:$B$115,0))</f>
        <v>-2</v>
      </c>
      <c r="H106" s="15">
        <f t="array" ref="H106">INDEX('Dec 28 - Jan 3'!H$2:H$116,MATCH($B106,'Dec 28 - Jan 3'!$B$2:$B$116,0))-INDEX('Dec 21 - Dec 27'!H$2:H$115,MATCH($B106,'Dec 21 - Dec 27'!$B$2:$B$115,0))</f>
        <v>0</v>
      </c>
      <c r="I106" s="15">
        <f t="array" ref="I106">INDEX('Dec 28 - Jan 3'!I$2:I$116,MATCH($B106,'Dec 28 - Jan 3'!$B$2:$B$116,0))-INDEX('Dec 21 - Dec 27'!I$2:I$115,MATCH($B106,'Dec 21 - Dec 27'!$B$2:$B$115,0))</f>
        <v>0</v>
      </c>
      <c r="J106" s="15">
        <f t="array" ref="J106">INDEX('Dec 28 - Jan 3'!J$2:J$116,MATCH($B106,'Dec 28 - Jan 3'!$B$2:$B$116,0))-INDEX('Dec 21 - Dec 27'!J$2:J$115,MATCH($B106,'Dec 21 - Dec 27'!$B$2:$B$115,0))</f>
        <v>0</v>
      </c>
      <c r="K106" s="15">
        <f t="array" ref="K106">INDEX('Dec 28 - Jan 3'!K$2:K$116,MATCH($B106,'Dec 28 - Jan 3'!$B$2:$B$116,0))-INDEX('Dec 21 - Dec 27'!K$2:K$115,MATCH($B106,'Dec 21 - Dec 27'!$B$2:$B$115,0))</f>
        <v>0</v>
      </c>
    </row>
    <row r="107" spans="2:11" ht="12.75">
      <c r="B107" s="13" t="s">
        <v>123</v>
      </c>
      <c r="C107" s="14" t="str">
        <f t="array" aca="1" ref="C107" ca="1">INDEX('Rooms Master'!U:U,MATCH(B107,'Rooms Master'!D:D,0))</f>
        <v>N</v>
      </c>
      <c r="D107" s="15">
        <f t="array" ref="D107">INDEX('Dec 28 - Jan 3'!D$2:D$116,MATCH($B107,'Dec 28 - Jan 3'!$B$2:$B$116,0))-INDEX('Dec 21 - Dec 27'!D$2:D$115,MATCH($B107,'Dec 21 - Dec 27'!$B$2:$B$115,0))</f>
        <v>-61</v>
      </c>
      <c r="E107" s="15">
        <f t="array" ref="E107">INDEX('Dec 28 - Jan 3'!E$2:E$116,MATCH($B107,'Dec 28 - Jan 3'!$B$2:$B$116,0))-INDEX('Dec 21 - Dec 27'!E$2:E$115,MATCH($B107,'Dec 21 - Dec 27'!$B$2:$B$115,0))</f>
        <v>-13</v>
      </c>
      <c r="F107" s="15">
        <f t="array" ref="F107">INDEX('Dec 28 - Jan 3'!F$2:F$116,MATCH($B107,'Dec 28 - Jan 3'!$B$2:$B$116,0))-INDEX('Dec 21 - Dec 27'!F$2:F$115,MATCH($B107,'Dec 21 - Dec 27'!$B$2:$B$115,0))</f>
        <v>-7</v>
      </c>
      <c r="G107" s="15">
        <f t="array" ref="G107">INDEX('Dec 28 - Jan 3'!G$2:G$116,MATCH($B107,'Dec 28 - Jan 3'!$B$2:$B$116,0))-INDEX('Dec 21 - Dec 27'!G$2:G$115,MATCH($B107,'Dec 21 - Dec 27'!$B$2:$B$115,0))</f>
        <v>0</v>
      </c>
      <c r="H107" s="15">
        <f t="array" ref="H107">INDEX('Dec 28 - Jan 3'!H$2:H$116,MATCH($B107,'Dec 28 - Jan 3'!$B$2:$B$116,0))-INDEX('Dec 21 - Dec 27'!H$2:H$115,MATCH($B107,'Dec 21 - Dec 27'!$B$2:$B$115,0))</f>
        <v>0</v>
      </c>
      <c r="I107" s="15">
        <f t="array" ref="I107">INDEX('Dec 28 - Jan 3'!I$2:I$116,MATCH($B107,'Dec 28 - Jan 3'!$B$2:$B$116,0))-INDEX('Dec 21 - Dec 27'!I$2:I$115,MATCH($B107,'Dec 21 - Dec 27'!$B$2:$B$115,0))</f>
        <v>0</v>
      </c>
      <c r="J107" s="15">
        <f t="array" ref="J107">INDEX('Dec 28 - Jan 3'!J$2:J$116,MATCH($B107,'Dec 28 - Jan 3'!$B$2:$B$116,0))-INDEX('Dec 21 - Dec 27'!J$2:J$115,MATCH($B107,'Dec 21 - Dec 27'!$B$2:$B$115,0))</f>
        <v>0</v>
      </c>
      <c r="K107" s="15">
        <f t="array" ref="K107">INDEX('Dec 28 - Jan 3'!K$2:K$116,MATCH($B107,'Dec 28 - Jan 3'!$B$2:$B$116,0))-INDEX('Dec 21 - Dec 27'!K$2:K$115,MATCH($B107,'Dec 21 - Dec 27'!$B$2:$B$115,0))</f>
        <v>-1</v>
      </c>
    </row>
    <row r="108" spans="2:11" ht="12.75">
      <c r="B108" s="13" t="s">
        <v>74</v>
      </c>
      <c r="C108" s="14" t="str">
        <f t="array" aca="1" ref="C108" ca="1">INDEX('Rooms Master'!U:U,MATCH(B108,'Rooms Master'!D:D,0))</f>
        <v>Y</v>
      </c>
      <c r="D108" s="15">
        <f t="array" ref="D108">INDEX('Dec 28 - Jan 3'!D$2:D$116,MATCH($B108,'Dec 28 - Jan 3'!$B$2:$B$116,0))-INDEX('Dec 21 - Dec 27'!D$2:D$115,MATCH($B108,'Dec 21 - Dec 27'!$B$2:$B$115,0))</f>
        <v>12</v>
      </c>
      <c r="E108" s="15">
        <f t="array" ref="E108">INDEX('Dec 28 - Jan 3'!E$2:E$116,MATCH($B108,'Dec 28 - Jan 3'!$B$2:$B$116,0))-INDEX('Dec 21 - Dec 27'!E$2:E$115,MATCH($B108,'Dec 21 - Dec 27'!$B$2:$B$115,0))</f>
        <v>-17</v>
      </c>
      <c r="F108" s="15">
        <f t="array" ref="F108">INDEX('Dec 28 - Jan 3'!F$2:F$116,MATCH($B108,'Dec 28 - Jan 3'!$B$2:$B$116,0))-INDEX('Dec 21 - Dec 27'!F$2:F$115,MATCH($B108,'Dec 21 - Dec 27'!$B$2:$B$115,0))</f>
        <v>-4</v>
      </c>
      <c r="G108" s="15">
        <f t="array" ref="G108">INDEX('Dec 28 - Jan 3'!G$2:G$116,MATCH($B108,'Dec 28 - Jan 3'!$B$2:$B$116,0))-INDEX('Dec 21 - Dec 27'!G$2:G$115,MATCH($B108,'Dec 21 - Dec 27'!$B$2:$B$115,0))</f>
        <v>2</v>
      </c>
      <c r="H108" s="15">
        <f t="array" ref="H108">INDEX('Dec 28 - Jan 3'!H$2:H$116,MATCH($B108,'Dec 28 - Jan 3'!$B$2:$B$116,0))-INDEX('Dec 21 - Dec 27'!H$2:H$115,MATCH($B108,'Dec 21 - Dec 27'!$B$2:$B$115,0))</f>
        <v>1</v>
      </c>
      <c r="I108" s="15">
        <f t="array" ref="I108">INDEX('Dec 28 - Jan 3'!I$2:I$116,MATCH($B108,'Dec 28 - Jan 3'!$B$2:$B$116,0))-INDEX('Dec 21 - Dec 27'!I$2:I$115,MATCH($B108,'Dec 21 - Dec 27'!$B$2:$B$115,0))</f>
        <v>0</v>
      </c>
      <c r="J108" s="15">
        <f t="array" ref="J108">INDEX('Dec 28 - Jan 3'!J$2:J$116,MATCH($B108,'Dec 28 - Jan 3'!$B$2:$B$116,0))-INDEX('Dec 21 - Dec 27'!J$2:J$115,MATCH($B108,'Dec 21 - Dec 27'!$B$2:$B$115,0))</f>
        <v>0</v>
      </c>
      <c r="K108" s="15">
        <f t="array" ref="K108">INDEX('Dec 28 - Jan 3'!K$2:K$116,MATCH($B108,'Dec 28 - Jan 3'!$B$2:$B$116,0))-INDEX('Dec 21 - Dec 27'!K$2:K$115,MATCH($B108,'Dec 21 - Dec 27'!$B$2:$B$115,0))</f>
        <v>0</v>
      </c>
    </row>
    <row r="109" spans="2:11" ht="12.75">
      <c r="B109" s="13" t="s">
        <v>77</v>
      </c>
      <c r="C109" s="14" t="str">
        <f t="array" aca="1" ref="C109" ca="1">INDEX('Rooms Master'!U:U,MATCH(B109,'Rooms Master'!D:D,0))</f>
        <v>N</v>
      </c>
      <c r="D109" s="15">
        <f t="array" ref="D109">INDEX('Dec 28 - Jan 3'!D$2:D$116,MATCH($B109,'Dec 28 - Jan 3'!$B$2:$B$116,0))-INDEX('Dec 21 - Dec 27'!D$2:D$115,MATCH($B109,'Dec 21 - Dec 27'!$B$2:$B$115,0))</f>
        <v>66</v>
      </c>
      <c r="E109" s="15">
        <f t="array" ref="E109">INDEX('Dec 28 - Jan 3'!E$2:E$116,MATCH($B109,'Dec 28 - Jan 3'!$B$2:$B$116,0))-INDEX('Dec 21 - Dec 27'!E$2:E$115,MATCH($B109,'Dec 21 - Dec 27'!$B$2:$B$115,0))</f>
        <v>-22</v>
      </c>
      <c r="F109" s="15">
        <f t="array" ref="F109">INDEX('Dec 28 - Jan 3'!F$2:F$116,MATCH($B109,'Dec 28 - Jan 3'!$B$2:$B$116,0))-INDEX('Dec 21 - Dec 27'!F$2:F$115,MATCH($B109,'Dec 21 - Dec 27'!$B$2:$B$115,0))</f>
        <v>-5</v>
      </c>
      <c r="G109" s="15">
        <f t="array" ref="G109">INDEX('Dec 28 - Jan 3'!G$2:G$116,MATCH($B109,'Dec 28 - Jan 3'!$B$2:$B$116,0))-INDEX('Dec 21 - Dec 27'!G$2:G$115,MATCH($B109,'Dec 21 - Dec 27'!$B$2:$B$115,0))</f>
        <v>2</v>
      </c>
      <c r="H109" s="15">
        <f t="array" ref="H109">INDEX('Dec 28 - Jan 3'!H$2:H$116,MATCH($B109,'Dec 28 - Jan 3'!$B$2:$B$116,0))-INDEX('Dec 21 - Dec 27'!H$2:H$115,MATCH($B109,'Dec 21 - Dec 27'!$B$2:$B$115,0))</f>
        <v>-1</v>
      </c>
      <c r="I109" s="15">
        <f t="array" ref="I109">INDEX('Dec 28 - Jan 3'!I$2:I$116,MATCH($B109,'Dec 28 - Jan 3'!$B$2:$B$116,0))-INDEX('Dec 21 - Dec 27'!I$2:I$115,MATCH($B109,'Dec 21 - Dec 27'!$B$2:$B$115,0))</f>
        <v>1</v>
      </c>
      <c r="J109" s="15">
        <f t="array" ref="J109">INDEX('Dec 28 - Jan 3'!J$2:J$116,MATCH($B109,'Dec 28 - Jan 3'!$B$2:$B$116,0))-INDEX('Dec 21 - Dec 27'!J$2:J$115,MATCH($B109,'Dec 21 - Dec 27'!$B$2:$B$115,0))</f>
        <v>0</v>
      </c>
      <c r="K109" s="15">
        <f t="array" ref="K109">INDEX('Dec 28 - Jan 3'!K$2:K$116,MATCH($B109,'Dec 28 - Jan 3'!$B$2:$B$116,0))-INDEX('Dec 21 - Dec 27'!K$2:K$115,MATCH($B109,'Dec 21 - Dec 27'!$B$2:$B$115,0))</f>
        <v>1</v>
      </c>
    </row>
    <row r="110" spans="2:11" ht="12.75">
      <c r="B110" s="13" t="s">
        <v>115</v>
      </c>
      <c r="C110" s="14" t="str">
        <f t="array" aca="1" ref="C110" ca="1">INDEX('Rooms Master'!U:U,MATCH(B110,'Rooms Master'!D:D,0))</f>
        <v>Y</v>
      </c>
      <c r="D110" s="15">
        <f t="array" ref="D110">INDEX('Dec 28 - Jan 3'!D$2:D$116,MATCH($B110,'Dec 28 - Jan 3'!$B$2:$B$116,0))-INDEX('Dec 21 - Dec 27'!D$2:D$115,MATCH($B110,'Dec 21 - Dec 27'!$B$2:$B$115,0))</f>
        <v>64</v>
      </c>
      <c r="E110" s="15">
        <f t="array" ref="E110">INDEX('Dec 28 - Jan 3'!E$2:E$116,MATCH($B110,'Dec 28 - Jan 3'!$B$2:$B$116,0))-INDEX('Dec 21 - Dec 27'!E$2:E$115,MATCH($B110,'Dec 21 - Dec 27'!$B$2:$B$115,0))</f>
        <v>-23</v>
      </c>
      <c r="F110" s="15">
        <f t="array" ref="F110">INDEX('Dec 28 - Jan 3'!F$2:F$116,MATCH($B110,'Dec 28 - Jan 3'!$B$2:$B$116,0))-INDEX('Dec 21 - Dec 27'!F$2:F$115,MATCH($B110,'Dec 21 - Dec 27'!$B$2:$B$115,0))</f>
        <v>-9</v>
      </c>
      <c r="G110" s="15">
        <f t="array" ref="G110">INDEX('Dec 28 - Jan 3'!G$2:G$116,MATCH($B110,'Dec 28 - Jan 3'!$B$2:$B$116,0))-INDEX('Dec 21 - Dec 27'!G$2:G$115,MATCH($B110,'Dec 21 - Dec 27'!$B$2:$B$115,0))</f>
        <v>0</v>
      </c>
      <c r="H110" s="15">
        <f t="array" ref="H110">INDEX('Dec 28 - Jan 3'!H$2:H$116,MATCH($B110,'Dec 28 - Jan 3'!$B$2:$B$116,0))-INDEX('Dec 21 - Dec 27'!H$2:H$115,MATCH($B110,'Dec 21 - Dec 27'!$B$2:$B$115,0))</f>
        <v>4</v>
      </c>
      <c r="I110" s="15">
        <f t="array" ref="I110">INDEX('Dec 28 - Jan 3'!I$2:I$116,MATCH($B110,'Dec 28 - Jan 3'!$B$2:$B$116,0))-INDEX('Dec 21 - Dec 27'!I$2:I$115,MATCH($B110,'Dec 21 - Dec 27'!$B$2:$B$115,0))</f>
        <v>1</v>
      </c>
      <c r="J110" s="15">
        <f t="array" ref="J110">INDEX('Dec 28 - Jan 3'!J$2:J$116,MATCH($B110,'Dec 28 - Jan 3'!$B$2:$B$116,0))-INDEX('Dec 21 - Dec 27'!J$2:J$115,MATCH($B110,'Dec 21 - Dec 27'!$B$2:$B$115,0))</f>
        <v>0</v>
      </c>
      <c r="K110" s="15">
        <f t="array" ref="K110">INDEX('Dec 28 - Jan 3'!K$2:K$116,MATCH($B110,'Dec 28 - Jan 3'!$B$2:$B$116,0))-INDEX('Dec 21 - Dec 27'!K$2:K$115,MATCH($B110,'Dec 21 - Dec 27'!$B$2:$B$115,0))</f>
        <v>0</v>
      </c>
    </row>
    <row r="111" spans="2:11" ht="12.75">
      <c r="B111" s="13" t="s">
        <v>135</v>
      </c>
      <c r="C111" s="14" t="str">
        <f t="array" aca="1" ref="C111" ca="1">INDEX('Rooms Master'!U:U,MATCH(B111,'Rooms Master'!D:D,0))</f>
        <v>N</v>
      </c>
      <c r="D111" s="15">
        <f t="array" ref="D111">INDEX('Dec 28 - Jan 3'!D$2:D$116,MATCH($B111,'Dec 28 - Jan 3'!$B$2:$B$116,0))-INDEX('Dec 21 - Dec 27'!D$2:D$115,MATCH($B111,'Dec 21 - Dec 27'!$B$2:$B$115,0))</f>
        <v>-33</v>
      </c>
      <c r="E111" s="15">
        <f t="array" ref="E111">INDEX('Dec 28 - Jan 3'!E$2:E$116,MATCH($B111,'Dec 28 - Jan 3'!$B$2:$B$116,0))-INDEX('Dec 21 - Dec 27'!E$2:E$115,MATCH($B111,'Dec 21 - Dec 27'!$B$2:$B$115,0))</f>
        <v>-29</v>
      </c>
      <c r="F111" s="15">
        <f t="array" ref="F111">INDEX('Dec 28 - Jan 3'!F$2:F$116,MATCH($B111,'Dec 28 - Jan 3'!$B$2:$B$116,0))-INDEX('Dec 21 - Dec 27'!F$2:F$115,MATCH($B111,'Dec 21 - Dec 27'!$B$2:$B$115,0))</f>
        <v>0</v>
      </c>
      <c r="G111" s="15">
        <f t="array" ref="G111">INDEX('Dec 28 - Jan 3'!G$2:G$116,MATCH($B111,'Dec 28 - Jan 3'!$B$2:$B$116,0))-INDEX('Dec 21 - Dec 27'!G$2:G$115,MATCH($B111,'Dec 21 - Dec 27'!$B$2:$B$115,0))</f>
        <v>-1</v>
      </c>
      <c r="H111" s="15">
        <f t="array" ref="H111">INDEX('Dec 28 - Jan 3'!H$2:H$116,MATCH($B111,'Dec 28 - Jan 3'!$B$2:$B$116,0))-INDEX('Dec 21 - Dec 27'!H$2:H$115,MATCH($B111,'Dec 21 - Dec 27'!$B$2:$B$115,0))</f>
        <v>-3</v>
      </c>
      <c r="I111" s="15">
        <f t="array" ref="I111">INDEX('Dec 28 - Jan 3'!I$2:I$116,MATCH($B111,'Dec 28 - Jan 3'!$B$2:$B$116,0))-INDEX('Dec 21 - Dec 27'!I$2:I$115,MATCH($B111,'Dec 21 - Dec 27'!$B$2:$B$115,0))</f>
        <v>-1</v>
      </c>
      <c r="J111" s="15">
        <f t="array" ref="J111">INDEX('Dec 28 - Jan 3'!J$2:J$116,MATCH($B111,'Dec 28 - Jan 3'!$B$2:$B$116,0))-INDEX('Dec 21 - Dec 27'!J$2:J$115,MATCH($B111,'Dec 21 - Dec 27'!$B$2:$B$115,0))</f>
        <v>-1</v>
      </c>
      <c r="K111" s="15">
        <f t="array" ref="K111">INDEX('Dec 28 - Jan 3'!K$2:K$116,MATCH($B111,'Dec 28 - Jan 3'!$B$2:$B$116,0))-INDEX('Dec 21 - Dec 27'!K$2:K$115,MATCH($B111,'Dec 21 - Dec 27'!$B$2:$B$115,0))</f>
        <v>-1</v>
      </c>
    </row>
    <row r="112" spans="2:11" ht="12.75">
      <c r="B112" s="13" t="s">
        <v>30</v>
      </c>
      <c r="C112" s="14" t="str">
        <f t="array" aca="1" ref="C112" ca="1">INDEX('Rooms Master'!U:U,MATCH(B112,'Rooms Master'!D:D,0))</f>
        <v>Y</v>
      </c>
      <c r="D112" s="15">
        <f t="array" ref="D112">INDEX('Dec 28 - Jan 3'!D$2:D$116,MATCH($B112,'Dec 28 - Jan 3'!$B$2:$B$116,0))-INDEX('Dec 21 - Dec 27'!D$2:D$115,MATCH($B112,'Dec 21 - Dec 27'!$B$2:$B$115,0))</f>
        <v>51</v>
      </c>
      <c r="E112" s="15">
        <f t="array" ref="E112">INDEX('Dec 28 - Jan 3'!E$2:E$116,MATCH($B112,'Dec 28 - Jan 3'!$B$2:$B$116,0))-INDEX('Dec 21 - Dec 27'!E$2:E$115,MATCH($B112,'Dec 21 - Dec 27'!$B$2:$B$115,0))</f>
        <v>-33</v>
      </c>
      <c r="F112" s="15">
        <f t="array" ref="F112">INDEX('Dec 28 - Jan 3'!F$2:F$116,MATCH($B112,'Dec 28 - Jan 3'!$B$2:$B$116,0))-INDEX('Dec 21 - Dec 27'!F$2:F$115,MATCH($B112,'Dec 21 - Dec 27'!$B$2:$B$115,0))</f>
        <v>-13</v>
      </c>
      <c r="G112" s="15">
        <f t="array" ref="G112">INDEX('Dec 28 - Jan 3'!G$2:G$116,MATCH($B112,'Dec 28 - Jan 3'!$B$2:$B$116,0))-INDEX('Dec 21 - Dec 27'!G$2:G$115,MATCH($B112,'Dec 21 - Dec 27'!$B$2:$B$115,0))</f>
        <v>-1</v>
      </c>
      <c r="H112" s="15">
        <f t="array" ref="H112">INDEX('Dec 28 - Jan 3'!H$2:H$116,MATCH($B112,'Dec 28 - Jan 3'!$B$2:$B$116,0))-INDEX('Dec 21 - Dec 27'!H$2:H$115,MATCH($B112,'Dec 21 - Dec 27'!$B$2:$B$115,0))</f>
        <v>-8</v>
      </c>
      <c r="I112" s="15">
        <f t="array" ref="I112">INDEX('Dec 28 - Jan 3'!I$2:I$116,MATCH($B112,'Dec 28 - Jan 3'!$B$2:$B$116,0))-INDEX('Dec 21 - Dec 27'!I$2:I$115,MATCH($B112,'Dec 21 - Dec 27'!$B$2:$B$115,0))</f>
        <v>-1</v>
      </c>
      <c r="J112" s="15">
        <f t="array" ref="J112">INDEX('Dec 28 - Jan 3'!J$2:J$116,MATCH($B112,'Dec 28 - Jan 3'!$B$2:$B$116,0))-INDEX('Dec 21 - Dec 27'!J$2:J$115,MATCH($B112,'Dec 21 - Dec 27'!$B$2:$B$115,0))</f>
        <v>1</v>
      </c>
      <c r="K112" s="15">
        <f t="array" ref="K112">INDEX('Dec 28 - Jan 3'!K$2:K$116,MATCH($B112,'Dec 28 - Jan 3'!$B$2:$B$116,0))-INDEX('Dec 21 - Dec 27'!K$2:K$115,MATCH($B112,'Dec 21 - Dec 27'!$B$2:$B$115,0))</f>
        <v>1</v>
      </c>
    </row>
    <row r="113" spans="2:11" ht="12.75">
      <c r="B113" s="13" t="s">
        <v>88</v>
      </c>
      <c r="C113" s="14" t="str">
        <f t="array" aca="1" ref="C113" ca="1">INDEX('Rooms Master'!U:U,MATCH(B113,'Rooms Master'!D:D,0))</f>
        <v>N</v>
      </c>
      <c r="D113" s="15">
        <f t="array" ref="D113">INDEX('Dec 28 - Jan 3'!D$2:D$116,MATCH($B113,'Dec 28 - Jan 3'!$B$2:$B$116,0))-INDEX('Dec 21 - Dec 27'!D$2:D$115,MATCH($B113,'Dec 21 - Dec 27'!$B$2:$B$115,0))</f>
        <v>-27</v>
      </c>
      <c r="E113" s="15">
        <f t="array" ref="E113">INDEX('Dec 28 - Jan 3'!E$2:E$116,MATCH($B113,'Dec 28 - Jan 3'!$B$2:$B$116,0))-INDEX('Dec 21 - Dec 27'!E$2:E$115,MATCH($B113,'Dec 21 - Dec 27'!$B$2:$B$115,0))</f>
        <v>-33</v>
      </c>
      <c r="F113" s="15">
        <f t="array" ref="F113">INDEX('Dec 28 - Jan 3'!F$2:F$116,MATCH($B113,'Dec 28 - Jan 3'!$B$2:$B$116,0))-INDEX('Dec 21 - Dec 27'!F$2:F$115,MATCH($B113,'Dec 21 - Dec 27'!$B$2:$B$115,0))</f>
        <v>-9</v>
      </c>
      <c r="G113" s="15">
        <f t="array" ref="G113">INDEX('Dec 28 - Jan 3'!G$2:G$116,MATCH($B113,'Dec 28 - Jan 3'!$B$2:$B$116,0))-INDEX('Dec 21 - Dec 27'!G$2:G$115,MATCH($B113,'Dec 21 - Dec 27'!$B$2:$B$115,0))</f>
        <v>0</v>
      </c>
      <c r="H113" s="15">
        <f t="array" ref="H113">INDEX('Dec 28 - Jan 3'!H$2:H$116,MATCH($B113,'Dec 28 - Jan 3'!$B$2:$B$116,0))-INDEX('Dec 21 - Dec 27'!H$2:H$115,MATCH($B113,'Dec 21 - Dec 27'!$B$2:$B$115,0))</f>
        <v>0</v>
      </c>
      <c r="I113" s="15">
        <f t="array" ref="I113">INDEX('Dec 28 - Jan 3'!I$2:I$116,MATCH($B113,'Dec 28 - Jan 3'!$B$2:$B$116,0))-INDEX('Dec 21 - Dec 27'!I$2:I$115,MATCH($B113,'Dec 21 - Dec 27'!$B$2:$B$115,0))</f>
        <v>0</v>
      </c>
      <c r="J113" s="15">
        <f t="array" ref="J113">INDEX('Dec 28 - Jan 3'!J$2:J$116,MATCH($B113,'Dec 28 - Jan 3'!$B$2:$B$116,0))-INDEX('Dec 21 - Dec 27'!J$2:J$115,MATCH($B113,'Dec 21 - Dec 27'!$B$2:$B$115,0))</f>
        <v>0</v>
      </c>
      <c r="K113" s="15">
        <f t="array" ref="K113">INDEX('Dec 28 - Jan 3'!K$2:K$116,MATCH($B113,'Dec 28 - Jan 3'!$B$2:$B$116,0))-INDEX('Dec 21 - Dec 27'!K$2:K$115,MATCH($B113,'Dec 21 - Dec 27'!$B$2:$B$115,0))</f>
        <v>0</v>
      </c>
    </row>
    <row r="114" spans="2:11" ht="12.75">
      <c r="B114" s="13" t="s">
        <v>98</v>
      </c>
      <c r="C114" s="14" t="str">
        <f t="array" aca="1" ref="C114" ca="1">INDEX('Rooms Master'!U:U,MATCH(B114,'Rooms Master'!D:D,0))</f>
        <v>N</v>
      </c>
      <c r="D114" s="15">
        <f t="array" ref="D114">INDEX('Dec 28 - Jan 3'!D$2:D$116,MATCH($B114,'Dec 28 - Jan 3'!$B$2:$B$116,0))-INDEX('Dec 21 - Dec 27'!D$2:D$115,MATCH($B114,'Dec 21 - Dec 27'!$B$2:$B$115,0))</f>
        <v>-19</v>
      </c>
      <c r="E114" s="15">
        <f t="array" ref="E114">INDEX('Dec 28 - Jan 3'!E$2:E$116,MATCH($B114,'Dec 28 - Jan 3'!$B$2:$B$116,0))-INDEX('Dec 21 - Dec 27'!E$2:E$115,MATCH($B114,'Dec 21 - Dec 27'!$B$2:$B$115,0))</f>
        <v>-37</v>
      </c>
      <c r="F114" s="15">
        <f t="array" ref="F114">INDEX('Dec 28 - Jan 3'!F$2:F$116,MATCH($B114,'Dec 28 - Jan 3'!$B$2:$B$116,0))-INDEX('Dec 21 - Dec 27'!F$2:F$115,MATCH($B114,'Dec 21 - Dec 27'!$B$2:$B$115,0))</f>
        <v>-11</v>
      </c>
      <c r="G114" s="15">
        <f t="array" ref="G114">INDEX('Dec 28 - Jan 3'!G$2:G$116,MATCH($B114,'Dec 28 - Jan 3'!$B$2:$B$116,0))-INDEX('Dec 21 - Dec 27'!G$2:G$115,MATCH($B114,'Dec 21 - Dec 27'!$B$2:$B$115,0))</f>
        <v>0</v>
      </c>
      <c r="H114" s="15">
        <f t="array" ref="H114">INDEX('Dec 28 - Jan 3'!H$2:H$116,MATCH($B114,'Dec 28 - Jan 3'!$B$2:$B$116,0))-INDEX('Dec 21 - Dec 27'!H$2:H$115,MATCH($B114,'Dec 21 - Dec 27'!$B$2:$B$115,0))</f>
        <v>-4</v>
      </c>
      <c r="I114" s="15">
        <f t="array" ref="I114">INDEX('Dec 28 - Jan 3'!I$2:I$116,MATCH($B114,'Dec 28 - Jan 3'!$B$2:$B$116,0))-INDEX('Dec 21 - Dec 27'!I$2:I$115,MATCH($B114,'Dec 21 - Dec 27'!$B$2:$B$115,0))</f>
        <v>0</v>
      </c>
      <c r="J114" s="15">
        <f t="array" ref="J114">INDEX('Dec 28 - Jan 3'!J$2:J$116,MATCH($B114,'Dec 28 - Jan 3'!$B$2:$B$116,0))-INDEX('Dec 21 - Dec 27'!J$2:J$115,MATCH($B114,'Dec 21 - Dec 27'!$B$2:$B$115,0))</f>
        <v>0</v>
      </c>
      <c r="K114" s="15">
        <f t="array" ref="K114">INDEX('Dec 28 - Jan 3'!K$2:K$116,MATCH($B114,'Dec 28 - Jan 3'!$B$2:$B$116,0))-INDEX('Dec 21 - Dec 27'!K$2:K$115,MATCH($B114,'Dec 21 - Dec 27'!$B$2:$B$115,0))</f>
        <v>1</v>
      </c>
    </row>
    <row r="115" spans="2:11" ht="12.75">
      <c r="B115" s="13" t="s">
        <v>19</v>
      </c>
      <c r="C115" s="14" t="str">
        <f t="array" aca="1" ref="C115" ca="1">INDEX('Rooms Master'!U:U,MATCH(B115,'Rooms Master'!D:D,0))</f>
        <v>N</v>
      </c>
      <c r="D115" s="15">
        <f t="array" ref="D115">INDEX('Dec 28 - Jan 3'!D$2:D$116,MATCH($B115,'Dec 28 - Jan 3'!$B$2:$B$116,0))-INDEX('Dec 21 - Dec 27'!D$2:D$115,MATCH($B115,'Dec 21 - Dec 27'!$B$2:$B$115,0))</f>
        <v>-18</v>
      </c>
      <c r="E115" s="15">
        <f t="array" ref="E115">INDEX('Dec 28 - Jan 3'!E$2:E$116,MATCH($B115,'Dec 28 - Jan 3'!$B$2:$B$116,0))-INDEX('Dec 21 - Dec 27'!E$2:E$115,MATCH($B115,'Dec 21 - Dec 27'!$B$2:$B$115,0))</f>
        <v>-38</v>
      </c>
      <c r="F115" s="15">
        <f t="array" ref="F115">INDEX('Dec 28 - Jan 3'!F$2:F$116,MATCH($B115,'Dec 28 - Jan 3'!$B$2:$B$116,0))-INDEX('Dec 21 - Dec 27'!F$2:F$115,MATCH($B115,'Dec 21 - Dec 27'!$B$2:$B$115,0))</f>
        <v>-18</v>
      </c>
      <c r="G115" s="15">
        <f t="array" ref="G115">INDEX('Dec 28 - Jan 3'!G$2:G$116,MATCH($B115,'Dec 28 - Jan 3'!$B$2:$B$116,0))-INDEX('Dec 21 - Dec 27'!G$2:G$115,MATCH($B115,'Dec 21 - Dec 27'!$B$2:$B$115,0))</f>
        <v>2</v>
      </c>
      <c r="H115" s="15">
        <f t="array" ref="H115">INDEX('Dec 28 - Jan 3'!H$2:H$116,MATCH($B115,'Dec 28 - Jan 3'!$B$2:$B$116,0))-INDEX('Dec 21 - Dec 27'!H$2:H$115,MATCH($B115,'Dec 21 - Dec 27'!$B$2:$B$115,0))</f>
        <v>-1</v>
      </c>
      <c r="I115" s="15">
        <f t="array" ref="I115">INDEX('Dec 28 - Jan 3'!I$2:I$116,MATCH($B115,'Dec 28 - Jan 3'!$B$2:$B$116,0))-INDEX('Dec 21 - Dec 27'!I$2:I$115,MATCH($B115,'Dec 21 - Dec 27'!$B$2:$B$115,0))</f>
        <v>1</v>
      </c>
      <c r="J115" s="15">
        <f t="array" ref="J115">INDEX('Dec 28 - Jan 3'!J$2:J$116,MATCH($B115,'Dec 28 - Jan 3'!$B$2:$B$116,0))-INDEX('Dec 21 - Dec 27'!J$2:J$115,MATCH($B115,'Dec 21 - Dec 27'!$B$2:$B$115,0))</f>
        <v>0</v>
      </c>
      <c r="K115" s="15">
        <f t="array" ref="K115">INDEX('Dec 28 - Jan 3'!K$2:K$116,MATCH($B115,'Dec 28 - Jan 3'!$B$2:$B$116,0))-INDEX('Dec 21 - Dec 27'!K$2:K$115,MATCH($B115,'Dec 21 - Dec 27'!$B$2:$B$115,0))</f>
        <v>0</v>
      </c>
    </row>
    <row r="116" spans="2:11" ht="12.75">
      <c r="B116" s="13" t="s">
        <v>99</v>
      </c>
      <c r="C116" s="14" t="str">
        <f t="array" aca="1" ref="C116" ca="1">INDEX('Rooms Master'!U:U,MATCH(B116,'Rooms Master'!D:D,0))</f>
        <v>N</v>
      </c>
      <c r="D116" s="15">
        <f t="array" ref="D116">INDEX('Dec 28 - Jan 3'!D$2:D$116,MATCH($B116,'Dec 28 - Jan 3'!$B$2:$B$116,0))-INDEX('Dec 21 - Dec 27'!D$2:D$115,MATCH($B116,'Dec 21 - Dec 27'!$B$2:$B$115,0))</f>
        <v>2</v>
      </c>
      <c r="E116" s="15">
        <f t="array" ref="E116">INDEX('Dec 28 - Jan 3'!E$2:E$116,MATCH($B116,'Dec 28 - Jan 3'!$B$2:$B$116,0))-INDEX('Dec 21 - Dec 27'!E$2:E$115,MATCH($B116,'Dec 21 - Dec 27'!$B$2:$B$115,0))</f>
        <v>-53</v>
      </c>
      <c r="F116" s="15">
        <f t="array" ref="F116">INDEX('Dec 28 - Jan 3'!F$2:F$116,MATCH($B116,'Dec 28 - Jan 3'!$B$2:$B$116,0))-INDEX('Dec 21 - Dec 27'!F$2:F$115,MATCH($B116,'Dec 21 - Dec 27'!$B$2:$B$115,0))</f>
        <v>-22</v>
      </c>
      <c r="G116" s="15">
        <f t="array" ref="G116">INDEX('Dec 28 - Jan 3'!G$2:G$116,MATCH($B116,'Dec 28 - Jan 3'!$B$2:$B$116,0))-INDEX('Dec 21 - Dec 27'!G$2:G$115,MATCH($B116,'Dec 21 - Dec 27'!$B$2:$B$115,0))</f>
        <v>2</v>
      </c>
      <c r="H116" s="15">
        <f t="array" ref="H116">INDEX('Dec 28 - Jan 3'!H$2:H$116,MATCH($B116,'Dec 28 - Jan 3'!$B$2:$B$116,0))-INDEX('Dec 21 - Dec 27'!H$2:H$115,MATCH($B116,'Dec 21 - Dec 27'!$B$2:$B$115,0))</f>
        <v>-2</v>
      </c>
      <c r="I116" s="15">
        <f t="array" ref="I116">INDEX('Dec 28 - Jan 3'!I$2:I$116,MATCH($B116,'Dec 28 - Jan 3'!$B$2:$B$116,0))-INDEX('Dec 21 - Dec 27'!I$2:I$115,MATCH($B116,'Dec 21 - Dec 27'!$B$2:$B$115,0))</f>
        <v>-1</v>
      </c>
      <c r="J116" s="15">
        <f t="array" ref="J116">INDEX('Dec 28 - Jan 3'!J$2:J$116,MATCH($B116,'Dec 28 - Jan 3'!$B$2:$B$116,0))-INDEX('Dec 21 - Dec 27'!J$2:J$115,MATCH($B116,'Dec 21 - Dec 27'!$B$2:$B$115,0))</f>
        <v>-2</v>
      </c>
      <c r="K116" s="15">
        <f t="array" ref="K116">INDEX('Dec 28 - Jan 3'!K$2:K$116,MATCH($B116,'Dec 28 - Jan 3'!$B$2:$B$116,0))-INDEX('Dec 21 - Dec 27'!K$2:K$115,MATCH($B116,'Dec 21 - Dec 27'!$B$2:$B$115,0))</f>
        <v>-1</v>
      </c>
    </row>
    <row r="119" spans="2:11" ht="13.15">
      <c r="B119" s="31" t="s">
        <v>146</v>
      </c>
      <c r="E119" s="30">
        <f>'Dec 28 - Jan 3'!E118-'Dec 21 - Dec 27'!E117</f>
        <v>524</v>
      </c>
      <c r="F119" s="30">
        <f>'Dec 28 - Jan 3'!F118-'Dec 21 - Dec 27'!F117</f>
        <v>-18</v>
      </c>
      <c r="G119" s="30">
        <f>'Dec 28 - Jan 3'!G118-'Dec 21 - Dec 27'!G117</f>
        <v>148</v>
      </c>
      <c r="H119" s="30">
        <f>'Dec 28 - Jan 3'!H118-'Dec 21 - Dec 27'!H117</f>
        <v>-66</v>
      </c>
      <c r="I119" s="30">
        <f>'Dec 28 - Jan 3'!I118-'Dec 21 - Dec 27'!I117</f>
        <v>7</v>
      </c>
      <c r="J119" s="30">
        <f>'Dec 28 - Jan 3'!J118-'Dec 21 - Dec 27'!J117</f>
        <v>1</v>
      </c>
      <c r="K119" s="30">
        <f>'Dec 28 - Jan 3'!K118-'Dec 21 - Dec 27'!K117</f>
        <v>7</v>
      </c>
    </row>
  </sheetData>
  <autoFilter ref="B1:K116" xr:uid="{00000000-0009-0000-0000-000003000000}"/>
  <conditionalFormatting sqref="B2:K119">
    <cfRule type="expression" dxfId="38" priority="1">
      <formula>$C2="N"</formula>
    </cfRule>
  </conditionalFormatting>
  <conditionalFormatting sqref="E119:K119">
    <cfRule type="cellIs" dxfId="37" priority="2" operator="greaterThan">
      <formula>0</formula>
    </cfRule>
  </conditionalFormatting>
  <conditionalFormatting sqref="E119:K119">
    <cfRule type="cellIs" dxfId="36" priority="3" operator="lessThanOrEqual">
      <formula>0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3984375" defaultRowHeight="15.75" customHeight="1"/>
  <cols>
    <col min="1" max="1" width="2.73046875" customWidth="1"/>
    <col min="2" max="2" width="30" customWidth="1"/>
    <col min="3" max="3" width="15.265625" customWidth="1"/>
    <col min="4" max="4" width="8.86328125" customWidth="1"/>
    <col min="5" max="5" width="17.265625" customWidth="1"/>
    <col min="6" max="6" width="13.86328125" customWidth="1"/>
    <col min="7" max="7" width="17.265625" customWidth="1"/>
    <col min="8" max="8" width="10.1328125" customWidth="1"/>
    <col min="9" max="9" width="14.1328125" customWidth="1"/>
    <col min="10" max="10" width="11.3984375" customWidth="1"/>
    <col min="11" max="11" width="13" customWidth="1"/>
    <col min="12" max="12" width="12.1328125" customWidth="1"/>
    <col min="18" max="18" width="19" customWidth="1"/>
    <col min="21" max="21" width="18.53125" customWidth="1"/>
  </cols>
  <sheetData>
    <row r="1" spans="1:25" ht="28.5" customHeight="1">
      <c r="B1" s="6" t="s">
        <v>0</v>
      </c>
      <c r="C1" s="7" t="s">
        <v>1</v>
      </c>
      <c r="D1" s="7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25" ht="12.75">
      <c r="A2" s="12">
        <f t="shared" ref="A2:A79" si="0">A1+1</f>
        <v>1</v>
      </c>
      <c r="B2" s="13" t="s">
        <v>68</v>
      </c>
      <c r="C2" s="14" t="str">
        <f t="array" aca="1" ref="C2" ca="1">INDEX('Rooms Master'!U:U,MATCH(B2,'Rooms Master'!D:D,0))</f>
        <v>Y</v>
      </c>
      <c r="D2" s="15">
        <v>1</v>
      </c>
      <c r="E2" s="15">
        <v>52</v>
      </c>
      <c r="F2" s="15">
        <v>4</v>
      </c>
      <c r="G2" s="15">
        <v>6</v>
      </c>
      <c r="H2" s="15">
        <v>0</v>
      </c>
      <c r="I2" s="15"/>
      <c r="J2" s="15">
        <v>0</v>
      </c>
      <c r="K2" s="15">
        <v>0</v>
      </c>
      <c r="L2" s="1" t="s">
        <v>20</v>
      </c>
      <c r="M2" s="17">
        <f t="shared" ref="M2:M19" si="1">IFERROR(F2/E2, " ")</f>
        <v>7.6923076923076927E-2</v>
      </c>
      <c r="N2" s="18">
        <f t="shared" ref="N2:N3" si="2">IFERROR(H2/E2," ")</f>
        <v>0</v>
      </c>
      <c r="O2" s="17" t="str">
        <f t="shared" ref="O2:O3" si="3">IFERROR(K2/H2, " ")</f>
        <v xml:space="preserve"> </v>
      </c>
      <c r="P2" s="17" t="str">
        <f>IFERROR(K2/I4, " ")</f>
        <v xml:space="preserve"> </v>
      </c>
      <c r="Q2" s="17" t="str">
        <f t="shared" ref="Q2:Q3" si="4">IFERROR(K2/J2, " ")</f>
        <v xml:space="preserve"> </v>
      </c>
      <c r="R2" s="17">
        <f t="shared" ref="R2:R19" si="5">IFERROR(E2/$E$117," ")</f>
        <v>2.048050413548641E-2</v>
      </c>
    </row>
    <row r="3" spans="1:25" ht="12.75">
      <c r="A3" s="12">
        <f t="shared" si="0"/>
        <v>2</v>
      </c>
      <c r="B3" s="1" t="s">
        <v>43</v>
      </c>
      <c r="C3" s="14" t="str">
        <f t="array" aca="1" ref="C3" ca="1">INDEX('Rooms Master'!U:U,MATCH(B3,'Rooms Master'!D:D,0))</f>
        <v>Y</v>
      </c>
      <c r="D3" s="15">
        <v>2</v>
      </c>
      <c r="E3" s="15">
        <v>52</v>
      </c>
      <c r="F3" s="15">
        <v>6</v>
      </c>
      <c r="G3" s="15">
        <v>4</v>
      </c>
      <c r="H3" s="15">
        <v>0</v>
      </c>
      <c r="I3" s="15"/>
      <c r="J3" s="15">
        <v>0</v>
      </c>
      <c r="K3" s="15">
        <v>0</v>
      </c>
      <c r="L3" s="21" t="s">
        <v>34</v>
      </c>
      <c r="M3" s="17">
        <f t="shared" si="1"/>
        <v>0.11538461538461539</v>
      </c>
      <c r="N3" s="18">
        <f t="shared" si="2"/>
        <v>0</v>
      </c>
      <c r="O3" s="17" t="str">
        <f t="shared" si="3"/>
        <v xml:space="preserve"> </v>
      </c>
      <c r="P3" s="17" t="str">
        <f>IFERROR(K3/I3, " ")</f>
        <v xml:space="preserve"> </v>
      </c>
      <c r="Q3" s="17" t="str">
        <f t="shared" si="4"/>
        <v xml:space="preserve"> </v>
      </c>
      <c r="R3" s="17">
        <f t="shared" si="5"/>
        <v>2.048050413548641E-2</v>
      </c>
    </row>
    <row r="4" spans="1:25" ht="12.75">
      <c r="A4" s="12">
        <f t="shared" si="0"/>
        <v>3</v>
      </c>
      <c r="B4" s="13" t="s">
        <v>83</v>
      </c>
      <c r="C4" s="14" t="str">
        <f t="array" aca="1" ref="C4" ca="1">INDEX('Rooms Master'!U:U,MATCH(B4,'Rooms Master'!D:D,0))</f>
        <v>Y</v>
      </c>
      <c r="D4" s="15">
        <v>3</v>
      </c>
      <c r="E4" s="15">
        <v>52</v>
      </c>
      <c r="F4" s="15">
        <v>4</v>
      </c>
      <c r="G4" s="15">
        <v>0</v>
      </c>
      <c r="H4" s="15">
        <v>0</v>
      </c>
      <c r="I4" s="15"/>
      <c r="J4" s="15">
        <v>0</v>
      </c>
      <c r="K4" s="15">
        <v>0</v>
      </c>
      <c r="L4" s="1"/>
      <c r="M4" s="17">
        <f t="shared" si="1"/>
        <v>7.6923076923076927E-2</v>
      </c>
      <c r="N4" s="18"/>
      <c r="O4" s="17"/>
      <c r="P4" s="17"/>
      <c r="Q4" s="17"/>
      <c r="R4" s="17">
        <f t="shared" si="5"/>
        <v>2.048050413548641E-2</v>
      </c>
    </row>
    <row r="5" spans="1:25" ht="12.75">
      <c r="A5" s="12">
        <f t="shared" si="0"/>
        <v>4</v>
      </c>
      <c r="B5" s="13" t="s">
        <v>102</v>
      </c>
      <c r="C5" s="14" t="str">
        <f t="array" aca="1" ref="C5" ca="1">INDEX('Rooms Master'!U:U,MATCH(B5,'Rooms Master'!D:D,0))</f>
        <v>N</v>
      </c>
      <c r="D5" s="15">
        <v>4</v>
      </c>
      <c r="E5" s="15">
        <v>4</v>
      </c>
      <c r="F5" s="15">
        <v>4</v>
      </c>
      <c r="G5" s="15">
        <v>3</v>
      </c>
      <c r="H5" s="15">
        <v>0</v>
      </c>
      <c r="I5" s="15"/>
      <c r="J5" s="15">
        <v>0</v>
      </c>
      <c r="K5" s="15">
        <v>0</v>
      </c>
      <c r="L5" s="1" t="s">
        <v>29</v>
      </c>
      <c r="M5" s="17">
        <f t="shared" si="1"/>
        <v>1</v>
      </c>
      <c r="N5" s="18">
        <f t="shared" ref="N5:N19" si="6">IFERROR(H5/E5," ")</f>
        <v>0</v>
      </c>
      <c r="O5" s="17" t="str">
        <f t="shared" ref="O5:O115" si="7">IFERROR(K5/H5, " ")</f>
        <v xml:space="preserve"> </v>
      </c>
      <c r="P5" s="17" t="str">
        <f t="shared" ref="P5:P11" si="8">IFERROR(K5/I5, " ")</f>
        <v xml:space="preserve"> </v>
      </c>
      <c r="Q5" s="17" t="str">
        <f t="shared" ref="Q5:Q115" si="9">IFERROR(K5/J5, " ")</f>
        <v xml:space="preserve"> </v>
      </c>
      <c r="R5" s="17">
        <f t="shared" si="5"/>
        <v>1.5754233950374162E-3</v>
      </c>
    </row>
    <row r="6" spans="1:25" ht="12.75">
      <c r="A6" s="12">
        <f t="shared" si="0"/>
        <v>5</v>
      </c>
      <c r="B6" s="13" t="s">
        <v>77</v>
      </c>
      <c r="C6" s="14" t="str">
        <f t="array" aca="1" ref="C6" ca="1">INDEX('Rooms Master'!U:U,MATCH(B6,'Rooms Master'!D:D,0))</f>
        <v>N</v>
      </c>
      <c r="D6" s="15">
        <v>4</v>
      </c>
      <c r="E6" s="15">
        <v>78</v>
      </c>
      <c r="F6" s="15">
        <v>21</v>
      </c>
      <c r="G6" s="15">
        <v>8</v>
      </c>
      <c r="H6" s="15">
        <v>2</v>
      </c>
      <c r="I6" s="15"/>
      <c r="J6" s="15">
        <v>1</v>
      </c>
      <c r="K6" s="15">
        <v>0</v>
      </c>
      <c r="L6" s="1" t="s">
        <v>20</v>
      </c>
      <c r="M6" s="17">
        <f t="shared" si="1"/>
        <v>0.26923076923076922</v>
      </c>
      <c r="N6" s="18">
        <f t="shared" si="6"/>
        <v>2.564102564102564E-2</v>
      </c>
      <c r="O6" s="17">
        <f t="shared" si="7"/>
        <v>0</v>
      </c>
      <c r="P6" s="17" t="str">
        <f t="shared" si="8"/>
        <v xml:space="preserve"> </v>
      </c>
      <c r="Q6" s="17">
        <f t="shared" si="9"/>
        <v>0</v>
      </c>
      <c r="R6" s="17">
        <f t="shared" si="5"/>
        <v>3.0720756203229619E-2</v>
      </c>
    </row>
    <row r="7" spans="1:25" ht="12.75">
      <c r="A7" s="12">
        <f t="shared" si="0"/>
        <v>6</v>
      </c>
      <c r="B7" s="13" t="s">
        <v>92</v>
      </c>
      <c r="C7" s="14" t="str">
        <f t="array" aca="1" ref="C7" ca="1">INDEX('Rooms Master'!U:U,MATCH(B7,'Rooms Master'!D:D,0))</f>
        <v>Y</v>
      </c>
      <c r="D7" s="15">
        <v>5</v>
      </c>
      <c r="E7" s="15">
        <v>57</v>
      </c>
      <c r="F7" s="15">
        <v>7</v>
      </c>
      <c r="G7" s="15">
        <v>8</v>
      </c>
      <c r="H7" s="15">
        <v>3</v>
      </c>
      <c r="I7" s="15"/>
      <c r="J7" s="15">
        <v>0</v>
      </c>
      <c r="K7" s="15">
        <v>0</v>
      </c>
      <c r="L7" s="1" t="s">
        <v>64</v>
      </c>
      <c r="M7" s="17">
        <f t="shared" si="1"/>
        <v>0.12280701754385964</v>
      </c>
      <c r="N7" s="18">
        <f t="shared" si="6"/>
        <v>5.2631578947368418E-2</v>
      </c>
      <c r="O7" s="17">
        <f t="shared" si="7"/>
        <v>0</v>
      </c>
      <c r="P7" s="17" t="str">
        <f t="shared" si="8"/>
        <v xml:space="preserve"> </v>
      </c>
      <c r="Q7" s="17" t="str">
        <f t="shared" si="9"/>
        <v xml:space="preserve"> </v>
      </c>
      <c r="R7" s="17">
        <f t="shared" si="5"/>
        <v>2.2449783379283182E-2</v>
      </c>
    </row>
    <row r="8" spans="1:25" ht="12.75">
      <c r="A8" s="12">
        <f t="shared" si="0"/>
        <v>7</v>
      </c>
      <c r="B8" s="13" t="s">
        <v>73</v>
      </c>
      <c r="C8" s="14" t="str">
        <f t="array" aca="1" ref="C8" ca="1">INDEX('Rooms Master'!U:U,MATCH(B8,'Rooms Master'!D:D,0))</f>
        <v>Y</v>
      </c>
      <c r="D8" s="15">
        <v>6</v>
      </c>
      <c r="E8" s="15">
        <v>3</v>
      </c>
      <c r="F8" s="15">
        <v>3</v>
      </c>
      <c r="G8" s="15">
        <v>3</v>
      </c>
      <c r="H8" s="15">
        <v>3</v>
      </c>
      <c r="I8" s="15">
        <v>1</v>
      </c>
      <c r="J8" s="15">
        <v>0</v>
      </c>
      <c r="K8" s="15">
        <v>0</v>
      </c>
      <c r="L8" s="1" t="s">
        <v>20</v>
      </c>
      <c r="M8" s="17">
        <f t="shared" si="1"/>
        <v>1</v>
      </c>
      <c r="N8" s="18">
        <f t="shared" si="6"/>
        <v>1</v>
      </c>
      <c r="O8" s="17">
        <f t="shared" si="7"/>
        <v>0</v>
      </c>
      <c r="P8" s="17">
        <f t="shared" si="8"/>
        <v>0</v>
      </c>
      <c r="Q8" s="17" t="str">
        <f t="shared" si="9"/>
        <v xml:space="preserve"> </v>
      </c>
      <c r="R8" s="17">
        <f t="shared" si="5"/>
        <v>1.1815675462780622E-3</v>
      </c>
    </row>
    <row r="9" spans="1:25" ht="12.75">
      <c r="A9" s="12">
        <f t="shared" si="0"/>
        <v>8</v>
      </c>
      <c r="B9" s="13" t="s">
        <v>93</v>
      </c>
      <c r="C9" s="14" t="str">
        <f t="array" aca="1" ref="C9" ca="1">INDEX('Rooms Master'!U:U,MATCH(B9,'Rooms Master'!D:D,0))</f>
        <v>Y</v>
      </c>
      <c r="D9" s="15">
        <v>7</v>
      </c>
      <c r="E9" s="15">
        <v>31</v>
      </c>
      <c r="F9" s="15">
        <v>8</v>
      </c>
      <c r="G9" s="15">
        <v>5</v>
      </c>
      <c r="H9" s="15">
        <v>2</v>
      </c>
      <c r="I9" s="15"/>
      <c r="J9" s="15">
        <v>0</v>
      </c>
      <c r="K9" s="15">
        <v>0</v>
      </c>
      <c r="L9" s="1" t="s">
        <v>20</v>
      </c>
      <c r="M9" s="17">
        <f t="shared" si="1"/>
        <v>0.25806451612903225</v>
      </c>
      <c r="N9" s="18">
        <f t="shared" si="6"/>
        <v>6.4516129032258063E-2</v>
      </c>
      <c r="O9" s="17">
        <f t="shared" si="7"/>
        <v>0</v>
      </c>
      <c r="P9" s="17" t="str">
        <f t="shared" si="8"/>
        <v xml:space="preserve"> </v>
      </c>
      <c r="Q9" s="17" t="str">
        <f t="shared" si="9"/>
        <v xml:space="preserve"> </v>
      </c>
      <c r="R9" s="17">
        <f t="shared" si="5"/>
        <v>1.2209531311539977E-2</v>
      </c>
    </row>
    <row r="10" spans="1:25" ht="12.75">
      <c r="A10" s="12">
        <f t="shared" si="0"/>
        <v>9</v>
      </c>
      <c r="B10" s="13" t="s">
        <v>115</v>
      </c>
      <c r="C10" s="14" t="str">
        <f t="array" aca="1" ref="C10" ca="1">INDEX('Rooms Master'!U:U,MATCH(B10,'Rooms Master'!D:D,0))</f>
        <v>Y</v>
      </c>
      <c r="D10" s="15">
        <v>8</v>
      </c>
      <c r="E10" s="15">
        <v>85</v>
      </c>
      <c r="F10" s="15">
        <v>10</v>
      </c>
      <c r="G10" s="15">
        <v>6</v>
      </c>
      <c r="H10" s="15">
        <v>0</v>
      </c>
      <c r="I10" s="15"/>
      <c r="J10" s="15">
        <v>0</v>
      </c>
      <c r="K10" s="15">
        <v>0</v>
      </c>
      <c r="L10" s="1" t="s">
        <v>29</v>
      </c>
      <c r="M10" s="17">
        <f t="shared" si="1"/>
        <v>0.11764705882352941</v>
      </c>
      <c r="N10" s="18">
        <f t="shared" si="6"/>
        <v>0</v>
      </c>
      <c r="O10" s="17" t="str">
        <f t="shared" si="7"/>
        <v xml:space="preserve"> </v>
      </c>
      <c r="P10" s="17" t="str">
        <f t="shared" si="8"/>
        <v xml:space="preserve"> </v>
      </c>
      <c r="Q10" s="17" t="str">
        <f t="shared" si="9"/>
        <v xml:space="preserve"> </v>
      </c>
      <c r="R10" s="17">
        <f t="shared" si="5"/>
        <v>3.3477747144545093E-2</v>
      </c>
    </row>
    <row r="11" spans="1:25" ht="12.75">
      <c r="A11" s="12">
        <f t="shared" si="0"/>
        <v>10</v>
      </c>
      <c r="B11" s="13" t="s">
        <v>21</v>
      </c>
      <c r="C11" s="14" t="str">
        <f t="array" aca="1" ref="C11" ca="1">INDEX('Rooms Master'!U:U,MATCH(B11,'Rooms Master'!D:D,0))</f>
        <v>Y</v>
      </c>
      <c r="D11" s="15">
        <v>9</v>
      </c>
      <c r="E11" s="15">
        <v>95</v>
      </c>
      <c r="F11" s="15">
        <v>47</v>
      </c>
      <c r="G11" s="15">
        <v>7</v>
      </c>
      <c r="H11" s="15">
        <v>12</v>
      </c>
      <c r="I11" s="15">
        <v>1</v>
      </c>
      <c r="J11" s="15">
        <v>0</v>
      </c>
      <c r="K11" s="15">
        <v>0</v>
      </c>
      <c r="L11" s="1" t="s">
        <v>20</v>
      </c>
      <c r="M11" s="17">
        <f t="shared" si="1"/>
        <v>0.49473684210526314</v>
      </c>
      <c r="N11" s="18">
        <f t="shared" si="6"/>
        <v>0.12631578947368421</v>
      </c>
      <c r="O11" s="17">
        <f t="shared" si="7"/>
        <v>0</v>
      </c>
      <c r="P11" s="17">
        <f t="shared" si="8"/>
        <v>0</v>
      </c>
      <c r="Q11" s="17" t="str">
        <f t="shared" si="9"/>
        <v xml:space="preserve"> </v>
      </c>
      <c r="R11" s="17">
        <f t="shared" si="5"/>
        <v>3.7416305632138637E-2</v>
      </c>
    </row>
    <row r="12" spans="1:25" ht="12.75">
      <c r="A12" s="12">
        <f t="shared" si="0"/>
        <v>11</v>
      </c>
      <c r="B12" s="13" t="s">
        <v>99</v>
      </c>
      <c r="C12" s="14" t="str">
        <f t="array" aca="1" ref="C12" ca="1">INDEX('Rooms Master'!U:U,MATCH(B12,'Rooms Master'!D:D,0))</f>
        <v>N</v>
      </c>
      <c r="D12" s="15">
        <v>10</v>
      </c>
      <c r="E12" s="15">
        <v>143</v>
      </c>
      <c r="F12" s="15">
        <v>33</v>
      </c>
      <c r="G12" s="15">
        <v>13</v>
      </c>
      <c r="H12" s="15">
        <v>5</v>
      </c>
      <c r="I12" s="22">
        <v>1</v>
      </c>
      <c r="J12" s="15">
        <v>2</v>
      </c>
      <c r="K12" s="15">
        <v>1</v>
      </c>
      <c r="L12" s="1" t="s">
        <v>20</v>
      </c>
      <c r="M12" s="17">
        <f t="shared" si="1"/>
        <v>0.23076923076923078</v>
      </c>
      <c r="N12" s="18">
        <f t="shared" si="6"/>
        <v>3.4965034965034968E-2</v>
      </c>
      <c r="O12" s="17">
        <f t="shared" si="7"/>
        <v>0.2</v>
      </c>
      <c r="P12" s="17">
        <f>IFERROR(K12/I14, " ")</f>
        <v>0.5</v>
      </c>
      <c r="Q12" s="17">
        <f t="shared" si="9"/>
        <v>0.5</v>
      </c>
      <c r="R12" s="17">
        <f t="shared" si="5"/>
        <v>5.6321386372587635E-2</v>
      </c>
    </row>
    <row r="13" spans="1:25" ht="12.75">
      <c r="A13" s="12">
        <f t="shared" si="0"/>
        <v>12</v>
      </c>
      <c r="B13" s="13" t="s">
        <v>113</v>
      </c>
      <c r="C13" s="14" t="str">
        <f t="array" aca="1" ref="C13" ca="1">INDEX('Rooms Master'!U:U,MATCH(B13,'Rooms Master'!D:D,0))</f>
        <v>Y</v>
      </c>
      <c r="D13" s="15">
        <v>11</v>
      </c>
      <c r="E13" s="15">
        <v>20</v>
      </c>
      <c r="F13" s="15">
        <v>4</v>
      </c>
      <c r="G13" s="15">
        <v>4</v>
      </c>
      <c r="H13" s="15">
        <v>0</v>
      </c>
      <c r="I13" s="15"/>
      <c r="J13" s="15">
        <v>0</v>
      </c>
      <c r="K13" s="15">
        <v>0</v>
      </c>
      <c r="L13" s="1" t="s">
        <v>24</v>
      </c>
      <c r="M13" s="17">
        <f t="shared" si="1"/>
        <v>0.2</v>
      </c>
      <c r="N13" s="18">
        <f t="shared" si="6"/>
        <v>0</v>
      </c>
      <c r="O13" s="17" t="str">
        <f t="shared" si="7"/>
        <v xml:space="preserve"> </v>
      </c>
      <c r="P13" s="17" t="str">
        <f t="shared" ref="P13:P15" si="10">IFERROR(K13/I13, " ")</f>
        <v xml:space="preserve"> </v>
      </c>
      <c r="Q13" s="17" t="str">
        <f t="shared" si="9"/>
        <v xml:space="preserve"> </v>
      </c>
      <c r="R13" s="17">
        <f t="shared" si="5"/>
        <v>7.8771169751870821E-3</v>
      </c>
    </row>
    <row r="14" spans="1:25" ht="12.75">
      <c r="A14" s="12">
        <f t="shared" si="0"/>
        <v>13</v>
      </c>
      <c r="B14" s="13" t="s">
        <v>30</v>
      </c>
      <c r="C14" s="14" t="str">
        <f t="array" aca="1" ref="C14" ca="1">INDEX('Rooms Master'!U:U,MATCH(B14,'Rooms Master'!D:D,0))</f>
        <v>Y</v>
      </c>
      <c r="D14" s="15">
        <v>12</v>
      </c>
      <c r="E14" s="15">
        <v>76</v>
      </c>
      <c r="F14" s="15">
        <v>15</v>
      </c>
      <c r="G14" s="15">
        <v>11</v>
      </c>
      <c r="H14" s="15">
        <v>12</v>
      </c>
      <c r="I14" s="15">
        <v>2</v>
      </c>
      <c r="J14" s="15">
        <v>0</v>
      </c>
      <c r="K14" s="15">
        <v>0</v>
      </c>
      <c r="L14" s="1" t="s">
        <v>20</v>
      </c>
      <c r="M14" s="17">
        <f t="shared" si="1"/>
        <v>0.19736842105263158</v>
      </c>
      <c r="N14" s="18">
        <f t="shared" si="6"/>
        <v>0.15789473684210525</v>
      </c>
      <c r="O14" s="17">
        <f t="shared" si="7"/>
        <v>0</v>
      </c>
      <c r="P14" s="17">
        <f t="shared" si="10"/>
        <v>0</v>
      </c>
      <c r="Q14" s="17" t="str">
        <f t="shared" si="9"/>
        <v xml:space="preserve"> </v>
      </c>
      <c r="R14" s="17">
        <f t="shared" si="5"/>
        <v>2.993304450571091E-2</v>
      </c>
      <c r="U14" s="13"/>
      <c r="V14" s="19"/>
      <c r="W14" s="19"/>
      <c r="X14" s="19"/>
      <c r="Y14" s="20"/>
    </row>
    <row r="15" spans="1:25" ht="12.75">
      <c r="A15" s="12">
        <f t="shared" si="0"/>
        <v>14</v>
      </c>
      <c r="B15" s="13" t="s">
        <v>28</v>
      </c>
      <c r="C15" s="14" t="str">
        <f t="array" aca="1" ref="C15" ca="1">INDEX('Rooms Master'!U:U,MATCH(B15,'Rooms Master'!D:D,0))</f>
        <v>Y</v>
      </c>
      <c r="D15" s="15">
        <v>13</v>
      </c>
      <c r="E15" s="15">
        <v>75</v>
      </c>
      <c r="F15" s="15">
        <v>33</v>
      </c>
      <c r="G15" s="15">
        <v>6</v>
      </c>
      <c r="H15" s="15">
        <v>3</v>
      </c>
      <c r="I15" s="15"/>
      <c r="J15" s="15">
        <v>0</v>
      </c>
      <c r="K15" s="15">
        <v>0</v>
      </c>
      <c r="L15" s="1" t="s">
        <v>29</v>
      </c>
      <c r="M15" s="17">
        <f t="shared" si="1"/>
        <v>0.44</v>
      </c>
      <c r="N15" s="18">
        <f t="shared" si="6"/>
        <v>0.04</v>
      </c>
      <c r="O15" s="17">
        <f t="shared" si="7"/>
        <v>0</v>
      </c>
      <c r="P15" s="17" t="str">
        <f t="shared" si="10"/>
        <v xml:space="preserve"> </v>
      </c>
      <c r="Q15" s="17" t="str">
        <f t="shared" si="9"/>
        <v xml:space="preserve"> </v>
      </c>
      <c r="R15" s="17">
        <f t="shared" si="5"/>
        <v>2.9539188656951557E-2</v>
      </c>
      <c r="U15" s="25"/>
      <c r="V15" s="25"/>
      <c r="W15" s="25"/>
      <c r="X15" s="25"/>
      <c r="Y15" s="25"/>
    </row>
    <row r="16" spans="1:25" ht="12.75">
      <c r="A16" s="12">
        <f t="shared" si="0"/>
        <v>15</v>
      </c>
      <c r="B16" s="1" t="s">
        <v>53</v>
      </c>
      <c r="C16" s="14" t="str">
        <f t="array" aca="1" ref="C16" ca="1">INDEX('Rooms Master'!U:U,MATCH(B16,'Rooms Master'!D:D,0))</f>
        <v>Y</v>
      </c>
      <c r="D16" s="15">
        <v>14</v>
      </c>
      <c r="E16" s="15">
        <v>64</v>
      </c>
      <c r="F16" s="15">
        <v>20</v>
      </c>
      <c r="G16" s="15">
        <v>7</v>
      </c>
      <c r="H16" s="15">
        <v>4</v>
      </c>
      <c r="J16" s="15">
        <v>0</v>
      </c>
      <c r="K16" s="15">
        <v>0</v>
      </c>
      <c r="L16" s="1" t="s">
        <v>20</v>
      </c>
      <c r="M16" s="17">
        <f t="shared" si="1"/>
        <v>0.3125</v>
      </c>
      <c r="N16" s="18">
        <f t="shared" si="6"/>
        <v>6.25E-2</v>
      </c>
      <c r="O16" s="17">
        <f t="shared" si="7"/>
        <v>0</v>
      </c>
      <c r="P16" s="17">
        <f>IFERROR(K16/I18, " ")</f>
        <v>0</v>
      </c>
      <c r="Q16" s="17" t="str">
        <f t="shared" si="9"/>
        <v xml:space="preserve"> </v>
      </c>
      <c r="R16" s="17">
        <f t="shared" si="5"/>
        <v>2.520677432059866E-2</v>
      </c>
    </row>
    <row r="17" spans="1:18" ht="12.75">
      <c r="A17" s="12">
        <f t="shared" si="0"/>
        <v>16</v>
      </c>
      <c r="B17" s="13" t="s">
        <v>105</v>
      </c>
      <c r="C17" s="14" t="str">
        <f t="array" aca="1" ref="C17" ca="1">INDEX('Rooms Master'!U:U,MATCH(B17,'Rooms Master'!D:D,0))</f>
        <v>Y</v>
      </c>
      <c r="D17" s="15">
        <v>15</v>
      </c>
      <c r="E17" s="15">
        <v>17</v>
      </c>
      <c r="F17" s="15">
        <v>1</v>
      </c>
      <c r="G17" s="15">
        <v>5</v>
      </c>
      <c r="H17" s="15">
        <v>0</v>
      </c>
      <c r="I17" s="15"/>
      <c r="J17" s="15">
        <v>0</v>
      </c>
      <c r="K17" s="15">
        <v>0</v>
      </c>
      <c r="L17" s="1" t="s">
        <v>24</v>
      </c>
      <c r="M17" s="17">
        <f t="shared" si="1"/>
        <v>5.8823529411764705E-2</v>
      </c>
      <c r="N17" s="18">
        <f t="shared" si="6"/>
        <v>0</v>
      </c>
      <c r="O17" s="17" t="str">
        <f t="shared" si="7"/>
        <v xml:space="preserve"> </v>
      </c>
      <c r="P17" s="17" t="str">
        <f t="shared" ref="P17:P37" si="11">IFERROR(K17/I17, " ")</f>
        <v xml:space="preserve"> </v>
      </c>
      <c r="Q17" s="17" t="str">
        <f t="shared" si="9"/>
        <v xml:space="preserve"> </v>
      </c>
      <c r="R17" s="17">
        <f t="shared" si="5"/>
        <v>6.6955494289090197E-3</v>
      </c>
    </row>
    <row r="18" spans="1:18" ht="12.75">
      <c r="A18" s="12">
        <f t="shared" si="0"/>
        <v>17</v>
      </c>
      <c r="B18" s="13" t="s">
        <v>17</v>
      </c>
      <c r="C18" s="14" t="str">
        <f t="array" aca="1" ref="C18" ca="1">INDEX('Rooms Master'!U:U,MATCH(B18,'Rooms Master'!D:D,0))</f>
        <v>Y</v>
      </c>
      <c r="D18" s="15">
        <v>16</v>
      </c>
      <c r="E18" s="15">
        <v>19</v>
      </c>
      <c r="F18" s="15">
        <v>5</v>
      </c>
      <c r="G18" s="15">
        <v>5</v>
      </c>
      <c r="H18" s="15">
        <v>0</v>
      </c>
      <c r="I18" s="15">
        <v>1</v>
      </c>
      <c r="J18" s="15">
        <v>0</v>
      </c>
      <c r="K18" s="15">
        <v>0</v>
      </c>
      <c r="L18" s="1" t="s">
        <v>18</v>
      </c>
      <c r="M18" s="17">
        <f t="shared" si="1"/>
        <v>0.26315789473684209</v>
      </c>
      <c r="N18" s="18">
        <f t="shared" si="6"/>
        <v>0</v>
      </c>
      <c r="O18" s="17" t="str">
        <f t="shared" si="7"/>
        <v xml:space="preserve"> </v>
      </c>
      <c r="P18" s="17">
        <f t="shared" si="11"/>
        <v>0</v>
      </c>
      <c r="Q18" s="17" t="str">
        <f t="shared" si="9"/>
        <v xml:space="preserve"> </v>
      </c>
      <c r="R18" s="17">
        <f t="shared" si="5"/>
        <v>7.4832611264277274E-3</v>
      </c>
    </row>
    <row r="19" spans="1:18" ht="12.75">
      <c r="A19" s="12">
        <f t="shared" si="0"/>
        <v>18</v>
      </c>
      <c r="B19" s="13" t="s">
        <v>59</v>
      </c>
      <c r="C19" s="14" t="str">
        <f t="array" aca="1" ref="C19" ca="1">INDEX('Rooms Master'!U:U,MATCH(B19,'Rooms Master'!D:D,0))</f>
        <v>Y</v>
      </c>
      <c r="D19" s="15">
        <v>16</v>
      </c>
      <c r="E19" s="15">
        <v>26</v>
      </c>
      <c r="F19" s="15">
        <v>5</v>
      </c>
      <c r="G19" s="15">
        <v>5</v>
      </c>
      <c r="H19" s="15">
        <v>6</v>
      </c>
      <c r="I19" s="15"/>
      <c r="J19" s="15">
        <v>0</v>
      </c>
      <c r="K19" s="15">
        <v>0</v>
      </c>
      <c r="L19" s="1" t="s">
        <v>34</v>
      </c>
      <c r="M19" s="17">
        <f t="shared" si="1"/>
        <v>0.19230769230769232</v>
      </c>
      <c r="N19" s="18">
        <f t="shared" si="6"/>
        <v>0.23076923076923078</v>
      </c>
      <c r="O19" s="17">
        <f t="shared" si="7"/>
        <v>0</v>
      </c>
      <c r="P19" s="17" t="str">
        <f t="shared" si="11"/>
        <v xml:space="preserve"> </v>
      </c>
      <c r="Q19" s="17" t="str">
        <f t="shared" si="9"/>
        <v xml:space="preserve"> </v>
      </c>
      <c r="R19" s="17">
        <f t="shared" si="5"/>
        <v>1.0240252067743205E-2</v>
      </c>
    </row>
    <row r="20" spans="1:18" ht="12.75">
      <c r="A20" s="12">
        <f t="shared" si="0"/>
        <v>19</v>
      </c>
      <c r="B20" s="13" t="s">
        <v>124</v>
      </c>
      <c r="C20" s="14" t="str">
        <f t="array" aca="1" ref="C20" ca="1">INDEX('Rooms Master'!U:U,MATCH(B20,'Rooms Master'!D:D,0))</f>
        <v>N</v>
      </c>
      <c r="D20" s="15">
        <v>17</v>
      </c>
      <c r="E20" s="15">
        <v>10</v>
      </c>
      <c r="F20" s="15">
        <v>2</v>
      </c>
      <c r="G20" s="15">
        <v>3</v>
      </c>
      <c r="H20" s="15">
        <v>0</v>
      </c>
      <c r="I20" s="15"/>
      <c r="J20" s="15">
        <v>0</v>
      </c>
      <c r="K20" s="15">
        <v>1</v>
      </c>
      <c r="L20" s="1" t="s">
        <v>34</v>
      </c>
      <c r="M20" s="17" t="str">
        <f>IFERROR(F20/#REF!, " ")</f>
        <v xml:space="preserve"> </v>
      </c>
      <c r="N20" s="18" t="str">
        <f>IFERROR(H20/#REF!," ")</f>
        <v xml:space="preserve"> </v>
      </c>
      <c r="O20" s="17" t="str">
        <f t="shared" si="7"/>
        <v xml:space="preserve"> </v>
      </c>
      <c r="P20" s="17" t="str">
        <f t="shared" si="11"/>
        <v xml:space="preserve"> </v>
      </c>
      <c r="Q20" s="17" t="str">
        <f t="shared" si="9"/>
        <v xml:space="preserve"> </v>
      </c>
      <c r="R20" s="17" t="str">
        <f>IFERROR(#REF!/$E$117," ")</f>
        <v xml:space="preserve"> </v>
      </c>
    </row>
    <row r="21" spans="1:18" ht="12.75">
      <c r="A21" s="12">
        <f t="shared" si="0"/>
        <v>20</v>
      </c>
      <c r="B21" s="13" t="s">
        <v>23</v>
      </c>
      <c r="C21" s="14" t="str">
        <f t="array" aca="1" ref="C21" ca="1">INDEX('Rooms Master'!U:U,MATCH(B21,'Rooms Master'!D:D,0))</f>
        <v>Y</v>
      </c>
      <c r="D21" s="15">
        <v>17</v>
      </c>
      <c r="E21" s="15">
        <v>37</v>
      </c>
      <c r="F21" s="15">
        <v>10</v>
      </c>
      <c r="G21" s="15">
        <v>6</v>
      </c>
      <c r="H21" s="15">
        <v>1</v>
      </c>
      <c r="I21" s="15"/>
      <c r="J21" s="15">
        <v>0</v>
      </c>
      <c r="K21" s="15">
        <v>0</v>
      </c>
      <c r="L21" s="1" t="s">
        <v>24</v>
      </c>
      <c r="M21" s="17">
        <f t="shared" ref="M21:M26" si="12">IFERROR(F21/E21, " ")</f>
        <v>0.27027027027027029</v>
      </c>
      <c r="N21" s="18">
        <f t="shared" ref="N21:N26" si="13">IFERROR(H21/E21," ")</f>
        <v>2.7027027027027029E-2</v>
      </c>
      <c r="O21" s="17">
        <f t="shared" si="7"/>
        <v>0</v>
      </c>
      <c r="P21" s="17" t="str">
        <f t="shared" si="11"/>
        <v xml:space="preserve"> </v>
      </c>
      <c r="Q21" s="17" t="str">
        <f t="shared" si="9"/>
        <v xml:space="preserve"> </v>
      </c>
      <c r="R21" s="17">
        <f t="shared" ref="R21:R29" si="14">IFERROR(E21/$E$117," ")</f>
        <v>1.45726664040961E-2</v>
      </c>
    </row>
    <row r="22" spans="1:18" ht="12.75">
      <c r="A22" s="12">
        <f t="shared" si="0"/>
        <v>21</v>
      </c>
      <c r="B22" s="13" t="s">
        <v>80</v>
      </c>
      <c r="C22" s="14" t="str">
        <f t="array" aca="1" ref="C22" ca="1">INDEX('Rooms Master'!U:U,MATCH(B22,'Rooms Master'!D:D,0))</f>
        <v>Y</v>
      </c>
      <c r="D22" s="15">
        <v>18</v>
      </c>
      <c r="E22" s="15">
        <v>34</v>
      </c>
      <c r="F22" s="15">
        <v>10</v>
      </c>
      <c r="G22" s="15">
        <v>4</v>
      </c>
      <c r="H22" s="15">
        <v>2</v>
      </c>
      <c r="I22" s="15"/>
      <c r="J22" s="15">
        <v>0</v>
      </c>
      <c r="K22" s="15">
        <v>0</v>
      </c>
      <c r="L22" s="1" t="s">
        <v>39</v>
      </c>
      <c r="M22" s="17">
        <f t="shared" si="12"/>
        <v>0.29411764705882354</v>
      </c>
      <c r="N22" s="18">
        <f t="shared" si="13"/>
        <v>5.8823529411764705E-2</v>
      </c>
      <c r="O22" s="17">
        <f t="shared" si="7"/>
        <v>0</v>
      </c>
      <c r="P22" s="17" t="str">
        <f t="shared" si="11"/>
        <v xml:space="preserve"> </v>
      </c>
      <c r="Q22" s="17" t="str">
        <f t="shared" si="9"/>
        <v xml:space="preserve"> </v>
      </c>
      <c r="R22" s="17">
        <f t="shared" si="14"/>
        <v>1.3391098857818039E-2</v>
      </c>
    </row>
    <row r="23" spans="1:18" ht="12.75">
      <c r="A23" s="12">
        <f t="shared" si="0"/>
        <v>22</v>
      </c>
      <c r="B23" s="13" t="s">
        <v>106</v>
      </c>
      <c r="C23" s="14" t="str">
        <f t="array" aca="1" ref="C23" ca="1">INDEX('Rooms Master'!U:U,MATCH(B23,'Rooms Master'!D:D,0))</f>
        <v>N</v>
      </c>
      <c r="D23" s="15">
        <v>18</v>
      </c>
      <c r="E23" s="15">
        <v>9</v>
      </c>
      <c r="F23" s="15">
        <v>0</v>
      </c>
      <c r="G23" s="15">
        <v>4</v>
      </c>
      <c r="H23" s="15">
        <v>2</v>
      </c>
      <c r="I23" s="15"/>
      <c r="J23" s="15">
        <v>0</v>
      </c>
      <c r="K23" s="15">
        <v>0</v>
      </c>
      <c r="L23" s="1" t="s">
        <v>24</v>
      </c>
      <c r="M23" s="17">
        <f t="shared" si="12"/>
        <v>0</v>
      </c>
      <c r="N23" s="18">
        <f t="shared" si="13"/>
        <v>0.22222222222222221</v>
      </c>
      <c r="O23" s="17">
        <f t="shared" si="7"/>
        <v>0</v>
      </c>
      <c r="P23" s="17" t="str">
        <f t="shared" si="11"/>
        <v xml:space="preserve"> </v>
      </c>
      <c r="Q23" s="17" t="str">
        <f t="shared" si="9"/>
        <v xml:space="preserve"> </v>
      </c>
      <c r="R23" s="17">
        <f t="shared" si="14"/>
        <v>3.5447026388341868E-3</v>
      </c>
    </row>
    <row r="24" spans="1:18" ht="13.5">
      <c r="A24" s="12">
        <f t="shared" si="0"/>
        <v>23</v>
      </c>
      <c r="B24" s="13" t="s">
        <v>98</v>
      </c>
      <c r="C24" s="14" t="str">
        <f t="array" aca="1" ref="C24" ca="1">INDEX('Rooms Master'!U:U,MATCH(B24,'Rooms Master'!D:D,0))</f>
        <v>N</v>
      </c>
      <c r="D24" s="15">
        <v>19</v>
      </c>
      <c r="E24" s="15">
        <v>50</v>
      </c>
      <c r="F24" s="15">
        <v>13</v>
      </c>
      <c r="G24" s="15">
        <v>7</v>
      </c>
      <c r="H24" s="15">
        <v>6</v>
      </c>
      <c r="I24" s="15"/>
      <c r="J24" s="15">
        <v>1</v>
      </c>
      <c r="K24" s="28">
        <v>0</v>
      </c>
      <c r="L24" s="1" t="s">
        <v>34</v>
      </c>
      <c r="M24" s="17">
        <f t="shared" si="12"/>
        <v>0.26</v>
      </c>
      <c r="N24" s="18">
        <f t="shared" si="13"/>
        <v>0.12</v>
      </c>
      <c r="O24" s="17">
        <f t="shared" si="7"/>
        <v>0</v>
      </c>
      <c r="P24" s="17" t="str">
        <f t="shared" si="11"/>
        <v xml:space="preserve"> </v>
      </c>
      <c r="Q24" s="17">
        <f t="shared" si="9"/>
        <v>0</v>
      </c>
      <c r="R24" s="17">
        <f t="shared" si="14"/>
        <v>1.9692792437967704E-2</v>
      </c>
    </row>
    <row r="25" spans="1:18" ht="12.75">
      <c r="A25" s="12">
        <f t="shared" si="0"/>
        <v>24</v>
      </c>
      <c r="B25" s="13" t="s">
        <v>71</v>
      </c>
      <c r="C25" s="14" t="str">
        <f t="array" aca="1" ref="C25" ca="1">INDEX('Rooms Master'!U:U,MATCH(B25,'Rooms Master'!D:D,0))</f>
        <v>Y</v>
      </c>
      <c r="D25" s="15">
        <v>20</v>
      </c>
      <c r="E25" s="15">
        <v>41</v>
      </c>
      <c r="F25" s="15">
        <v>11</v>
      </c>
      <c r="G25" s="15">
        <v>7</v>
      </c>
      <c r="H25" s="15">
        <v>2</v>
      </c>
      <c r="I25" s="15">
        <v>2</v>
      </c>
      <c r="J25" s="15">
        <v>0</v>
      </c>
      <c r="K25" s="15">
        <v>0</v>
      </c>
      <c r="L25" s="1" t="s">
        <v>20</v>
      </c>
      <c r="M25" s="17">
        <f t="shared" si="12"/>
        <v>0.26829268292682928</v>
      </c>
      <c r="N25" s="18">
        <f t="shared" si="13"/>
        <v>4.878048780487805E-2</v>
      </c>
      <c r="O25" s="17">
        <f t="shared" si="7"/>
        <v>0</v>
      </c>
      <c r="P25" s="17">
        <f t="shared" si="11"/>
        <v>0</v>
      </c>
      <c r="Q25" s="17" t="str">
        <f t="shared" si="9"/>
        <v xml:space="preserve"> </v>
      </c>
      <c r="R25" s="17">
        <f t="shared" si="14"/>
        <v>1.6148089799133517E-2</v>
      </c>
    </row>
    <row r="26" spans="1:18" ht="12.75">
      <c r="A26" s="12">
        <f t="shared" si="0"/>
        <v>25</v>
      </c>
      <c r="B26" s="13" t="s">
        <v>38</v>
      </c>
      <c r="C26" s="14" t="str">
        <f t="array" aca="1" ref="C26" ca="1">INDEX('Rooms Master'!U:U,MATCH(B26,'Rooms Master'!D:D,0))</f>
        <v>Y</v>
      </c>
      <c r="D26" s="15">
        <v>21</v>
      </c>
      <c r="E26" s="15">
        <v>22</v>
      </c>
      <c r="F26" s="15">
        <v>14</v>
      </c>
      <c r="G26" s="15">
        <v>4</v>
      </c>
      <c r="H26" s="15">
        <v>2</v>
      </c>
      <c r="I26" s="15"/>
      <c r="J26" s="15">
        <v>0</v>
      </c>
      <c r="K26" s="15">
        <v>0</v>
      </c>
      <c r="L26" s="1" t="s">
        <v>39</v>
      </c>
      <c r="M26" s="17">
        <f t="shared" si="12"/>
        <v>0.63636363636363635</v>
      </c>
      <c r="N26" s="18">
        <f t="shared" si="13"/>
        <v>9.0909090909090912E-2</v>
      </c>
      <c r="O26" s="17">
        <f t="shared" si="7"/>
        <v>0</v>
      </c>
      <c r="P26" s="17" t="str">
        <f t="shared" si="11"/>
        <v xml:space="preserve"> </v>
      </c>
      <c r="Q26" s="17" t="str">
        <f t="shared" si="9"/>
        <v xml:space="preserve"> </v>
      </c>
      <c r="R26" s="17">
        <f t="shared" si="14"/>
        <v>8.6648286727057898E-3</v>
      </c>
    </row>
    <row r="27" spans="1:18" ht="12.75">
      <c r="A27" s="12">
        <f t="shared" si="0"/>
        <v>26</v>
      </c>
      <c r="B27" s="13" t="s">
        <v>116</v>
      </c>
      <c r="C27" s="14" t="str">
        <f t="array" aca="1" ref="C27" ca="1">INDEX('Rooms Master'!U:U,MATCH(B27,'Rooms Master'!D:D,0))</f>
        <v>Y</v>
      </c>
      <c r="D27" s="15">
        <v>22</v>
      </c>
      <c r="E27" s="22">
        <v>9</v>
      </c>
      <c r="F27" s="15">
        <v>2</v>
      </c>
      <c r="G27" s="15">
        <v>3</v>
      </c>
      <c r="H27" s="15">
        <v>0</v>
      </c>
      <c r="I27" s="15"/>
      <c r="J27" s="15">
        <v>0</v>
      </c>
      <c r="K27" s="15">
        <v>0</v>
      </c>
      <c r="L27" s="1" t="s">
        <v>64</v>
      </c>
      <c r="M27" s="17" t="str">
        <f>IFERROR(F27/#REF!, " ")</f>
        <v xml:space="preserve"> </v>
      </c>
      <c r="N27" s="18" t="str">
        <f>IFERROR(H27/#REF!," ")</f>
        <v xml:space="preserve"> </v>
      </c>
      <c r="O27" s="17" t="str">
        <f t="shared" si="7"/>
        <v xml:space="preserve"> </v>
      </c>
      <c r="P27" s="17" t="str">
        <f t="shared" si="11"/>
        <v xml:space="preserve"> </v>
      </c>
      <c r="Q27" s="17" t="str">
        <f t="shared" si="9"/>
        <v xml:space="preserve"> </v>
      </c>
      <c r="R27" s="17">
        <f t="shared" si="14"/>
        <v>3.5447026388341868E-3</v>
      </c>
    </row>
    <row r="28" spans="1:18" ht="12.75">
      <c r="A28" s="12">
        <f t="shared" si="0"/>
        <v>27</v>
      </c>
      <c r="B28" s="13" t="s">
        <v>89</v>
      </c>
      <c r="C28" s="14" t="str">
        <f t="array" aca="1" ref="C28" ca="1">INDEX('Rooms Master'!U:U,MATCH(B28,'Rooms Master'!D:D,0))</f>
        <v>Y</v>
      </c>
      <c r="D28" s="15">
        <v>23</v>
      </c>
      <c r="E28" s="15">
        <v>17</v>
      </c>
      <c r="F28" s="15">
        <v>6</v>
      </c>
      <c r="G28" s="15">
        <v>4</v>
      </c>
      <c r="H28" s="15">
        <v>0</v>
      </c>
      <c r="I28" s="15"/>
      <c r="J28" s="15">
        <v>0</v>
      </c>
      <c r="K28" s="15">
        <v>0</v>
      </c>
      <c r="L28" s="1" t="s">
        <v>39</v>
      </c>
      <c r="M28" s="17">
        <f t="shared" ref="M28:M29" si="15">IFERROR(F28/E28, " ")</f>
        <v>0.35294117647058826</v>
      </c>
      <c r="N28" s="18">
        <f t="shared" ref="N28:N29" si="16">IFERROR(H28/E28," ")</f>
        <v>0</v>
      </c>
      <c r="O28" s="17" t="str">
        <f t="shared" si="7"/>
        <v xml:space="preserve"> </v>
      </c>
      <c r="P28" s="17" t="str">
        <f t="shared" si="11"/>
        <v xml:space="preserve"> </v>
      </c>
      <c r="Q28" s="17" t="str">
        <f t="shared" si="9"/>
        <v xml:space="preserve"> </v>
      </c>
      <c r="R28" s="17">
        <f t="shared" si="14"/>
        <v>6.6955494289090197E-3</v>
      </c>
    </row>
    <row r="29" spans="1:18" ht="12.75">
      <c r="A29" s="12">
        <f t="shared" si="0"/>
        <v>28</v>
      </c>
      <c r="B29" s="13" t="s">
        <v>136</v>
      </c>
      <c r="C29" s="14" t="str">
        <f t="array" aca="1" ref="C29" ca="1">INDEX('Rooms Master'!U:U,MATCH(B29,'Rooms Master'!D:D,0))</f>
        <v>N</v>
      </c>
      <c r="D29" s="15">
        <v>24</v>
      </c>
      <c r="E29" s="15">
        <v>6</v>
      </c>
      <c r="F29" s="15">
        <v>4</v>
      </c>
      <c r="G29" s="15">
        <v>4</v>
      </c>
      <c r="H29" s="15">
        <v>3</v>
      </c>
      <c r="I29" s="15"/>
      <c r="J29" s="15">
        <v>0</v>
      </c>
      <c r="K29" s="15">
        <v>0</v>
      </c>
      <c r="L29" s="1" t="s">
        <v>34</v>
      </c>
      <c r="M29" s="17">
        <f t="shared" si="15"/>
        <v>0.66666666666666663</v>
      </c>
      <c r="N29" s="18">
        <f t="shared" si="16"/>
        <v>0.5</v>
      </c>
      <c r="O29" s="17">
        <f t="shared" si="7"/>
        <v>0</v>
      </c>
      <c r="P29" s="17" t="str">
        <f t="shared" si="11"/>
        <v xml:space="preserve"> </v>
      </c>
      <c r="Q29" s="17" t="str">
        <f t="shared" si="9"/>
        <v xml:space="preserve"> </v>
      </c>
      <c r="R29" s="17">
        <f t="shared" si="14"/>
        <v>2.3631350925561244E-3</v>
      </c>
    </row>
    <row r="30" spans="1:18" ht="12.75">
      <c r="A30" s="12">
        <f t="shared" si="0"/>
        <v>29</v>
      </c>
      <c r="B30" s="13" t="s">
        <v>60</v>
      </c>
      <c r="C30" s="14" t="str">
        <f t="array" aca="1" ref="C30" ca="1">INDEX('Rooms Master'!U:U,MATCH(B30,'Rooms Master'!D:D,0))</f>
        <v>Y</v>
      </c>
      <c r="D30" s="15">
        <v>24</v>
      </c>
      <c r="E30" s="22">
        <v>31</v>
      </c>
      <c r="F30" s="15">
        <v>6</v>
      </c>
      <c r="G30" s="15">
        <v>4</v>
      </c>
      <c r="H30" s="15">
        <v>2</v>
      </c>
      <c r="I30" s="15"/>
      <c r="J30" s="15">
        <v>0</v>
      </c>
      <c r="K30" s="15">
        <v>0</v>
      </c>
      <c r="L30" s="1" t="s">
        <v>20</v>
      </c>
      <c r="M30" s="17">
        <f>IFERROR(F30/E31, " ")</f>
        <v>0.8571428571428571</v>
      </c>
      <c r="N30" s="18">
        <f>IFERROR(H30/E31," ")</f>
        <v>0.2857142857142857</v>
      </c>
      <c r="O30" s="17">
        <f t="shared" si="7"/>
        <v>0</v>
      </c>
      <c r="P30" s="17" t="str">
        <f t="shared" si="11"/>
        <v xml:space="preserve"> </v>
      </c>
      <c r="Q30" s="17" t="str">
        <f t="shared" si="9"/>
        <v xml:space="preserve"> </v>
      </c>
      <c r="R30" s="17">
        <f>IFERROR(E31/$E$117," ")</f>
        <v>2.7569909413154787E-3</v>
      </c>
    </row>
    <row r="31" spans="1:18" ht="12.75">
      <c r="A31" s="12">
        <f t="shared" si="0"/>
        <v>30</v>
      </c>
      <c r="B31" s="13" t="s">
        <v>110</v>
      </c>
      <c r="C31" s="14" t="str">
        <f t="array" aca="1" ref="C31" ca="1">INDEX('Rooms Master'!U:U,MATCH(B31,'Rooms Master'!D:D,0))</f>
        <v>Y</v>
      </c>
      <c r="D31" s="15">
        <v>25</v>
      </c>
      <c r="E31" s="15">
        <v>7</v>
      </c>
      <c r="F31" s="15">
        <v>0</v>
      </c>
      <c r="G31" s="15">
        <v>8</v>
      </c>
      <c r="H31" s="15">
        <v>12</v>
      </c>
      <c r="I31" s="15"/>
      <c r="J31" s="15">
        <v>0</v>
      </c>
      <c r="K31" s="15">
        <v>0</v>
      </c>
      <c r="L31" s="1" t="s">
        <v>34</v>
      </c>
      <c r="M31" s="17">
        <f t="shared" ref="M31:M33" si="17">IFERROR(F31/E31, " ")</f>
        <v>0</v>
      </c>
      <c r="N31" s="18">
        <f t="shared" ref="N31:N33" si="18">IFERROR(H31/E31," ")</f>
        <v>1.7142857142857142</v>
      </c>
      <c r="O31" s="17">
        <f t="shared" si="7"/>
        <v>0</v>
      </c>
      <c r="P31" s="17" t="str">
        <f t="shared" si="11"/>
        <v xml:space="preserve"> </v>
      </c>
      <c r="Q31" s="17" t="str">
        <f t="shared" si="9"/>
        <v xml:space="preserve"> </v>
      </c>
      <c r="R31" s="17">
        <f t="shared" ref="R31:R51" si="19">IFERROR(E31/$E$117," ")</f>
        <v>2.7569909413154787E-3</v>
      </c>
    </row>
    <row r="32" spans="1:18" ht="12.75">
      <c r="A32" s="12">
        <f t="shared" si="0"/>
        <v>31</v>
      </c>
      <c r="B32" s="13" t="s">
        <v>42</v>
      </c>
      <c r="C32" s="14" t="str">
        <f t="array" aca="1" ref="C32" ca="1">INDEX('Rooms Master'!U:U,MATCH(B32,'Rooms Master'!D:D,0))</f>
        <v>Y</v>
      </c>
      <c r="D32" s="15">
        <v>26</v>
      </c>
      <c r="E32" s="15">
        <v>25</v>
      </c>
      <c r="F32" s="15">
        <v>10</v>
      </c>
      <c r="G32" s="15">
        <v>7</v>
      </c>
      <c r="H32" s="15">
        <v>2</v>
      </c>
      <c r="I32" s="15"/>
      <c r="J32" s="15">
        <v>1</v>
      </c>
      <c r="K32" s="15">
        <v>1</v>
      </c>
      <c r="L32" s="1" t="s">
        <v>20</v>
      </c>
      <c r="M32" s="17">
        <f t="shared" si="17"/>
        <v>0.4</v>
      </c>
      <c r="N32" s="18">
        <f t="shared" si="18"/>
        <v>0.08</v>
      </c>
      <c r="O32" s="17">
        <f t="shared" si="7"/>
        <v>0.5</v>
      </c>
      <c r="P32" s="17" t="str">
        <f t="shared" si="11"/>
        <v xml:space="preserve"> </v>
      </c>
      <c r="Q32" s="17">
        <f t="shared" si="9"/>
        <v>1</v>
      </c>
      <c r="R32" s="17">
        <f t="shared" si="19"/>
        <v>9.8463962189838522E-3</v>
      </c>
    </row>
    <row r="33" spans="1:18" ht="12.75">
      <c r="A33" s="12">
        <f t="shared" si="0"/>
        <v>32</v>
      </c>
      <c r="B33" s="13" t="s">
        <v>56</v>
      </c>
      <c r="C33" s="14" t="str">
        <f t="array" aca="1" ref="C33" ca="1">INDEX('Rooms Master'!U:U,MATCH(B33,'Rooms Master'!D:D,0))</f>
        <v>Y</v>
      </c>
      <c r="D33" s="15">
        <v>27</v>
      </c>
      <c r="E33" s="15">
        <v>18</v>
      </c>
      <c r="F33" s="15">
        <v>8</v>
      </c>
      <c r="G33" s="15">
        <v>5</v>
      </c>
      <c r="H33" s="15">
        <v>0</v>
      </c>
      <c r="I33" s="15"/>
      <c r="J33" s="15">
        <v>0</v>
      </c>
      <c r="K33" s="15">
        <v>0</v>
      </c>
      <c r="L33" s="1" t="s">
        <v>37</v>
      </c>
      <c r="M33" s="17">
        <f t="shared" si="17"/>
        <v>0.44444444444444442</v>
      </c>
      <c r="N33" s="18">
        <f t="shared" si="18"/>
        <v>0</v>
      </c>
      <c r="O33" s="17" t="str">
        <f t="shared" si="7"/>
        <v xml:space="preserve"> </v>
      </c>
      <c r="P33" s="17" t="str">
        <f t="shared" si="11"/>
        <v xml:space="preserve"> </v>
      </c>
      <c r="Q33" s="17" t="str">
        <f t="shared" si="9"/>
        <v xml:space="preserve"> </v>
      </c>
      <c r="R33" s="17">
        <f t="shared" si="19"/>
        <v>7.0894052776683735E-3</v>
      </c>
    </row>
    <row r="34" spans="1:18" ht="12.75">
      <c r="A34" s="12">
        <f t="shared" si="0"/>
        <v>33</v>
      </c>
      <c r="B34" s="13" t="s">
        <v>54</v>
      </c>
      <c r="C34" s="14" t="str">
        <f t="array" aca="1" ref="C34" ca="1">INDEX('Rooms Master'!U:U,MATCH(B34,'Rooms Master'!D:D,0))</f>
        <v>N</v>
      </c>
      <c r="D34" s="15">
        <v>28</v>
      </c>
      <c r="E34" s="15">
        <v>43</v>
      </c>
      <c r="F34" s="15">
        <v>14</v>
      </c>
      <c r="G34" s="15">
        <v>5</v>
      </c>
      <c r="H34" s="15">
        <v>0</v>
      </c>
      <c r="I34" s="15"/>
      <c r="J34" s="15">
        <v>0</v>
      </c>
      <c r="K34" s="15">
        <v>0</v>
      </c>
      <c r="L34" s="1" t="s">
        <v>20</v>
      </c>
      <c r="M34" s="17" t="str">
        <f>IFERROR(F34/#REF!, " ")</f>
        <v xml:space="preserve"> </v>
      </c>
      <c r="N34" s="18" t="str">
        <f>IFERROR(H34/#REF!," ")</f>
        <v xml:space="preserve"> </v>
      </c>
      <c r="O34" s="17" t="str">
        <f t="shared" si="7"/>
        <v xml:space="preserve"> </v>
      </c>
      <c r="P34" s="17" t="str">
        <f t="shared" si="11"/>
        <v xml:space="preserve"> </v>
      </c>
      <c r="Q34" s="17" t="str">
        <f t="shared" si="9"/>
        <v xml:space="preserve"> </v>
      </c>
      <c r="R34" s="17">
        <f t="shared" si="19"/>
        <v>1.6935801496652227E-2</v>
      </c>
    </row>
    <row r="35" spans="1:18" ht="12.75">
      <c r="A35" s="12">
        <f t="shared" si="0"/>
        <v>34</v>
      </c>
      <c r="B35" s="13" t="s">
        <v>50</v>
      </c>
      <c r="C35" s="14" t="str">
        <f t="array" aca="1" ref="C35" ca="1">INDEX('Rooms Master'!U:U,MATCH(B35,'Rooms Master'!D:D,0))</f>
        <v>Y</v>
      </c>
      <c r="D35" s="15">
        <v>29</v>
      </c>
      <c r="E35" s="15">
        <v>27</v>
      </c>
      <c r="F35" s="15">
        <v>7</v>
      </c>
      <c r="G35" s="15">
        <v>3</v>
      </c>
      <c r="H35" s="15">
        <v>1</v>
      </c>
      <c r="I35" s="15"/>
      <c r="J35" s="15">
        <v>0</v>
      </c>
      <c r="K35" s="15">
        <v>0</v>
      </c>
      <c r="L35" s="1" t="s">
        <v>34</v>
      </c>
      <c r="M35" s="17">
        <f t="shared" ref="M35:M51" si="20">IFERROR(F35/E35, " ")</f>
        <v>0.25925925925925924</v>
      </c>
      <c r="N35" s="18">
        <f t="shared" ref="N35:N51" si="21">IFERROR(H35/E35," ")</f>
        <v>3.7037037037037035E-2</v>
      </c>
      <c r="O35" s="17">
        <f t="shared" si="7"/>
        <v>0</v>
      </c>
      <c r="P35" s="17" t="str">
        <f t="shared" si="11"/>
        <v xml:space="preserve"> </v>
      </c>
      <c r="Q35" s="17" t="str">
        <f t="shared" si="9"/>
        <v xml:space="preserve"> </v>
      </c>
      <c r="R35" s="17">
        <f t="shared" si="19"/>
        <v>1.063410791650256E-2</v>
      </c>
    </row>
    <row r="36" spans="1:18" ht="12.75">
      <c r="A36" s="12">
        <f t="shared" si="0"/>
        <v>35</v>
      </c>
      <c r="B36" s="13" t="s">
        <v>78</v>
      </c>
      <c r="C36" s="14" t="str">
        <f t="array" aca="1" ref="C36" ca="1">INDEX('Rooms Master'!U:U,MATCH(B36,'Rooms Master'!D:D,0))</f>
        <v>Y</v>
      </c>
      <c r="D36" s="15">
        <v>30</v>
      </c>
      <c r="E36" s="15">
        <v>20</v>
      </c>
      <c r="F36" s="15">
        <v>3</v>
      </c>
      <c r="G36" s="15">
        <v>5</v>
      </c>
      <c r="H36" s="15">
        <v>2</v>
      </c>
      <c r="I36" s="15"/>
      <c r="J36" s="15">
        <v>0</v>
      </c>
      <c r="K36" s="15">
        <v>0</v>
      </c>
      <c r="L36" s="1" t="s">
        <v>20</v>
      </c>
      <c r="M36" s="17">
        <f t="shared" si="20"/>
        <v>0.15</v>
      </c>
      <c r="N36" s="18">
        <f t="shared" si="21"/>
        <v>0.1</v>
      </c>
      <c r="O36" s="17">
        <f t="shared" si="7"/>
        <v>0</v>
      </c>
      <c r="P36" s="17" t="str">
        <f t="shared" si="11"/>
        <v xml:space="preserve"> </v>
      </c>
      <c r="Q36" s="17" t="str">
        <f t="shared" si="9"/>
        <v xml:space="preserve"> </v>
      </c>
      <c r="R36" s="17">
        <f t="shared" si="19"/>
        <v>7.8771169751870821E-3</v>
      </c>
    </row>
    <row r="37" spans="1:18" ht="12.75">
      <c r="A37" s="12">
        <f t="shared" si="0"/>
        <v>36</v>
      </c>
      <c r="B37" s="13" t="s">
        <v>86</v>
      </c>
      <c r="C37" s="14" t="str">
        <f t="array" aca="1" ref="C37" ca="1">INDEX('Rooms Master'!U:U,MATCH(B37,'Rooms Master'!D:D,0))</f>
        <v>Y</v>
      </c>
      <c r="D37" s="15">
        <v>31</v>
      </c>
      <c r="E37" s="15">
        <v>27</v>
      </c>
      <c r="F37" s="15">
        <v>6</v>
      </c>
      <c r="G37" s="15">
        <v>6</v>
      </c>
      <c r="H37" s="15">
        <v>2</v>
      </c>
      <c r="I37" s="15">
        <v>1</v>
      </c>
      <c r="J37" s="15">
        <v>0</v>
      </c>
      <c r="K37" s="15">
        <v>0</v>
      </c>
      <c r="L37" s="1" t="s">
        <v>20</v>
      </c>
      <c r="M37" s="17">
        <f t="shared" si="20"/>
        <v>0.22222222222222221</v>
      </c>
      <c r="N37" s="18">
        <f t="shared" si="21"/>
        <v>7.407407407407407E-2</v>
      </c>
      <c r="O37" s="17">
        <f t="shared" si="7"/>
        <v>0</v>
      </c>
      <c r="P37" s="17">
        <f t="shared" si="11"/>
        <v>0</v>
      </c>
      <c r="Q37" s="17" t="str">
        <f t="shared" si="9"/>
        <v xml:space="preserve"> </v>
      </c>
      <c r="R37" s="17">
        <f t="shared" si="19"/>
        <v>1.063410791650256E-2</v>
      </c>
    </row>
    <row r="38" spans="1:18" ht="12.75">
      <c r="A38" s="12">
        <f t="shared" si="0"/>
        <v>37</v>
      </c>
      <c r="B38" s="13" t="s">
        <v>82</v>
      </c>
      <c r="C38" s="14" t="str">
        <f t="array" aca="1" ref="C38" ca="1">INDEX('Rooms Master'!U:U,MATCH(B38,'Rooms Master'!D:D,0))</f>
        <v>Y</v>
      </c>
      <c r="D38" s="15">
        <v>32</v>
      </c>
      <c r="E38" s="15">
        <v>15</v>
      </c>
      <c r="F38" s="15">
        <v>1</v>
      </c>
      <c r="G38" s="15">
        <v>4</v>
      </c>
      <c r="H38" s="15">
        <v>0</v>
      </c>
      <c r="I38" s="15"/>
      <c r="J38" s="15">
        <v>0</v>
      </c>
      <c r="K38" s="15">
        <v>0</v>
      </c>
      <c r="L38" s="1" t="s">
        <v>20</v>
      </c>
      <c r="M38" s="17">
        <f t="shared" si="20"/>
        <v>6.6666666666666666E-2</v>
      </c>
      <c r="N38" s="18">
        <f t="shared" si="21"/>
        <v>0</v>
      </c>
      <c r="O38" s="17" t="str">
        <f t="shared" si="7"/>
        <v xml:space="preserve"> </v>
      </c>
      <c r="P38" s="17" t="str">
        <f>IFERROR(K38/I40, " ")</f>
        <v xml:space="preserve"> </v>
      </c>
      <c r="Q38" s="17" t="str">
        <f t="shared" si="9"/>
        <v xml:space="preserve"> </v>
      </c>
      <c r="R38" s="17">
        <f t="shared" si="19"/>
        <v>5.9078377313903111E-3</v>
      </c>
    </row>
    <row r="39" spans="1:18" ht="12.75">
      <c r="A39" s="12">
        <f t="shared" si="0"/>
        <v>38</v>
      </c>
      <c r="B39" s="13" t="s">
        <v>135</v>
      </c>
      <c r="C39" s="14" t="str">
        <f t="array" aca="1" ref="C39" ca="1">INDEX('Rooms Master'!U:U,MATCH(B39,'Rooms Master'!D:D,0))</f>
        <v>N</v>
      </c>
      <c r="D39" s="15">
        <v>33</v>
      </c>
      <c r="E39" s="15">
        <v>49</v>
      </c>
      <c r="F39" s="15">
        <v>15</v>
      </c>
      <c r="G39" s="15">
        <v>5</v>
      </c>
      <c r="H39" s="15">
        <v>3</v>
      </c>
      <c r="I39" s="15">
        <v>1</v>
      </c>
      <c r="J39" s="15">
        <v>1</v>
      </c>
      <c r="K39" s="15">
        <v>1</v>
      </c>
      <c r="L39" s="1" t="s">
        <v>20</v>
      </c>
      <c r="M39" s="17">
        <f t="shared" si="20"/>
        <v>0.30612244897959184</v>
      </c>
      <c r="N39" s="18">
        <f t="shared" si="21"/>
        <v>6.1224489795918366E-2</v>
      </c>
      <c r="O39" s="17">
        <f t="shared" si="7"/>
        <v>0.33333333333333331</v>
      </c>
      <c r="P39" s="17">
        <f t="shared" ref="P39:P113" si="22">IFERROR(K39/I39, " ")</f>
        <v>1</v>
      </c>
      <c r="Q39" s="17">
        <f t="shared" si="9"/>
        <v>1</v>
      </c>
      <c r="R39" s="17">
        <f t="shared" si="19"/>
        <v>1.9298936589208351E-2</v>
      </c>
    </row>
    <row r="40" spans="1:18" ht="12.75">
      <c r="A40" s="12">
        <f t="shared" si="0"/>
        <v>39</v>
      </c>
      <c r="B40" s="13" t="s">
        <v>129</v>
      </c>
      <c r="C40" s="14" t="str">
        <f t="array" aca="1" ref="C40" ca="1">INDEX('Rooms Master'!U:U,MATCH(B40,'Rooms Master'!D:D,0))</f>
        <v>N</v>
      </c>
      <c r="D40" s="15">
        <v>34</v>
      </c>
      <c r="E40" s="15">
        <v>20</v>
      </c>
      <c r="F40" s="15">
        <v>7</v>
      </c>
      <c r="G40" s="15">
        <v>4</v>
      </c>
      <c r="H40" s="15">
        <v>1</v>
      </c>
      <c r="I40" s="15"/>
      <c r="J40" s="15">
        <v>2</v>
      </c>
      <c r="K40" s="15">
        <v>0</v>
      </c>
      <c r="L40" s="1" t="s">
        <v>20</v>
      </c>
      <c r="M40" s="17">
        <f t="shared" si="20"/>
        <v>0.35</v>
      </c>
      <c r="N40" s="18">
        <f t="shared" si="21"/>
        <v>0.05</v>
      </c>
      <c r="O40" s="17">
        <f t="shared" si="7"/>
        <v>0</v>
      </c>
      <c r="P40" s="17" t="str">
        <f t="shared" si="22"/>
        <v xml:space="preserve"> </v>
      </c>
      <c r="Q40" s="17">
        <f t="shared" si="9"/>
        <v>0</v>
      </c>
      <c r="R40" s="17">
        <f t="shared" si="19"/>
        <v>7.8771169751870821E-3</v>
      </c>
    </row>
    <row r="41" spans="1:18" ht="12.75">
      <c r="A41" s="12">
        <f t="shared" si="0"/>
        <v>40</v>
      </c>
      <c r="B41" s="13" t="s">
        <v>33</v>
      </c>
      <c r="C41" s="14" t="str">
        <f t="array" aca="1" ref="C41" ca="1">INDEX('Rooms Master'!U:U,MATCH(B41,'Rooms Master'!D:D,0))</f>
        <v>Y</v>
      </c>
      <c r="D41" s="15">
        <v>35</v>
      </c>
      <c r="E41" s="15">
        <v>36</v>
      </c>
      <c r="F41" s="15">
        <v>13</v>
      </c>
      <c r="G41" s="15">
        <v>7</v>
      </c>
      <c r="H41" s="15">
        <v>4</v>
      </c>
      <c r="I41" s="15">
        <v>1</v>
      </c>
      <c r="J41" s="15">
        <v>0</v>
      </c>
      <c r="K41" s="15">
        <v>0</v>
      </c>
      <c r="L41" s="1" t="s">
        <v>34</v>
      </c>
      <c r="M41" s="17">
        <f t="shared" si="20"/>
        <v>0.3611111111111111</v>
      </c>
      <c r="N41" s="18">
        <f t="shared" si="21"/>
        <v>0.1111111111111111</v>
      </c>
      <c r="O41" s="17">
        <f t="shared" si="7"/>
        <v>0</v>
      </c>
      <c r="P41" s="17">
        <f t="shared" si="22"/>
        <v>0</v>
      </c>
      <c r="Q41" s="17" t="str">
        <f t="shared" si="9"/>
        <v xml:space="preserve"> </v>
      </c>
      <c r="R41" s="17">
        <f t="shared" si="19"/>
        <v>1.4178810555336747E-2</v>
      </c>
    </row>
    <row r="42" spans="1:18" ht="12.75">
      <c r="A42" s="12">
        <f t="shared" si="0"/>
        <v>41</v>
      </c>
      <c r="B42" s="13" t="s">
        <v>103</v>
      </c>
      <c r="C42" s="14" t="str">
        <f t="array" aca="1" ref="C42" ca="1">INDEX('Rooms Master'!U:U,MATCH(B42,'Rooms Master'!D:D,0))</f>
        <v>N</v>
      </c>
      <c r="D42" s="15">
        <v>36</v>
      </c>
      <c r="E42" s="15">
        <v>34</v>
      </c>
      <c r="F42" s="15">
        <v>10</v>
      </c>
      <c r="G42" s="15">
        <v>5</v>
      </c>
      <c r="H42" s="15">
        <v>1</v>
      </c>
      <c r="I42" s="15"/>
      <c r="J42" s="15">
        <v>1</v>
      </c>
      <c r="K42" s="15">
        <v>1</v>
      </c>
      <c r="L42" s="1" t="s">
        <v>20</v>
      </c>
      <c r="M42" s="17">
        <f t="shared" si="20"/>
        <v>0.29411764705882354</v>
      </c>
      <c r="N42" s="18">
        <f t="shared" si="21"/>
        <v>2.9411764705882353E-2</v>
      </c>
      <c r="O42" s="17">
        <f t="shared" si="7"/>
        <v>1</v>
      </c>
      <c r="P42" s="17" t="str">
        <f t="shared" si="22"/>
        <v xml:space="preserve"> </v>
      </c>
      <c r="Q42" s="17">
        <f t="shared" si="9"/>
        <v>1</v>
      </c>
      <c r="R42" s="17">
        <f t="shared" si="19"/>
        <v>1.3391098857818039E-2</v>
      </c>
    </row>
    <row r="43" spans="1:18" ht="12.75">
      <c r="A43" s="12">
        <f t="shared" si="0"/>
        <v>42</v>
      </c>
      <c r="B43" s="13" t="s">
        <v>117</v>
      </c>
      <c r="C43" s="14" t="str">
        <f t="array" aca="1" ref="C43" ca="1">INDEX('Rooms Master'!U:U,MATCH(B43,'Rooms Master'!D:D,0))</f>
        <v>N</v>
      </c>
      <c r="D43" s="15">
        <v>37</v>
      </c>
      <c r="E43" s="15">
        <v>9</v>
      </c>
      <c r="F43" s="15">
        <v>18</v>
      </c>
      <c r="G43" s="15">
        <v>6</v>
      </c>
      <c r="H43" s="15">
        <v>0</v>
      </c>
      <c r="I43" s="15"/>
      <c r="J43" s="15">
        <v>3</v>
      </c>
      <c r="K43" s="15">
        <v>3</v>
      </c>
      <c r="L43" s="1" t="s">
        <v>20</v>
      </c>
      <c r="M43" s="17">
        <f t="shared" si="20"/>
        <v>2</v>
      </c>
      <c r="N43" s="18">
        <f t="shared" si="21"/>
        <v>0</v>
      </c>
      <c r="O43" s="17" t="str">
        <f t="shared" si="7"/>
        <v xml:space="preserve"> </v>
      </c>
      <c r="P43" s="17" t="str">
        <f t="shared" si="22"/>
        <v xml:space="preserve"> </v>
      </c>
      <c r="Q43" s="17">
        <f t="shared" si="9"/>
        <v>1</v>
      </c>
      <c r="R43" s="17">
        <f t="shared" si="19"/>
        <v>3.5447026388341868E-3</v>
      </c>
    </row>
    <row r="44" spans="1:18" ht="12.75">
      <c r="A44" s="12">
        <f t="shared" si="0"/>
        <v>43</v>
      </c>
      <c r="B44" s="13" t="s">
        <v>25</v>
      </c>
      <c r="C44" s="14" t="str">
        <f t="array" aca="1" ref="C44" ca="1">INDEX('Rooms Master'!U:U,MATCH(B44,'Rooms Master'!D:D,0))</f>
        <v>Y</v>
      </c>
      <c r="D44" s="15">
        <v>38</v>
      </c>
      <c r="E44" s="15">
        <v>47</v>
      </c>
      <c r="F44" s="15">
        <v>9</v>
      </c>
      <c r="G44" s="15">
        <v>5</v>
      </c>
      <c r="H44" s="15">
        <v>4</v>
      </c>
      <c r="I44" s="15"/>
      <c r="J44" s="15">
        <v>0</v>
      </c>
      <c r="K44" s="15">
        <v>0</v>
      </c>
      <c r="L44" s="1" t="s">
        <v>34</v>
      </c>
      <c r="M44" s="17">
        <f t="shared" si="20"/>
        <v>0.19148936170212766</v>
      </c>
      <c r="N44" s="18">
        <f t="shared" si="21"/>
        <v>8.5106382978723402E-2</v>
      </c>
      <c r="O44" s="17">
        <f t="shared" si="7"/>
        <v>0</v>
      </c>
      <c r="P44" s="17" t="str">
        <f t="shared" si="22"/>
        <v xml:space="preserve"> </v>
      </c>
      <c r="Q44" s="17" t="str">
        <f t="shared" si="9"/>
        <v xml:space="preserve"> </v>
      </c>
      <c r="R44" s="17">
        <f t="shared" si="19"/>
        <v>1.8511224891689642E-2</v>
      </c>
    </row>
    <row r="45" spans="1:18" ht="12.75">
      <c r="A45" s="12">
        <f t="shared" si="0"/>
        <v>44</v>
      </c>
      <c r="B45" s="13" t="s">
        <v>90</v>
      </c>
      <c r="C45" s="14" t="str">
        <f t="array" aca="1" ref="C45" ca="1">INDEX('Rooms Master'!U:U,MATCH(B45,'Rooms Master'!D:D,0))</f>
        <v>N</v>
      </c>
      <c r="D45" s="15">
        <v>38</v>
      </c>
      <c r="E45" s="15">
        <v>10</v>
      </c>
      <c r="F45" s="15">
        <v>9</v>
      </c>
      <c r="G45" s="15">
        <v>5</v>
      </c>
      <c r="H45" s="15">
        <v>2</v>
      </c>
      <c r="I45" s="15"/>
      <c r="J45" s="15">
        <v>0</v>
      </c>
      <c r="K45" s="15">
        <v>0</v>
      </c>
      <c r="L45" s="1" t="s">
        <v>20</v>
      </c>
      <c r="M45" s="17">
        <f t="shared" si="20"/>
        <v>0.9</v>
      </c>
      <c r="N45" s="18">
        <f t="shared" si="21"/>
        <v>0.2</v>
      </c>
      <c r="O45" s="17">
        <f t="shared" si="7"/>
        <v>0</v>
      </c>
      <c r="P45" s="17" t="str">
        <f t="shared" si="22"/>
        <v xml:space="preserve"> </v>
      </c>
      <c r="Q45" s="17" t="str">
        <f t="shared" si="9"/>
        <v xml:space="preserve"> </v>
      </c>
      <c r="R45" s="17">
        <f t="shared" si="19"/>
        <v>3.9385584875935411E-3</v>
      </c>
    </row>
    <row r="46" spans="1:18" ht="12.75">
      <c r="A46" s="12">
        <f t="shared" si="0"/>
        <v>45</v>
      </c>
      <c r="B46" s="13" t="s">
        <v>51</v>
      </c>
      <c r="C46" s="14" t="str">
        <f t="array" aca="1" ref="C46" ca="1">INDEX('Rooms Master'!U:U,MATCH(B46,'Rooms Master'!D:D,0))</f>
        <v>Y</v>
      </c>
      <c r="D46" s="15">
        <v>39</v>
      </c>
      <c r="E46" s="15">
        <v>15</v>
      </c>
      <c r="F46" s="15">
        <v>2</v>
      </c>
      <c r="G46" s="15">
        <v>7</v>
      </c>
      <c r="H46" s="15">
        <v>0</v>
      </c>
      <c r="I46" s="15"/>
      <c r="J46" s="15">
        <v>0</v>
      </c>
      <c r="K46" s="15">
        <v>0</v>
      </c>
      <c r="L46" s="1" t="s">
        <v>20</v>
      </c>
      <c r="M46" s="17">
        <f t="shared" si="20"/>
        <v>0.13333333333333333</v>
      </c>
      <c r="N46" s="18">
        <f t="shared" si="21"/>
        <v>0</v>
      </c>
      <c r="O46" s="17" t="str">
        <f t="shared" si="7"/>
        <v xml:space="preserve"> </v>
      </c>
      <c r="P46" s="17" t="str">
        <f t="shared" si="22"/>
        <v xml:space="preserve"> </v>
      </c>
      <c r="Q46" s="17" t="str">
        <f t="shared" si="9"/>
        <v xml:space="preserve"> </v>
      </c>
      <c r="R46" s="17">
        <f t="shared" si="19"/>
        <v>5.9078377313903111E-3</v>
      </c>
    </row>
    <row r="47" spans="1:18" ht="12.75">
      <c r="A47" s="12">
        <f t="shared" si="0"/>
        <v>46</v>
      </c>
      <c r="B47" s="13" t="s">
        <v>67</v>
      </c>
      <c r="C47" s="14" t="str">
        <f t="array" aca="1" ref="C47" ca="1">INDEX('Rooms Master'!U:U,MATCH(B47,'Rooms Master'!D:D,0))</f>
        <v>Y</v>
      </c>
      <c r="D47" s="15">
        <v>40</v>
      </c>
      <c r="E47" s="15">
        <v>16</v>
      </c>
      <c r="F47" s="15">
        <v>8</v>
      </c>
      <c r="G47" s="15">
        <v>5</v>
      </c>
      <c r="H47" s="15">
        <v>0</v>
      </c>
      <c r="I47" s="15"/>
      <c r="J47" s="15">
        <v>0</v>
      </c>
      <c r="K47" s="15">
        <v>0</v>
      </c>
      <c r="L47" s="1" t="s">
        <v>34</v>
      </c>
      <c r="M47" s="17">
        <f t="shared" si="20"/>
        <v>0.5</v>
      </c>
      <c r="N47" s="18">
        <f t="shared" si="21"/>
        <v>0</v>
      </c>
      <c r="O47" s="17" t="str">
        <f t="shared" si="7"/>
        <v xml:space="preserve"> </v>
      </c>
      <c r="P47" s="17" t="str">
        <f t="shared" si="22"/>
        <v xml:space="preserve"> </v>
      </c>
      <c r="Q47" s="17" t="str">
        <f t="shared" si="9"/>
        <v xml:space="preserve"> </v>
      </c>
      <c r="R47" s="17">
        <f t="shared" si="19"/>
        <v>6.301693580149665E-3</v>
      </c>
    </row>
    <row r="48" spans="1:18" ht="12.75">
      <c r="A48" s="12">
        <f t="shared" si="0"/>
        <v>47</v>
      </c>
      <c r="B48" s="13" t="s">
        <v>47</v>
      </c>
      <c r="C48" s="14" t="str">
        <f t="array" aca="1" ref="C48" ca="1">INDEX('Rooms Master'!U:U,MATCH(B48,'Rooms Master'!D:D,0))</f>
        <v>Y</v>
      </c>
      <c r="D48" s="15">
        <v>41</v>
      </c>
      <c r="E48" s="15">
        <v>41</v>
      </c>
      <c r="F48" s="15">
        <v>7</v>
      </c>
      <c r="G48" s="15">
        <v>8</v>
      </c>
      <c r="H48" s="15">
        <v>12</v>
      </c>
      <c r="I48" s="15">
        <v>1</v>
      </c>
      <c r="J48" s="15">
        <v>0</v>
      </c>
      <c r="K48" s="15">
        <v>0</v>
      </c>
      <c r="L48" s="1" t="s">
        <v>20</v>
      </c>
      <c r="M48" s="17">
        <f t="shared" si="20"/>
        <v>0.17073170731707318</v>
      </c>
      <c r="N48" s="18">
        <f t="shared" si="21"/>
        <v>0.29268292682926828</v>
      </c>
      <c r="O48" s="17">
        <f t="shared" si="7"/>
        <v>0</v>
      </c>
      <c r="P48" s="17">
        <f t="shared" si="22"/>
        <v>0</v>
      </c>
      <c r="Q48" s="17" t="str">
        <f t="shared" si="9"/>
        <v xml:space="preserve"> </v>
      </c>
      <c r="R48" s="17">
        <f t="shared" si="19"/>
        <v>1.6148089799133517E-2</v>
      </c>
    </row>
    <row r="49" spans="1:18" ht="12.75">
      <c r="A49" s="12">
        <f t="shared" si="0"/>
        <v>48</v>
      </c>
      <c r="B49" s="13" t="s">
        <v>95</v>
      </c>
      <c r="C49" s="14" t="str">
        <f t="array" aca="1" ref="C49" ca="1">INDEX('Rooms Master'!U:U,MATCH(B49,'Rooms Master'!D:D,0))</f>
        <v>N</v>
      </c>
      <c r="D49" s="15">
        <v>42</v>
      </c>
      <c r="E49" s="15">
        <v>3</v>
      </c>
      <c r="F49" s="15">
        <v>19</v>
      </c>
      <c r="G49" s="15">
        <v>6</v>
      </c>
      <c r="H49" s="15">
        <v>3</v>
      </c>
      <c r="I49" s="15"/>
      <c r="J49" s="15">
        <v>0</v>
      </c>
      <c r="K49" s="15">
        <v>0</v>
      </c>
      <c r="L49" s="1" t="s">
        <v>20</v>
      </c>
      <c r="M49" s="17">
        <f t="shared" si="20"/>
        <v>6.333333333333333</v>
      </c>
      <c r="N49" s="18">
        <f t="shared" si="21"/>
        <v>1</v>
      </c>
      <c r="O49" s="17">
        <f t="shared" si="7"/>
        <v>0</v>
      </c>
      <c r="P49" s="17" t="str">
        <f t="shared" si="22"/>
        <v xml:space="preserve"> </v>
      </c>
      <c r="Q49" s="17" t="str">
        <f t="shared" si="9"/>
        <v xml:space="preserve"> </v>
      </c>
      <c r="R49" s="17">
        <f t="shared" si="19"/>
        <v>1.1815675462780622E-3</v>
      </c>
    </row>
    <row r="50" spans="1:18" ht="12.75">
      <c r="A50" s="12">
        <f t="shared" si="0"/>
        <v>49</v>
      </c>
      <c r="B50" s="13" t="s">
        <v>65</v>
      </c>
      <c r="C50" s="14" t="str">
        <f t="array" aca="1" ref="C50" ca="1">INDEX('Rooms Master'!U:U,MATCH(B50,'Rooms Master'!D:D,0))</f>
        <v>Y</v>
      </c>
      <c r="D50" s="15">
        <v>43</v>
      </c>
      <c r="E50" s="15">
        <v>11</v>
      </c>
      <c r="F50" s="15">
        <v>0</v>
      </c>
      <c r="G50" s="15">
        <v>4</v>
      </c>
      <c r="H50" s="15">
        <v>0</v>
      </c>
      <c r="I50" s="15"/>
      <c r="J50" s="15">
        <v>0</v>
      </c>
      <c r="K50" s="15">
        <v>0</v>
      </c>
      <c r="L50" s="1" t="s">
        <v>20</v>
      </c>
      <c r="M50" s="17">
        <f t="shared" si="20"/>
        <v>0</v>
      </c>
      <c r="N50" s="18">
        <f t="shared" si="21"/>
        <v>0</v>
      </c>
      <c r="O50" s="17" t="str">
        <f t="shared" si="7"/>
        <v xml:space="preserve"> </v>
      </c>
      <c r="P50" s="17" t="str">
        <f t="shared" si="22"/>
        <v xml:space="preserve"> </v>
      </c>
      <c r="Q50" s="17" t="str">
        <f t="shared" si="9"/>
        <v xml:space="preserve"> </v>
      </c>
      <c r="R50" s="17">
        <f t="shared" si="19"/>
        <v>4.3324143363528949E-3</v>
      </c>
    </row>
    <row r="51" spans="1:18" ht="12.75">
      <c r="A51" s="12">
        <f t="shared" si="0"/>
        <v>50</v>
      </c>
      <c r="B51" s="13" t="s">
        <v>74</v>
      </c>
      <c r="C51" s="14" t="str">
        <f t="array" aca="1" ref="C51" ca="1">INDEX('Rooms Master'!U:U,MATCH(B51,'Rooms Master'!D:D,0))</f>
        <v>Y</v>
      </c>
      <c r="D51" s="15">
        <v>44</v>
      </c>
      <c r="E51" s="15">
        <v>26</v>
      </c>
      <c r="F51" s="15">
        <v>7</v>
      </c>
      <c r="G51" s="15">
        <v>6</v>
      </c>
      <c r="H51" s="15">
        <v>0</v>
      </c>
      <c r="I51" s="15"/>
      <c r="J51" s="15">
        <v>0</v>
      </c>
      <c r="K51" s="15">
        <v>0</v>
      </c>
      <c r="L51" s="1" t="s">
        <v>20</v>
      </c>
      <c r="M51" s="17">
        <f t="shared" si="20"/>
        <v>0.26923076923076922</v>
      </c>
      <c r="N51" s="18">
        <f t="shared" si="21"/>
        <v>0</v>
      </c>
      <c r="O51" s="17" t="str">
        <f t="shared" si="7"/>
        <v xml:space="preserve"> </v>
      </c>
      <c r="P51" s="17" t="str">
        <f t="shared" si="22"/>
        <v xml:space="preserve"> </v>
      </c>
      <c r="Q51" s="17" t="str">
        <f t="shared" si="9"/>
        <v xml:space="preserve"> </v>
      </c>
      <c r="R51" s="17">
        <f t="shared" si="19"/>
        <v>1.0240252067743205E-2</v>
      </c>
    </row>
    <row r="52" spans="1:18" ht="12.75">
      <c r="A52" s="12">
        <f t="shared" si="0"/>
        <v>51</v>
      </c>
      <c r="B52" s="13" t="s">
        <v>69</v>
      </c>
      <c r="C52" s="14" t="str">
        <f t="array" aca="1" ref="C52" ca="1">INDEX('Rooms Master'!U:U,MATCH(B52,'Rooms Master'!D:D,0))</f>
        <v>Y</v>
      </c>
      <c r="D52" s="15">
        <v>45</v>
      </c>
      <c r="E52" s="22">
        <v>29</v>
      </c>
      <c r="F52" s="15">
        <v>11</v>
      </c>
      <c r="G52" s="15">
        <v>4</v>
      </c>
      <c r="H52" s="15">
        <v>2</v>
      </c>
      <c r="I52" s="15"/>
      <c r="J52" s="15">
        <v>0</v>
      </c>
      <c r="K52" s="15">
        <v>0</v>
      </c>
      <c r="L52" s="1" t="s">
        <v>20</v>
      </c>
      <c r="M52" s="17">
        <f>IFERROR(F52/E53, " ")</f>
        <v>0.21568627450980393</v>
      </c>
      <c r="N52" s="18">
        <f>IFERROR(H52/E53," ")</f>
        <v>3.9215686274509803E-2</v>
      </c>
      <c r="O52" s="17">
        <f t="shared" si="7"/>
        <v>0</v>
      </c>
      <c r="P52" s="17" t="str">
        <f t="shared" si="22"/>
        <v xml:space="preserve"> </v>
      </c>
      <c r="Q52" s="17" t="str">
        <f t="shared" si="9"/>
        <v xml:space="preserve"> </v>
      </c>
      <c r="R52" s="17">
        <f>IFERROR(E53/$E$117," ")</f>
        <v>2.0086648286727057E-2</v>
      </c>
    </row>
    <row r="53" spans="1:18" ht="12.75">
      <c r="A53" s="12">
        <f t="shared" si="0"/>
        <v>52</v>
      </c>
      <c r="B53" s="13" t="s">
        <v>58</v>
      </c>
      <c r="C53" s="14" t="str">
        <f t="array" aca="1" ref="C53" ca="1">INDEX('Rooms Master'!U:U,MATCH(B53,'Rooms Master'!D:D,0))</f>
        <v>Y</v>
      </c>
      <c r="D53" s="15">
        <v>46</v>
      </c>
      <c r="E53" s="15">
        <v>51</v>
      </c>
      <c r="F53" s="15">
        <v>5</v>
      </c>
      <c r="G53" s="15">
        <v>5</v>
      </c>
      <c r="H53" s="15">
        <v>2</v>
      </c>
      <c r="I53" s="15"/>
      <c r="J53" s="15">
        <v>0</v>
      </c>
      <c r="K53" s="15">
        <v>0</v>
      </c>
      <c r="L53" s="1" t="s">
        <v>20</v>
      </c>
      <c r="M53" s="17">
        <f t="shared" ref="M53:M61" si="23">IFERROR(F53/E53, " ")</f>
        <v>9.8039215686274508E-2</v>
      </c>
      <c r="N53" s="18">
        <f t="shared" ref="N53:N61" si="24">IFERROR(H53/E53," ")</f>
        <v>3.9215686274509803E-2</v>
      </c>
      <c r="O53" s="17">
        <f t="shared" si="7"/>
        <v>0</v>
      </c>
      <c r="P53" s="17" t="str">
        <f t="shared" si="22"/>
        <v xml:space="preserve"> </v>
      </c>
      <c r="Q53" s="17" t="str">
        <f t="shared" si="9"/>
        <v xml:space="preserve"> </v>
      </c>
      <c r="R53" s="17">
        <f t="shared" ref="R53:R78" si="25">IFERROR(E53/$E$117," ")</f>
        <v>2.0086648286727057E-2</v>
      </c>
    </row>
    <row r="54" spans="1:18" ht="12.75">
      <c r="A54" s="12">
        <f t="shared" si="0"/>
        <v>53</v>
      </c>
      <c r="B54" s="13" t="s">
        <v>22</v>
      </c>
      <c r="C54" s="14" t="str">
        <f t="array" aca="1" ref="C54" ca="1">INDEX('Rooms Master'!U:U,MATCH(B54,'Rooms Master'!D:D,0))</f>
        <v>Y</v>
      </c>
      <c r="D54" s="15">
        <v>47</v>
      </c>
      <c r="E54" s="15">
        <v>39</v>
      </c>
      <c r="F54" s="15">
        <v>10</v>
      </c>
      <c r="G54" s="15">
        <v>9</v>
      </c>
      <c r="H54" s="15">
        <v>12</v>
      </c>
      <c r="I54" s="15"/>
      <c r="J54" s="15">
        <v>0</v>
      </c>
      <c r="K54" s="15">
        <v>0</v>
      </c>
      <c r="L54" s="1" t="s">
        <v>20</v>
      </c>
      <c r="M54" s="17">
        <f t="shared" si="23"/>
        <v>0.25641025641025639</v>
      </c>
      <c r="N54" s="18">
        <f t="shared" si="24"/>
        <v>0.30769230769230771</v>
      </c>
      <c r="O54" s="17">
        <f t="shared" si="7"/>
        <v>0</v>
      </c>
      <c r="P54" s="17" t="str">
        <f t="shared" si="22"/>
        <v xml:space="preserve"> </v>
      </c>
      <c r="Q54" s="17" t="str">
        <f t="shared" si="9"/>
        <v xml:space="preserve"> </v>
      </c>
      <c r="R54" s="17">
        <f t="shared" si="25"/>
        <v>1.536037810161481E-2</v>
      </c>
    </row>
    <row r="55" spans="1:18" ht="12.75">
      <c r="A55" s="12">
        <f t="shared" si="0"/>
        <v>54</v>
      </c>
      <c r="B55" s="13" t="s">
        <v>19</v>
      </c>
      <c r="C55" s="14" t="str">
        <f t="array" aca="1" ref="C55" ca="1">INDEX('Rooms Master'!U:U,MATCH(B55,'Rooms Master'!D:D,0))</f>
        <v>N</v>
      </c>
      <c r="D55" s="15">
        <v>48</v>
      </c>
      <c r="E55" s="15">
        <v>40</v>
      </c>
      <c r="F55" s="15">
        <v>20</v>
      </c>
      <c r="G55" s="15">
        <v>7</v>
      </c>
      <c r="H55" s="15">
        <v>2</v>
      </c>
      <c r="I55" s="15"/>
      <c r="J55" s="15">
        <v>0</v>
      </c>
      <c r="K55" s="15">
        <v>0</v>
      </c>
      <c r="L55" s="1" t="s">
        <v>20</v>
      </c>
      <c r="M55" s="17">
        <f t="shared" si="23"/>
        <v>0.5</v>
      </c>
      <c r="N55" s="18">
        <f t="shared" si="24"/>
        <v>0.05</v>
      </c>
      <c r="O55" s="17">
        <f t="shared" si="7"/>
        <v>0</v>
      </c>
      <c r="P55" s="17" t="str">
        <f t="shared" si="22"/>
        <v xml:space="preserve"> </v>
      </c>
      <c r="Q55" s="17" t="str">
        <f t="shared" si="9"/>
        <v xml:space="preserve"> </v>
      </c>
      <c r="R55" s="17">
        <f t="shared" si="25"/>
        <v>1.5754233950374164E-2</v>
      </c>
    </row>
    <row r="56" spans="1:18" ht="12.75">
      <c r="A56" s="12">
        <f t="shared" si="0"/>
        <v>55</v>
      </c>
      <c r="B56" s="13" t="s">
        <v>84</v>
      </c>
      <c r="C56" s="14" t="str">
        <f t="array" aca="1" ref="C56" ca="1">INDEX('Rooms Master'!U:U,MATCH(B56,'Rooms Master'!D:D,0))</f>
        <v>Y</v>
      </c>
      <c r="D56" s="15">
        <v>48</v>
      </c>
      <c r="E56" s="15">
        <v>1</v>
      </c>
      <c r="F56" s="15">
        <v>1</v>
      </c>
      <c r="G56" s="15">
        <v>5</v>
      </c>
      <c r="H56" s="15">
        <v>0</v>
      </c>
      <c r="I56" s="15"/>
      <c r="J56" s="15">
        <v>0</v>
      </c>
      <c r="K56" s="15">
        <v>0</v>
      </c>
      <c r="L56" s="1" t="s">
        <v>20</v>
      </c>
      <c r="M56" s="17">
        <f t="shared" si="23"/>
        <v>1</v>
      </c>
      <c r="N56" s="18">
        <f t="shared" si="24"/>
        <v>0</v>
      </c>
      <c r="O56" s="17" t="str">
        <f t="shared" si="7"/>
        <v xml:space="preserve"> </v>
      </c>
      <c r="P56" s="17" t="str">
        <f t="shared" si="22"/>
        <v xml:space="preserve"> </v>
      </c>
      <c r="Q56" s="17" t="str">
        <f t="shared" si="9"/>
        <v xml:space="preserve"> </v>
      </c>
      <c r="R56" s="17">
        <f t="shared" si="25"/>
        <v>3.9385584875935406E-4</v>
      </c>
    </row>
    <row r="57" spans="1:18" ht="12.75">
      <c r="A57" s="12">
        <f t="shared" si="0"/>
        <v>56</v>
      </c>
      <c r="B57" s="13" t="s">
        <v>96</v>
      </c>
      <c r="C57" s="14" t="str">
        <f t="array" aca="1" ref="C57" ca="1">INDEX('Rooms Master'!U:U,MATCH(B57,'Rooms Master'!D:D,0))</f>
        <v>N</v>
      </c>
      <c r="D57" s="15">
        <v>49</v>
      </c>
      <c r="E57" s="15">
        <v>28</v>
      </c>
      <c r="F57" s="15">
        <v>13</v>
      </c>
      <c r="G57" s="15">
        <v>6</v>
      </c>
      <c r="H57" s="15">
        <v>3</v>
      </c>
      <c r="I57" s="15"/>
      <c r="J57" s="15">
        <v>0</v>
      </c>
      <c r="K57" s="15">
        <v>0</v>
      </c>
      <c r="L57" s="1" t="s">
        <v>20</v>
      </c>
      <c r="M57" s="17">
        <f t="shared" si="23"/>
        <v>0.4642857142857143</v>
      </c>
      <c r="N57" s="18">
        <f t="shared" si="24"/>
        <v>0.10714285714285714</v>
      </c>
      <c r="O57" s="17">
        <f t="shared" si="7"/>
        <v>0</v>
      </c>
      <c r="P57" s="17" t="str">
        <f t="shared" si="22"/>
        <v xml:space="preserve"> </v>
      </c>
      <c r="Q57" s="17" t="str">
        <f t="shared" si="9"/>
        <v xml:space="preserve"> </v>
      </c>
      <c r="R57" s="17">
        <f t="shared" si="25"/>
        <v>1.1027963765261915E-2</v>
      </c>
    </row>
    <row r="58" spans="1:18" ht="12.75">
      <c r="A58" s="12">
        <f t="shared" si="0"/>
        <v>57</v>
      </c>
      <c r="B58" s="13" t="s">
        <v>97</v>
      </c>
      <c r="C58" s="14" t="str">
        <f t="array" aca="1" ref="C58" ca="1">INDEX('Rooms Master'!U:U,MATCH(B58,'Rooms Master'!D:D,0))</f>
        <v>N</v>
      </c>
      <c r="D58" s="15">
        <v>50</v>
      </c>
      <c r="E58" s="15">
        <v>18</v>
      </c>
      <c r="F58" s="15">
        <v>6</v>
      </c>
      <c r="G58" s="15">
        <v>4</v>
      </c>
      <c r="H58" s="15">
        <v>0</v>
      </c>
      <c r="I58" s="15">
        <v>1</v>
      </c>
      <c r="J58" s="15">
        <v>0</v>
      </c>
      <c r="K58" s="15">
        <v>0</v>
      </c>
      <c r="L58" s="1" t="s">
        <v>20</v>
      </c>
      <c r="M58" s="17">
        <f t="shared" si="23"/>
        <v>0.33333333333333331</v>
      </c>
      <c r="N58" s="18">
        <f t="shared" si="24"/>
        <v>0</v>
      </c>
      <c r="O58" s="17" t="str">
        <f t="shared" si="7"/>
        <v xml:space="preserve"> </v>
      </c>
      <c r="P58" s="17">
        <f t="shared" si="22"/>
        <v>0</v>
      </c>
      <c r="Q58" s="17" t="str">
        <f t="shared" si="9"/>
        <v xml:space="preserve"> </v>
      </c>
      <c r="R58" s="17">
        <f t="shared" si="25"/>
        <v>7.0894052776683735E-3</v>
      </c>
    </row>
    <row r="59" spans="1:18" ht="12.75">
      <c r="A59" s="12">
        <f t="shared" si="0"/>
        <v>58</v>
      </c>
      <c r="B59" s="13" t="s">
        <v>31</v>
      </c>
      <c r="C59" s="14" t="str">
        <f t="array" aca="1" ref="C59" ca="1">INDEX('Rooms Master'!U:U,MATCH(B59,'Rooms Master'!D:D,0))</f>
        <v>Y</v>
      </c>
      <c r="D59" s="15">
        <v>51</v>
      </c>
      <c r="E59" s="15">
        <v>38</v>
      </c>
      <c r="F59" s="15">
        <v>9</v>
      </c>
      <c r="G59" s="15">
        <v>7</v>
      </c>
      <c r="H59" s="15">
        <v>2</v>
      </c>
      <c r="I59" s="15"/>
      <c r="J59" s="15">
        <v>1</v>
      </c>
      <c r="K59" s="15">
        <v>1</v>
      </c>
      <c r="L59" s="1" t="s">
        <v>20</v>
      </c>
      <c r="M59" s="17">
        <f t="shared" si="23"/>
        <v>0.23684210526315788</v>
      </c>
      <c r="N59" s="18">
        <f t="shared" si="24"/>
        <v>5.2631578947368418E-2</v>
      </c>
      <c r="O59" s="17">
        <f t="shared" si="7"/>
        <v>0.5</v>
      </c>
      <c r="P59" s="17" t="str">
        <f t="shared" si="22"/>
        <v xml:space="preserve"> </v>
      </c>
      <c r="Q59" s="17">
        <f t="shared" si="9"/>
        <v>1</v>
      </c>
      <c r="R59" s="17">
        <f t="shared" si="25"/>
        <v>1.4966522252855455E-2</v>
      </c>
    </row>
    <row r="60" spans="1:18" ht="12.75">
      <c r="A60" s="12">
        <f t="shared" si="0"/>
        <v>59</v>
      </c>
      <c r="B60" s="13" t="s">
        <v>70</v>
      </c>
      <c r="C60" s="14" t="str">
        <f t="array" aca="1" ref="C60" ca="1">INDEX('Rooms Master'!U:U,MATCH(B60,'Rooms Master'!D:D,0))</f>
        <v>N</v>
      </c>
      <c r="D60" s="15">
        <v>52</v>
      </c>
      <c r="E60" s="15">
        <v>17</v>
      </c>
      <c r="F60" s="15">
        <v>7</v>
      </c>
      <c r="G60" s="15">
        <v>5</v>
      </c>
      <c r="H60" s="15">
        <v>0</v>
      </c>
      <c r="I60" s="15"/>
      <c r="J60" s="15">
        <v>0</v>
      </c>
      <c r="K60" s="15">
        <v>0</v>
      </c>
      <c r="L60" s="1" t="s">
        <v>20</v>
      </c>
      <c r="M60" s="17">
        <f t="shared" si="23"/>
        <v>0.41176470588235292</v>
      </c>
      <c r="N60" s="18">
        <f t="shared" si="24"/>
        <v>0</v>
      </c>
      <c r="O60" s="17" t="str">
        <f t="shared" si="7"/>
        <v xml:space="preserve"> </v>
      </c>
      <c r="P60" s="17" t="str">
        <f t="shared" si="22"/>
        <v xml:space="preserve"> </v>
      </c>
      <c r="Q60" s="17" t="str">
        <f t="shared" si="9"/>
        <v xml:space="preserve"> </v>
      </c>
      <c r="R60" s="17">
        <f t="shared" si="25"/>
        <v>6.6955494289090197E-3</v>
      </c>
    </row>
    <row r="61" spans="1:18" ht="12.75">
      <c r="A61" s="12">
        <f t="shared" si="0"/>
        <v>60</v>
      </c>
      <c r="B61" s="13" t="s">
        <v>46</v>
      </c>
      <c r="C61" s="14" t="str">
        <f t="array" aca="1" ref="C61" ca="1">INDEX('Rooms Master'!U:U,MATCH(B61,'Rooms Master'!D:D,0))</f>
        <v>Y</v>
      </c>
      <c r="D61" s="15">
        <v>53</v>
      </c>
      <c r="E61" s="15">
        <v>10</v>
      </c>
      <c r="F61" s="15">
        <v>3</v>
      </c>
      <c r="G61" s="15">
        <v>4</v>
      </c>
      <c r="H61" s="15">
        <v>4</v>
      </c>
      <c r="I61" s="15"/>
      <c r="J61" s="15">
        <v>0</v>
      </c>
      <c r="K61" s="15">
        <v>0</v>
      </c>
      <c r="L61" s="1" t="s">
        <v>37</v>
      </c>
      <c r="M61" s="17">
        <f t="shared" si="23"/>
        <v>0.3</v>
      </c>
      <c r="N61" s="18">
        <f t="shared" si="24"/>
        <v>0.4</v>
      </c>
      <c r="O61" s="17">
        <f t="shared" si="7"/>
        <v>0</v>
      </c>
      <c r="P61" s="17" t="str">
        <f t="shared" si="22"/>
        <v xml:space="preserve"> </v>
      </c>
      <c r="Q61" s="17" t="str">
        <f t="shared" si="9"/>
        <v xml:space="preserve"> </v>
      </c>
      <c r="R61" s="17">
        <f t="shared" si="25"/>
        <v>3.9385584875935411E-3</v>
      </c>
    </row>
    <row r="62" spans="1:18" ht="12.75">
      <c r="A62" s="12">
        <f t="shared" si="0"/>
        <v>61</v>
      </c>
      <c r="B62" s="13" t="s">
        <v>104</v>
      </c>
      <c r="C62" s="14" t="str">
        <f t="array" aca="1" ref="C62" ca="1">INDEX('Rooms Master'!U:U,MATCH(B62,'Rooms Master'!D:D,0))</f>
        <v>N</v>
      </c>
      <c r="D62" s="15">
        <v>54</v>
      </c>
      <c r="E62" s="15">
        <v>18</v>
      </c>
      <c r="F62" s="15">
        <v>6</v>
      </c>
      <c r="G62" s="15">
        <v>7</v>
      </c>
      <c r="H62" s="15">
        <v>2</v>
      </c>
      <c r="I62" s="15"/>
      <c r="J62" s="15">
        <v>0</v>
      </c>
      <c r="K62" s="15">
        <v>0</v>
      </c>
      <c r="L62" s="1" t="s">
        <v>20</v>
      </c>
      <c r="M62" s="17" t="str">
        <f>IFERROR(F62/#REF!, " ")</f>
        <v xml:space="preserve"> </v>
      </c>
      <c r="N62" s="18" t="str">
        <f>IFERROR(H62/#REF!," ")</f>
        <v xml:space="preserve"> </v>
      </c>
      <c r="O62" s="17">
        <f t="shared" si="7"/>
        <v>0</v>
      </c>
      <c r="P62" s="17" t="str">
        <f t="shared" si="22"/>
        <v xml:space="preserve"> </v>
      </c>
      <c r="Q62" s="17" t="str">
        <f t="shared" si="9"/>
        <v xml:space="preserve"> </v>
      </c>
      <c r="R62" s="17">
        <f t="shared" si="25"/>
        <v>7.0894052776683735E-3</v>
      </c>
    </row>
    <row r="63" spans="1:18" ht="12.75">
      <c r="A63" s="12">
        <f t="shared" si="0"/>
        <v>62</v>
      </c>
      <c r="B63" s="13" t="s">
        <v>32</v>
      </c>
      <c r="C63" s="14" t="str">
        <f t="array" aca="1" ref="C63" ca="1">INDEX('Rooms Master'!U:U,MATCH(B63,'Rooms Master'!D:D,0))</f>
        <v>Y</v>
      </c>
      <c r="D63" s="15">
        <v>55</v>
      </c>
      <c r="E63" s="15">
        <v>21</v>
      </c>
      <c r="F63" s="15">
        <v>11</v>
      </c>
      <c r="G63" s="15">
        <v>4</v>
      </c>
      <c r="H63" s="15">
        <v>3</v>
      </c>
      <c r="I63" s="15"/>
      <c r="J63" s="15">
        <v>0</v>
      </c>
      <c r="K63" s="15">
        <v>0</v>
      </c>
      <c r="L63" s="1" t="s">
        <v>20</v>
      </c>
      <c r="M63" s="17">
        <f t="shared" ref="M63:M78" si="26">IFERROR(F63/E63, " ")</f>
        <v>0.52380952380952384</v>
      </c>
      <c r="N63" s="18">
        <f t="shared" ref="N63:N78" si="27">IFERROR(H63/E63," ")</f>
        <v>0.14285714285714285</v>
      </c>
      <c r="O63" s="17">
        <f t="shared" si="7"/>
        <v>0</v>
      </c>
      <c r="P63" s="17" t="str">
        <f t="shared" si="22"/>
        <v xml:space="preserve"> </v>
      </c>
      <c r="Q63" s="17" t="str">
        <f t="shared" si="9"/>
        <v xml:space="preserve"> </v>
      </c>
      <c r="R63" s="17">
        <f t="shared" si="25"/>
        <v>8.2709728239464351E-3</v>
      </c>
    </row>
    <row r="64" spans="1:18" ht="12.75">
      <c r="A64" s="12">
        <f t="shared" si="0"/>
        <v>63</v>
      </c>
      <c r="B64" s="13" t="s">
        <v>45</v>
      </c>
      <c r="C64" s="14" t="str">
        <f t="array" aca="1" ref="C64" ca="1">INDEX('Rooms Master'!U:U,MATCH(B64,'Rooms Master'!D:D,0))</f>
        <v>Y</v>
      </c>
      <c r="D64" s="15">
        <v>56</v>
      </c>
      <c r="E64" s="15">
        <v>28</v>
      </c>
      <c r="F64" s="15">
        <v>9</v>
      </c>
      <c r="G64" s="15">
        <v>5</v>
      </c>
      <c r="H64" s="15">
        <v>2</v>
      </c>
      <c r="I64" s="15">
        <v>1</v>
      </c>
      <c r="J64" s="15">
        <v>1</v>
      </c>
      <c r="K64" s="15">
        <v>0</v>
      </c>
      <c r="L64" s="1" t="s">
        <v>20</v>
      </c>
      <c r="M64" s="17">
        <f t="shared" si="26"/>
        <v>0.32142857142857145</v>
      </c>
      <c r="N64" s="18">
        <f t="shared" si="27"/>
        <v>7.1428571428571425E-2</v>
      </c>
      <c r="O64" s="17">
        <f t="shared" si="7"/>
        <v>0</v>
      </c>
      <c r="P64" s="17">
        <f t="shared" si="22"/>
        <v>0</v>
      </c>
      <c r="Q64" s="17">
        <f t="shared" si="9"/>
        <v>0</v>
      </c>
      <c r="R64" s="17">
        <f t="shared" si="25"/>
        <v>1.1027963765261915E-2</v>
      </c>
    </row>
    <row r="65" spans="1:18" ht="12.75">
      <c r="A65" s="12">
        <f t="shared" si="0"/>
        <v>64</v>
      </c>
      <c r="B65" s="13" t="s">
        <v>26</v>
      </c>
      <c r="C65" s="14" t="str">
        <f t="array" aca="1" ref="C65" ca="1">INDEX('Rooms Master'!U:U,MATCH(B65,'Rooms Master'!D:D,0))</f>
        <v>Y</v>
      </c>
      <c r="D65" s="15">
        <v>57</v>
      </c>
      <c r="E65" s="15">
        <v>23</v>
      </c>
      <c r="F65" s="15">
        <v>7</v>
      </c>
      <c r="G65" s="15">
        <v>3</v>
      </c>
      <c r="H65" s="15">
        <v>1</v>
      </c>
      <c r="I65" s="15"/>
      <c r="J65" s="15">
        <v>0</v>
      </c>
      <c r="K65" s="15">
        <v>0</v>
      </c>
      <c r="L65" s="1" t="s">
        <v>20</v>
      </c>
      <c r="M65" s="17">
        <f t="shared" si="26"/>
        <v>0.30434782608695654</v>
      </c>
      <c r="N65" s="18">
        <f t="shared" si="27"/>
        <v>4.3478260869565216E-2</v>
      </c>
      <c r="O65" s="17">
        <f t="shared" si="7"/>
        <v>0</v>
      </c>
      <c r="P65" s="17" t="str">
        <f t="shared" si="22"/>
        <v xml:space="preserve"> </v>
      </c>
      <c r="Q65" s="17" t="str">
        <f t="shared" si="9"/>
        <v xml:space="preserve"> </v>
      </c>
      <c r="R65" s="17">
        <f t="shared" si="25"/>
        <v>9.0586845214651445E-3</v>
      </c>
    </row>
    <row r="66" spans="1:18" ht="12.75">
      <c r="A66" s="12">
        <f t="shared" si="0"/>
        <v>65</v>
      </c>
      <c r="B66" s="13" t="s">
        <v>44</v>
      </c>
      <c r="C66" s="14" t="str">
        <f t="array" aca="1" ref="C66" ca="1">INDEX('Rooms Master'!U:U,MATCH(B66,'Rooms Master'!D:D,0))</f>
        <v>Y</v>
      </c>
      <c r="D66" s="15">
        <v>58</v>
      </c>
      <c r="E66" s="15">
        <v>16</v>
      </c>
      <c r="F66" s="15">
        <v>6</v>
      </c>
      <c r="G66" s="15">
        <v>5</v>
      </c>
      <c r="H66" s="15">
        <v>0</v>
      </c>
      <c r="I66" s="15"/>
      <c r="J66" s="15">
        <v>0</v>
      </c>
      <c r="K66" s="15">
        <v>0</v>
      </c>
      <c r="L66" s="21" t="s">
        <v>20</v>
      </c>
      <c r="M66" s="17">
        <f t="shared" si="26"/>
        <v>0.375</v>
      </c>
      <c r="N66" s="18">
        <f t="shared" si="27"/>
        <v>0</v>
      </c>
      <c r="O66" s="17" t="str">
        <f t="shared" si="7"/>
        <v xml:space="preserve"> </v>
      </c>
      <c r="P66" s="17" t="str">
        <f t="shared" si="22"/>
        <v xml:space="preserve"> </v>
      </c>
      <c r="Q66" s="17" t="str">
        <f t="shared" si="9"/>
        <v xml:space="preserve"> </v>
      </c>
      <c r="R66" s="17">
        <f t="shared" si="25"/>
        <v>6.301693580149665E-3</v>
      </c>
    </row>
    <row r="67" spans="1:18" ht="12.75">
      <c r="A67" s="12">
        <f t="shared" si="0"/>
        <v>66</v>
      </c>
      <c r="B67" s="13" t="s">
        <v>48</v>
      </c>
      <c r="C67" s="14" t="str">
        <f t="array" aca="1" ref="C67" ca="1">INDEX('Rooms Master'!U:U,MATCH(B67,'Rooms Master'!D:D,0))</f>
        <v>Y</v>
      </c>
      <c r="D67" s="15">
        <v>58</v>
      </c>
      <c r="E67" s="15">
        <v>1</v>
      </c>
      <c r="F67" s="15">
        <v>1</v>
      </c>
      <c r="G67" s="15">
        <v>5</v>
      </c>
      <c r="H67" s="15">
        <v>1</v>
      </c>
      <c r="I67" s="15"/>
      <c r="J67" s="15">
        <v>0</v>
      </c>
      <c r="K67" s="15">
        <v>0</v>
      </c>
      <c r="L67" s="1" t="s">
        <v>20</v>
      </c>
      <c r="M67" s="17">
        <f t="shared" si="26"/>
        <v>1</v>
      </c>
      <c r="N67" s="18">
        <f t="shared" si="27"/>
        <v>1</v>
      </c>
      <c r="O67" s="17">
        <f t="shared" si="7"/>
        <v>0</v>
      </c>
      <c r="P67" s="17" t="str">
        <f t="shared" si="22"/>
        <v xml:space="preserve"> </v>
      </c>
      <c r="Q67" s="17" t="str">
        <f t="shared" si="9"/>
        <v xml:space="preserve"> </v>
      </c>
      <c r="R67" s="17">
        <f t="shared" si="25"/>
        <v>3.9385584875935406E-4</v>
      </c>
    </row>
    <row r="68" spans="1:18" ht="12.75">
      <c r="A68" s="12">
        <f t="shared" si="0"/>
        <v>67</v>
      </c>
      <c r="B68" s="13" t="s">
        <v>94</v>
      </c>
      <c r="C68" s="14" t="str">
        <f t="array" aca="1" ref="C68" ca="1">INDEX('Rooms Master'!U:U,MATCH(B68,'Rooms Master'!D:D,0))</f>
        <v>Y</v>
      </c>
      <c r="D68" s="15">
        <v>59</v>
      </c>
      <c r="E68" s="15">
        <v>9</v>
      </c>
      <c r="F68" s="15">
        <v>5</v>
      </c>
      <c r="G68" s="15">
        <v>4</v>
      </c>
      <c r="H68" s="15">
        <v>0</v>
      </c>
      <c r="I68" s="15"/>
      <c r="J68" s="15">
        <v>0</v>
      </c>
      <c r="K68" s="15">
        <v>0</v>
      </c>
      <c r="L68" s="27" t="s">
        <v>24</v>
      </c>
      <c r="M68" s="17">
        <f t="shared" si="26"/>
        <v>0.55555555555555558</v>
      </c>
      <c r="N68" s="18">
        <f t="shared" si="27"/>
        <v>0</v>
      </c>
      <c r="O68" s="17" t="str">
        <f t="shared" si="7"/>
        <v xml:space="preserve"> </v>
      </c>
      <c r="P68" s="17" t="str">
        <f t="shared" si="22"/>
        <v xml:space="preserve"> </v>
      </c>
      <c r="Q68" s="17" t="str">
        <f t="shared" si="9"/>
        <v xml:space="preserve"> </v>
      </c>
      <c r="R68" s="17">
        <f t="shared" si="25"/>
        <v>3.5447026388341868E-3</v>
      </c>
    </row>
    <row r="69" spans="1:18" ht="12.75">
      <c r="A69" s="12">
        <f t="shared" si="0"/>
        <v>68</v>
      </c>
      <c r="B69" s="13" t="s">
        <v>62</v>
      </c>
      <c r="C69" s="14" t="str">
        <f t="array" aca="1" ref="C69" ca="1">INDEX('Rooms Master'!U:U,MATCH(B69,'Rooms Master'!D:D,0))</f>
        <v>N</v>
      </c>
      <c r="D69" s="15">
        <v>60</v>
      </c>
      <c r="E69" s="15">
        <v>16</v>
      </c>
      <c r="F69" s="15">
        <v>2</v>
      </c>
      <c r="G69" s="15">
        <v>6</v>
      </c>
      <c r="H69" s="15">
        <v>1</v>
      </c>
      <c r="I69" s="15"/>
      <c r="J69" s="15">
        <v>0</v>
      </c>
      <c r="K69" s="15">
        <v>0</v>
      </c>
      <c r="L69" s="1" t="s">
        <v>20</v>
      </c>
      <c r="M69" s="17">
        <f t="shared" si="26"/>
        <v>0.125</v>
      </c>
      <c r="N69" s="18">
        <f t="shared" si="27"/>
        <v>6.25E-2</v>
      </c>
      <c r="O69" s="17">
        <f t="shared" si="7"/>
        <v>0</v>
      </c>
      <c r="P69" s="18" t="str">
        <f t="shared" si="22"/>
        <v xml:space="preserve"> </v>
      </c>
      <c r="Q69" s="18" t="str">
        <f t="shared" si="9"/>
        <v xml:space="preserve"> </v>
      </c>
      <c r="R69" s="17">
        <f t="shared" si="25"/>
        <v>6.301693580149665E-3</v>
      </c>
    </row>
    <row r="70" spans="1:18" ht="12.75">
      <c r="A70" s="12">
        <f t="shared" si="0"/>
        <v>69</v>
      </c>
      <c r="B70" s="13" t="s">
        <v>123</v>
      </c>
      <c r="C70" s="14" t="str">
        <f t="array" aca="1" ref="C70" ca="1">INDEX('Rooms Master'!U:U,MATCH(B70,'Rooms Master'!D:D,0))</f>
        <v>N</v>
      </c>
      <c r="D70" s="15">
        <v>61</v>
      </c>
      <c r="E70" s="15">
        <v>15</v>
      </c>
      <c r="F70" s="15">
        <v>8</v>
      </c>
      <c r="G70" s="15">
        <v>5</v>
      </c>
      <c r="H70" s="15">
        <v>0</v>
      </c>
      <c r="I70" s="15"/>
      <c r="J70" s="15">
        <v>0</v>
      </c>
      <c r="K70" s="15">
        <v>1</v>
      </c>
      <c r="L70" s="1" t="s">
        <v>34</v>
      </c>
      <c r="M70" s="17">
        <f t="shared" si="26"/>
        <v>0.53333333333333333</v>
      </c>
      <c r="N70" s="18">
        <f t="shared" si="27"/>
        <v>0</v>
      </c>
      <c r="O70" s="17" t="str">
        <f t="shared" si="7"/>
        <v xml:space="preserve"> </v>
      </c>
      <c r="P70" s="17" t="str">
        <f t="shared" si="22"/>
        <v xml:space="preserve"> </v>
      </c>
      <c r="Q70" s="17" t="str">
        <f t="shared" si="9"/>
        <v xml:space="preserve"> </v>
      </c>
      <c r="R70" s="17">
        <f t="shared" si="25"/>
        <v>5.9078377313903111E-3</v>
      </c>
    </row>
    <row r="71" spans="1:18" ht="12.75">
      <c r="A71" s="12">
        <f t="shared" si="0"/>
        <v>70</v>
      </c>
      <c r="B71" s="13" t="s">
        <v>27</v>
      </c>
      <c r="C71" s="14" t="str">
        <f t="array" aca="1" ref="C71" ca="1">INDEX('Rooms Master'!U:U,MATCH(B71,'Rooms Master'!D:D,0))</f>
        <v>Y</v>
      </c>
      <c r="D71" s="15">
        <v>62</v>
      </c>
      <c r="E71" s="15">
        <v>31</v>
      </c>
      <c r="F71" s="15">
        <v>18</v>
      </c>
      <c r="G71" s="15">
        <v>4</v>
      </c>
      <c r="H71" s="15">
        <v>0</v>
      </c>
      <c r="I71" s="15"/>
      <c r="J71" s="15">
        <v>0</v>
      </c>
      <c r="K71" s="15">
        <v>0</v>
      </c>
      <c r="L71" s="1" t="s">
        <v>20</v>
      </c>
      <c r="M71" s="17">
        <f t="shared" si="26"/>
        <v>0.58064516129032262</v>
      </c>
      <c r="N71" s="18">
        <f t="shared" si="27"/>
        <v>0</v>
      </c>
      <c r="O71" s="17" t="str">
        <f t="shared" si="7"/>
        <v xml:space="preserve"> </v>
      </c>
      <c r="P71" s="17" t="str">
        <f t="shared" si="22"/>
        <v xml:space="preserve"> </v>
      </c>
      <c r="Q71" s="17" t="str">
        <f t="shared" si="9"/>
        <v xml:space="preserve"> </v>
      </c>
      <c r="R71" s="17">
        <f t="shared" si="25"/>
        <v>1.2209531311539977E-2</v>
      </c>
    </row>
    <row r="72" spans="1:18" ht="12.75">
      <c r="A72" s="12">
        <f t="shared" si="0"/>
        <v>71</v>
      </c>
      <c r="B72" s="13" t="s">
        <v>61</v>
      </c>
      <c r="C72" s="14" t="str">
        <f t="array" aca="1" ref="C72" ca="1">INDEX('Rooms Master'!U:U,MATCH(B72,'Rooms Master'!D:D,0))</f>
        <v>Y</v>
      </c>
      <c r="D72" s="15">
        <v>63</v>
      </c>
      <c r="E72" s="15">
        <v>24</v>
      </c>
      <c r="F72" s="15">
        <v>10</v>
      </c>
      <c r="G72" s="15">
        <v>4</v>
      </c>
      <c r="H72" s="15">
        <v>0</v>
      </c>
      <c r="I72" s="15"/>
      <c r="J72" s="15">
        <v>0</v>
      </c>
      <c r="K72" s="15">
        <v>0</v>
      </c>
      <c r="L72" s="1" t="s">
        <v>20</v>
      </c>
      <c r="M72" s="17">
        <f t="shared" si="26"/>
        <v>0.41666666666666669</v>
      </c>
      <c r="N72" s="18">
        <f t="shared" si="27"/>
        <v>0</v>
      </c>
      <c r="O72" s="17" t="str">
        <f t="shared" si="7"/>
        <v xml:space="preserve"> </v>
      </c>
      <c r="P72" s="17" t="str">
        <f t="shared" si="22"/>
        <v xml:space="preserve"> </v>
      </c>
      <c r="Q72" s="17" t="str">
        <f t="shared" si="9"/>
        <v xml:space="preserve"> </v>
      </c>
      <c r="R72" s="17">
        <f t="shared" si="25"/>
        <v>9.4525403702244975E-3</v>
      </c>
    </row>
    <row r="73" spans="1:18" ht="12.75">
      <c r="A73" s="12">
        <f t="shared" si="0"/>
        <v>72</v>
      </c>
      <c r="B73" s="13" t="s">
        <v>112</v>
      </c>
      <c r="C73" s="14" t="str">
        <f t="array" aca="1" ref="C73" ca="1">INDEX('Rooms Master'!U:U,MATCH(B73,'Rooms Master'!D:D,0))</f>
        <v>Y</v>
      </c>
      <c r="D73" s="15">
        <v>64</v>
      </c>
      <c r="E73" s="15">
        <v>5</v>
      </c>
      <c r="F73" s="15">
        <v>1</v>
      </c>
      <c r="G73" s="15">
        <v>5</v>
      </c>
      <c r="H73" s="15">
        <v>0</v>
      </c>
      <c r="I73" s="15"/>
      <c r="J73" s="15">
        <v>0</v>
      </c>
      <c r="K73" s="15">
        <v>0</v>
      </c>
      <c r="L73" s="1" t="s">
        <v>37</v>
      </c>
      <c r="M73" s="17">
        <f t="shared" si="26"/>
        <v>0.2</v>
      </c>
      <c r="N73" s="18">
        <f t="shared" si="27"/>
        <v>0</v>
      </c>
      <c r="O73" s="17" t="str">
        <f t="shared" si="7"/>
        <v xml:space="preserve"> </v>
      </c>
      <c r="P73" s="17" t="str">
        <f t="shared" si="22"/>
        <v xml:space="preserve"> </v>
      </c>
      <c r="Q73" s="17" t="str">
        <f t="shared" si="9"/>
        <v xml:space="preserve"> </v>
      </c>
      <c r="R73" s="17">
        <f t="shared" si="25"/>
        <v>1.9692792437967705E-3</v>
      </c>
    </row>
    <row r="74" spans="1:18" ht="12.75">
      <c r="A74" s="12">
        <f t="shared" si="0"/>
        <v>73</v>
      </c>
      <c r="B74" s="13" t="s">
        <v>101</v>
      </c>
      <c r="C74" s="14" t="str">
        <f t="array" aca="1" ref="C74" ca="1">INDEX('Rooms Master'!U:U,MATCH(B74,'Rooms Master'!D:D,0))</f>
        <v>N</v>
      </c>
      <c r="D74" s="15">
        <v>65</v>
      </c>
      <c r="E74" s="15">
        <v>12</v>
      </c>
      <c r="F74" s="15">
        <v>7</v>
      </c>
      <c r="G74" s="15">
        <v>4</v>
      </c>
      <c r="H74" s="15">
        <v>0</v>
      </c>
      <c r="I74" s="15"/>
      <c r="J74" s="15">
        <v>0</v>
      </c>
      <c r="K74" s="15">
        <v>1</v>
      </c>
      <c r="L74" s="1" t="s">
        <v>34</v>
      </c>
      <c r="M74" s="17">
        <f t="shared" si="26"/>
        <v>0.58333333333333337</v>
      </c>
      <c r="N74" s="18">
        <f t="shared" si="27"/>
        <v>0</v>
      </c>
      <c r="O74" s="17" t="str">
        <f t="shared" si="7"/>
        <v xml:space="preserve"> </v>
      </c>
      <c r="P74" s="17" t="str">
        <f t="shared" si="22"/>
        <v xml:space="preserve"> </v>
      </c>
      <c r="Q74" s="17" t="str">
        <f t="shared" si="9"/>
        <v xml:space="preserve"> </v>
      </c>
      <c r="R74" s="17">
        <f t="shared" si="25"/>
        <v>4.7262701851122487E-3</v>
      </c>
    </row>
    <row r="75" spans="1:18" ht="12.75">
      <c r="A75" s="12">
        <f t="shared" si="0"/>
        <v>74</v>
      </c>
      <c r="B75" s="13" t="s">
        <v>63</v>
      </c>
      <c r="C75" s="14" t="str">
        <f t="array" aca="1" ref="C75" ca="1">INDEX('Rooms Master'!U:U,MATCH(B75,'Rooms Master'!D:D,0))</f>
        <v>Y</v>
      </c>
      <c r="D75" s="15">
        <v>66</v>
      </c>
      <c r="E75" s="15">
        <v>17</v>
      </c>
      <c r="F75" s="15">
        <v>3</v>
      </c>
      <c r="G75" s="15">
        <v>5</v>
      </c>
      <c r="H75" s="15">
        <v>2</v>
      </c>
      <c r="I75" s="15"/>
      <c r="J75" s="15">
        <v>0</v>
      </c>
      <c r="K75" s="15">
        <v>0</v>
      </c>
      <c r="L75" s="1" t="s">
        <v>64</v>
      </c>
      <c r="M75" s="17">
        <f t="shared" si="26"/>
        <v>0.17647058823529413</v>
      </c>
      <c r="N75" s="18">
        <f t="shared" si="27"/>
        <v>0.11764705882352941</v>
      </c>
      <c r="O75" s="17">
        <f t="shared" si="7"/>
        <v>0</v>
      </c>
      <c r="P75" s="17" t="str">
        <f t="shared" si="22"/>
        <v xml:space="preserve"> </v>
      </c>
      <c r="Q75" s="17" t="str">
        <f t="shared" si="9"/>
        <v xml:space="preserve"> </v>
      </c>
      <c r="R75" s="17">
        <f t="shared" si="25"/>
        <v>6.6955494289090197E-3</v>
      </c>
    </row>
    <row r="76" spans="1:18" ht="12.75">
      <c r="A76" s="12">
        <f t="shared" si="0"/>
        <v>75</v>
      </c>
      <c r="B76" s="13" t="s">
        <v>79</v>
      </c>
      <c r="C76" s="14" t="str">
        <f t="array" aca="1" ref="C76" ca="1">INDEX('Rooms Master'!U:U,MATCH(B76,'Rooms Master'!D:D,0))</f>
        <v>Y</v>
      </c>
      <c r="D76" s="15">
        <v>67</v>
      </c>
      <c r="E76" s="15">
        <v>4</v>
      </c>
      <c r="F76" s="15">
        <v>1</v>
      </c>
      <c r="G76" s="15">
        <v>3</v>
      </c>
      <c r="H76" s="15">
        <v>2</v>
      </c>
      <c r="I76" s="15"/>
      <c r="J76" s="15">
        <v>0</v>
      </c>
      <c r="K76" s="15">
        <v>0</v>
      </c>
      <c r="L76" s="1" t="s">
        <v>64</v>
      </c>
      <c r="M76" s="17">
        <f t="shared" si="26"/>
        <v>0.25</v>
      </c>
      <c r="N76" s="18">
        <f t="shared" si="27"/>
        <v>0.5</v>
      </c>
      <c r="O76" s="17">
        <f t="shared" si="7"/>
        <v>0</v>
      </c>
      <c r="P76" s="17" t="str">
        <f t="shared" si="22"/>
        <v xml:space="preserve"> </v>
      </c>
      <c r="Q76" s="17" t="str">
        <f t="shared" si="9"/>
        <v xml:space="preserve"> </v>
      </c>
      <c r="R76" s="17">
        <f t="shared" si="25"/>
        <v>1.5754233950374162E-3</v>
      </c>
    </row>
    <row r="77" spans="1:18" ht="12.75">
      <c r="A77" s="12">
        <f t="shared" si="0"/>
        <v>76</v>
      </c>
      <c r="B77" s="13" t="s">
        <v>81</v>
      </c>
      <c r="C77" s="14" t="str">
        <f t="array" aca="1" ref="C77" ca="1">INDEX('Rooms Master'!U:U,MATCH(B77,'Rooms Master'!D:D,0))</f>
        <v>Y</v>
      </c>
      <c r="D77" s="15">
        <v>68</v>
      </c>
      <c r="E77" s="15">
        <v>17</v>
      </c>
      <c r="F77" s="15">
        <v>5</v>
      </c>
      <c r="G77" s="15">
        <v>6</v>
      </c>
      <c r="H77" s="15">
        <v>3</v>
      </c>
      <c r="I77" s="15"/>
      <c r="J77" s="15">
        <v>0</v>
      </c>
      <c r="K77" s="15">
        <v>0</v>
      </c>
      <c r="L77" s="1" t="s">
        <v>64</v>
      </c>
      <c r="M77" s="17">
        <f t="shared" si="26"/>
        <v>0.29411764705882354</v>
      </c>
      <c r="N77" s="18">
        <f t="shared" si="27"/>
        <v>0.17647058823529413</v>
      </c>
      <c r="O77" s="17">
        <f t="shared" si="7"/>
        <v>0</v>
      </c>
      <c r="P77" s="17" t="str">
        <f t="shared" si="22"/>
        <v xml:space="preserve"> </v>
      </c>
      <c r="Q77" s="17" t="str">
        <f t="shared" si="9"/>
        <v xml:space="preserve"> </v>
      </c>
      <c r="R77" s="17">
        <f t="shared" si="25"/>
        <v>6.6955494289090197E-3</v>
      </c>
    </row>
    <row r="78" spans="1:18" ht="12.75">
      <c r="A78" s="12">
        <f t="shared" si="0"/>
        <v>77</v>
      </c>
      <c r="B78" s="13" t="s">
        <v>36</v>
      </c>
      <c r="C78" s="14" t="str">
        <f t="array" aca="1" ref="C78" ca="1">INDEX('Rooms Master'!U:U,MATCH(B78,'Rooms Master'!D:D,0))</f>
        <v>Y</v>
      </c>
      <c r="D78" s="15">
        <v>69</v>
      </c>
      <c r="E78" s="15">
        <v>39</v>
      </c>
      <c r="F78" s="15">
        <v>28</v>
      </c>
      <c r="G78" s="15">
        <v>6</v>
      </c>
      <c r="H78" s="15">
        <v>1</v>
      </c>
      <c r="I78" s="15"/>
      <c r="J78" s="15">
        <v>1</v>
      </c>
      <c r="K78" s="15">
        <v>0</v>
      </c>
      <c r="L78" s="1" t="s">
        <v>37</v>
      </c>
      <c r="M78" s="17">
        <f t="shared" si="26"/>
        <v>0.71794871794871795</v>
      </c>
      <c r="N78" s="18">
        <f t="shared" si="27"/>
        <v>2.564102564102564E-2</v>
      </c>
      <c r="O78" s="17">
        <f t="shared" si="7"/>
        <v>0</v>
      </c>
      <c r="P78" s="17" t="str">
        <f t="shared" si="22"/>
        <v xml:space="preserve"> </v>
      </c>
      <c r="Q78" s="17">
        <f t="shared" si="9"/>
        <v>0</v>
      </c>
      <c r="R78" s="17">
        <f t="shared" si="25"/>
        <v>1.536037810161481E-2</v>
      </c>
    </row>
    <row r="79" spans="1:18" ht="12.75">
      <c r="A79" s="12">
        <f t="shared" si="0"/>
        <v>78</v>
      </c>
      <c r="B79" s="13" t="s">
        <v>87</v>
      </c>
      <c r="C79" s="14" t="str">
        <f t="array" aca="1" ref="C79" ca="1">INDEX('Rooms Master'!U:U,MATCH(B79,'Rooms Master'!D:D,0))</f>
        <v>Y</v>
      </c>
      <c r="D79" s="15">
        <v>70</v>
      </c>
      <c r="E79" s="22">
        <v>17</v>
      </c>
      <c r="F79" s="15">
        <v>2</v>
      </c>
      <c r="G79" s="15">
        <v>4</v>
      </c>
      <c r="H79" s="15">
        <v>0</v>
      </c>
      <c r="I79" s="15"/>
      <c r="J79" s="15">
        <v>0</v>
      </c>
      <c r="K79" s="15">
        <v>0</v>
      </c>
      <c r="L79" s="1" t="s">
        <v>34</v>
      </c>
      <c r="M79" s="17">
        <f>IFERROR(F79/E78, " ")</f>
        <v>5.128205128205128E-2</v>
      </c>
      <c r="N79" s="18">
        <f>IFERROR(H79/E78," ")</f>
        <v>0</v>
      </c>
      <c r="O79" s="17" t="str">
        <f t="shared" si="7"/>
        <v xml:space="preserve"> </v>
      </c>
      <c r="P79" s="17" t="str">
        <f t="shared" si="22"/>
        <v xml:space="preserve"> </v>
      </c>
      <c r="Q79" s="17" t="str">
        <f t="shared" si="9"/>
        <v xml:space="preserve"> </v>
      </c>
      <c r="R79" s="17">
        <f>IFERROR(E78/$E$117," ")</f>
        <v>1.536037810161481E-2</v>
      </c>
    </row>
    <row r="80" spans="1:18" ht="12.75">
      <c r="A80" s="21">
        <v>1</v>
      </c>
      <c r="B80" s="13" t="s">
        <v>57</v>
      </c>
      <c r="C80" s="14" t="str">
        <f t="array" aca="1" ref="C80" ca="1">INDEX('Rooms Master'!U:U,MATCH(B80,'Rooms Master'!D:D,0))</f>
        <v>Y</v>
      </c>
      <c r="D80" s="15">
        <v>71</v>
      </c>
      <c r="E80" s="15">
        <v>53</v>
      </c>
      <c r="F80" s="15">
        <v>11</v>
      </c>
      <c r="G80" s="15">
        <v>7</v>
      </c>
      <c r="H80" s="15">
        <v>0</v>
      </c>
      <c r="I80" s="15"/>
      <c r="J80" s="15">
        <v>1</v>
      </c>
      <c r="K80" s="15">
        <v>0</v>
      </c>
      <c r="L80" s="1"/>
      <c r="M80" s="17">
        <f t="shared" ref="M80:M115" si="28">IFERROR(F80/E80, " ")</f>
        <v>0.20754716981132076</v>
      </c>
      <c r="N80" s="18">
        <f t="shared" ref="N80:N117" si="29">IFERROR(H80/E80," ")</f>
        <v>0</v>
      </c>
      <c r="O80" s="24" t="str">
        <f t="shared" si="7"/>
        <v xml:space="preserve"> </v>
      </c>
      <c r="P80" s="18" t="str">
        <f t="shared" si="22"/>
        <v xml:space="preserve"> </v>
      </c>
      <c r="Q80" s="18">
        <f t="shared" si="9"/>
        <v>0</v>
      </c>
      <c r="R80" s="17">
        <f t="shared" ref="R80:R115" si="30">IFERROR(E80/$E$117," ")</f>
        <v>2.0874359984245767E-2</v>
      </c>
    </row>
    <row r="81" spans="1:18" ht="12.75">
      <c r="A81" s="12">
        <f t="shared" ref="A81:A115" si="31">A80+1</f>
        <v>2</v>
      </c>
      <c r="B81" s="13" t="s">
        <v>40</v>
      </c>
      <c r="C81" s="14" t="str">
        <f t="array" aca="1" ref="C81" ca="1">INDEX('Rooms Master'!U:U,MATCH(B81,'Rooms Master'!D:D,0))</f>
        <v>Y</v>
      </c>
      <c r="D81" s="15">
        <v>72</v>
      </c>
      <c r="E81" s="15">
        <v>17</v>
      </c>
      <c r="F81" s="15">
        <v>9</v>
      </c>
      <c r="G81" s="15">
        <v>4</v>
      </c>
      <c r="H81" s="15">
        <v>0</v>
      </c>
      <c r="I81" s="15"/>
      <c r="J81" s="15">
        <v>0</v>
      </c>
      <c r="K81" s="15">
        <v>0</v>
      </c>
      <c r="L81" s="1" t="s">
        <v>20</v>
      </c>
      <c r="M81" s="17">
        <f t="shared" si="28"/>
        <v>0.52941176470588236</v>
      </c>
      <c r="N81" s="18">
        <f t="shared" si="29"/>
        <v>0</v>
      </c>
      <c r="O81" s="17" t="str">
        <f t="shared" si="7"/>
        <v xml:space="preserve"> </v>
      </c>
      <c r="P81" s="17" t="str">
        <f t="shared" si="22"/>
        <v xml:space="preserve"> </v>
      </c>
      <c r="Q81" s="17" t="str">
        <f t="shared" si="9"/>
        <v xml:space="preserve"> </v>
      </c>
      <c r="R81" s="17">
        <f t="shared" si="30"/>
        <v>6.6955494289090197E-3</v>
      </c>
    </row>
    <row r="82" spans="1:18" ht="12.75">
      <c r="A82" s="12">
        <f t="shared" si="31"/>
        <v>3</v>
      </c>
      <c r="B82" s="13" t="s">
        <v>55</v>
      </c>
      <c r="C82" s="14" t="str">
        <f t="array" aca="1" ref="C82" ca="1">INDEX('Rooms Master'!U:U,MATCH(B82,'Rooms Master'!D:D,0))</f>
        <v>Y</v>
      </c>
      <c r="D82" s="15">
        <v>73</v>
      </c>
      <c r="E82" s="15">
        <v>10</v>
      </c>
      <c r="F82" s="15">
        <v>0</v>
      </c>
      <c r="G82" s="15">
        <v>4</v>
      </c>
      <c r="H82" s="15">
        <v>4</v>
      </c>
      <c r="I82" s="15"/>
      <c r="J82" s="15">
        <v>0</v>
      </c>
      <c r="K82" s="15">
        <v>0</v>
      </c>
      <c r="L82" s="1" t="s">
        <v>24</v>
      </c>
      <c r="M82" s="17">
        <f t="shared" si="28"/>
        <v>0</v>
      </c>
      <c r="N82" s="18">
        <f t="shared" si="29"/>
        <v>0.4</v>
      </c>
      <c r="O82" s="17">
        <f t="shared" si="7"/>
        <v>0</v>
      </c>
      <c r="P82" s="17" t="str">
        <f t="shared" si="22"/>
        <v xml:space="preserve"> </v>
      </c>
      <c r="Q82" s="17" t="str">
        <f t="shared" si="9"/>
        <v xml:space="preserve"> </v>
      </c>
      <c r="R82" s="17">
        <f t="shared" si="30"/>
        <v>3.9385584875935411E-3</v>
      </c>
    </row>
    <row r="83" spans="1:18" ht="12.75">
      <c r="A83" s="12">
        <f t="shared" si="31"/>
        <v>4</v>
      </c>
      <c r="B83" s="13" t="s">
        <v>108</v>
      </c>
      <c r="C83" s="14" t="str">
        <f t="array" aca="1" ref="C83" ca="1">INDEX('Rooms Master'!U:U,MATCH(B83,'Rooms Master'!D:D,0))</f>
        <v>Y</v>
      </c>
      <c r="D83" s="15">
        <v>74</v>
      </c>
      <c r="E83" s="15">
        <v>12</v>
      </c>
      <c r="F83" s="15">
        <v>1</v>
      </c>
      <c r="G83" s="15">
        <v>3</v>
      </c>
      <c r="H83" s="15">
        <v>0</v>
      </c>
      <c r="I83" s="15"/>
      <c r="J83" s="15">
        <v>0</v>
      </c>
      <c r="K83" s="15">
        <v>0</v>
      </c>
      <c r="L83" s="1" t="s">
        <v>24</v>
      </c>
      <c r="M83" s="17">
        <f t="shared" si="28"/>
        <v>8.3333333333333329E-2</v>
      </c>
      <c r="N83" s="18">
        <f t="shared" si="29"/>
        <v>0</v>
      </c>
      <c r="O83" s="17" t="str">
        <f t="shared" si="7"/>
        <v xml:space="preserve"> </v>
      </c>
      <c r="P83" s="17" t="str">
        <f t="shared" si="22"/>
        <v xml:space="preserve"> </v>
      </c>
      <c r="Q83" s="17" t="str">
        <f t="shared" si="9"/>
        <v xml:space="preserve"> </v>
      </c>
      <c r="R83" s="17">
        <f t="shared" si="30"/>
        <v>4.7262701851122487E-3</v>
      </c>
    </row>
    <row r="84" spans="1:18" ht="12.75">
      <c r="A84" s="12">
        <f t="shared" si="31"/>
        <v>5</v>
      </c>
      <c r="B84" s="13" t="s">
        <v>52</v>
      </c>
      <c r="C84" s="14" t="str">
        <f t="array" aca="1" ref="C84" ca="1">INDEX('Rooms Master'!U:U,MATCH(B84,'Rooms Master'!D:D,0))</f>
        <v>Y</v>
      </c>
      <c r="D84" s="15">
        <v>75</v>
      </c>
      <c r="E84" s="15">
        <v>13</v>
      </c>
      <c r="F84" s="15">
        <v>0</v>
      </c>
      <c r="G84" s="15">
        <v>4</v>
      </c>
      <c r="H84" s="15">
        <v>0</v>
      </c>
      <c r="I84" s="15"/>
      <c r="J84" s="15"/>
      <c r="K84" s="15">
        <v>0</v>
      </c>
      <c r="L84" s="1" t="s">
        <v>24</v>
      </c>
      <c r="M84" s="17">
        <f t="shared" si="28"/>
        <v>0</v>
      </c>
      <c r="N84" s="18">
        <f t="shared" si="29"/>
        <v>0</v>
      </c>
      <c r="O84" s="17" t="str">
        <f t="shared" si="7"/>
        <v xml:space="preserve"> </v>
      </c>
      <c r="P84" s="17" t="str">
        <f t="shared" si="22"/>
        <v xml:space="preserve"> </v>
      </c>
      <c r="Q84" s="17" t="str">
        <f t="shared" si="9"/>
        <v xml:space="preserve"> </v>
      </c>
      <c r="R84" s="17">
        <f t="shared" si="30"/>
        <v>5.1201260338716026E-3</v>
      </c>
    </row>
    <row r="85" spans="1:18" ht="12.75">
      <c r="A85" s="12">
        <f t="shared" si="31"/>
        <v>6</v>
      </c>
      <c r="B85" s="13" t="s">
        <v>109</v>
      </c>
      <c r="C85" s="14" t="str">
        <f t="array" aca="1" ref="C85" ca="1">INDEX('Rooms Master'!U:U,MATCH(B85,'Rooms Master'!D:D,0))</f>
        <v>Y</v>
      </c>
      <c r="D85" s="15">
        <v>76</v>
      </c>
      <c r="E85" s="15">
        <v>3</v>
      </c>
      <c r="F85" s="15">
        <v>0</v>
      </c>
      <c r="G85" s="15">
        <v>4</v>
      </c>
      <c r="H85" s="15">
        <v>0</v>
      </c>
      <c r="I85" s="15"/>
      <c r="J85" s="15">
        <v>0</v>
      </c>
      <c r="K85" s="15">
        <v>0</v>
      </c>
      <c r="L85" s="1" t="s">
        <v>37</v>
      </c>
      <c r="M85" s="17">
        <f t="shared" si="28"/>
        <v>0</v>
      </c>
      <c r="N85" s="18">
        <f t="shared" si="29"/>
        <v>0</v>
      </c>
      <c r="O85" s="17" t="str">
        <f t="shared" si="7"/>
        <v xml:space="preserve"> </v>
      </c>
      <c r="P85" s="17" t="str">
        <f t="shared" si="22"/>
        <v xml:space="preserve"> </v>
      </c>
      <c r="Q85" s="17" t="str">
        <f t="shared" si="9"/>
        <v xml:space="preserve"> </v>
      </c>
      <c r="R85" s="17">
        <f t="shared" si="30"/>
        <v>1.1815675462780622E-3</v>
      </c>
    </row>
    <row r="86" spans="1:18" ht="12.75">
      <c r="A86" s="12">
        <f t="shared" si="31"/>
        <v>7</v>
      </c>
      <c r="B86" s="13" t="s">
        <v>49</v>
      </c>
      <c r="C86" s="14" t="str">
        <f t="array" aca="1" ref="C86" ca="1">INDEX('Rooms Master'!U:U,MATCH(B86,'Rooms Master'!D:D,0))</f>
        <v>Y</v>
      </c>
      <c r="D86" s="15">
        <v>77</v>
      </c>
      <c r="E86" s="15">
        <v>10</v>
      </c>
      <c r="F86" s="15">
        <v>3</v>
      </c>
      <c r="G86" s="15">
        <v>4</v>
      </c>
      <c r="H86" s="15">
        <v>0</v>
      </c>
      <c r="I86" s="15"/>
      <c r="J86" s="15">
        <v>0</v>
      </c>
      <c r="K86" s="15">
        <v>0</v>
      </c>
      <c r="L86" s="1" t="s">
        <v>37</v>
      </c>
      <c r="M86" s="17">
        <f t="shared" si="28"/>
        <v>0.3</v>
      </c>
      <c r="N86" s="18">
        <f t="shared" si="29"/>
        <v>0</v>
      </c>
      <c r="O86" s="17" t="str">
        <f t="shared" si="7"/>
        <v xml:space="preserve"> </v>
      </c>
      <c r="P86" s="17" t="str">
        <f t="shared" si="22"/>
        <v xml:space="preserve"> </v>
      </c>
      <c r="Q86" s="17" t="str">
        <f t="shared" si="9"/>
        <v xml:space="preserve"> </v>
      </c>
      <c r="R86" s="17">
        <f t="shared" si="30"/>
        <v>3.9385584875935411E-3</v>
      </c>
    </row>
    <row r="87" spans="1:18" ht="12.75">
      <c r="A87" s="12">
        <f t="shared" si="31"/>
        <v>8</v>
      </c>
      <c r="B87" s="13" t="s">
        <v>88</v>
      </c>
      <c r="C87" s="14" t="str">
        <f t="array" aca="1" ref="C87" ca="1">INDEX('Rooms Master'!U:U,MATCH(B87,'Rooms Master'!D:D,0))</f>
        <v>N</v>
      </c>
      <c r="D87" s="15">
        <v>78</v>
      </c>
      <c r="E87" s="15">
        <v>34</v>
      </c>
      <c r="F87" s="15">
        <v>10</v>
      </c>
      <c r="G87" s="15">
        <v>4</v>
      </c>
      <c r="H87" s="15">
        <v>0</v>
      </c>
      <c r="I87" s="15"/>
      <c r="J87" s="15">
        <v>0</v>
      </c>
      <c r="K87" s="15">
        <v>0</v>
      </c>
      <c r="L87" s="1" t="s">
        <v>24</v>
      </c>
      <c r="M87" s="17">
        <f t="shared" si="28"/>
        <v>0.29411764705882354</v>
      </c>
      <c r="N87" s="18">
        <f t="shared" si="29"/>
        <v>0</v>
      </c>
      <c r="O87" s="17" t="str">
        <f t="shared" si="7"/>
        <v xml:space="preserve"> </v>
      </c>
      <c r="P87" s="17" t="str">
        <f t="shared" si="22"/>
        <v xml:space="preserve"> </v>
      </c>
      <c r="Q87" s="17" t="str">
        <f t="shared" si="9"/>
        <v xml:space="preserve"> </v>
      </c>
      <c r="R87" s="17">
        <f t="shared" si="30"/>
        <v>1.3391098857818039E-2</v>
      </c>
    </row>
    <row r="88" spans="1:18" ht="12.75">
      <c r="A88" s="12">
        <f t="shared" si="31"/>
        <v>9</v>
      </c>
      <c r="B88" s="13" t="s">
        <v>41</v>
      </c>
      <c r="C88" s="14" t="str">
        <f t="array" aca="1" ref="C88" ca="1">INDEX('Rooms Master'!U:U,MATCH(B88,'Rooms Master'!D:D,0))</f>
        <v>Y</v>
      </c>
      <c r="D88" s="15">
        <v>79</v>
      </c>
      <c r="E88" s="15">
        <v>25</v>
      </c>
      <c r="F88" s="15">
        <v>5</v>
      </c>
      <c r="G88" s="15">
        <v>4</v>
      </c>
      <c r="H88" s="15">
        <v>6</v>
      </c>
      <c r="I88" s="15">
        <v>1</v>
      </c>
      <c r="J88" s="15">
        <v>0</v>
      </c>
      <c r="K88" s="15">
        <v>0</v>
      </c>
      <c r="L88" s="1" t="s">
        <v>34</v>
      </c>
      <c r="M88" s="17">
        <f t="shared" si="28"/>
        <v>0.2</v>
      </c>
      <c r="N88" s="18">
        <f t="shared" si="29"/>
        <v>0.24</v>
      </c>
      <c r="O88" s="17">
        <f t="shared" si="7"/>
        <v>0</v>
      </c>
      <c r="P88" s="17">
        <f t="shared" si="22"/>
        <v>0</v>
      </c>
      <c r="Q88" s="17" t="str">
        <f t="shared" si="9"/>
        <v xml:space="preserve"> </v>
      </c>
      <c r="R88" s="17">
        <f t="shared" si="30"/>
        <v>9.8463962189838522E-3</v>
      </c>
    </row>
    <row r="89" spans="1:18" ht="12.75">
      <c r="A89" s="12">
        <f t="shared" si="31"/>
        <v>10</v>
      </c>
      <c r="B89" s="13" t="s">
        <v>85</v>
      </c>
      <c r="C89" s="14" t="str">
        <f t="array" aca="1" ref="C89" ca="1">INDEX('Rooms Master'!U:U,MATCH(B89,'Rooms Master'!D:D,0))</f>
        <v>N</v>
      </c>
      <c r="D89" s="15">
        <v>79</v>
      </c>
      <c r="E89" s="15">
        <v>7</v>
      </c>
      <c r="F89" s="15">
        <v>5</v>
      </c>
      <c r="G89" s="15">
        <v>5</v>
      </c>
      <c r="H89" s="15">
        <v>0</v>
      </c>
      <c r="I89" s="15"/>
      <c r="J89" s="15">
        <v>0</v>
      </c>
      <c r="K89" s="15">
        <v>0</v>
      </c>
      <c r="L89" s="1" t="s">
        <v>37</v>
      </c>
      <c r="M89" s="17">
        <f t="shared" si="28"/>
        <v>0.7142857142857143</v>
      </c>
      <c r="N89" s="18">
        <f t="shared" si="29"/>
        <v>0</v>
      </c>
      <c r="O89" s="17" t="str">
        <f t="shared" si="7"/>
        <v xml:space="preserve"> </v>
      </c>
      <c r="P89" s="17" t="str">
        <f t="shared" si="22"/>
        <v xml:space="preserve"> </v>
      </c>
      <c r="Q89" s="17" t="str">
        <f t="shared" si="9"/>
        <v xml:space="preserve"> </v>
      </c>
      <c r="R89" s="17">
        <f t="shared" si="30"/>
        <v>2.7569909413154787E-3</v>
      </c>
    </row>
    <row r="90" spans="1:18" ht="12.75">
      <c r="A90" s="12">
        <f t="shared" si="31"/>
        <v>11</v>
      </c>
      <c r="B90" s="13" t="s">
        <v>100</v>
      </c>
      <c r="C90" s="14" t="str">
        <f t="array" aca="1" ref="C90" ca="1">INDEX('Rooms Master'!U:U,MATCH(B90,'Rooms Master'!D:D,0))</f>
        <v>N</v>
      </c>
      <c r="D90" s="14"/>
      <c r="E90" s="15">
        <v>0</v>
      </c>
      <c r="F90" s="15">
        <v>0</v>
      </c>
      <c r="G90" s="15">
        <v>0</v>
      </c>
      <c r="H90" s="15">
        <v>0</v>
      </c>
      <c r="I90" s="15"/>
      <c r="J90" s="15">
        <v>0</v>
      </c>
      <c r="K90" s="15">
        <v>0</v>
      </c>
      <c r="L90" s="1" t="s">
        <v>24</v>
      </c>
      <c r="M90" s="17" t="str">
        <f t="shared" si="28"/>
        <v xml:space="preserve"> </v>
      </c>
      <c r="N90" s="18" t="str">
        <f t="shared" si="29"/>
        <v xml:space="preserve"> </v>
      </c>
      <c r="O90" s="17" t="str">
        <f t="shared" si="7"/>
        <v xml:space="preserve"> </v>
      </c>
      <c r="P90" s="17" t="str">
        <f t="shared" si="22"/>
        <v xml:space="preserve"> </v>
      </c>
      <c r="Q90" s="17" t="str">
        <f t="shared" si="9"/>
        <v xml:space="preserve"> </v>
      </c>
      <c r="R90" s="17">
        <f t="shared" si="30"/>
        <v>0</v>
      </c>
    </row>
    <row r="91" spans="1:18" ht="12.75">
      <c r="A91" s="12">
        <f t="shared" si="31"/>
        <v>12</v>
      </c>
      <c r="B91" s="13" t="s">
        <v>75</v>
      </c>
      <c r="C91" s="14" t="str">
        <f t="array" aca="1" ref="C91" ca="1">INDEX('Rooms Master'!U:U,MATCH(B91,'Rooms Master'!D:D,0))</f>
        <v>N</v>
      </c>
      <c r="D91" s="14"/>
      <c r="E91" s="15">
        <v>1</v>
      </c>
      <c r="F91" s="15">
        <v>1</v>
      </c>
      <c r="G91" s="15">
        <v>0</v>
      </c>
      <c r="H91" s="15">
        <v>0</v>
      </c>
      <c r="I91" s="15"/>
      <c r="J91" s="15">
        <v>0</v>
      </c>
      <c r="K91" s="15">
        <v>0</v>
      </c>
      <c r="L91" s="1" t="s">
        <v>24</v>
      </c>
      <c r="M91" s="17">
        <f t="shared" si="28"/>
        <v>1</v>
      </c>
      <c r="N91" s="18">
        <f t="shared" si="29"/>
        <v>0</v>
      </c>
      <c r="O91" s="17" t="str">
        <f t="shared" si="7"/>
        <v xml:space="preserve"> </v>
      </c>
      <c r="P91" s="17" t="str">
        <f t="shared" si="22"/>
        <v xml:space="preserve"> </v>
      </c>
      <c r="Q91" s="17" t="str">
        <f t="shared" si="9"/>
        <v xml:space="preserve"> </v>
      </c>
      <c r="R91" s="17">
        <f t="shared" si="30"/>
        <v>3.9385584875935406E-4</v>
      </c>
    </row>
    <row r="92" spans="1:18" ht="12.75">
      <c r="A92" s="12">
        <f t="shared" si="31"/>
        <v>13</v>
      </c>
      <c r="B92" s="13" t="s">
        <v>118</v>
      </c>
      <c r="C92" s="14" t="str">
        <f t="array" aca="1" ref="C92" ca="1">INDEX('Rooms Master'!U:U,MATCH(B92,'Rooms Master'!D:D,0))</f>
        <v>N</v>
      </c>
      <c r="D92" s="14"/>
      <c r="E92" s="15">
        <v>0</v>
      </c>
      <c r="F92" s="15">
        <v>0</v>
      </c>
      <c r="G92" s="15">
        <v>0</v>
      </c>
      <c r="H92" s="15">
        <v>0</v>
      </c>
      <c r="I92" s="15"/>
      <c r="J92" s="15">
        <v>0</v>
      </c>
      <c r="K92" s="15">
        <v>0</v>
      </c>
      <c r="L92" s="1" t="s">
        <v>24</v>
      </c>
      <c r="M92" s="17" t="str">
        <f t="shared" si="28"/>
        <v xml:space="preserve"> </v>
      </c>
      <c r="N92" s="18" t="str">
        <f t="shared" si="29"/>
        <v xml:space="preserve"> </v>
      </c>
      <c r="O92" s="17" t="str">
        <f t="shared" si="7"/>
        <v xml:space="preserve"> </v>
      </c>
      <c r="P92" s="17" t="str">
        <f t="shared" si="22"/>
        <v xml:space="preserve"> </v>
      </c>
      <c r="Q92" s="17" t="str">
        <f t="shared" si="9"/>
        <v xml:space="preserve"> </v>
      </c>
      <c r="R92" s="17">
        <f t="shared" si="30"/>
        <v>0</v>
      </c>
    </row>
    <row r="93" spans="1:18" ht="12.75">
      <c r="A93" s="12">
        <f t="shared" si="31"/>
        <v>14</v>
      </c>
      <c r="B93" s="13" t="s">
        <v>114</v>
      </c>
      <c r="C93" s="14" t="str">
        <f t="array" aca="1" ref="C93" ca="1">INDEX('Rooms Master'!U:U,MATCH(B93,'Rooms Master'!D:D,0))</f>
        <v>Y</v>
      </c>
      <c r="D93" s="14"/>
      <c r="E93" s="15">
        <v>0</v>
      </c>
      <c r="F93" s="15">
        <v>0</v>
      </c>
      <c r="G93" s="15">
        <v>0</v>
      </c>
      <c r="H93" s="15">
        <v>0</v>
      </c>
      <c r="I93" s="15"/>
      <c r="J93" s="15">
        <v>0</v>
      </c>
      <c r="K93" s="15">
        <v>0</v>
      </c>
      <c r="L93" s="1" t="s">
        <v>24</v>
      </c>
      <c r="M93" s="17" t="str">
        <f t="shared" si="28"/>
        <v xml:space="preserve"> </v>
      </c>
      <c r="N93" s="18" t="str">
        <f t="shared" si="29"/>
        <v xml:space="preserve"> </v>
      </c>
      <c r="O93" s="17" t="str">
        <f t="shared" si="7"/>
        <v xml:space="preserve"> </v>
      </c>
      <c r="P93" s="17" t="str">
        <f t="shared" si="22"/>
        <v xml:space="preserve"> </v>
      </c>
      <c r="Q93" s="17" t="str">
        <f t="shared" si="9"/>
        <v xml:space="preserve"> </v>
      </c>
      <c r="R93" s="17">
        <f t="shared" si="30"/>
        <v>0</v>
      </c>
    </row>
    <row r="94" spans="1:18" ht="12.75">
      <c r="A94" s="12">
        <f t="shared" si="31"/>
        <v>15</v>
      </c>
      <c r="B94" s="13" t="s">
        <v>122</v>
      </c>
      <c r="C94" s="14" t="str">
        <f t="array" aca="1" ref="C94" ca="1">INDEX('Rooms Master'!U:U,MATCH(B94,'Rooms Master'!D:D,0))</f>
        <v>N</v>
      </c>
      <c r="D94" s="15"/>
      <c r="E94" s="15">
        <v>3</v>
      </c>
      <c r="F94" s="15">
        <v>3</v>
      </c>
      <c r="G94" s="15">
        <v>0</v>
      </c>
      <c r="H94" s="15">
        <v>0</v>
      </c>
      <c r="I94" s="15"/>
      <c r="J94" s="15">
        <v>0</v>
      </c>
      <c r="K94" s="15">
        <v>0</v>
      </c>
      <c r="L94" s="21" t="s">
        <v>20</v>
      </c>
      <c r="M94" s="17">
        <f t="shared" si="28"/>
        <v>1</v>
      </c>
      <c r="N94" s="18">
        <f t="shared" si="29"/>
        <v>0</v>
      </c>
      <c r="O94" s="18" t="str">
        <f t="shared" si="7"/>
        <v xml:space="preserve"> </v>
      </c>
      <c r="P94" s="17" t="str">
        <f t="shared" si="22"/>
        <v xml:space="preserve"> </v>
      </c>
      <c r="Q94" s="17" t="str">
        <f t="shared" si="9"/>
        <v xml:space="preserve"> </v>
      </c>
      <c r="R94" s="17">
        <f t="shared" si="30"/>
        <v>1.1815675462780622E-3</v>
      </c>
    </row>
    <row r="95" spans="1:18" ht="12.75">
      <c r="A95" s="12">
        <f t="shared" si="31"/>
        <v>16</v>
      </c>
      <c r="B95" s="13" t="s">
        <v>125</v>
      </c>
      <c r="C95" s="14" t="str">
        <f t="array" aca="1" ref="C95" ca="1">INDEX('Rooms Master'!U:U,MATCH(B95,'Rooms Master'!D:D,0))</f>
        <v>N</v>
      </c>
      <c r="D95" s="15"/>
      <c r="E95" s="15">
        <v>3</v>
      </c>
      <c r="F95" s="15">
        <v>2</v>
      </c>
      <c r="G95" s="15">
        <v>3</v>
      </c>
      <c r="H95" s="15">
        <v>0</v>
      </c>
      <c r="I95" s="15"/>
      <c r="J95" s="15">
        <v>0</v>
      </c>
      <c r="K95" s="15">
        <v>0</v>
      </c>
      <c r="L95" s="1" t="s">
        <v>126</v>
      </c>
      <c r="M95" s="17">
        <f t="shared" si="28"/>
        <v>0.66666666666666663</v>
      </c>
      <c r="N95" s="18">
        <f t="shared" si="29"/>
        <v>0</v>
      </c>
      <c r="O95" s="17" t="str">
        <f t="shared" si="7"/>
        <v xml:space="preserve"> </v>
      </c>
      <c r="P95" s="17" t="str">
        <f t="shared" si="22"/>
        <v xml:space="preserve"> </v>
      </c>
      <c r="Q95" s="17" t="str">
        <f t="shared" si="9"/>
        <v xml:space="preserve"> </v>
      </c>
      <c r="R95" s="17">
        <f t="shared" si="30"/>
        <v>1.1815675462780622E-3</v>
      </c>
    </row>
    <row r="96" spans="1:18" ht="12.75">
      <c r="A96" s="12">
        <f t="shared" si="31"/>
        <v>17</v>
      </c>
      <c r="B96" s="13" t="s">
        <v>127</v>
      </c>
      <c r="C96" s="14" t="str">
        <f t="array" aca="1" ref="C96" ca="1">INDEX('Rooms Master'!U:U,MATCH(B96,'Rooms Master'!D:D,0))</f>
        <v>N</v>
      </c>
      <c r="D96" s="14"/>
      <c r="E96" s="15">
        <v>0</v>
      </c>
      <c r="F96" s="15">
        <v>0</v>
      </c>
      <c r="G96" s="15">
        <v>0</v>
      </c>
      <c r="H96" s="15">
        <v>0</v>
      </c>
      <c r="I96" s="15"/>
      <c r="J96" s="15">
        <v>0</v>
      </c>
      <c r="K96" s="15">
        <v>0</v>
      </c>
      <c r="L96" s="1" t="s">
        <v>24</v>
      </c>
      <c r="M96" s="17" t="str">
        <f t="shared" si="28"/>
        <v xml:space="preserve"> </v>
      </c>
      <c r="N96" s="18" t="str">
        <f t="shared" si="29"/>
        <v xml:space="preserve"> </v>
      </c>
      <c r="O96" s="17" t="str">
        <f t="shared" si="7"/>
        <v xml:space="preserve"> </v>
      </c>
      <c r="P96" s="17" t="str">
        <f t="shared" si="22"/>
        <v xml:space="preserve"> </v>
      </c>
      <c r="Q96" s="17" t="str">
        <f t="shared" si="9"/>
        <v xml:space="preserve"> </v>
      </c>
      <c r="R96" s="17">
        <f t="shared" si="30"/>
        <v>0</v>
      </c>
    </row>
    <row r="97" spans="1:18" ht="12.75">
      <c r="A97" s="12">
        <f t="shared" si="31"/>
        <v>18</v>
      </c>
      <c r="B97" s="13" t="s">
        <v>128</v>
      </c>
      <c r="C97" s="14" t="str">
        <f t="array" aca="1" ref="C97" ca="1">INDEX('Rooms Master'!U:U,MATCH(B97,'Rooms Master'!D:D,0))</f>
        <v>N</v>
      </c>
      <c r="D97" s="14"/>
      <c r="E97" s="15">
        <v>0</v>
      </c>
      <c r="F97" s="15">
        <v>0</v>
      </c>
      <c r="G97" s="15">
        <v>0</v>
      </c>
      <c r="H97" s="15">
        <v>0</v>
      </c>
      <c r="I97" s="15"/>
      <c r="J97" s="15">
        <v>0</v>
      </c>
      <c r="K97" s="15">
        <v>0</v>
      </c>
      <c r="L97" s="1" t="s">
        <v>24</v>
      </c>
      <c r="M97" s="17" t="str">
        <f t="shared" si="28"/>
        <v xml:space="preserve"> </v>
      </c>
      <c r="N97" s="18" t="str">
        <f t="shared" si="29"/>
        <v xml:space="preserve"> </v>
      </c>
      <c r="O97" s="17" t="str">
        <f t="shared" si="7"/>
        <v xml:space="preserve"> </v>
      </c>
      <c r="P97" s="17" t="str">
        <f t="shared" si="22"/>
        <v xml:space="preserve"> </v>
      </c>
      <c r="Q97" s="17" t="str">
        <f t="shared" si="9"/>
        <v xml:space="preserve"> </v>
      </c>
      <c r="R97" s="17">
        <f t="shared" si="30"/>
        <v>0</v>
      </c>
    </row>
    <row r="98" spans="1:18" ht="12.75">
      <c r="A98" s="12">
        <f t="shared" si="31"/>
        <v>19</v>
      </c>
      <c r="B98" s="13" t="s">
        <v>130</v>
      </c>
      <c r="C98" s="14" t="str">
        <f t="array" aca="1" ref="C98" ca="1">INDEX('Rooms Master'!U:U,MATCH(B98,'Rooms Master'!D:D,0))</f>
        <v>N</v>
      </c>
      <c r="D98" s="15"/>
      <c r="E98" s="15">
        <v>0</v>
      </c>
      <c r="F98" s="15">
        <v>0</v>
      </c>
      <c r="G98" s="15">
        <v>0</v>
      </c>
      <c r="H98" s="15">
        <v>0</v>
      </c>
      <c r="I98" s="15"/>
      <c r="J98" s="15">
        <v>0</v>
      </c>
      <c r="K98" s="15">
        <v>0</v>
      </c>
      <c r="L98" s="21" t="s">
        <v>20</v>
      </c>
      <c r="M98" s="17" t="str">
        <f t="shared" si="28"/>
        <v xml:space="preserve"> </v>
      </c>
      <c r="N98" s="18" t="str">
        <f t="shared" si="29"/>
        <v xml:space="preserve"> </v>
      </c>
      <c r="O98" s="17" t="str">
        <f t="shared" si="7"/>
        <v xml:space="preserve"> </v>
      </c>
      <c r="P98" s="18" t="str">
        <f t="shared" si="22"/>
        <v xml:space="preserve"> </v>
      </c>
      <c r="Q98" s="18" t="str">
        <f t="shared" si="9"/>
        <v xml:space="preserve"> </v>
      </c>
      <c r="R98" s="17">
        <f t="shared" si="30"/>
        <v>0</v>
      </c>
    </row>
    <row r="99" spans="1:18" ht="12.75">
      <c r="A99" s="12">
        <f t="shared" si="31"/>
        <v>20</v>
      </c>
      <c r="B99" s="13" t="s">
        <v>131</v>
      </c>
      <c r="C99" s="14" t="str">
        <f t="array" aca="1" ref="C99" ca="1">INDEX('Rooms Master'!U:U,MATCH(B99,'Rooms Master'!D:D,0))</f>
        <v>N</v>
      </c>
      <c r="D99" s="14"/>
      <c r="E99" s="15">
        <v>0</v>
      </c>
      <c r="F99" s="15">
        <v>0</v>
      </c>
      <c r="G99" s="15">
        <v>0</v>
      </c>
      <c r="H99" s="15">
        <v>0</v>
      </c>
      <c r="I99" s="15"/>
      <c r="J99" s="15">
        <v>0</v>
      </c>
      <c r="K99" s="15">
        <v>0</v>
      </c>
      <c r="L99" s="1" t="s">
        <v>24</v>
      </c>
      <c r="M99" s="17" t="str">
        <f t="shared" si="28"/>
        <v xml:space="preserve"> </v>
      </c>
      <c r="N99" s="18" t="str">
        <f t="shared" si="29"/>
        <v xml:space="preserve"> </v>
      </c>
      <c r="O99" s="17" t="str">
        <f t="shared" si="7"/>
        <v xml:space="preserve"> </v>
      </c>
      <c r="P99" s="17" t="str">
        <f t="shared" si="22"/>
        <v xml:space="preserve"> </v>
      </c>
      <c r="Q99" s="17" t="str">
        <f t="shared" si="9"/>
        <v xml:space="preserve"> </v>
      </c>
      <c r="R99" s="17">
        <f t="shared" si="30"/>
        <v>0</v>
      </c>
    </row>
    <row r="100" spans="1:18" ht="12.75">
      <c r="A100" s="12">
        <f t="shared" si="31"/>
        <v>21</v>
      </c>
      <c r="B100" s="13" t="s">
        <v>132</v>
      </c>
      <c r="C100" s="14" t="str">
        <f t="array" aca="1" ref="C100" ca="1">INDEX('Rooms Master'!U:U,MATCH(B100,'Rooms Master'!D:D,0))</f>
        <v>N</v>
      </c>
      <c r="D100" s="15"/>
      <c r="E100" s="15">
        <v>0</v>
      </c>
      <c r="F100" s="15">
        <v>0</v>
      </c>
      <c r="G100" s="15">
        <v>0</v>
      </c>
      <c r="H100" s="15">
        <v>0</v>
      </c>
      <c r="I100" s="15"/>
      <c r="J100" s="15">
        <v>0</v>
      </c>
      <c r="K100" s="15">
        <v>0</v>
      </c>
      <c r="L100" s="1" t="s">
        <v>24</v>
      </c>
      <c r="M100" s="17" t="str">
        <f t="shared" si="28"/>
        <v xml:space="preserve"> </v>
      </c>
      <c r="N100" s="18" t="str">
        <f t="shared" si="29"/>
        <v xml:space="preserve"> </v>
      </c>
      <c r="O100" s="17" t="str">
        <f t="shared" si="7"/>
        <v xml:space="preserve"> </v>
      </c>
      <c r="P100" s="17" t="str">
        <f t="shared" si="22"/>
        <v xml:space="preserve"> </v>
      </c>
      <c r="Q100" s="17" t="str">
        <f t="shared" si="9"/>
        <v xml:space="preserve"> </v>
      </c>
      <c r="R100" s="17">
        <f t="shared" si="30"/>
        <v>0</v>
      </c>
    </row>
    <row r="101" spans="1:18" ht="12.75">
      <c r="A101" s="12">
        <f t="shared" si="31"/>
        <v>22</v>
      </c>
      <c r="B101" s="13" t="s">
        <v>119</v>
      </c>
      <c r="C101" s="14" t="str">
        <f t="array" aca="1" ref="C101" ca="1">INDEX('Rooms Master'!U:U,MATCH(B101,'Rooms Master'!D:D,0))</f>
        <v>N</v>
      </c>
      <c r="D101" s="14"/>
      <c r="E101" s="15">
        <v>0</v>
      </c>
      <c r="F101" s="15">
        <v>0</v>
      </c>
      <c r="G101" s="15">
        <v>0</v>
      </c>
      <c r="H101" s="15">
        <v>0</v>
      </c>
      <c r="I101" s="15"/>
      <c r="J101" s="15">
        <v>0</v>
      </c>
      <c r="K101" s="15">
        <v>0</v>
      </c>
      <c r="L101" s="1" t="s">
        <v>24</v>
      </c>
      <c r="M101" s="17" t="str">
        <f t="shared" si="28"/>
        <v xml:space="preserve"> </v>
      </c>
      <c r="N101" s="18" t="str">
        <f t="shared" si="29"/>
        <v xml:space="preserve"> </v>
      </c>
      <c r="O101" s="17" t="str">
        <f t="shared" si="7"/>
        <v xml:space="preserve"> </v>
      </c>
      <c r="P101" s="17" t="str">
        <f t="shared" si="22"/>
        <v xml:space="preserve"> </v>
      </c>
      <c r="Q101" s="17" t="str">
        <f t="shared" si="9"/>
        <v xml:space="preserve"> </v>
      </c>
      <c r="R101" s="17">
        <f t="shared" si="30"/>
        <v>0</v>
      </c>
    </row>
    <row r="102" spans="1:18" ht="12.75">
      <c r="A102" s="12">
        <f t="shared" si="31"/>
        <v>23</v>
      </c>
      <c r="B102" s="13" t="s">
        <v>133</v>
      </c>
      <c r="C102" s="14" t="str">
        <f t="array" aca="1" ref="C102" ca="1">INDEX('Rooms Master'!U:U,MATCH(B102,'Rooms Master'!D:D,0))</f>
        <v>N</v>
      </c>
      <c r="D102" s="14"/>
      <c r="E102" s="15">
        <v>0</v>
      </c>
      <c r="F102" s="15">
        <v>0</v>
      </c>
      <c r="G102" s="15">
        <v>0</v>
      </c>
      <c r="H102" s="15">
        <v>0</v>
      </c>
      <c r="I102" s="15"/>
      <c r="J102" s="15">
        <v>0</v>
      </c>
      <c r="K102" s="15">
        <v>0</v>
      </c>
      <c r="L102" s="1" t="s">
        <v>24</v>
      </c>
      <c r="M102" s="17" t="str">
        <f t="shared" si="28"/>
        <v xml:space="preserve"> </v>
      </c>
      <c r="N102" s="18" t="str">
        <f t="shared" si="29"/>
        <v xml:space="preserve"> </v>
      </c>
      <c r="O102" s="17" t="str">
        <f t="shared" si="7"/>
        <v xml:space="preserve"> </v>
      </c>
      <c r="P102" s="17" t="str">
        <f t="shared" si="22"/>
        <v xml:space="preserve"> </v>
      </c>
      <c r="Q102" s="17" t="str">
        <f t="shared" si="9"/>
        <v xml:space="preserve"> </v>
      </c>
      <c r="R102" s="17">
        <f t="shared" si="30"/>
        <v>0</v>
      </c>
    </row>
    <row r="103" spans="1:18" ht="12.75">
      <c r="A103" s="12">
        <f t="shared" si="31"/>
        <v>24</v>
      </c>
      <c r="B103" s="13" t="s">
        <v>134</v>
      </c>
      <c r="C103" s="14" t="str">
        <f t="array" aca="1" ref="C103" ca="1">INDEX('Rooms Master'!U:U,MATCH(B103,'Rooms Master'!D:D,0))</f>
        <v>N</v>
      </c>
      <c r="D103" s="14"/>
      <c r="E103" s="15">
        <v>0</v>
      </c>
      <c r="F103" s="15">
        <v>0</v>
      </c>
      <c r="G103" s="15">
        <v>0</v>
      </c>
      <c r="H103" s="15">
        <v>0</v>
      </c>
      <c r="I103" s="15"/>
      <c r="J103" s="15">
        <v>0</v>
      </c>
      <c r="K103" s="15">
        <v>0</v>
      </c>
      <c r="L103" s="1" t="s">
        <v>24</v>
      </c>
      <c r="M103" s="17" t="str">
        <f t="shared" si="28"/>
        <v xml:space="preserve"> </v>
      </c>
      <c r="N103" s="18" t="str">
        <f t="shared" si="29"/>
        <v xml:space="preserve"> </v>
      </c>
      <c r="O103" s="17" t="str">
        <f t="shared" si="7"/>
        <v xml:space="preserve"> </v>
      </c>
      <c r="P103" s="17" t="str">
        <f t="shared" si="22"/>
        <v xml:space="preserve"> </v>
      </c>
      <c r="Q103" s="17" t="str">
        <f t="shared" si="9"/>
        <v xml:space="preserve"> </v>
      </c>
      <c r="R103" s="17">
        <f t="shared" si="30"/>
        <v>0</v>
      </c>
    </row>
    <row r="104" spans="1:18" ht="12.75">
      <c r="A104" s="12">
        <f t="shared" si="31"/>
        <v>25</v>
      </c>
      <c r="B104" s="13" t="s">
        <v>137</v>
      </c>
      <c r="C104" s="14" t="str">
        <f t="array" aca="1" ref="C104" ca="1">INDEX('Rooms Master'!U:U,MATCH(B104,'Rooms Master'!D:D,0))</f>
        <v>N</v>
      </c>
      <c r="D104" s="15"/>
      <c r="E104" s="15">
        <v>2</v>
      </c>
      <c r="F104" s="15">
        <v>2</v>
      </c>
      <c r="G104" s="15">
        <v>0</v>
      </c>
      <c r="H104" s="15">
        <v>0</v>
      </c>
      <c r="I104" s="15"/>
      <c r="J104" s="15">
        <v>0</v>
      </c>
      <c r="K104" s="15">
        <v>0</v>
      </c>
      <c r="L104" s="1" t="s">
        <v>138</v>
      </c>
      <c r="M104" s="17">
        <f t="shared" si="28"/>
        <v>1</v>
      </c>
      <c r="N104" s="18">
        <f t="shared" si="29"/>
        <v>0</v>
      </c>
      <c r="O104" s="17" t="str">
        <f t="shared" si="7"/>
        <v xml:space="preserve"> </v>
      </c>
      <c r="P104" s="17" t="str">
        <f t="shared" si="22"/>
        <v xml:space="preserve"> </v>
      </c>
      <c r="Q104" s="17" t="str">
        <f t="shared" si="9"/>
        <v xml:space="preserve"> </v>
      </c>
      <c r="R104" s="17">
        <f t="shared" si="30"/>
        <v>7.8771169751870812E-4</v>
      </c>
    </row>
    <row r="105" spans="1:18" ht="12.75">
      <c r="A105" s="12">
        <f t="shared" si="31"/>
        <v>26</v>
      </c>
      <c r="B105" s="13" t="s">
        <v>76</v>
      </c>
      <c r="C105" s="14" t="str">
        <f t="array" aca="1" ref="C105" ca="1">INDEX('Rooms Master'!U:U,MATCH(B105,'Rooms Master'!D:D,0))</f>
        <v>N</v>
      </c>
      <c r="D105" s="15"/>
      <c r="E105" s="15">
        <v>21</v>
      </c>
      <c r="F105" s="15">
        <v>16</v>
      </c>
      <c r="G105" s="15">
        <v>4</v>
      </c>
      <c r="H105" s="15">
        <v>0</v>
      </c>
      <c r="I105" s="15"/>
      <c r="J105" s="15">
        <v>0</v>
      </c>
      <c r="K105" s="15">
        <v>0</v>
      </c>
      <c r="L105" s="1" t="s">
        <v>34</v>
      </c>
      <c r="M105" s="17">
        <f t="shared" si="28"/>
        <v>0.76190476190476186</v>
      </c>
      <c r="N105" s="18">
        <f t="shared" si="29"/>
        <v>0</v>
      </c>
      <c r="O105" s="17" t="str">
        <f t="shared" si="7"/>
        <v xml:space="preserve"> </v>
      </c>
      <c r="P105" s="17" t="str">
        <f t="shared" si="22"/>
        <v xml:space="preserve"> </v>
      </c>
      <c r="Q105" s="17" t="str">
        <f t="shared" si="9"/>
        <v xml:space="preserve"> </v>
      </c>
      <c r="R105" s="17">
        <f t="shared" si="30"/>
        <v>8.2709728239464351E-3</v>
      </c>
    </row>
    <row r="106" spans="1:18" ht="12.75">
      <c r="A106" s="12">
        <f t="shared" si="31"/>
        <v>27</v>
      </c>
      <c r="B106" s="13" t="s">
        <v>66</v>
      </c>
      <c r="C106" s="14" t="str">
        <f t="array" aca="1" ref="C106" ca="1">INDEX('Rooms Master'!U:U,MATCH(B106,'Rooms Master'!D:D,0))</f>
        <v>Y</v>
      </c>
      <c r="D106" s="15"/>
      <c r="E106" s="15">
        <v>7</v>
      </c>
      <c r="F106" s="15">
        <v>6</v>
      </c>
      <c r="G106" s="15">
        <v>4</v>
      </c>
      <c r="H106" s="15">
        <v>0</v>
      </c>
      <c r="I106" s="15"/>
      <c r="J106" s="15">
        <v>0</v>
      </c>
      <c r="K106" s="15">
        <v>0</v>
      </c>
      <c r="L106" s="1" t="s">
        <v>34</v>
      </c>
      <c r="M106" s="17">
        <f t="shared" si="28"/>
        <v>0.8571428571428571</v>
      </c>
      <c r="N106" s="18">
        <f t="shared" si="29"/>
        <v>0</v>
      </c>
      <c r="O106" s="17" t="str">
        <f t="shared" si="7"/>
        <v xml:space="preserve"> </v>
      </c>
      <c r="P106" s="17" t="str">
        <f t="shared" si="22"/>
        <v xml:space="preserve"> </v>
      </c>
      <c r="Q106" s="17" t="str">
        <f t="shared" si="9"/>
        <v xml:space="preserve"> </v>
      </c>
      <c r="R106" s="17">
        <f t="shared" si="30"/>
        <v>2.7569909413154787E-3</v>
      </c>
    </row>
    <row r="107" spans="1:18" ht="12.75">
      <c r="A107" s="12">
        <f t="shared" si="31"/>
        <v>28</v>
      </c>
      <c r="B107" s="13" t="s">
        <v>139</v>
      </c>
      <c r="C107" s="14" t="str">
        <f t="array" aca="1" ref="C107" ca="1">INDEX('Rooms Master'!U:U,MATCH(B107,'Rooms Master'!D:D,0))</f>
        <v>N</v>
      </c>
      <c r="D107" s="14"/>
      <c r="E107" s="15">
        <v>0</v>
      </c>
      <c r="F107" s="15">
        <v>0</v>
      </c>
      <c r="G107" s="15">
        <v>0</v>
      </c>
      <c r="H107" s="15">
        <v>0</v>
      </c>
      <c r="I107" s="15"/>
      <c r="J107" s="15">
        <v>0</v>
      </c>
      <c r="K107" s="15">
        <v>0</v>
      </c>
      <c r="L107" s="1" t="s">
        <v>24</v>
      </c>
      <c r="M107" s="17" t="str">
        <f t="shared" si="28"/>
        <v xml:space="preserve"> </v>
      </c>
      <c r="N107" s="18" t="str">
        <f t="shared" si="29"/>
        <v xml:space="preserve"> </v>
      </c>
      <c r="O107" s="17" t="str">
        <f t="shared" si="7"/>
        <v xml:space="preserve"> </v>
      </c>
      <c r="P107" s="17" t="str">
        <f t="shared" si="22"/>
        <v xml:space="preserve"> </v>
      </c>
      <c r="Q107" s="17" t="str">
        <f t="shared" si="9"/>
        <v xml:space="preserve"> </v>
      </c>
      <c r="R107" s="17">
        <f t="shared" si="30"/>
        <v>0</v>
      </c>
    </row>
    <row r="108" spans="1:18" ht="12.75">
      <c r="A108" s="12">
        <f t="shared" si="31"/>
        <v>29</v>
      </c>
      <c r="B108" s="13" t="s">
        <v>140</v>
      </c>
      <c r="C108" s="14" t="str">
        <f t="array" aca="1" ref="C108" ca="1">INDEX('Rooms Master'!U:U,MATCH(B108,'Rooms Master'!D:D,0))</f>
        <v>N</v>
      </c>
      <c r="D108" s="14"/>
      <c r="E108" s="15">
        <v>0</v>
      </c>
      <c r="F108" s="15">
        <v>0</v>
      </c>
      <c r="G108" s="15">
        <v>0</v>
      </c>
      <c r="H108" s="15">
        <v>0</v>
      </c>
      <c r="I108" s="15"/>
      <c r="J108" s="15">
        <v>0</v>
      </c>
      <c r="K108" s="15">
        <v>0</v>
      </c>
      <c r="L108" s="1" t="s">
        <v>24</v>
      </c>
      <c r="M108" s="17" t="str">
        <f t="shared" si="28"/>
        <v xml:space="preserve"> </v>
      </c>
      <c r="N108" s="18" t="str">
        <f t="shared" si="29"/>
        <v xml:space="preserve"> </v>
      </c>
      <c r="O108" s="17" t="str">
        <f t="shared" si="7"/>
        <v xml:space="preserve"> </v>
      </c>
      <c r="P108" s="17" t="str">
        <f t="shared" si="22"/>
        <v xml:space="preserve"> </v>
      </c>
      <c r="Q108" s="17" t="str">
        <f t="shared" si="9"/>
        <v xml:space="preserve"> </v>
      </c>
      <c r="R108" s="17">
        <f t="shared" si="30"/>
        <v>0</v>
      </c>
    </row>
    <row r="109" spans="1:18" ht="12.75">
      <c r="A109" s="12">
        <f t="shared" si="31"/>
        <v>30</v>
      </c>
      <c r="B109" s="13" t="s">
        <v>107</v>
      </c>
      <c r="C109" s="14" t="str">
        <f t="array" aca="1" ref="C109" ca="1">INDEX('Rooms Master'!U:U,MATCH(B109,'Rooms Master'!D:D,0))</f>
        <v>Y</v>
      </c>
      <c r="D109" s="14"/>
      <c r="E109" s="15">
        <v>0</v>
      </c>
      <c r="F109" s="15">
        <v>0</v>
      </c>
      <c r="G109" s="15">
        <v>0</v>
      </c>
      <c r="H109" s="15">
        <v>0</v>
      </c>
      <c r="I109" s="15"/>
      <c r="J109" s="15">
        <v>0</v>
      </c>
      <c r="K109" s="15">
        <v>0</v>
      </c>
      <c r="L109" s="1" t="s">
        <v>24</v>
      </c>
      <c r="M109" s="17" t="str">
        <f t="shared" si="28"/>
        <v xml:space="preserve"> </v>
      </c>
      <c r="N109" s="18" t="str">
        <f t="shared" si="29"/>
        <v xml:space="preserve"> </v>
      </c>
      <c r="O109" s="17" t="str">
        <f t="shared" si="7"/>
        <v xml:space="preserve"> </v>
      </c>
      <c r="P109" s="17" t="str">
        <f t="shared" si="22"/>
        <v xml:space="preserve"> </v>
      </c>
      <c r="Q109" s="17" t="str">
        <f t="shared" si="9"/>
        <v xml:space="preserve"> </v>
      </c>
      <c r="R109" s="17">
        <f t="shared" si="30"/>
        <v>0</v>
      </c>
    </row>
    <row r="110" spans="1:18" ht="12.75">
      <c r="A110" s="12">
        <f t="shared" si="31"/>
        <v>31</v>
      </c>
      <c r="B110" s="13" t="s">
        <v>72</v>
      </c>
      <c r="C110" s="14" t="str">
        <f t="array" aca="1" ref="C110" ca="1">INDEX('Rooms Master'!U:U,MATCH(B110,'Rooms Master'!D:D,0))</f>
        <v>N</v>
      </c>
      <c r="D110" s="15"/>
      <c r="E110" s="15">
        <v>8</v>
      </c>
      <c r="F110" s="15">
        <v>5</v>
      </c>
      <c r="G110" s="15">
        <v>0</v>
      </c>
      <c r="H110" s="15">
        <v>0</v>
      </c>
      <c r="I110" s="15"/>
      <c r="J110" s="15">
        <v>0</v>
      </c>
      <c r="K110" s="15">
        <v>0</v>
      </c>
      <c r="M110" s="17">
        <f t="shared" si="28"/>
        <v>0.625</v>
      </c>
      <c r="N110" s="18">
        <f t="shared" si="29"/>
        <v>0</v>
      </c>
      <c r="O110" s="17" t="str">
        <f t="shared" si="7"/>
        <v xml:space="preserve"> </v>
      </c>
      <c r="P110" s="17" t="str">
        <f t="shared" si="22"/>
        <v xml:space="preserve"> </v>
      </c>
      <c r="Q110" s="17" t="str">
        <f t="shared" si="9"/>
        <v xml:space="preserve"> </v>
      </c>
      <c r="R110" s="17">
        <f t="shared" si="30"/>
        <v>3.1508467900748325E-3</v>
      </c>
    </row>
    <row r="111" spans="1:18" ht="12.75">
      <c r="A111" s="12">
        <f t="shared" si="31"/>
        <v>32</v>
      </c>
      <c r="B111" s="13" t="s">
        <v>141</v>
      </c>
      <c r="C111" s="15" t="s">
        <v>142</v>
      </c>
      <c r="D111" s="14"/>
      <c r="E111" s="15">
        <v>0</v>
      </c>
      <c r="F111" s="15">
        <v>0</v>
      </c>
      <c r="G111" s="15">
        <v>4</v>
      </c>
      <c r="H111" s="15">
        <v>0</v>
      </c>
      <c r="I111" s="15"/>
      <c r="J111" s="15">
        <v>0</v>
      </c>
      <c r="K111" s="15">
        <v>0</v>
      </c>
      <c r="L111" s="1" t="s">
        <v>24</v>
      </c>
      <c r="M111" s="17" t="str">
        <f t="shared" si="28"/>
        <v xml:space="preserve"> </v>
      </c>
      <c r="N111" s="18" t="str">
        <f t="shared" si="29"/>
        <v xml:space="preserve"> </v>
      </c>
      <c r="O111" s="17" t="str">
        <f t="shared" si="7"/>
        <v xml:space="preserve"> </v>
      </c>
      <c r="P111" s="17" t="str">
        <f t="shared" si="22"/>
        <v xml:space="preserve"> </v>
      </c>
      <c r="Q111" s="17" t="str">
        <f t="shared" si="9"/>
        <v xml:space="preserve"> </v>
      </c>
      <c r="R111" s="17">
        <f t="shared" si="30"/>
        <v>0</v>
      </c>
    </row>
    <row r="112" spans="1:18" ht="12.75">
      <c r="A112" s="12">
        <f t="shared" si="31"/>
        <v>33</v>
      </c>
      <c r="B112" s="13" t="s">
        <v>120</v>
      </c>
      <c r="C112" s="14" t="str">
        <f t="array" aca="1" ref="C112" ca="1">INDEX('Rooms Master'!U:U,MATCH(B112,'Rooms Master'!D:D,0))</f>
        <v>N</v>
      </c>
      <c r="D112" s="14"/>
      <c r="E112" s="15">
        <v>0</v>
      </c>
      <c r="F112" s="15">
        <v>0</v>
      </c>
      <c r="G112" s="15">
        <v>0</v>
      </c>
      <c r="H112" s="15">
        <v>0</v>
      </c>
      <c r="I112" s="15"/>
      <c r="J112" s="15">
        <v>0</v>
      </c>
      <c r="K112" s="15">
        <v>0</v>
      </c>
      <c r="L112" s="1" t="s">
        <v>24</v>
      </c>
      <c r="M112" s="17" t="str">
        <f t="shared" si="28"/>
        <v xml:space="preserve"> </v>
      </c>
      <c r="N112" s="18" t="str">
        <f t="shared" si="29"/>
        <v xml:space="preserve"> </v>
      </c>
      <c r="O112" s="17" t="str">
        <f t="shared" si="7"/>
        <v xml:space="preserve"> </v>
      </c>
      <c r="P112" s="17" t="str">
        <f t="shared" si="22"/>
        <v xml:space="preserve"> </v>
      </c>
      <c r="Q112" s="17" t="str">
        <f t="shared" si="9"/>
        <v xml:space="preserve"> </v>
      </c>
      <c r="R112" s="17">
        <f t="shared" si="30"/>
        <v>0</v>
      </c>
    </row>
    <row r="113" spans="1:29" ht="12.75">
      <c r="A113" s="12">
        <f t="shared" si="31"/>
        <v>34</v>
      </c>
      <c r="B113" s="13" t="s">
        <v>121</v>
      </c>
      <c r="C113" s="14" t="str">
        <f t="array" aca="1" ref="C113" ca="1">INDEX('Rooms Master'!U:U,MATCH(B113,'Rooms Master'!D:D,0))</f>
        <v>N</v>
      </c>
      <c r="D113" s="14"/>
      <c r="E113" s="15">
        <v>0</v>
      </c>
      <c r="F113" s="15">
        <v>0</v>
      </c>
      <c r="G113" s="15">
        <v>0</v>
      </c>
      <c r="H113" s="15">
        <v>0</v>
      </c>
      <c r="I113" s="15"/>
      <c r="J113" s="15">
        <v>0</v>
      </c>
      <c r="K113" s="15">
        <v>0</v>
      </c>
      <c r="L113" s="1" t="s">
        <v>24</v>
      </c>
      <c r="M113" s="17" t="str">
        <f t="shared" si="28"/>
        <v xml:space="preserve"> </v>
      </c>
      <c r="N113" s="18" t="str">
        <f t="shared" si="29"/>
        <v xml:space="preserve"> </v>
      </c>
      <c r="O113" s="17" t="str">
        <f t="shared" si="7"/>
        <v xml:space="preserve"> </v>
      </c>
      <c r="P113" s="17" t="str">
        <f t="shared" si="22"/>
        <v xml:space="preserve"> </v>
      </c>
      <c r="Q113" s="17" t="str">
        <f t="shared" si="9"/>
        <v xml:space="preserve"> </v>
      </c>
      <c r="R113" s="17">
        <f t="shared" si="30"/>
        <v>0</v>
      </c>
    </row>
    <row r="114" spans="1:29" ht="12.75">
      <c r="A114" s="12">
        <f t="shared" si="31"/>
        <v>35</v>
      </c>
      <c r="B114" s="13" t="s">
        <v>91</v>
      </c>
      <c r="C114" s="14" t="str">
        <f t="array" aca="1" ref="C114" ca="1">INDEX('Rooms Master'!U:U,MATCH(B114,'Rooms Master'!D:D,0))</f>
        <v>N</v>
      </c>
      <c r="D114" s="15"/>
      <c r="E114" s="15">
        <v>9</v>
      </c>
      <c r="F114" s="15">
        <v>7</v>
      </c>
      <c r="G114" s="15">
        <v>0</v>
      </c>
      <c r="H114" s="15">
        <v>0</v>
      </c>
      <c r="I114" s="26"/>
      <c r="J114" s="15">
        <v>0</v>
      </c>
      <c r="K114" s="15">
        <v>0</v>
      </c>
      <c r="L114" s="1" t="s">
        <v>20</v>
      </c>
      <c r="M114" s="17">
        <f t="shared" si="28"/>
        <v>0.77777777777777779</v>
      </c>
      <c r="N114" s="18">
        <f t="shared" si="29"/>
        <v>0</v>
      </c>
      <c r="O114" s="17" t="str">
        <f t="shared" si="7"/>
        <v xml:space="preserve"> </v>
      </c>
      <c r="P114" s="17" t="str">
        <f>IFERROR(K114/#REF!, " ")</f>
        <v xml:space="preserve"> </v>
      </c>
      <c r="Q114" s="17" t="str">
        <f t="shared" si="9"/>
        <v xml:space="preserve"> </v>
      </c>
      <c r="R114" s="17">
        <f t="shared" si="30"/>
        <v>3.5447026388341868E-3</v>
      </c>
    </row>
    <row r="115" spans="1:29" ht="12.75">
      <c r="A115" s="12">
        <f t="shared" si="31"/>
        <v>36</v>
      </c>
      <c r="B115" s="13" t="s">
        <v>111</v>
      </c>
      <c r="C115" s="14" t="str">
        <f t="array" aca="1" ref="C115" ca="1">INDEX('Rooms Master'!U:U,MATCH(B115,'Rooms Master'!D:D,0))</f>
        <v>N</v>
      </c>
      <c r="D115" s="14"/>
      <c r="E115" s="15">
        <v>3</v>
      </c>
      <c r="F115" s="15">
        <v>3</v>
      </c>
      <c r="G115" s="15">
        <v>0</v>
      </c>
      <c r="H115" s="15">
        <v>0</v>
      </c>
      <c r="I115" s="15"/>
      <c r="J115" s="15">
        <v>0</v>
      </c>
      <c r="K115" s="15">
        <v>0</v>
      </c>
      <c r="L115" s="1" t="s">
        <v>24</v>
      </c>
      <c r="M115" s="17">
        <f t="shared" si="28"/>
        <v>1</v>
      </c>
      <c r="N115" s="18">
        <f t="shared" si="29"/>
        <v>0</v>
      </c>
      <c r="O115" s="17" t="str">
        <f t="shared" si="7"/>
        <v xml:space="preserve"> </v>
      </c>
      <c r="P115" s="17" t="str">
        <f>IFERROR(K115/I115, " ")</f>
        <v xml:space="preserve"> </v>
      </c>
      <c r="Q115" s="17" t="str">
        <f t="shared" si="9"/>
        <v xml:space="preserve"> </v>
      </c>
      <c r="R115" s="17">
        <f t="shared" si="30"/>
        <v>1.1815675462780622E-3</v>
      </c>
    </row>
    <row r="116" spans="1:29" ht="12.75">
      <c r="C116" s="29"/>
      <c r="D116" s="29"/>
      <c r="E116" s="29"/>
      <c r="F116" s="29"/>
      <c r="G116" s="29"/>
      <c r="H116" s="29"/>
      <c r="I116" s="29"/>
      <c r="J116" s="29"/>
      <c r="K116" s="29"/>
      <c r="M116" s="17"/>
      <c r="N116" s="18" t="str">
        <f t="shared" si="29"/>
        <v xml:space="preserve"> </v>
      </c>
      <c r="R116" s="17"/>
    </row>
    <row r="117" spans="1:29" ht="13.15">
      <c r="A117" s="30"/>
      <c r="B117" s="31" t="s">
        <v>143</v>
      </c>
      <c r="C117" s="32"/>
      <c r="D117" s="32"/>
      <c r="E117" s="32">
        <f t="shared" ref="E117:K117" si="32">SUM(E2:E115)</f>
        <v>2539</v>
      </c>
      <c r="F117" s="32">
        <f t="shared" si="32"/>
        <v>785</v>
      </c>
      <c r="G117" s="32">
        <f t="shared" si="32"/>
        <v>471</v>
      </c>
      <c r="H117" s="32">
        <f t="shared" si="32"/>
        <v>176</v>
      </c>
      <c r="I117" s="32">
        <f t="shared" si="32"/>
        <v>15</v>
      </c>
      <c r="J117" s="32">
        <f t="shared" si="32"/>
        <v>16</v>
      </c>
      <c r="K117" s="32">
        <f t="shared" si="32"/>
        <v>11</v>
      </c>
      <c r="L117" s="30"/>
      <c r="M117" s="33"/>
      <c r="N117" s="34">
        <f t="shared" si="29"/>
        <v>6.9318629381646318E-2</v>
      </c>
      <c r="O117" s="33">
        <f>K117/H117</f>
        <v>6.25E-2</v>
      </c>
      <c r="P117" s="33">
        <f>K117/I117</f>
        <v>0.73333333333333328</v>
      </c>
      <c r="Q117" s="33">
        <f>K117/J117</f>
        <v>0.6875</v>
      </c>
      <c r="R117" s="33">
        <f>K117/E117</f>
        <v>4.3324143363528949E-3</v>
      </c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 spans="1:29" ht="12.75">
      <c r="M118" s="17"/>
      <c r="N118" s="35"/>
      <c r="R118" s="17"/>
    </row>
    <row r="119" spans="1:29" ht="13.5">
      <c r="B119" s="21" t="s">
        <v>144</v>
      </c>
      <c r="C119" s="36">
        <f ca="1">IFERROR(__xludf.DUMMYFUNCTION("AVERAGE(FILTER($E$2:$E$115,$C2:$C$115=""Y""))"),27.1044776119402)</f>
        <v>27.104477611940201</v>
      </c>
      <c r="K119" s="37"/>
      <c r="M119" s="17"/>
      <c r="N119" s="35"/>
      <c r="R119" s="17"/>
    </row>
    <row r="120" spans="1:29" ht="12.75">
      <c r="M120" s="17"/>
      <c r="N120" s="35"/>
      <c r="R120" s="17"/>
    </row>
    <row r="121" spans="1:29" ht="12.75">
      <c r="M121" s="17"/>
      <c r="N121" s="35"/>
      <c r="R121" s="17"/>
    </row>
    <row r="122" spans="1:29" ht="12.75">
      <c r="M122" s="17"/>
      <c r="N122" s="35"/>
      <c r="R122" s="17"/>
    </row>
    <row r="123" spans="1:29" ht="12.75">
      <c r="B123" s="13"/>
      <c r="C123" s="25"/>
      <c r="D123" s="25"/>
      <c r="F123" s="38"/>
      <c r="G123" s="38"/>
      <c r="H123" s="38"/>
      <c r="I123" s="38"/>
      <c r="J123" s="38"/>
      <c r="K123" s="38"/>
      <c r="M123" s="17"/>
      <c r="N123" s="35"/>
      <c r="R123" s="17"/>
    </row>
    <row r="124" spans="1:29" ht="12.75">
      <c r="B124" s="13"/>
      <c r="C124" s="25"/>
      <c r="D124" s="25"/>
      <c r="F124" s="38"/>
      <c r="G124" s="38"/>
      <c r="H124" s="38"/>
      <c r="I124" s="38"/>
      <c r="J124" s="38"/>
      <c r="K124" s="38"/>
      <c r="M124" s="17"/>
      <c r="N124" s="35"/>
      <c r="R124" s="17"/>
    </row>
    <row r="125" spans="1:29" ht="12.75">
      <c r="B125" s="13"/>
      <c r="C125" s="25"/>
      <c r="D125" s="25"/>
      <c r="F125" s="38"/>
      <c r="G125" s="38"/>
      <c r="H125" s="38"/>
      <c r="I125" s="38"/>
      <c r="J125" s="38"/>
      <c r="K125" s="38"/>
      <c r="M125" s="17"/>
      <c r="N125" s="35"/>
      <c r="R125" s="17"/>
    </row>
    <row r="126" spans="1:29" ht="12.75">
      <c r="B126" s="13"/>
      <c r="C126" s="25"/>
      <c r="D126" s="25"/>
      <c r="F126" s="38"/>
      <c r="G126" s="38"/>
      <c r="H126" s="38"/>
      <c r="I126" s="38"/>
      <c r="J126" s="38"/>
      <c r="K126" s="38"/>
      <c r="M126" s="17"/>
      <c r="N126" s="35"/>
      <c r="R126" s="17"/>
    </row>
    <row r="127" spans="1:29" ht="12.75">
      <c r="B127" s="13"/>
      <c r="C127" s="25"/>
      <c r="D127" s="25"/>
      <c r="F127" s="38"/>
      <c r="G127" s="38"/>
      <c r="H127" s="38"/>
      <c r="I127" s="38"/>
      <c r="J127" s="38"/>
      <c r="K127" s="38"/>
      <c r="M127" s="17"/>
      <c r="N127" s="35"/>
      <c r="R127" s="17"/>
    </row>
    <row r="128" spans="1:29" ht="12.75">
      <c r="B128" s="13"/>
      <c r="C128" s="25"/>
      <c r="D128" s="25"/>
      <c r="F128" s="38"/>
      <c r="G128" s="38"/>
      <c r="H128" s="38"/>
      <c r="I128" s="38"/>
      <c r="J128" s="38"/>
      <c r="K128" s="38"/>
      <c r="M128" s="17"/>
      <c r="N128" s="35"/>
      <c r="R128" s="17"/>
    </row>
    <row r="129" spans="2:18" ht="12.75">
      <c r="B129" s="13"/>
      <c r="C129" s="25"/>
      <c r="D129" s="25"/>
      <c r="F129" s="38"/>
      <c r="G129" s="38"/>
      <c r="H129" s="38"/>
      <c r="I129" s="38"/>
      <c r="J129" s="38"/>
      <c r="K129" s="38"/>
      <c r="M129" s="17"/>
      <c r="N129" s="35"/>
      <c r="R129" s="17"/>
    </row>
    <row r="130" spans="2:18" ht="12.75">
      <c r="B130" s="13"/>
      <c r="C130" s="25"/>
      <c r="D130" s="25"/>
      <c r="F130" s="38"/>
      <c r="G130" s="38"/>
      <c r="H130" s="38"/>
      <c r="I130" s="38"/>
      <c r="J130" s="38"/>
      <c r="K130" s="38"/>
      <c r="M130" s="17"/>
      <c r="N130" s="35"/>
      <c r="R130" s="17"/>
    </row>
    <row r="131" spans="2:18" ht="12.75">
      <c r="B131" s="13"/>
      <c r="C131" s="25"/>
      <c r="D131" s="25"/>
      <c r="F131" s="38"/>
      <c r="G131" s="38"/>
      <c r="H131" s="38"/>
      <c r="I131" s="38"/>
      <c r="J131" s="38"/>
      <c r="K131" s="38"/>
      <c r="M131" s="17"/>
      <c r="N131" s="35"/>
      <c r="R131" s="17"/>
    </row>
    <row r="132" spans="2:18" ht="12.75">
      <c r="B132" s="13"/>
      <c r="C132" s="25"/>
      <c r="D132" s="25"/>
      <c r="F132" s="38"/>
      <c r="G132" s="38"/>
      <c r="H132" s="38"/>
      <c r="I132" s="38"/>
      <c r="J132" s="38"/>
      <c r="K132" s="38"/>
      <c r="M132" s="17"/>
      <c r="N132" s="35"/>
      <c r="R132" s="17"/>
    </row>
    <row r="133" spans="2:18" ht="12.75">
      <c r="B133" s="13"/>
      <c r="C133" s="25"/>
      <c r="D133" s="25"/>
      <c r="F133" s="38"/>
      <c r="G133" s="38"/>
      <c r="H133" s="38"/>
      <c r="I133" s="38"/>
      <c r="J133" s="38"/>
      <c r="K133" s="38"/>
      <c r="M133" s="17"/>
      <c r="N133" s="35"/>
      <c r="R133" s="17"/>
    </row>
    <row r="134" spans="2:18" ht="12.75">
      <c r="B134" s="13"/>
      <c r="C134" s="25"/>
      <c r="D134" s="25"/>
      <c r="F134" s="38"/>
      <c r="G134" s="38"/>
      <c r="H134" s="38"/>
      <c r="I134" s="38"/>
      <c r="J134" s="38"/>
      <c r="K134" s="38"/>
      <c r="M134" s="17"/>
      <c r="N134" s="35"/>
      <c r="R134" s="17"/>
    </row>
    <row r="135" spans="2:18" ht="12.75">
      <c r="B135" s="13"/>
      <c r="C135" s="25"/>
      <c r="D135" s="25"/>
      <c r="F135" s="38"/>
      <c r="G135" s="38"/>
      <c r="H135" s="38"/>
      <c r="I135" s="38"/>
      <c r="J135" s="38"/>
      <c r="K135" s="38"/>
      <c r="M135" s="17"/>
      <c r="N135" s="35"/>
      <c r="R135" s="17"/>
    </row>
    <row r="136" spans="2:18" ht="12.75">
      <c r="B136" s="13"/>
      <c r="C136" s="25"/>
      <c r="D136" s="25"/>
      <c r="F136" s="38"/>
      <c r="G136" s="38"/>
      <c r="H136" s="38"/>
      <c r="I136" s="38"/>
      <c r="J136" s="38"/>
      <c r="K136" s="38"/>
      <c r="M136" s="17"/>
      <c r="N136" s="35"/>
      <c r="R136" s="17"/>
    </row>
    <row r="137" spans="2:18" ht="12.75">
      <c r="B137" s="13"/>
      <c r="C137" s="25"/>
      <c r="D137" s="25"/>
      <c r="F137" s="38"/>
      <c r="G137" s="38"/>
      <c r="H137" s="38"/>
      <c r="I137" s="38"/>
      <c r="J137" s="38"/>
      <c r="K137" s="38"/>
      <c r="M137" s="17"/>
      <c r="N137" s="35"/>
      <c r="R137" s="17"/>
    </row>
    <row r="138" spans="2:18" ht="12.75">
      <c r="B138" s="13"/>
      <c r="C138" s="25"/>
      <c r="D138" s="25"/>
      <c r="F138" s="38"/>
      <c r="G138" s="38"/>
      <c r="H138" s="38"/>
      <c r="I138" s="38"/>
      <c r="J138" s="38"/>
      <c r="K138" s="38"/>
      <c r="M138" s="17"/>
      <c r="N138" s="35"/>
      <c r="R138" s="17"/>
    </row>
    <row r="139" spans="2:18" ht="12.75">
      <c r="B139" s="13"/>
      <c r="C139" s="13"/>
      <c r="D139" s="13"/>
      <c r="F139" s="38"/>
      <c r="G139" s="38"/>
      <c r="H139" s="38"/>
      <c r="I139" s="38"/>
      <c r="J139" s="38"/>
      <c r="K139" s="38"/>
      <c r="M139" s="17"/>
      <c r="N139" s="35"/>
      <c r="R139" s="17"/>
    </row>
    <row r="140" spans="2:18" ht="12.75">
      <c r="B140" s="13"/>
      <c r="C140" s="25"/>
      <c r="D140" s="25"/>
      <c r="F140" s="38"/>
      <c r="G140" s="38"/>
      <c r="H140" s="38"/>
      <c r="I140" s="38"/>
      <c r="J140" s="38"/>
      <c r="K140" s="38"/>
      <c r="M140" s="17"/>
      <c r="N140" s="35"/>
      <c r="R140" s="17"/>
    </row>
    <row r="141" spans="2:18" ht="12.75">
      <c r="B141" s="13"/>
      <c r="C141" s="25"/>
      <c r="D141" s="25"/>
      <c r="F141" s="38"/>
      <c r="G141" s="38"/>
      <c r="H141" s="38"/>
      <c r="I141" s="38"/>
      <c r="J141" s="38"/>
      <c r="K141" s="38"/>
      <c r="M141" s="17"/>
      <c r="N141" s="35"/>
      <c r="R141" s="17"/>
    </row>
    <row r="142" spans="2:18" ht="12.75">
      <c r="B142" s="13"/>
      <c r="C142" s="25"/>
      <c r="D142" s="25"/>
      <c r="F142" s="38"/>
      <c r="G142" s="38"/>
      <c r="H142" s="38"/>
      <c r="I142" s="38"/>
      <c r="J142" s="38"/>
      <c r="K142" s="38"/>
      <c r="M142" s="17"/>
      <c r="N142" s="35"/>
      <c r="R142" s="17"/>
    </row>
    <row r="143" spans="2:18" ht="12.75">
      <c r="B143" s="13"/>
      <c r="C143" s="25"/>
      <c r="D143" s="25"/>
      <c r="F143" s="38"/>
      <c r="G143" s="38"/>
      <c r="H143" s="38"/>
      <c r="I143" s="38"/>
      <c r="J143" s="38"/>
      <c r="K143" s="38"/>
      <c r="M143" s="17"/>
      <c r="N143" s="35"/>
      <c r="R143" s="17"/>
    </row>
    <row r="144" spans="2:18" ht="12.75">
      <c r="B144" s="13"/>
      <c r="C144" s="25"/>
      <c r="D144" s="25"/>
      <c r="F144" s="38"/>
      <c r="G144" s="38"/>
      <c r="H144" s="38"/>
      <c r="I144" s="38"/>
      <c r="J144" s="38"/>
      <c r="K144" s="38"/>
      <c r="M144" s="17"/>
      <c r="N144" s="35"/>
      <c r="R144" s="17"/>
    </row>
    <row r="145" spans="2:18" ht="12.75">
      <c r="B145" s="13"/>
      <c r="C145" s="25"/>
      <c r="D145" s="25"/>
      <c r="F145" s="38"/>
      <c r="G145" s="38"/>
      <c r="H145" s="38"/>
      <c r="I145" s="38"/>
      <c r="J145" s="38"/>
      <c r="K145" s="38"/>
      <c r="M145" s="17"/>
      <c r="N145" s="35"/>
      <c r="R145" s="17"/>
    </row>
    <row r="146" spans="2:18" ht="12.75">
      <c r="B146" s="13"/>
      <c r="C146" s="25"/>
      <c r="D146" s="25"/>
      <c r="F146" s="38"/>
      <c r="G146" s="38"/>
      <c r="H146" s="38"/>
      <c r="I146" s="38"/>
      <c r="J146" s="38"/>
      <c r="K146" s="38"/>
      <c r="M146" s="17"/>
      <c r="N146" s="35"/>
      <c r="R146" s="17"/>
    </row>
    <row r="147" spans="2:18" ht="12.75">
      <c r="B147" s="13"/>
      <c r="C147" s="13"/>
      <c r="D147" s="13"/>
      <c r="F147" s="38"/>
      <c r="G147" s="38"/>
      <c r="H147" s="38"/>
      <c r="I147" s="38"/>
      <c r="J147" s="38"/>
      <c r="K147" s="38"/>
      <c r="M147" s="17"/>
      <c r="N147" s="35"/>
      <c r="R147" s="17"/>
    </row>
    <row r="148" spans="2:18" ht="12.75">
      <c r="B148" s="13"/>
      <c r="C148" s="25"/>
      <c r="D148" s="25"/>
      <c r="F148" s="38"/>
      <c r="G148" s="38"/>
      <c r="H148" s="38"/>
      <c r="I148" s="38"/>
      <c r="J148" s="38"/>
      <c r="K148" s="38"/>
      <c r="M148" s="17"/>
      <c r="N148" s="35"/>
      <c r="R148" s="17"/>
    </row>
    <row r="149" spans="2:18" ht="12.75">
      <c r="B149" s="13"/>
      <c r="C149" s="25"/>
      <c r="D149" s="25"/>
      <c r="F149" s="38"/>
      <c r="G149" s="38"/>
      <c r="H149" s="38"/>
      <c r="I149" s="38"/>
      <c r="J149" s="38"/>
      <c r="K149" s="38"/>
      <c r="M149" s="17"/>
      <c r="N149" s="35"/>
      <c r="R149" s="17"/>
    </row>
    <row r="150" spans="2:18" ht="12.75">
      <c r="B150" s="13"/>
      <c r="C150" s="25"/>
      <c r="D150" s="25"/>
      <c r="F150" s="38"/>
      <c r="G150" s="38"/>
      <c r="H150" s="38"/>
      <c r="I150" s="38"/>
      <c r="J150" s="38"/>
      <c r="K150" s="38"/>
      <c r="M150" s="17"/>
      <c r="N150" s="35"/>
      <c r="R150" s="17"/>
    </row>
    <row r="151" spans="2:18" ht="12.75">
      <c r="B151" s="13"/>
      <c r="C151" s="25"/>
      <c r="D151" s="25"/>
      <c r="F151" s="38"/>
      <c r="G151" s="38"/>
      <c r="H151" s="38"/>
      <c r="I151" s="38"/>
      <c r="J151" s="38"/>
      <c r="K151" s="38"/>
      <c r="M151" s="17"/>
      <c r="N151" s="35"/>
      <c r="R151" s="17"/>
    </row>
    <row r="152" spans="2:18" ht="12.75">
      <c r="B152" s="13"/>
      <c r="C152" s="25"/>
      <c r="D152" s="25"/>
      <c r="F152" s="38"/>
      <c r="G152" s="38"/>
      <c r="H152" s="38"/>
      <c r="I152" s="38"/>
      <c r="J152" s="38"/>
      <c r="K152" s="38"/>
      <c r="M152" s="17"/>
      <c r="N152" s="35"/>
      <c r="R152" s="17"/>
    </row>
    <row r="153" spans="2:18" ht="12.75">
      <c r="B153" s="13"/>
      <c r="C153" s="25"/>
      <c r="D153" s="25"/>
      <c r="F153" s="38"/>
      <c r="G153" s="38"/>
      <c r="H153" s="38"/>
      <c r="I153" s="38"/>
      <c r="J153" s="38"/>
      <c r="K153" s="38"/>
      <c r="M153" s="17"/>
      <c r="N153" s="35"/>
      <c r="R153" s="17"/>
    </row>
    <row r="154" spans="2:18" ht="12.75">
      <c r="B154" s="13"/>
      <c r="C154" s="25"/>
      <c r="D154" s="25"/>
      <c r="F154" s="38"/>
      <c r="G154" s="38"/>
      <c r="H154" s="38"/>
      <c r="I154" s="38"/>
      <c r="J154" s="38"/>
      <c r="K154" s="38"/>
      <c r="M154" s="17"/>
      <c r="N154" s="35"/>
      <c r="R154" s="17"/>
    </row>
    <row r="155" spans="2:18" ht="12.75">
      <c r="B155" s="13"/>
      <c r="C155" s="25"/>
      <c r="D155" s="25"/>
      <c r="F155" s="38"/>
      <c r="G155" s="38"/>
      <c r="H155" s="38"/>
      <c r="I155" s="38"/>
      <c r="J155" s="38"/>
      <c r="K155" s="38"/>
      <c r="M155" s="17"/>
      <c r="N155" s="35"/>
      <c r="R155" s="17"/>
    </row>
    <row r="156" spans="2:18" ht="12.75">
      <c r="B156" s="13"/>
      <c r="C156" s="25"/>
      <c r="D156" s="25"/>
      <c r="F156" s="38"/>
      <c r="G156" s="38"/>
      <c r="H156" s="38"/>
      <c r="I156" s="38"/>
      <c r="J156" s="38"/>
      <c r="K156" s="38"/>
      <c r="M156" s="17"/>
      <c r="N156" s="35"/>
      <c r="R156" s="17"/>
    </row>
    <row r="157" spans="2:18" ht="12.75">
      <c r="B157" s="13"/>
      <c r="C157" s="25"/>
      <c r="D157" s="25"/>
      <c r="F157" s="38"/>
      <c r="G157" s="38"/>
      <c r="H157" s="38"/>
      <c r="I157" s="38"/>
      <c r="J157" s="38"/>
      <c r="K157" s="38"/>
      <c r="M157" s="17"/>
      <c r="N157" s="35"/>
      <c r="R157" s="17"/>
    </row>
    <row r="158" spans="2:18" ht="12.75">
      <c r="B158" s="13"/>
      <c r="C158" s="25"/>
      <c r="D158" s="25"/>
      <c r="F158" s="38"/>
      <c r="G158" s="38"/>
      <c r="H158" s="38"/>
      <c r="I158" s="38"/>
      <c r="J158" s="38"/>
      <c r="K158" s="38"/>
      <c r="M158" s="17"/>
      <c r="N158" s="35"/>
      <c r="R158" s="17"/>
    </row>
    <row r="159" spans="2:18" ht="12.75">
      <c r="B159" s="13"/>
      <c r="C159" s="25"/>
      <c r="D159" s="25"/>
      <c r="F159" s="38"/>
      <c r="G159" s="38"/>
      <c r="H159" s="38"/>
      <c r="I159" s="38"/>
      <c r="J159" s="38"/>
      <c r="K159" s="38"/>
      <c r="M159" s="17"/>
      <c r="N159" s="35"/>
      <c r="R159" s="17"/>
    </row>
    <row r="160" spans="2:18" ht="12.75">
      <c r="B160" s="13"/>
      <c r="C160" s="25"/>
      <c r="D160" s="25"/>
      <c r="F160" s="38"/>
      <c r="G160" s="38"/>
      <c r="H160" s="38"/>
      <c r="I160" s="38"/>
      <c r="J160" s="38"/>
      <c r="K160" s="38"/>
      <c r="M160" s="17"/>
      <c r="N160" s="35"/>
      <c r="R160" s="17"/>
    </row>
    <row r="161" spans="2:18" ht="12.75">
      <c r="B161" s="13"/>
      <c r="C161" s="25"/>
      <c r="D161" s="25"/>
      <c r="F161" s="38"/>
      <c r="G161" s="38"/>
      <c r="H161" s="38"/>
      <c r="I161" s="38"/>
      <c r="J161" s="38"/>
      <c r="K161" s="38"/>
      <c r="M161" s="17"/>
      <c r="N161" s="35"/>
      <c r="R161" s="17"/>
    </row>
    <row r="162" spans="2:18" ht="12.75">
      <c r="B162" s="13"/>
      <c r="C162" s="25"/>
      <c r="D162" s="25"/>
      <c r="F162" s="38"/>
      <c r="G162" s="38"/>
      <c r="H162" s="38"/>
      <c r="I162" s="38"/>
      <c r="J162" s="38"/>
      <c r="K162" s="38"/>
      <c r="M162" s="17"/>
      <c r="N162" s="35"/>
      <c r="R162" s="17"/>
    </row>
    <row r="163" spans="2:18" ht="12.75">
      <c r="B163" s="13"/>
      <c r="C163" s="25"/>
      <c r="D163" s="25"/>
      <c r="F163" s="38"/>
      <c r="G163" s="38"/>
      <c r="H163" s="38"/>
      <c r="I163" s="38"/>
      <c r="J163" s="38"/>
      <c r="K163" s="38"/>
      <c r="M163" s="17"/>
      <c r="N163" s="35"/>
      <c r="R163" s="17"/>
    </row>
    <row r="164" spans="2:18" ht="12.75">
      <c r="B164" s="13"/>
      <c r="C164" s="25"/>
      <c r="D164" s="25"/>
      <c r="F164" s="38"/>
      <c r="G164" s="38"/>
      <c r="H164" s="38"/>
      <c r="I164" s="38"/>
      <c r="J164" s="38"/>
      <c r="K164" s="38"/>
      <c r="M164" s="17"/>
      <c r="N164" s="35"/>
      <c r="R164" s="17"/>
    </row>
    <row r="165" spans="2:18" ht="12.75">
      <c r="B165" s="13"/>
      <c r="C165" s="25"/>
      <c r="D165" s="25"/>
      <c r="F165" s="38"/>
      <c r="G165" s="38"/>
      <c r="H165" s="38"/>
      <c r="I165" s="38"/>
      <c r="J165" s="38"/>
      <c r="K165" s="38"/>
      <c r="M165" s="17"/>
      <c r="N165" s="35"/>
      <c r="R165" s="17"/>
    </row>
    <row r="166" spans="2:18" ht="12.75">
      <c r="B166" s="13"/>
      <c r="C166" s="25"/>
      <c r="D166" s="25"/>
      <c r="F166" s="38"/>
      <c r="G166" s="38"/>
      <c r="H166" s="38"/>
      <c r="I166" s="38"/>
      <c r="J166" s="38"/>
      <c r="K166" s="38"/>
      <c r="M166" s="17"/>
      <c r="N166" s="35"/>
      <c r="R166" s="17"/>
    </row>
    <row r="167" spans="2:18" ht="12.75">
      <c r="B167" s="13"/>
      <c r="C167" s="25"/>
      <c r="D167" s="25"/>
      <c r="F167" s="38"/>
      <c r="G167" s="38"/>
      <c r="H167" s="38"/>
      <c r="I167" s="38"/>
      <c r="J167" s="38"/>
      <c r="K167" s="38"/>
      <c r="M167" s="17"/>
      <c r="N167" s="35"/>
      <c r="R167" s="17"/>
    </row>
    <row r="168" spans="2:18" ht="12.75">
      <c r="B168" s="13"/>
      <c r="C168" s="25"/>
      <c r="D168" s="25"/>
      <c r="F168" s="38"/>
      <c r="G168" s="38"/>
      <c r="H168" s="38"/>
      <c r="I168" s="38"/>
      <c r="J168" s="38"/>
      <c r="K168" s="38"/>
      <c r="M168" s="17"/>
      <c r="N168" s="35"/>
      <c r="R168" s="17"/>
    </row>
    <row r="169" spans="2:18" ht="12.75">
      <c r="B169" s="13"/>
      <c r="C169" s="25"/>
      <c r="D169" s="25"/>
      <c r="F169" s="38"/>
      <c r="G169" s="38"/>
      <c r="H169" s="38"/>
      <c r="I169" s="38"/>
      <c r="J169" s="38"/>
      <c r="K169" s="38"/>
      <c r="M169" s="17"/>
      <c r="N169" s="35"/>
      <c r="R169" s="17"/>
    </row>
    <row r="170" spans="2:18" ht="12.75">
      <c r="B170" s="13"/>
      <c r="C170" s="25"/>
      <c r="D170" s="25"/>
      <c r="F170" s="38"/>
      <c r="G170" s="38"/>
      <c r="H170" s="38"/>
      <c r="I170" s="38"/>
      <c r="J170" s="38"/>
      <c r="K170" s="38"/>
      <c r="M170" s="17"/>
      <c r="N170" s="35"/>
      <c r="R170" s="17"/>
    </row>
    <row r="171" spans="2:18" ht="12.75">
      <c r="B171" s="13"/>
      <c r="C171" s="25"/>
      <c r="D171" s="25"/>
      <c r="F171" s="38"/>
      <c r="G171" s="38"/>
      <c r="H171" s="38"/>
      <c r="I171" s="38"/>
      <c r="J171" s="38"/>
      <c r="K171" s="38"/>
      <c r="M171" s="17"/>
      <c r="N171" s="35"/>
      <c r="R171" s="17"/>
    </row>
    <row r="172" spans="2:18" ht="12.75">
      <c r="B172" s="13"/>
      <c r="C172" s="25"/>
      <c r="D172" s="25"/>
      <c r="F172" s="38"/>
      <c r="G172" s="38"/>
      <c r="H172" s="38"/>
      <c r="I172" s="38"/>
      <c r="J172" s="38"/>
      <c r="K172" s="38"/>
      <c r="M172" s="17"/>
      <c r="N172" s="35"/>
      <c r="R172" s="17"/>
    </row>
    <row r="173" spans="2:18" ht="12.75">
      <c r="B173" s="13"/>
      <c r="C173" s="25"/>
      <c r="D173" s="25"/>
      <c r="F173" s="38"/>
      <c r="G173" s="38"/>
      <c r="H173" s="38"/>
      <c r="I173" s="38"/>
      <c r="J173" s="38"/>
      <c r="K173" s="38"/>
      <c r="M173" s="17"/>
      <c r="N173" s="35"/>
      <c r="R173" s="17"/>
    </row>
    <row r="174" spans="2:18" ht="12.75">
      <c r="B174" s="13"/>
      <c r="C174" s="25"/>
      <c r="D174" s="25"/>
      <c r="F174" s="38"/>
      <c r="G174" s="38"/>
      <c r="H174" s="38"/>
      <c r="I174" s="38"/>
      <c r="J174" s="38"/>
      <c r="K174" s="38"/>
      <c r="M174" s="17"/>
      <c r="N174" s="35"/>
      <c r="R174" s="17"/>
    </row>
    <row r="175" spans="2:18" ht="12.75">
      <c r="B175" s="13"/>
      <c r="C175" s="25"/>
      <c r="D175" s="25"/>
      <c r="F175" s="38"/>
      <c r="G175" s="38"/>
      <c r="H175" s="38"/>
      <c r="I175" s="38"/>
      <c r="J175" s="38"/>
      <c r="K175" s="38"/>
      <c r="M175" s="17"/>
      <c r="N175" s="35"/>
      <c r="R175" s="17"/>
    </row>
    <row r="176" spans="2:18" ht="12.75">
      <c r="B176" s="13"/>
      <c r="C176" s="25"/>
      <c r="D176" s="25"/>
      <c r="F176" s="38"/>
      <c r="G176" s="38"/>
      <c r="H176" s="38"/>
      <c r="I176" s="38"/>
      <c r="J176" s="38"/>
      <c r="K176" s="38"/>
      <c r="M176" s="17"/>
      <c r="N176" s="35"/>
      <c r="R176" s="17"/>
    </row>
    <row r="177" spans="2:18" ht="12.75">
      <c r="B177" s="13"/>
      <c r="C177" s="25"/>
      <c r="D177" s="25"/>
      <c r="F177" s="38"/>
      <c r="G177" s="38"/>
      <c r="H177" s="38"/>
      <c r="I177" s="38"/>
      <c r="J177" s="38"/>
      <c r="K177" s="38"/>
      <c r="M177" s="17"/>
      <c r="N177" s="35"/>
      <c r="R177" s="17"/>
    </row>
    <row r="178" spans="2:18" ht="12.75">
      <c r="B178" s="13"/>
      <c r="C178" s="25"/>
      <c r="D178" s="25"/>
      <c r="F178" s="38"/>
      <c r="G178" s="38"/>
      <c r="H178" s="38"/>
      <c r="I178" s="38"/>
      <c r="J178" s="38"/>
      <c r="K178" s="38"/>
      <c r="M178" s="17"/>
      <c r="N178" s="35"/>
      <c r="R178" s="17"/>
    </row>
    <row r="179" spans="2:18" ht="12.75">
      <c r="B179" s="13"/>
      <c r="C179" s="25"/>
      <c r="D179" s="25"/>
      <c r="F179" s="38"/>
      <c r="G179" s="38"/>
      <c r="H179" s="38"/>
      <c r="I179" s="38"/>
      <c r="J179" s="38"/>
      <c r="K179" s="38"/>
      <c r="M179" s="17"/>
      <c r="N179" s="35"/>
      <c r="R179" s="17"/>
    </row>
    <row r="180" spans="2:18" ht="12.75">
      <c r="B180" s="13"/>
      <c r="C180" s="25"/>
      <c r="D180" s="25"/>
      <c r="F180" s="38"/>
      <c r="G180" s="38"/>
      <c r="H180" s="38"/>
      <c r="I180" s="38"/>
      <c r="J180" s="38"/>
      <c r="K180" s="38"/>
      <c r="M180" s="17"/>
      <c r="N180" s="35"/>
      <c r="R180" s="17"/>
    </row>
    <row r="181" spans="2:18" ht="12.75">
      <c r="B181" s="13"/>
      <c r="C181" s="25"/>
      <c r="D181" s="25"/>
      <c r="F181" s="38"/>
      <c r="G181" s="38"/>
      <c r="H181" s="38"/>
      <c r="I181" s="38"/>
      <c r="J181" s="38"/>
      <c r="K181" s="38"/>
      <c r="M181" s="17"/>
      <c r="N181" s="35"/>
      <c r="R181" s="17"/>
    </row>
    <row r="182" spans="2:18" ht="12.75">
      <c r="B182" s="13"/>
      <c r="C182" s="25"/>
      <c r="D182" s="25"/>
      <c r="F182" s="38"/>
      <c r="G182" s="38"/>
      <c r="H182" s="38"/>
      <c r="I182" s="38"/>
      <c r="J182" s="38"/>
      <c r="K182" s="38"/>
      <c r="M182" s="17"/>
      <c r="N182" s="35"/>
      <c r="R182" s="17"/>
    </row>
    <row r="183" spans="2:18" ht="12.75">
      <c r="B183" s="13"/>
      <c r="C183" s="25"/>
      <c r="D183" s="25"/>
      <c r="F183" s="38"/>
      <c r="G183" s="38"/>
      <c r="H183" s="38"/>
      <c r="I183" s="38"/>
      <c r="J183" s="38"/>
      <c r="K183" s="38"/>
      <c r="M183" s="17"/>
      <c r="N183" s="35"/>
      <c r="R183" s="17"/>
    </row>
    <row r="184" spans="2:18" ht="12.75">
      <c r="B184" s="13"/>
      <c r="C184" s="25"/>
      <c r="D184" s="25"/>
      <c r="F184" s="38"/>
      <c r="G184" s="38"/>
      <c r="H184" s="38"/>
      <c r="I184" s="38"/>
      <c r="J184" s="38"/>
      <c r="K184" s="38"/>
      <c r="M184" s="17"/>
      <c r="N184" s="35"/>
      <c r="R184" s="17"/>
    </row>
    <row r="185" spans="2:18" ht="12.75">
      <c r="B185" s="13"/>
      <c r="C185" s="25"/>
      <c r="D185" s="25"/>
      <c r="F185" s="38"/>
      <c r="G185" s="38"/>
      <c r="H185" s="38"/>
      <c r="I185" s="38"/>
      <c r="J185" s="38"/>
      <c r="K185" s="38"/>
      <c r="M185" s="17"/>
      <c r="N185" s="35"/>
      <c r="R185" s="17"/>
    </row>
    <row r="186" spans="2:18" ht="12.75">
      <c r="B186" s="13"/>
      <c r="C186" s="25"/>
      <c r="D186" s="25"/>
      <c r="F186" s="38"/>
      <c r="G186" s="38"/>
      <c r="H186" s="38"/>
      <c r="I186" s="38"/>
      <c r="J186" s="38"/>
      <c r="K186" s="38"/>
      <c r="M186" s="17"/>
      <c r="N186" s="35"/>
      <c r="R186" s="17"/>
    </row>
    <row r="187" spans="2:18" ht="12.75">
      <c r="B187" s="13"/>
      <c r="C187" s="25"/>
      <c r="D187" s="25"/>
      <c r="F187" s="38"/>
      <c r="G187" s="38"/>
      <c r="H187" s="38"/>
      <c r="I187" s="38"/>
      <c r="J187" s="38"/>
      <c r="K187" s="38"/>
      <c r="M187" s="17"/>
      <c r="N187" s="35"/>
      <c r="R187" s="17"/>
    </row>
    <row r="188" spans="2:18" ht="12.75">
      <c r="B188" s="13"/>
      <c r="C188" s="25"/>
      <c r="D188" s="25"/>
      <c r="F188" s="38"/>
      <c r="G188" s="38"/>
      <c r="H188" s="38"/>
      <c r="I188" s="38"/>
      <c r="J188" s="38"/>
      <c r="K188" s="38"/>
      <c r="M188" s="17"/>
      <c r="N188" s="35"/>
      <c r="R188" s="17"/>
    </row>
    <row r="189" spans="2:18" ht="12.75">
      <c r="B189" s="13"/>
      <c r="C189" s="25"/>
      <c r="D189" s="25"/>
      <c r="F189" s="38"/>
      <c r="G189" s="38"/>
      <c r="H189" s="38"/>
      <c r="I189" s="38"/>
      <c r="J189" s="38"/>
      <c r="K189" s="38"/>
      <c r="M189" s="17"/>
      <c r="N189" s="35"/>
      <c r="R189" s="17"/>
    </row>
    <row r="190" spans="2:18" ht="12.75">
      <c r="B190" s="13"/>
      <c r="C190" s="25"/>
      <c r="D190" s="25"/>
      <c r="F190" s="38"/>
      <c r="G190" s="38"/>
      <c r="H190" s="38"/>
      <c r="I190" s="38"/>
      <c r="J190" s="38"/>
      <c r="K190" s="38"/>
      <c r="M190" s="17"/>
      <c r="N190" s="35"/>
      <c r="R190" s="17"/>
    </row>
    <row r="191" spans="2:18" ht="12.75">
      <c r="B191" s="13"/>
      <c r="C191" s="25"/>
      <c r="D191" s="25"/>
      <c r="F191" s="38"/>
      <c r="G191" s="38"/>
      <c r="H191" s="38"/>
      <c r="I191" s="38"/>
      <c r="J191" s="38"/>
      <c r="K191" s="38"/>
      <c r="M191" s="17"/>
      <c r="N191" s="35"/>
      <c r="R191" s="17"/>
    </row>
    <row r="192" spans="2:18" ht="12.75">
      <c r="B192" s="13"/>
      <c r="C192" s="25"/>
      <c r="D192" s="25"/>
      <c r="F192" s="38"/>
      <c r="G192" s="38"/>
      <c r="H192" s="38"/>
      <c r="I192" s="38"/>
      <c r="J192" s="38"/>
      <c r="K192" s="38"/>
      <c r="M192" s="17"/>
      <c r="N192" s="35"/>
      <c r="R192" s="17"/>
    </row>
    <row r="193" spans="2:18" ht="12.75">
      <c r="B193" s="13"/>
      <c r="C193" s="25"/>
      <c r="D193" s="25"/>
      <c r="F193" s="38"/>
      <c r="G193" s="38"/>
      <c r="H193" s="38"/>
      <c r="I193" s="38"/>
      <c r="J193" s="38"/>
      <c r="K193" s="38"/>
      <c r="M193" s="17"/>
      <c r="N193" s="35"/>
      <c r="R193" s="17"/>
    </row>
    <row r="194" spans="2:18" ht="12.75">
      <c r="B194" s="13"/>
      <c r="C194" s="25"/>
      <c r="D194" s="25"/>
      <c r="F194" s="38"/>
      <c r="G194" s="38"/>
      <c r="H194" s="38"/>
      <c r="I194" s="38"/>
      <c r="J194" s="38"/>
      <c r="K194" s="38"/>
      <c r="M194" s="17"/>
      <c r="N194" s="35"/>
      <c r="R194" s="17"/>
    </row>
    <row r="195" spans="2:18" ht="12.75">
      <c r="B195" s="13"/>
      <c r="C195" s="25"/>
      <c r="D195" s="25"/>
      <c r="F195" s="38"/>
      <c r="G195" s="38"/>
      <c r="H195" s="38"/>
      <c r="I195" s="38"/>
      <c r="J195" s="38"/>
      <c r="K195" s="38"/>
      <c r="M195" s="17"/>
      <c r="N195" s="35"/>
      <c r="R195" s="17"/>
    </row>
    <row r="196" spans="2:18" ht="12.75">
      <c r="B196" s="13"/>
      <c r="C196" s="25"/>
      <c r="D196" s="25"/>
      <c r="F196" s="38"/>
      <c r="G196" s="38"/>
      <c r="H196" s="38"/>
      <c r="I196" s="38"/>
      <c r="J196" s="38"/>
      <c r="K196" s="38"/>
      <c r="M196" s="17"/>
      <c r="N196" s="35"/>
      <c r="R196" s="17"/>
    </row>
    <row r="197" spans="2:18" ht="12.75">
      <c r="B197" s="13"/>
      <c r="C197" s="25"/>
      <c r="D197" s="25"/>
      <c r="F197" s="38"/>
      <c r="G197" s="38"/>
      <c r="H197" s="38"/>
      <c r="I197" s="38"/>
      <c r="J197" s="38"/>
      <c r="K197" s="38"/>
      <c r="M197" s="17"/>
      <c r="N197" s="35"/>
      <c r="R197" s="17"/>
    </row>
    <row r="198" spans="2:18" ht="12.75">
      <c r="B198" s="13"/>
      <c r="C198" s="25"/>
      <c r="D198" s="25"/>
      <c r="F198" s="38"/>
      <c r="G198" s="38"/>
      <c r="H198" s="38"/>
      <c r="I198" s="38"/>
      <c r="J198" s="38"/>
      <c r="K198" s="38"/>
      <c r="M198" s="17"/>
      <c r="N198" s="35"/>
      <c r="R198" s="17"/>
    </row>
    <row r="199" spans="2:18" ht="12.75">
      <c r="B199" s="13"/>
      <c r="C199" s="13"/>
      <c r="D199" s="13"/>
      <c r="F199" s="38"/>
      <c r="G199" s="38"/>
      <c r="H199" s="38"/>
      <c r="I199" s="38"/>
      <c r="J199" s="38"/>
      <c r="K199" s="38"/>
      <c r="M199" s="17"/>
      <c r="N199" s="35"/>
      <c r="R199" s="17"/>
    </row>
    <row r="200" spans="2:18" ht="12.75">
      <c r="B200" s="13"/>
      <c r="C200" s="25"/>
      <c r="D200" s="25"/>
      <c r="F200" s="38"/>
      <c r="G200" s="38"/>
      <c r="H200" s="38"/>
      <c r="I200" s="38"/>
      <c r="J200" s="38"/>
      <c r="K200" s="38"/>
      <c r="M200" s="17"/>
      <c r="N200" s="35"/>
      <c r="R200" s="17"/>
    </row>
    <row r="201" spans="2:18" ht="12.75">
      <c r="B201" s="13"/>
      <c r="C201" s="25"/>
      <c r="D201" s="25"/>
      <c r="F201" s="38"/>
      <c r="G201" s="38"/>
      <c r="H201" s="38"/>
      <c r="I201" s="38"/>
      <c r="J201" s="38"/>
      <c r="K201" s="38"/>
      <c r="M201" s="17"/>
      <c r="N201" s="35"/>
      <c r="R201" s="17"/>
    </row>
    <row r="202" spans="2:18" ht="12.75">
      <c r="B202" s="13"/>
      <c r="C202" s="25"/>
      <c r="D202" s="25"/>
      <c r="F202" s="38"/>
      <c r="G202" s="38"/>
      <c r="H202" s="38"/>
      <c r="I202" s="38"/>
      <c r="J202" s="38"/>
      <c r="K202" s="38"/>
      <c r="M202" s="17"/>
      <c r="N202" s="35"/>
      <c r="R202" s="17"/>
    </row>
    <row r="203" spans="2:18" ht="12.75">
      <c r="B203" s="13"/>
      <c r="C203" s="25"/>
      <c r="D203" s="25"/>
      <c r="F203" s="38"/>
      <c r="G203" s="38"/>
      <c r="H203" s="38"/>
      <c r="I203" s="38"/>
      <c r="J203" s="38"/>
      <c r="K203" s="38"/>
      <c r="M203" s="17"/>
      <c r="N203" s="35"/>
      <c r="R203" s="17"/>
    </row>
    <row r="204" spans="2:18" ht="12.75">
      <c r="B204" s="13"/>
      <c r="C204" s="25"/>
      <c r="D204" s="25"/>
      <c r="F204" s="38"/>
      <c r="G204" s="38"/>
      <c r="H204" s="38"/>
      <c r="I204" s="38"/>
      <c r="J204" s="38"/>
      <c r="K204" s="38"/>
      <c r="M204" s="17"/>
      <c r="N204" s="35"/>
      <c r="R204" s="17"/>
    </row>
    <row r="205" spans="2:18" ht="12.75">
      <c r="B205" s="13"/>
      <c r="C205" s="25"/>
      <c r="D205" s="25"/>
      <c r="F205" s="38"/>
      <c r="G205" s="38"/>
      <c r="H205" s="38"/>
      <c r="I205" s="38"/>
      <c r="J205" s="38"/>
      <c r="K205" s="38"/>
      <c r="M205" s="17"/>
      <c r="N205" s="35"/>
      <c r="R205" s="17"/>
    </row>
    <row r="206" spans="2:18" ht="12.75">
      <c r="B206" s="13"/>
      <c r="C206" s="25"/>
      <c r="D206" s="25"/>
      <c r="F206" s="38"/>
      <c r="G206" s="38"/>
      <c r="H206" s="38"/>
      <c r="I206" s="38"/>
      <c r="J206" s="38"/>
      <c r="K206" s="38"/>
      <c r="M206" s="17"/>
      <c r="N206" s="35"/>
      <c r="R206" s="17"/>
    </row>
    <row r="207" spans="2:18" ht="12.75">
      <c r="B207" s="13"/>
      <c r="C207" s="25"/>
      <c r="D207" s="25"/>
      <c r="F207" s="38"/>
      <c r="G207" s="38"/>
      <c r="H207" s="38"/>
      <c r="I207" s="38"/>
      <c r="J207" s="38"/>
      <c r="K207" s="38"/>
      <c r="M207" s="17"/>
      <c r="N207" s="35"/>
      <c r="R207" s="17"/>
    </row>
    <row r="208" spans="2:18" ht="12.75">
      <c r="B208" s="13"/>
      <c r="C208" s="25"/>
      <c r="D208" s="25"/>
      <c r="F208" s="38"/>
      <c r="G208" s="38"/>
      <c r="H208" s="38"/>
      <c r="I208" s="38"/>
      <c r="J208" s="38"/>
      <c r="K208" s="38"/>
      <c r="M208" s="17"/>
      <c r="N208" s="35"/>
      <c r="R208" s="17"/>
    </row>
    <row r="209" spans="2:18" ht="12.75">
      <c r="B209" s="13"/>
      <c r="C209" s="25"/>
      <c r="D209" s="25"/>
      <c r="F209" s="38"/>
      <c r="G209" s="38"/>
      <c r="H209" s="38"/>
      <c r="I209" s="38"/>
      <c r="J209" s="38"/>
      <c r="K209" s="38"/>
      <c r="M209" s="17"/>
      <c r="N209" s="35"/>
      <c r="R209" s="17"/>
    </row>
    <row r="210" spans="2:18" ht="12.75">
      <c r="B210" s="13"/>
      <c r="C210" s="25"/>
      <c r="D210" s="25"/>
      <c r="F210" s="38"/>
      <c r="G210" s="38"/>
      <c r="H210" s="38"/>
      <c r="I210" s="38"/>
      <c r="J210" s="38"/>
      <c r="K210" s="38"/>
      <c r="M210" s="17"/>
      <c r="N210" s="35"/>
      <c r="R210" s="17"/>
    </row>
    <row r="211" spans="2:18" ht="12.75">
      <c r="B211" s="13"/>
      <c r="C211" s="25"/>
      <c r="D211" s="25"/>
      <c r="F211" s="38"/>
      <c r="G211" s="38"/>
      <c r="H211" s="38"/>
      <c r="I211" s="38"/>
      <c r="J211" s="38"/>
      <c r="K211" s="38"/>
      <c r="M211" s="17"/>
      <c r="N211" s="35"/>
      <c r="R211" s="17"/>
    </row>
    <row r="212" spans="2:18" ht="12.75">
      <c r="B212" s="13"/>
      <c r="C212" s="25"/>
      <c r="D212" s="25"/>
      <c r="F212" s="38"/>
      <c r="G212" s="38"/>
      <c r="H212" s="38"/>
      <c r="I212" s="38"/>
      <c r="J212" s="38"/>
      <c r="K212" s="38"/>
      <c r="M212" s="17"/>
      <c r="N212" s="35"/>
      <c r="R212" s="17"/>
    </row>
    <row r="213" spans="2:18" ht="12.75">
      <c r="B213" s="13"/>
      <c r="C213" s="25"/>
      <c r="D213" s="25"/>
      <c r="F213" s="38"/>
      <c r="G213" s="38"/>
      <c r="H213" s="38"/>
      <c r="I213" s="38"/>
      <c r="J213" s="38"/>
      <c r="K213" s="38"/>
      <c r="M213" s="17"/>
      <c r="N213" s="35"/>
      <c r="R213" s="17"/>
    </row>
    <row r="214" spans="2:18" ht="12.75">
      <c r="B214" s="13"/>
      <c r="C214" s="25"/>
      <c r="D214" s="25"/>
      <c r="F214" s="38"/>
      <c r="G214" s="38"/>
      <c r="H214" s="38"/>
      <c r="I214" s="38"/>
      <c r="J214" s="38"/>
      <c r="K214" s="38"/>
      <c r="M214" s="17"/>
      <c r="N214" s="35"/>
      <c r="R214" s="17"/>
    </row>
    <row r="215" spans="2:18" ht="12.75">
      <c r="B215" s="13"/>
      <c r="C215" s="25"/>
      <c r="D215" s="25"/>
      <c r="F215" s="38"/>
      <c r="G215" s="38"/>
      <c r="H215" s="38"/>
      <c r="I215" s="38"/>
      <c r="J215" s="38"/>
      <c r="K215" s="38"/>
      <c r="M215" s="17"/>
      <c r="N215" s="35"/>
      <c r="R215" s="17"/>
    </row>
    <row r="216" spans="2:18" ht="12.75">
      <c r="B216" s="13"/>
      <c r="C216" s="25"/>
      <c r="D216" s="25"/>
      <c r="F216" s="38"/>
      <c r="G216" s="38"/>
      <c r="H216" s="38"/>
      <c r="I216" s="38"/>
      <c r="J216" s="38"/>
      <c r="K216" s="38"/>
      <c r="M216" s="17"/>
      <c r="N216" s="35"/>
      <c r="R216" s="17"/>
    </row>
    <row r="217" spans="2:18" ht="12.75">
      <c r="B217" s="13"/>
      <c r="C217" s="25"/>
      <c r="D217" s="25"/>
      <c r="F217" s="38"/>
      <c r="G217" s="38"/>
      <c r="H217" s="38"/>
      <c r="I217" s="38"/>
      <c r="J217" s="38"/>
      <c r="K217" s="38"/>
      <c r="M217" s="17"/>
      <c r="N217" s="35"/>
      <c r="R217" s="17"/>
    </row>
    <row r="218" spans="2:18" ht="12.75">
      <c r="B218" s="13"/>
      <c r="C218" s="25"/>
      <c r="D218" s="25"/>
      <c r="F218" s="38"/>
      <c r="G218" s="38"/>
      <c r="H218" s="38"/>
      <c r="I218" s="38"/>
      <c r="J218" s="38"/>
      <c r="K218" s="38"/>
      <c r="M218" s="17"/>
      <c r="N218" s="35"/>
      <c r="R218" s="17"/>
    </row>
    <row r="219" spans="2:18" ht="12.75">
      <c r="B219" s="13"/>
      <c r="C219" s="25"/>
      <c r="D219" s="25"/>
      <c r="F219" s="38"/>
      <c r="G219" s="38"/>
      <c r="H219" s="38"/>
      <c r="I219" s="38"/>
      <c r="J219" s="38"/>
      <c r="K219" s="38"/>
      <c r="M219" s="17"/>
      <c r="N219" s="35"/>
      <c r="R219" s="17"/>
    </row>
    <row r="220" spans="2:18" ht="12.75">
      <c r="B220" s="13"/>
      <c r="C220" s="25"/>
      <c r="D220" s="25"/>
      <c r="F220" s="38"/>
      <c r="G220" s="38"/>
      <c r="H220" s="38"/>
      <c r="I220" s="38"/>
      <c r="J220" s="38"/>
      <c r="K220" s="38"/>
      <c r="M220" s="17"/>
      <c r="N220" s="35"/>
      <c r="R220" s="17"/>
    </row>
    <row r="221" spans="2:18" ht="12.75">
      <c r="B221" s="13"/>
      <c r="C221" s="25"/>
      <c r="D221" s="25"/>
      <c r="F221" s="38"/>
      <c r="G221" s="38"/>
      <c r="H221" s="38"/>
      <c r="I221" s="38"/>
      <c r="J221" s="38"/>
      <c r="K221" s="38"/>
      <c r="M221" s="17"/>
      <c r="N221" s="35"/>
      <c r="R221" s="17"/>
    </row>
    <row r="222" spans="2:18" ht="12.75">
      <c r="B222" s="13"/>
      <c r="C222" s="25"/>
      <c r="D222" s="25"/>
      <c r="F222" s="38"/>
      <c r="G222" s="38"/>
      <c r="H222" s="38"/>
      <c r="I222" s="38"/>
      <c r="J222" s="38"/>
      <c r="K222" s="38"/>
      <c r="M222" s="17"/>
      <c r="N222" s="35"/>
      <c r="R222" s="17"/>
    </row>
    <row r="223" spans="2:18" ht="12.75">
      <c r="B223" s="13"/>
      <c r="C223" s="25"/>
      <c r="D223" s="25"/>
      <c r="F223" s="38"/>
      <c r="G223" s="38"/>
      <c r="H223" s="38"/>
      <c r="I223" s="38"/>
      <c r="J223" s="38"/>
      <c r="K223" s="38"/>
      <c r="M223" s="17"/>
      <c r="N223" s="35"/>
      <c r="R223" s="17"/>
    </row>
    <row r="224" spans="2:18" ht="12.75">
      <c r="B224" s="13"/>
      <c r="C224" s="25"/>
      <c r="D224" s="25"/>
      <c r="F224" s="38"/>
      <c r="G224" s="38"/>
      <c r="H224" s="38"/>
      <c r="I224" s="38"/>
      <c r="J224" s="38"/>
      <c r="K224" s="38"/>
      <c r="M224" s="17"/>
      <c r="N224" s="35"/>
      <c r="R224" s="17"/>
    </row>
    <row r="225" spans="1:29" ht="12.75">
      <c r="B225" s="13"/>
      <c r="C225" s="25"/>
      <c r="D225" s="25"/>
      <c r="F225" s="38"/>
      <c r="G225" s="38"/>
      <c r="H225" s="38"/>
      <c r="I225" s="38"/>
      <c r="J225" s="38"/>
      <c r="K225" s="38"/>
      <c r="M225" s="17"/>
      <c r="N225" s="35"/>
      <c r="R225" s="17"/>
    </row>
    <row r="226" spans="1:29" ht="12.75">
      <c r="B226" s="13"/>
      <c r="C226" s="25"/>
      <c r="D226" s="25"/>
      <c r="F226" s="38"/>
      <c r="G226" s="38"/>
      <c r="H226" s="38"/>
      <c r="I226" s="38"/>
      <c r="J226" s="38"/>
      <c r="K226" s="38"/>
      <c r="M226" s="17"/>
      <c r="N226" s="35"/>
      <c r="R226" s="17"/>
    </row>
    <row r="227" spans="1:29" ht="12.75">
      <c r="B227" s="13"/>
      <c r="C227" s="25"/>
      <c r="D227" s="25"/>
      <c r="F227" s="38"/>
      <c r="G227" s="38"/>
      <c r="H227" s="38"/>
      <c r="I227" s="38"/>
      <c r="J227" s="38"/>
      <c r="K227" s="38"/>
      <c r="M227" s="17"/>
      <c r="N227" s="35"/>
      <c r="R227" s="17"/>
    </row>
    <row r="228" spans="1:29" ht="12.75">
      <c r="B228" s="13"/>
      <c r="C228" s="25"/>
      <c r="D228" s="25"/>
      <c r="F228" s="38"/>
      <c r="G228" s="38"/>
      <c r="H228" s="38"/>
      <c r="I228" s="38"/>
      <c r="J228" s="38"/>
      <c r="K228" s="38"/>
      <c r="M228" s="17"/>
      <c r="N228" s="35"/>
      <c r="R228" s="17"/>
    </row>
    <row r="229" spans="1:29" ht="12.75">
      <c r="B229" s="13"/>
      <c r="C229" s="25"/>
      <c r="D229" s="25"/>
      <c r="F229" s="38"/>
      <c r="G229" s="38"/>
      <c r="H229" s="38"/>
      <c r="I229" s="38"/>
      <c r="J229" s="38"/>
      <c r="K229" s="38"/>
      <c r="M229" s="17"/>
      <c r="N229" s="35"/>
      <c r="R229" s="17"/>
    </row>
    <row r="230" spans="1:29" ht="12.75">
      <c r="B230" s="13"/>
      <c r="C230" s="25"/>
      <c r="D230" s="25"/>
      <c r="F230" s="38"/>
      <c r="G230" s="38"/>
      <c r="H230" s="38"/>
      <c r="I230" s="38"/>
      <c r="J230" s="38"/>
      <c r="K230" s="38"/>
      <c r="M230" s="17"/>
      <c r="N230" s="35"/>
      <c r="R230" s="17"/>
    </row>
    <row r="231" spans="1:29" ht="12.75">
      <c r="B231" s="13"/>
      <c r="C231" s="25"/>
      <c r="D231" s="25"/>
      <c r="F231" s="38"/>
      <c r="G231" s="38"/>
      <c r="H231" s="38"/>
      <c r="I231" s="38"/>
      <c r="J231" s="38"/>
      <c r="K231" s="38"/>
      <c r="M231" s="17"/>
      <c r="N231" s="35"/>
      <c r="R231" s="17"/>
    </row>
    <row r="232" spans="1:29" ht="12.75">
      <c r="F232" s="38"/>
      <c r="G232" s="38"/>
      <c r="H232" s="38"/>
      <c r="I232" s="38"/>
      <c r="J232" s="38"/>
      <c r="K232" s="38"/>
      <c r="M232" s="17"/>
      <c r="N232" s="35"/>
      <c r="R232" s="17"/>
    </row>
    <row r="233" spans="1:29" ht="13.15">
      <c r="A233" s="30"/>
      <c r="B233" s="31"/>
      <c r="C233" s="30"/>
      <c r="D233" s="30"/>
      <c r="E233" s="30"/>
      <c r="F233" s="39"/>
      <c r="G233" s="39"/>
      <c r="H233" s="38"/>
      <c r="I233" s="38"/>
      <c r="J233" s="38"/>
      <c r="K233" s="38"/>
      <c r="L233" s="30"/>
      <c r="M233" s="33"/>
      <c r="N233" s="40"/>
      <c r="O233" s="30"/>
      <c r="P233" s="30"/>
      <c r="Q233" s="30"/>
      <c r="R233" s="33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 spans="1:29" ht="12.75">
      <c r="F234" s="38"/>
      <c r="G234" s="38"/>
      <c r="M234" s="17"/>
      <c r="N234" s="35"/>
      <c r="R234" s="17"/>
    </row>
    <row r="235" spans="1:29" ht="12.75">
      <c r="F235" s="38"/>
      <c r="G235" s="38"/>
      <c r="M235" s="17"/>
      <c r="N235" s="35"/>
      <c r="R235" s="17"/>
    </row>
    <row r="236" spans="1:29" ht="12.75">
      <c r="F236" s="38"/>
      <c r="G236" s="38"/>
      <c r="M236" s="17"/>
      <c r="N236" s="35"/>
      <c r="R236" s="17"/>
    </row>
    <row r="237" spans="1:29" ht="12.75">
      <c r="F237" s="38"/>
      <c r="G237" s="38"/>
      <c r="M237" s="17"/>
      <c r="N237" s="35"/>
      <c r="R237" s="17"/>
    </row>
    <row r="238" spans="1:29" ht="12.75">
      <c r="M238" s="17"/>
      <c r="N238" s="35"/>
      <c r="R238" s="17"/>
    </row>
    <row r="239" spans="1:29" ht="12.75">
      <c r="M239" s="17"/>
      <c r="N239" s="35"/>
      <c r="R239" s="17"/>
    </row>
    <row r="240" spans="1:29" ht="12.75">
      <c r="M240" s="17"/>
      <c r="N240" s="35"/>
      <c r="R240" s="17"/>
    </row>
    <row r="241" spans="13:18" ht="12.75">
      <c r="M241" s="17"/>
      <c r="N241" s="35"/>
      <c r="R241" s="17"/>
    </row>
    <row r="242" spans="13:18" ht="12.75">
      <c r="M242" s="17"/>
      <c r="N242" s="35"/>
      <c r="R242" s="17"/>
    </row>
    <row r="243" spans="13:18" ht="12.75">
      <c r="M243" s="17"/>
      <c r="N243" s="35"/>
      <c r="R243" s="17"/>
    </row>
    <row r="244" spans="13:18" ht="12.75">
      <c r="M244" s="17"/>
      <c r="N244" s="35"/>
      <c r="R244" s="17"/>
    </row>
    <row r="245" spans="13:18" ht="12.75">
      <c r="M245" s="17"/>
      <c r="N245" s="35"/>
      <c r="R245" s="17"/>
    </row>
    <row r="246" spans="13:18" ht="12.75">
      <c r="M246" s="17"/>
      <c r="N246" s="35"/>
      <c r="R246" s="17"/>
    </row>
    <row r="247" spans="13:18" ht="12.75">
      <c r="M247" s="17"/>
      <c r="N247" s="35"/>
      <c r="R247" s="17"/>
    </row>
    <row r="248" spans="13:18" ht="12.75">
      <c r="M248" s="17"/>
      <c r="N248" s="35"/>
      <c r="R248" s="17"/>
    </row>
    <row r="249" spans="13:18" ht="12.75">
      <c r="M249" s="17"/>
      <c r="N249" s="35"/>
      <c r="R249" s="17"/>
    </row>
    <row r="250" spans="13:18" ht="12.75">
      <c r="M250" s="17"/>
      <c r="N250" s="35"/>
      <c r="R250" s="17"/>
    </row>
    <row r="251" spans="13:18" ht="12.75">
      <c r="M251" s="17"/>
      <c r="N251" s="35"/>
      <c r="R251" s="17"/>
    </row>
    <row r="252" spans="13:18" ht="12.75">
      <c r="M252" s="17"/>
      <c r="N252" s="35"/>
      <c r="R252" s="17"/>
    </row>
    <row r="253" spans="13:18" ht="12.75">
      <c r="M253" s="17"/>
      <c r="N253" s="35"/>
      <c r="R253" s="17"/>
    </row>
    <row r="254" spans="13:18" ht="12.75">
      <c r="M254" s="17"/>
      <c r="N254" s="35"/>
      <c r="R254" s="17"/>
    </row>
    <row r="255" spans="13:18" ht="12.75">
      <c r="M255" s="17"/>
      <c r="N255" s="35"/>
      <c r="R255" s="17"/>
    </row>
    <row r="256" spans="13:18" ht="12.75">
      <c r="M256" s="17"/>
      <c r="N256" s="35"/>
      <c r="R256" s="17"/>
    </row>
    <row r="257" spans="13:18" ht="12.75">
      <c r="M257" s="17"/>
      <c r="N257" s="35"/>
      <c r="R257" s="17"/>
    </row>
    <row r="258" spans="13:18" ht="12.75">
      <c r="M258" s="17"/>
      <c r="N258" s="35"/>
      <c r="R258" s="17"/>
    </row>
    <row r="259" spans="13:18" ht="12.75">
      <c r="M259" s="17"/>
      <c r="N259" s="35"/>
      <c r="R259" s="17"/>
    </row>
    <row r="260" spans="13:18" ht="12.75">
      <c r="M260" s="17"/>
      <c r="N260" s="35"/>
      <c r="R260" s="17"/>
    </row>
    <row r="261" spans="13:18" ht="12.75">
      <c r="M261" s="17"/>
      <c r="N261" s="35"/>
      <c r="R261" s="17"/>
    </row>
    <row r="262" spans="13:18" ht="12.75">
      <c r="M262" s="17"/>
      <c r="N262" s="35"/>
      <c r="R262" s="17"/>
    </row>
    <row r="263" spans="13:18" ht="12.75">
      <c r="M263" s="17"/>
      <c r="N263" s="35"/>
      <c r="R263" s="17"/>
    </row>
    <row r="264" spans="13:18" ht="12.75">
      <c r="M264" s="17"/>
      <c r="N264" s="35"/>
      <c r="R264" s="17"/>
    </row>
    <row r="265" spans="13:18" ht="12.75">
      <c r="M265" s="17"/>
      <c r="N265" s="35"/>
      <c r="R265" s="17"/>
    </row>
    <row r="266" spans="13:18" ht="12.75">
      <c r="M266" s="17"/>
      <c r="N266" s="35"/>
      <c r="R266" s="17"/>
    </row>
    <row r="267" spans="13:18" ht="12.75">
      <c r="M267" s="17"/>
      <c r="N267" s="35"/>
      <c r="R267" s="17"/>
    </row>
    <row r="268" spans="13:18" ht="12.75">
      <c r="M268" s="17"/>
      <c r="N268" s="35"/>
      <c r="R268" s="17"/>
    </row>
    <row r="269" spans="13:18" ht="12.75">
      <c r="M269" s="17"/>
      <c r="N269" s="35"/>
      <c r="R269" s="17"/>
    </row>
    <row r="270" spans="13:18" ht="12.75">
      <c r="M270" s="17"/>
      <c r="N270" s="35"/>
      <c r="R270" s="17"/>
    </row>
    <row r="271" spans="13:18" ht="12.75">
      <c r="M271" s="17"/>
      <c r="N271" s="35"/>
      <c r="R271" s="17"/>
    </row>
    <row r="272" spans="13:18" ht="12.75">
      <c r="M272" s="17"/>
      <c r="N272" s="35"/>
      <c r="R272" s="17"/>
    </row>
    <row r="273" spans="13:18" ht="12.75">
      <c r="M273" s="17"/>
      <c r="N273" s="35"/>
      <c r="R273" s="17"/>
    </row>
    <row r="274" spans="13:18" ht="12.75">
      <c r="M274" s="17"/>
      <c r="N274" s="35"/>
      <c r="R274" s="17"/>
    </row>
    <row r="275" spans="13:18" ht="12.75">
      <c r="M275" s="17"/>
      <c r="N275" s="35"/>
      <c r="R275" s="17"/>
    </row>
    <row r="276" spans="13:18" ht="12.75">
      <c r="M276" s="17"/>
      <c r="N276" s="35"/>
      <c r="R276" s="17"/>
    </row>
    <row r="277" spans="13:18" ht="12.75">
      <c r="M277" s="17"/>
      <c r="N277" s="35"/>
      <c r="R277" s="17"/>
    </row>
    <row r="278" spans="13:18" ht="12.75">
      <c r="M278" s="17"/>
      <c r="N278" s="35"/>
      <c r="R278" s="17"/>
    </row>
    <row r="279" spans="13:18" ht="12.75">
      <c r="M279" s="17"/>
      <c r="N279" s="35"/>
      <c r="R279" s="17"/>
    </row>
    <row r="280" spans="13:18" ht="12.75">
      <c r="M280" s="17"/>
      <c r="N280" s="35"/>
      <c r="R280" s="17"/>
    </row>
    <row r="281" spans="13:18" ht="12.75">
      <c r="M281" s="17"/>
      <c r="N281" s="35"/>
      <c r="R281" s="17"/>
    </row>
    <row r="282" spans="13:18" ht="12.75">
      <c r="M282" s="17"/>
      <c r="N282" s="35"/>
      <c r="R282" s="17"/>
    </row>
    <row r="283" spans="13:18" ht="12.75">
      <c r="M283" s="17"/>
      <c r="N283" s="35"/>
      <c r="R283" s="17"/>
    </row>
    <row r="284" spans="13:18" ht="12.75">
      <c r="M284" s="17"/>
      <c r="N284" s="35"/>
      <c r="R284" s="17"/>
    </row>
    <row r="285" spans="13:18" ht="12.75">
      <c r="M285" s="17"/>
      <c r="N285" s="35"/>
      <c r="R285" s="17"/>
    </row>
    <row r="286" spans="13:18" ht="12.75">
      <c r="M286" s="17"/>
      <c r="N286" s="35"/>
      <c r="R286" s="17"/>
    </row>
    <row r="287" spans="13:18" ht="12.75">
      <c r="M287" s="17"/>
      <c r="N287" s="35"/>
      <c r="R287" s="17"/>
    </row>
    <row r="288" spans="13:18" ht="12.75">
      <c r="M288" s="17"/>
      <c r="N288" s="35"/>
      <c r="R288" s="17"/>
    </row>
    <row r="289" spans="13:18" ht="12.75">
      <c r="M289" s="17"/>
      <c r="N289" s="35"/>
      <c r="R289" s="17"/>
    </row>
    <row r="290" spans="13:18" ht="12.75">
      <c r="M290" s="17"/>
      <c r="N290" s="35"/>
      <c r="R290" s="17"/>
    </row>
    <row r="291" spans="13:18" ht="12.75">
      <c r="M291" s="17"/>
      <c r="N291" s="35"/>
      <c r="R291" s="17"/>
    </row>
    <row r="292" spans="13:18" ht="12.75">
      <c r="M292" s="17"/>
      <c r="N292" s="35"/>
      <c r="R292" s="17"/>
    </row>
    <row r="293" spans="13:18" ht="12.75">
      <c r="M293" s="17"/>
      <c r="N293" s="35"/>
      <c r="R293" s="17"/>
    </row>
    <row r="294" spans="13:18" ht="12.75">
      <c r="M294" s="17"/>
      <c r="N294" s="35"/>
      <c r="R294" s="17"/>
    </row>
    <row r="295" spans="13:18" ht="12.75">
      <c r="M295" s="17"/>
      <c r="N295" s="35"/>
      <c r="R295" s="17"/>
    </row>
    <row r="296" spans="13:18" ht="12.75">
      <c r="M296" s="17"/>
      <c r="N296" s="35"/>
      <c r="R296" s="17"/>
    </row>
    <row r="297" spans="13:18" ht="12.75">
      <c r="M297" s="17"/>
      <c r="N297" s="35"/>
      <c r="R297" s="17"/>
    </row>
    <row r="298" spans="13:18" ht="12.75">
      <c r="M298" s="17"/>
      <c r="N298" s="35"/>
      <c r="R298" s="17"/>
    </row>
    <row r="299" spans="13:18" ht="12.75">
      <c r="M299" s="17"/>
      <c r="N299" s="35"/>
      <c r="R299" s="17"/>
    </row>
    <row r="300" spans="13:18" ht="12.75">
      <c r="M300" s="17"/>
      <c r="N300" s="35"/>
      <c r="R300" s="17"/>
    </row>
    <row r="301" spans="13:18" ht="12.75">
      <c r="M301" s="17"/>
      <c r="N301" s="35"/>
      <c r="R301" s="17"/>
    </row>
    <row r="302" spans="13:18" ht="12.75">
      <c r="M302" s="17"/>
      <c r="N302" s="35"/>
      <c r="R302" s="17"/>
    </row>
    <row r="303" spans="13:18" ht="12.75">
      <c r="M303" s="17"/>
      <c r="N303" s="35"/>
      <c r="R303" s="17"/>
    </row>
    <row r="304" spans="13:18" ht="12.75">
      <c r="M304" s="17"/>
      <c r="N304" s="35"/>
      <c r="R304" s="17"/>
    </row>
    <row r="305" spans="13:18" ht="12.75">
      <c r="M305" s="17"/>
      <c r="N305" s="35"/>
      <c r="R305" s="17"/>
    </row>
    <row r="306" spans="13:18" ht="12.75">
      <c r="M306" s="17"/>
      <c r="N306" s="35"/>
      <c r="R306" s="17"/>
    </row>
    <row r="307" spans="13:18" ht="12.75">
      <c r="M307" s="17"/>
      <c r="N307" s="35"/>
      <c r="R307" s="17"/>
    </row>
    <row r="308" spans="13:18" ht="12.75">
      <c r="M308" s="17"/>
      <c r="N308" s="35"/>
      <c r="R308" s="17"/>
    </row>
    <row r="309" spans="13:18" ht="12.75">
      <c r="M309" s="17"/>
      <c r="N309" s="35"/>
      <c r="R309" s="17"/>
    </row>
    <row r="310" spans="13:18" ht="12.75">
      <c r="M310" s="17"/>
      <c r="N310" s="35"/>
      <c r="R310" s="17"/>
    </row>
    <row r="311" spans="13:18" ht="12.75">
      <c r="M311" s="17"/>
      <c r="N311" s="35"/>
      <c r="R311" s="17"/>
    </row>
    <row r="312" spans="13:18" ht="12.75">
      <c r="M312" s="17"/>
      <c r="N312" s="35"/>
      <c r="R312" s="17"/>
    </row>
    <row r="313" spans="13:18" ht="12.75">
      <c r="M313" s="17"/>
      <c r="N313" s="35"/>
      <c r="R313" s="17"/>
    </row>
    <row r="314" spans="13:18" ht="12.75">
      <c r="M314" s="17"/>
      <c r="N314" s="35"/>
      <c r="R314" s="17"/>
    </row>
    <row r="315" spans="13:18" ht="12.75">
      <c r="M315" s="17"/>
      <c r="N315" s="35"/>
      <c r="R315" s="17"/>
    </row>
    <row r="316" spans="13:18" ht="12.75">
      <c r="M316" s="17"/>
      <c r="N316" s="35"/>
      <c r="R316" s="17"/>
    </row>
    <row r="317" spans="13:18" ht="12.75">
      <c r="M317" s="17"/>
      <c r="N317" s="35"/>
      <c r="R317" s="17"/>
    </row>
    <row r="318" spans="13:18" ht="12.75">
      <c r="M318" s="17"/>
      <c r="N318" s="35"/>
      <c r="R318" s="17"/>
    </row>
    <row r="319" spans="13:18" ht="12.75">
      <c r="M319" s="17"/>
      <c r="N319" s="35"/>
      <c r="R319" s="17"/>
    </row>
    <row r="320" spans="13:18" ht="12.75">
      <c r="M320" s="17"/>
      <c r="N320" s="35"/>
      <c r="R320" s="17"/>
    </row>
    <row r="321" spans="13:18" ht="12.75">
      <c r="M321" s="17"/>
      <c r="N321" s="35"/>
      <c r="R321" s="17"/>
    </row>
    <row r="322" spans="13:18" ht="12.75">
      <c r="M322" s="17"/>
      <c r="N322" s="35"/>
      <c r="R322" s="17"/>
    </row>
    <row r="323" spans="13:18" ht="12.75">
      <c r="M323" s="17"/>
      <c r="N323" s="35"/>
      <c r="R323" s="17"/>
    </row>
    <row r="324" spans="13:18" ht="12.75">
      <c r="M324" s="17"/>
      <c r="N324" s="35"/>
      <c r="R324" s="17"/>
    </row>
    <row r="325" spans="13:18" ht="12.75">
      <c r="M325" s="17"/>
      <c r="N325" s="35"/>
      <c r="R325" s="17"/>
    </row>
    <row r="326" spans="13:18" ht="12.75">
      <c r="M326" s="17"/>
      <c r="N326" s="35"/>
      <c r="R326" s="17"/>
    </row>
    <row r="327" spans="13:18" ht="12.75">
      <c r="M327" s="17"/>
      <c r="N327" s="35"/>
      <c r="R327" s="17"/>
    </row>
    <row r="328" spans="13:18" ht="12.75">
      <c r="M328" s="17"/>
      <c r="N328" s="35"/>
      <c r="R328" s="17"/>
    </row>
    <row r="329" spans="13:18" ht="12.75">
      <c r="M329" s="17"/>
      <c r="N329" s="35"/>
      <c r="R329" s="17"/>
    </row>
    <row r="330" spans="13:18" ht="12.75">
      <c r="M330" s="17"/>
      <c r="N330" s="35"/>
      <c r="R330" s="17"/>
    </row>
    <row r="331" spans="13:18" ht="12.75">
      <c r="M331" s="17"/>
      <c r="N331" s="35"/>
      <c r="R331" s="17"/>
    </row>
    <row r="332" spans="13:18" ht="12.75">
      <c r="M332" s="17"/>
      <c r="N332" s="35"/>
      <c r="R332" s="17"/>
    </row>
    <row r="333" spans="13:18" ht="12.75">
      <c r="M333" s="17"/>
      <c r="N333" s="35"/>
      <c r="R333" s="17"/>
    </row>
    <row r="334" spans="13:18" ht="12.75">
      <c r="M334" s="17"/>
      <c r="N334" s="35"/>
      <c r="R334" s="17"/>
    </row>
    <row r="335" spans="13:18" ht="12.75">
      <c r="M335" s="17"/>
      <c r="N335" s="35"/>
      <c r="R335" s="17"/>
    </row>
    <row r="336" spans="13:18" ht="12.75">
      <c r="M336" s="17"/>
      <c r="N336" s="35"/>
      <c r="R336" s="17"/>
    </row>
    <row r="337" spans="13:18" ht="12.75">
      <c r="M337" s="17"/>
      <c r="N337" s="35"/>
      <c r="R337" s="17"/>
    </row>
    <row r="338" spans="13:18" ht="12.75">
      <c r="M338" s="17"/>
      <c r="N338" s="35"/>
      <c r="R338" s="17"/>
    </row>
    <row r="339" spans="13:18" ht="12.75">
      <c r="M339" s="17"/>
      <c r="N339" s="35"/>
      <c r="R339" s="17"/>
    </row>
    <row r="340" spans="13:18" ht="12.75">
      <c r="M340" s="17"/>
      <c r="N340" s="35"/>
      <c r="R340" s="17"/>
    </row>
    <row r="341" spans="13:18" ht="12.75">
      <c r="M341" s="17"/>
      <c r="N341" s="35"/>
      <c r="R341" s="17"/>
    </row>
    <row r="342" spans="13:18" ht="12.75">
      <c r="M342" s="17"/>
      <c r="N342" s="35"/>
      <c r="R342" s="17"/>
    </row>
    <row r="343" spans="13:18" ht="12.75">
      <c r="M343" s="17"/>
      <c r="N343" s="35"/>
      <c r="R343" s="17"/>
    </row>
    <row r="344" spans="13:18" ht="12.75">
      <c r="M344" s="17"/>
      <c r="N344" s="35"/>
      <c r="R344" s="17"/>
    </row>
    <row r="345" spans="13:18" ht="12.75">
      <c r="M345" s="17"/>
      <c r="N345" s="35"/>
      <c r="R345" s="17"/>
    </row>
    <row r="346" spans="13:18" ht="12.75">
      <c r="M346" s="17"/>
      <c r="N346" s="35"/>
      <c r="R346" s="17"/>
    </row>
    <row r="347" spans="13:18" ht="12.75">
      <c r="M347" s="17"/>
      <c r="N347" s="35"/>
      <c r="R347" s="17"/>
    </row>
    <row r="348" spans="13:18" ht="12.75">
      <c r="M348" s="17"/>
      <c r="N348" s="35"/>
      <c r="R348" s="17"/>
    </row>
    <row r="349" spans="13:18" ht="12.75">
      <c r="M349" s="17"/>
      <c r="N349" s="35"/>
      <c r="R349" s="17"/>
    </row>
    <row r="350" spans="13:18" ht="12.75">
      <c r="M350" s="17"/>
      <c r="N350" s="35"/>
      <c r="R350" s="17"/>
    </row>
    <row r="351" spans="13:18" ht="12.75">
      <c r="M351" s="17"/>
      <c r="N351" s="35"/>
      <c r="R351" s="17"/>
    </row>
    <row r="352" spans="13:18" ht="12.75">
      <c r="M352" s="17"/>
      <c r="N352" s="35"/>
      <c r="R352" s="17"/>
    </row>
    <row r="353" spans="13:18" ht="12.75">
      <c r="M353" s="17"/>
      <c r="N353" s="35"/>
      <c r="R353" s="17"/>
    </row>
    <row r="354" spans="13:18" ht="12.75">
      <c r="M354" s="17"/>
      <c r="N354" s="35"/>
      <c r="R354" s="17"/>
    </row>
    <row r="355" spans="13:18" ht="12.75">
      <c r="M355" s="17"/>
      <c r="N355" s="35"/>
      <c r="R355" s="17"/>
    </row>
    <row r="356" spans="13:18" ht="12.75">
      <c r="M356" s="17"/>
      <c r="N356" s="35"/>
      <c r="R356" s="17"/>
    </row>
    <row r="357" spans="13:18" ht="12.75">
      <c r="M357" s="17"/>
      <c r="N357" s="35"/>
      <c r="R357" s="17"/>
    </row>
    <row r="358" spans="13:18" ht="12.75">
      <c r="M358" s="17"/>
      <c r="N358" s="35"/>
      <c r="R358" s="17"/>
    </row>
    <row r="359" spans="13:18" ht="12.75">
      <c r="M359" s="17"/>
      <c r="N359" s="35"/>
      <c r="R359" s="17"/>
    </row>
    <row r="360" spans="13:18" ht="12.75">
      <c r="M360" s="17"/>
      <c r="N360" s="35"/>
      <c r="R360" s="17"/>
    </row>
    <row r="361" spans="13:18" ht="12.75">
      <c r="M361" s="17"/>
      <c r="N361" s="35"/>
      <c r="R361" s="17"/>
    </row>
    <row r="362" spans="13:18" ht="12.75">
      <c r="M362" s="17"/>
      <c r="N362" s="35"/>
      <c r="R362" s="17"/>
    </row>
    <row r="363" spans="13:18" ht="12.75">
      <c r="M363" s="17"/>
      <c r="N363" s="35"/>
      <c r="R363" s="17"/>
    </row>
    <row r="364" spans="13:18" ht="12.75">
      <c r="M364" s="17"/>
      <c r="N364" s="35"/>
      <c r="R364" s="17"/>
    </row>
    <row r="365" spans="13:18" ht="12.75">
      <c r="M365" s="17"/>
      <c r="N365" s="35"/>
      <c r="R365" s="17"/>
    </row>
    <row r="366" spans="13:18" ht="12.75">
      <c r="M366" s="17"/>
      <c r="N366" s="35"/>
      <c r="R366" s="17"/>
    </row>
    <row r="367" spans="13:18" ht="12.75">
      <c r="M367" s="17"/>
      <c r="N367" s="35"/>
      <c r="R367" s="17"/>
    </row>
    <row r="368" spans="13:18" ht="12.75">
      <c r="M368" s="17"/>
      <c r="N368" s="35"/>
      <c r="R368" s="17"/>
    </row>
    <row r="369" spans="13:18" ht="12.75">
      <c r="M369" s="17"/>
      <c r="N369" s="35"/>
      <c r="R369" s="17"/>
    </row>
    <row r="370" spans="13:18" ht="12.75">
      <c r="M370" s="17"/>
      <c r="N370" s="35"/>
      <c r="R370" s="17"/>
    </row>
    <row r="371" spans="13:18" ht="12.75">
      <c r="M371" s="17"/>
      <c r="N371" s="35"/>
      <c r="R371" s="17"/>
    </row>
    <row r="372" spans="13:18" ht="12.75">
      <c r="M372" s="17"/>
      <c r="N372" s="35"/>
      <c r="R372" s="17"/>
    </row>
    <row r="373" spans="13:18" ht="12.75">
      <c r="M373" s="17"/>
      <c r="N373" s="35"/>
      <c r="R373" s="17"/>
    </row>
    <row r="374" spans="13:18" ht="12.75">
      <c r="M374" s="17"/>
      <c r="N374" s="35"/>
      <c r="R374" s="17"/>
    </row>
    <row r="375" spans="13:18" ht="12.75">
      <c r="M375" s="17"/>
      <c r="N375" s="35"/>
      <c r="R375" s="17"/>
    </row>
    <row r="376" spans="13:18" ht="12.75">
      <c r="M376" s="17"/>
      <c r="N376" s="35"/>
      <c r="R376" s="17"/>
    </row>
    <row r="377" spans="13:18" ht="12.75">
      <c r="M377" s="17"/>
      <c r="N377" s="35"/>
      <c r="R377" s="17"/>
    </row>
    <row r="378" spans="13:18" ht="12.75">
      <c r="M378" s="17"/>
      <c r="N378" s="35"/>
      <c r="R378" s="17"/>
    </row>
    <row r="379" spans="13:18" ht="12.75">
      <c r="M379" s="17"/>
      <c r="N379" s="35"/>
      <c r="R379" s="17"/>
    </row>
    <row r="380" spans="13:18" ht="12.75">
      <c r="M380" s="17"/>
      <c r="N380" s="35"/>
      <c r="R380" s="17"/>
    </row>
    <row r="381" spans="13:18" ht="12.75">
      <c r="M381" s="17"/>
      <c r="N381" s="35"/>
      <c r="R381" s="17"/>
    </row>
    <row r="382" spans="13:18" ht="12.75">
      <c r="M382" s="17"/>
      <c r="N382" s="35"/>
      <c r="R382" s="17"/>
    </row>
    <row r="383" spans="13:18" ht="12.75">
      <c r="M383" s="17"/>
      <c r="N383" s="35"/>
      <c r="R383" s="17"/>
    </row>
    <row r="384" spans="13:18" ht="12.75">
      <c r="M384" s="17"/>
      <c r="N384" s="35"/>
      <c r="R384" s="17"/>
    </row>
    <row r="385" spans="13:18" ht="12.75">
      <c r="M385" s="17"/>
      <c r="N385" s="35"/>
      <c r="R385" s="17"/>
    </row>
    <row r="386" spans="13:18" ht="12.75">
      <c r="M386" s="17"/>
      <c r="N386" s="35"/>
      <c r="R386" s="17"/>
    </row>
    <row r="387" spans="13:18" ht="12.75">
      <c r="M387" s="17"/>
      <c r="N387" s="35"/>
      <c r="R387" s="17"/>
    </row>
    <row r="388" spans="13:18" ht="12.75">
      <c r="M388" s="17"/>
      <c r="N388" s="35"/>
      <c r="R388" s="17"/>
    </row>
    <row r="389" spans="13:18" ht="12.75">
      <c r="M389" s="17"/>
      <c r="N389" s="35"/>
      <c r="R389" s="17"/>
    </row>
    <row r="390" spans="13:18" ht="12.75">
      <c r="M390" s="17"/>
      <c r="N390" s="35"/>
      <c r="R390" s="17"/>
    </row>
    <row r="391" spans="13:18" ht="12.75">
      <c r="M391" s="17"/>
      <c r="N391" s="35"/>
      <c r="R391" s="17"/>
    </row>
    <row r="392" spans="13:18" ht="12.75">
      <c r="M392" s="17"/>
      <c r="N392" s="35"/>
      <c r="R392" s="17"/>
    </row>
    <row r="393" spans="13:18" ht="12.75">
      <c r="M393" s="17"/>
      <c r="N393" s="35"/>
      <c r="R393" s="17"/>
    </row>
    <row r="394" spans="13:18" ht="12.75">
      <c r="M394" s="17"/>
      <c r="N394" s="35"/>
      <c r="R394" s="17"/>
    </row>
    <row r="395" spans="13:18" ht="12.75">
      <c r="M395" s="17"/>
      <c r="N395" s="35"/>
      <c r="R395" s="17"/>
    </row>
    <row r="396" spans="13:18" ht="12.75">
      <c r="M396" s="17"/>
      <c r="N396" s="35"/>
      <c r="R396" s="17"/>
    </row>
    <row r="397" spans="13:18" ht="12.75">
      <c r="M397" s="17"/>
      <c r="N397" s="35"/>
      <c r="R397" s="17"/>
    </row>
    <row r="398" spans="13:18" ht="12.75">
      <c r="M398" s="17"/>
      <c r="N398" s="35"/>
      <c r="R398" s="17"/>
    </row>
    <row r="399" spans="13:18" ht="12.75">
      <c r="M399" s="17"/>
      <c r="N399" s="35"/>
      <c r="R399" s="17"/>
    </row>
    <row r="400" spans="13:18" ht="12.75">
      <c r="M400" s="17"/>
      <c r="N400" s="35"/>
      <c r="R400" s="17"/>
    </row>
    <row r="401" spans="13:18" ht="12.75">
      <c r="M401" s="17"/>
      <c r="N401" s="35"/>
      <c r="R401" s="17"/>
    </row>
    <row r="402" spans="13:18" ht="12.75">
      <c r="M402" s="17"/>
      <c r="N402" s="35"/>
      <c r="R402" s="17"/>
    </row>
    <row r="403" spans="13:18" ht="12.75">
      <c r="M403" s="17"/>
      <c r="N403" s="35"/>
      <c r="R403" s="17"/>
    </row>
    <row r="404" spans="13:18" ht="12.75">
      <c r="M404" s="17"/>
      <c r="N404" s="35"/>
      <c r="R404" s="17"/>
    </row>
    <row r="405" spans="13:18" ht="12.75">
      <c r="M405" s="17"/>
      <c r="N405" s="35"/>
      <c r="R405" s="17"/>
    </row>
    <row r="406" spans="13:18" ht="12.75">
      <c r="M406" s="17"/>
      <c r="N406" s="35"/>
      <c r="R406" s="17"/>
    </row>
    <row r="407" spans="13:18" ht="12.75">
      <c r="M407" s="17"/>
      <c r="N407" s="35"/>
      <c r="R407" s="17"/>
    </row>
    <row r="408" spans="13:18" ht="12.75">
      <c r="M408" s="17"/>
      <c r="N408" s="35"/>
      <c r="R408" s="17"/>
    </row>
    <row r="409" spans="13:18" ht="12.75">
      <c r="M409" s="17"/>
      <c r="N409" s="35"/>
      <c r="R409" s="17"/>
    </row>
    <row r="410" spans="13:18" ht="12.75">
      <c r="M410" s="17"/>
      <c r="N410" s="35"/>
      <c r="R410" s="17"/>
    </row>
    <row r="411" spans="13:18" ht="12.75">
      <c r="M411" s="17"/>
      <c r="N411" s="35"/>
      <c r="R411" s="17"/>
    </row>
    <row r="412" spans="13:18" ht="12.75">
      <c r="M412" s="17"/>
      <c r="N412" s="35"/>
      <c r="R412" s="17"/>
    </row>
    <row r="413" spans="13:18" ht="12.75">
      <c r="M413" s="17"/>
      <c r="N413" s="35"/>
      <c r="R413" s="17"/>
    </row>
    <row r="414" spans="13:18" ht="12.75">
      <c r="M414" s="17"/>
      <c r="N414" s="35"/>
      <c r="R414" s="17"/>
    </row>
    <row r="415" spans="13:18" ht="12.75">
      <c r="M415" s="17"/>
      <c r="N415" s="35"/>
      <c r="R415" s="17"/>
    </row>
    <row r="416" spans="13:18" ht="12.75">
      <c r="M416" s="17"/>
      <c r="N416" s="35"/>
      <c r="R416" s="17"/>
    </row>
    <row r="417" spans="13:18" ht="12.75">
      <c r="M417" s="17"/>
      <c r="N417" s="35"/>
      <c r="R417" s="17"/>
    </row>
    <row r="418" spans="13:18" ht="12.75">
      <c r="M418" s="17"/>
      <c r="N418" s="35"/>
      <c r="R418" s="17"/>
    </row>
    <row r="419" spans="13:18" ht="12.75">
      <c r="M419" s="17"/>
      <c r="N419" s="35"/>
      <c r="R419" s="17"/>
    </row>
    <row r="420" spans="13:18" ht="12.75">
      <c r="M420" s="17"/>
      <c r="N420" s="35"/>
      <c r="R420" s="17"/>
    </row>
    <row r="421" spans="13:18" ht="12.75">
      <c r="M421" s="17"/>
      <c r="N421" s="35"/>
      <c r="R421" s="17"/>
    </row>
    <row r="422" spans="13:18" ht="12.75">
      <c r="M422" s="17"/>
      <c r="N422" s="35"/>
      <c r="R422" s="17"/>
    </row>
    <row r="423" spans="13:18" ht="12.75">
      <c r="M423" s="17"/>
      <c r="N423" s="35"/>
      <c r="R423" s="17"/>
    </row>
    <row r="424" spans="13:18" ht="12.75">
      <c r="M424" s="17"/>
      <c r="N424" s="35"/>
      <c r="R424" s="17"/>
    </row>
    <row r="425" spans="13:18" ht="12.75">
      <c r="M425" s="17"/>
      <c r="N425" s="35"/>
      <c r="R425" s="17"/>
    </row>
    <row r="426" spans="13:18" ht="12.75">
      <c r="M426" s="17"/>
      <c r="N426" s="35"/>
      <c r="R426" s="17"/>
    </row>
    <row r="427" spans="13:18" ht="12.75">
      <c r="M427" s="17"/>
      <c r="N427" s="35"/>
      <c r="R427" s="17"/>
    </row>
    <row r="428" spans="13:18" ht="12.75">
      <c r="M428" s="17"/>
      <c r="N428" s="35"/>
      <c r="R428" s="17"/>
    </row>
    <row r="429" spans="13:18" ht="12.75">
      <c r="M429" s="17"/>
      <c r="N429" s="35"/>
      <c r="R429" s="17"/>
    </row>
    <row r="430" spans="13:18" ht="12.75">
      <c r="M430" s="17"/>
      <c r="N430" s="35"/>
      <c r="R430" s="17"/>
    </row>
    <row r="431" spans="13:18" ht="12.75">
      <c r="M431" s="17"/>
      <c r="N431" s="35"/>
      <c r="R431" s="17"/>
    </row>
    <row r="432" spans="13:18" ht="12.75">
      <c r="M432" s="17"/>
      <c r="N432" s="35"/>
      <c r="R432" s="17"/>
    </row>
    <row r="433" spans="13:18" ht="12.75">
      <c r="M433" s="17"/>
      <c r="N433" s="35"/>
      <c r="R433" s="17"/>
    </row>
    <row r="434" spans="13:18" ht="12.75">
      <c r="M434" s="17"/>
      <c r="N434" s="35"/>
      <c r="R434" s="17"/>
    </row>
    <row r="435" spans="13:18" ht="12.75">
      <c r="M435" s="17"/>
      <c r="N435" s="35"/>
      <c r="R435" s="17"/>
    </row>
    <row r="436" spans="13:18" ht="12.75">
      <c r="M436" s="17"/>
      <c r="N436" s="35"/>
      <c r="R436" s="17"/>
    </row>
    <row r="437" spans="13:18" ht="12.75">
      <c r="M437" s="17"/>
      <c r="N437" s="35"/>
      <c r="R437" s="17"/>
    </row>
    <row r="438" spans="13:18" ht="12.75">
      <c r="M438" s="17"/>
      <c r="N438" s="35"/>
      <c r="R438" s="17"/>
    </row>
    <row r="439" spans="13:18" ht="12.75">
      <c r="M439" s="17"/>
      <c r="N439" s="35"/>
      <c r="R439" s="17"/>
    </row>
    <row r="440" spans="13:18" ht="12.75">
      <c r="M440" s="17"/>
      <c r="N440" s="35"/>
      <c r="R440" s="17"/>
    </row>
    <row r="441" spans="13:18" ht="12.75">
      <c r="M441" s="17"/>
      <c r="N441" s="35"/>
      <c r="R441" s="17"/>
    </row>
    <row r="442" spans="13:18" ht="12.75">
      <c r="M442" s="17"/>
      <c r="N442" s="35"/>
      <c r="R442" s="17"/>
    </row>
    <row r="443" spans="13:18" ht="12.75">
      <c r="M443" s="17"/>
      <c r="N443" s="35"/>
      <c r="R443" s="17"/>
    </row>
    <row r="444" spans="13:18" ht="12.75">
      <c r="M444" s="17"/>
      <c r="N444" s="35"/>
      <c r="R444" s="17"/>
    </row>
    <row r="445" spans="13:18" ht="12.75">
      <c r="M445" s="17"/>
      <c r="N445" s="35"/>
      <c r="R445" s="17"/>
    </row>
    <row r="446" spans="13:18" ht="12.75">
      <c r="M446" s="17"/>
      <c r="N446" s="35"/>
      <c r="R446" s="17"/>
    </row>
    <row r="447" spans="13:18" ht="12.75">
      <c r="M447" s="17"/>
      <c r="N447" s="35"/>
      <c r="R447" s="17"/>
    </row>
    <row r="448" spans="13:18" ht="12.75">
      <c r="M448" s="17"/>
      <c r="N448" s="35"/>
      <c r="R448" s="17"/>
    </row>
    <row r="449" spans="13:18" ht="12.75">
      <c r="M449" s="17"/>
      <c r="N449" s="35"/>
      <c r="R449" s="17"/>
    </row>
    <row r="450" spans="13:18" ht="12.75">
      <c r="M450" s="17"/>
      <c r="N450" s="35"/>
      <c r="R450" s="17"/>
    </row>
    <row r="451" spans="13:18" ht="12.75">
      <c r="M451" s="17"/>
      <c r="N451" s="35"/>
      <c r="R451" s="17"/>
    </row>
    <row r="452" spans="13:18" ht="12.75">
      <c r="M452" s="17"/>
      <c r="N452" s="35"/>
      <c r="R452" s="17"/>
    </row>
    <row r="453" spans="13:18" ht="12.75">
      <c r="M453" s="17"/>
      <c r="N453" s="35"/>
      <c r="R453" s="17"/>
    </row>
    <row r="454" spans="13:18" ht="12.75">
      <c r="M454" s="17"/>
      <c r="N454" s="35"/>
      <c r="R454" s="17"/>
    </row>
    <row r="455" spans="13:18" ht="12.75">
      <c r="M455" s="17"/>
      <c r="N455" s="35"/>
      <c r="R455" s="17"/>
    </row>
    <row r="456" spans="13:18" ht="12.75">
      <c r="M456" s="17"/>
      <c r="N456" s="35"/>
      <c r="R456" s="17"/>
    </row>
    <row r="457" spans="13:18" ht="12.75">
      <c r="M457" s="17"/>
      <c r="N457" s="35"/>
      <c r="R457" s="17"/>
    </row>
    <row r="458" spans="13:18" ht="12.75">
      <c r="M458" s="17"/>
      <c r="N458" s="35"/>
      <c r="R458" s="17"/>
    </row>
    <row r="459" spans="13:18" ht="12.75">
      <c r="M459" s="17"/>
      <c r="N459" s="35"/>
      <c r="R459" s="17"/>
    </row>
    <row r="460" spans="13:18" ht="12.75">
      <c r="M460" s="17"/>
      <c r="N460" s="35"/>
      <c r="R460" s="17"/>
    </row>
    <row r="461" spans="13:18" ht="12.75">
      <c r="M461" s="17"/>
      <c r="N461" s="35"/>
      <c r="R461" s="17"/>
    </row>
    <row r="462" spans="13:18" ht="12.75">
      <c r="M462" s="17"/>
      <c r="N462" s="35"/>
      <c r="R462" s="17"/>
    </row>
    <row r="463" spans="13:18" ht="12.75">
      <c r="M463" s="17"/>
      <c r="N463" s="35"/>
      <c r="R463" s="17"/>
    </row>
    <row r="464" spans="13:18" ht="12.75">
      <c r="M464" s="17"/>
      <c r="N464" s="35"/>
      <c r="R464" s="17"/>
    </row>
    <row r="465" spans="13:18" ht="12.75">
      <c r="M465" s="17"/>
      <c r="N465" s="35"/>
      <c r="R465" s="17"/>
    </row>
    <row r="466" spans="13:18" ht="12.75">
      <c r="M466" s="17"/>
      <c r="N466" s="35"/>
      <c r="R466" s="17"/>
    </row>
    <row r="467" spans="13:18" ht="12.75">
      <c r="M467" s="17"/>
      <c r="N467" s="35"/>
      <c r="R467" s="17"/>
    </row>
    <row r="468" spans="13:18" ht="12.75">
      <c r="M468" s="17"/>
      <c r="N468" s="35"/>
      <c r="R468" s="17"/>
    </row>
    <row r="469" spans="13:18" ht="12.75">
      <c r="M469" s="17"/>
      <c r="N469" s="35"/>
      <c r="R469" s="17"/>
    </row>
    <row r="470" spans="13:18" ht="12.75">
      <c r="M470" s="17"/>
      <c r="N470" s="35"/>
      <c r="R470" s="17"/>
    </row>
    <row r="471" spans="13:18" ht="12.75">
      <c r="M471" s="17"/>
      <c r="N471" s="35"/>
      <c r="R471" s="17"/>
    </row>
    <row r="472" spans="13:18" ht="12.75">
      <c r="M472" s="17"/>
      <c r="N472" s="35"/>
      <c r="R472" s="17"/>
    </row>
    <row r="473" spans="13:18" ht="12.75">
      <c r="M473" s="17"/>
      <c r="N473" s="35"/>
      <c r="R473" s="17"/>
    </row>
    <row r="474" spans="13:18" ht="12.75">
      <c r="M474" s="17"/>
      <c r="N474" s="35"/>
      <c r="R474" s="17"/>
    </row>
    <row r="475" spans="13:18" ht="12.75">
      <c r="M475" s="17"/>
      <c r="N475" s="35"/>
      <c r="R475" s="17"/>
    </row>
    <row r="476" spans="13:18" ht="12.75">
      <c r="M476" s="17"/>
      <c r="N476" s="35"/>
      <c r="R476" s="17"/>
    </row>
    <row r="477" spans="13:18" ht="12.75">
      <c r="M477" s="17"/>
      <c r="N477" s="35"/>
      <c r="R477" s="17"/>
    </row>
    <row r="478" spans="13:18" ht="12.75">
      <c r="M478" s="17"/>
      <c r="N478" s="35"/>
      <c r="R478" s="17"/>
    </row>
    <row r="479" spans="13:18" ht="12.75">
      <c r="M479" s="17"/>
      <c r="N479" s="35"/>
      <c r="R479" s="17"/>
    </row>
    <row r="480" spans="13:18" ht="12.75">
      <c r="M480" s="17"/>
      <c r="N480" s="35"/>
      <c r="R480" s="17"/>
    </row>
    <row r="481" spans="13:18" ht="12.75">
      <c r="M481" s="17"/>
      <c r="N481" s="35"/>
      <c r="R481" s="17"/>
    </row>
    <row r="482" spans="13:18" ht="12.75">
      <c r="M482" s="17"/>
      <c r="N482" s="35"/>
      <c r="R482" s="17"/>
    </row>
    <row r="483" spans="13:18" ht="12.75">
      <c r="M483" s="17"/>
      <c r="N483" s="35"/>
      <c r="R483" s="17"/>
    </row>
    <row r="484" spans="13:18" ht="12.75">
      <c r="M484" s="17"/>
      <c r="N484" s="35"/>
      <c r="R484" s="17"/>
    </row>
    <row r="485" spans="13:18" ht="12.75">
      <c r="M485" s="17"/>
      <c r="N485" s="35"/>
      <c r="R485" s="17"/>
    </row>
    <row r="486" spans="13:18" ht="12.75">
      <c r="M486" s="17"/>
      <c r="N486" s="35"/>
      <c r="R486" s="17"/>
    </row>
    <row r="487" spans="13:18" ht="12.75">
      <c r="M487" s="17"/>
      <c r="N487" s="35"/>
      <c r="R487" s="17"/>
    </row>
    <row r="488" spans="13:18" ht="12.75">
      <c r="M488" s="17"/>
      <c r="N488" s="35"/>
      <c r="R488" s="17"/>
    </row>
    <row r="489" spans="13:18" ht="12.75">
      <c r="M489" s="17"/>
      <c r="N489" s="35"/>
      <c r="R489" s="17"/>
    </row>
    <row r="490" spans="13:18" ht="12.75">
      <c r="M490" s="17"/>
      <c r="N490" s="35"/>
      <c r="R490" s="17"/>
    </row>
    <row r="491" spans="13:18" ht="12.75">
      <c r="M491" s="17"/>
      <c r="N491" s="35"/>
      <c r="R491" s="17"/>
    </row>
    <row r="492" spans="13:18" ht="12.75">
      <c r="M492" s="17"/>
      <c r="N492" s="35"/>
      <c r="R492" s="17"/>
    </row>
    <row r="493" spans="13:18" ht="12.75">
      <c r="M493" s="17"/>
      <c r="N493" s="35"/>
      <c r="R493" s="17"/>
    </row>
    <row r="494" spans="13:18" ht="12.75">
      <c r="M494" s="17"/>
      <c r="N494" s="35"/>
      <c r="R494" s="17"/>
    </row>
    <row r="495" spans="13:18" ht="12.75">
      <c r="M495" s="17"/>
      <c r="N495" s="35"/>
      <c r="R495" s="17"/>
    </row>
    <row r="496" spans="13:18" ht="12.75">
      <c r="M496" s="17"/>
      <c r="N496" s="35"/>
      <c r="R496" s="17"/>
    </row>
    <row r="497" spans="13:18" ht="12.75">
      <c r="M497" s="17"/>
      <c r="N497" s="35"/>
      <c r="R497" s="17"/>
    </row>
    <row r="498" spans="13:18" ht="12.75">
      <c r="M498" s="17"/>
      <c r="N498" s="35"/>
      <c r="R498" s="17"/>
    </row>
    <row r="499" spans="13:18" ht="12.75">
      <c r="M499" s="17"/>
      <c r="N499" s="35"/>
      <c r="R499" s="17"/>
    </row>
    <row r="500" spans="13:18" ht="12.75">
      <c r="M500" s="17"/>
      <c r="N500" s="35"/>
      <c r="R500" s="17"/>
    </row>
    <row r="501" spans="13:18" ht="12.75">
      <c r="M501" s="17"/>
      <c r="N501" s="35"/>
      <c r="R501" s="17"/>
    </row>
    <row r="502" spans="13:18" ht="12.75">
      <c r="M502" s="17"/>
      <c r="N502" s="35"/>
      <c r="R502" s="17"/>
    </row>
    <row r="503" spans="13:18" ht="12.75">
      <c r="M503" s="17"/>
      <c r="N503" s="35"/>
      <c r="R503" s="17"/>
    </row>
    <row r="504" spans="13:18" ht="12.75">
      <c r="M504" s="17"/>
      <c r="N504" s="35"/>
      <c r="R504" s="17"/>
    </row>
    <row r="505" spans="13:18" ht="12.75">
      <c r="M505" s="17"/>
      <c r="N505" s="35"/>
      <c r="R505" s="17"/>
    </row>
    <row r="506" spans="13:18" ht="12.75">
      <c r="M506" s="17"/>
      <c r="N506" s="35"/>
      <c r="R506" s="17"/>
    </row>
    <row r="507" spans="13:18" ht="12.75">
      <c r="M507" s="17"/>
      <c r="N507" s="35"/>
      <c r="R507" s="17"/>
    </row>
    <row r="508" spans="13:18" ht="12.75">
      <c r="M508" s="17"/>
      <c r="N508" s="35"/>
      <c r="R508" s="17"/>
    </row>
    <row r="509" spans="13:18" ht="12.75">
      <c r="M509" s="17"/>
      <c r="N509" s="35"/>
      <c r="R509" s="17"/>
    </row>
    <row r="510" spans="13:18" ht="12.75">
      <c r="M510" s="17"/>
      <c r="N510" s="35"/>
      <c r="R510" s="17"/>
    </row>
    <row r="511" spans="13:18" ht="12.75">
      <c r="M511" s="17"/>
      <c r="N511" s="35"/>
      <c r="R511" s="17"/>
    </row>
    <row r="512" spans="13:18" ht="12.75">
      <c r="M512" s="17"/>
      <c r="N512" s="35"/>
      <c r="R512" s="17"/>
    </row>
    <row r="513" spans="13:18" ht="12.75">
      <c r="M513" s="17"/>
      <c r="N513" s="35"/>
      <c r="R513" s="17"/>
    </row>
    <row r="514" spans="13:18" ht="12.75">
      <c r="M514" s="17"/>
      <c r="N514" s="35"/>
      <c r="R514" s="17"/>
    </row>
    <row r="515" spans="13:18" ht="12.75">
      <c r="M515" s="17"/>
      <c r="N515" s="35"/>
      <c r="R515" s="17"/>
    </row>
    <row r="516" spans="13:18" ht="12.75">
      <c r="M516" s="17"/>
      <c r="N516" s="35"/>
      <c r="R516" s="17"/>
    </row>
    <row r="517" spans="13:18" ht="12.75">
      <c r="M517" s="17"/>
      <c r="N517" s="35"/>
      <c r="R517" s="17"/>
    </row>
    <row r="518" spans="13:18" ht="12.75">
      <c r="M518" s="17"/>
      <c r="N518" s="35"/>
      <c r="R518" s="17"/>
    </row>
    <row r="519" spans="13:18" ht="12.75">
      <c r="M519" s="17"/>
      <c r="N519" s="35"/>
      <c r="R519" s="17"/>
    </row>
    <row r="520" spans="13:18" ht="12.75">
      <c r="M520" s="17"/>
      <c r="N520" s="35"/>
      <c r="R520" s="17"/>
    </row>
    <row r="521" spans="13:18" ht="12.75">
      <c r="M521" s="17"/>
      <c r="N521" s="35"/>
      <c r="R521" s="17"/>
    </row>
    <row r="522" spans="13:18" ht="12.75">
      <c r="M522" s="17"/>
      <c r="N522" s="35"/>
      <c r="R522" s="17"/>
    </row>
    <row r="523" spans="13:18" ht="12.75">
      <c r="M523" s="17"/>
      <c r="N523" s="35"/>
      <c r="R523" s="17"/>
    </row>
    <row r="524" spans="13:18" ht="12.75">
      <c r="M524" s="17"/>
      <c r="N524" s="35"/>
      <c r="R524" s="17"/>
    </row>
    <row r="525" spans="13:18" ht="12.75">
      <c r="M525" s="17"/>
      <c r="N525" s="35"/>
      <c r="R525" s="17"/>
    </row>
    <row r="526" spans="13:18" ht="12.75">
      <c r="M526" s="17"/>
      <c r="N526" s="35"/>
      <c r="R526" s="17"/>
    </row>
    <row r="527" spans="13:18" ht="12.75">
      <c r="M527" s="17"/>
      <c r="N527" s="35"/>
      <c r="R527" s="17"/>
    </row>
    <row r="528" spans="13:18" ht="12.75">
      <c r="M528" s="17"/>
      <c r="N528" s="35"/>
      <c r="R528" s="17"/>
    </row>
    <row r="529" spans="13:18" ht="12.75">
      <c r="M529" s="17"/>
      <c r="N529" s="35"/>
      <c r="R529" s="17"/>
    </row>
    <row r="530" spans="13:18" ht="12.75">
      <c r="M530" s="17"/>
      <c r="N530" s="35"/>
      <c r="R530" s="17"/>
    </row>
    <row r="531" spans="13:18" ht="12.75">
      <c r="M531" s="17"/>
      <c r="N531" s="35"/>
      <c r="R531" s="17"/>
    </row>
    <row r="532" spans="13:18" ht="12.75">
      <c r="M532" s="17"/>
      <c r="N532" s="35"/>
      <c r="R532" s="17"/>
    </row>
    <row r="533" spans="13:18" ht="12.75">
      <c r="M533" s="17"/>
      <c r="N533" s="35"/>
      <c r="R533" s="17"/>
    </row>
    <row r="534" spans="13:18" ht="12.75">
      <c r="M534" s="17"/>
      <c r="N534" s="35"/>
      <c r="R534" s="17"/>
    </row>
    <row r="535" spans="13:18" ht="12.75">
      <c r="M535" s="17"/>
      <c r="N535" s="35"/>
      <c r="R535" s="17"/>
    </row>
    <row r="536" spans="13:18" ht="12.75">
      <c r="M536" s="17"/>
      <c r="N536" s="35"/>
      <c r="R536" s="17"/>
    </row>
    <row r="537" spans="13:18" ht="12.75">
      <c r="M537" s="17"/>
      <c r="N537" s="35"/>
      <c r="R537" s="17"/>
    </row>
    <row r="538" spans="13:18" ht="12.75">
      <c r="M538" s="17"/>
      <c r="N538" s="35"/>
      <c r="R538" s="17"/>
    </row>
    <row r="539" spans="13:18" ht="12.75">
      <c r="M539" s="17"/>
      <c r="N539" s="35"/>
      <c r="R539" s="17"/>
    </row>
    <row r="540" spans="13:18" ht="12.75">
      <c r="M540" s="17"/>
      <c r="N540" s="35"/>
      <c r="R540" s="17"/>
    </row>
    <row r="541" spans="13:18" ht="12.75">
      <c r="M541" s="17"/>
      <c r="N541" s="35"/>
      <c r="R541" s="17"/>
    </row>
    <row r="542" spans="13:18" ht="12.75">
      <c r="M542" s="17"/>
      <c r="N542" s="35"/>
      <c r="R542" s="17"/>
    </row>
    <row r="543" spans="13:18" ht="12.75">
      <c r="M543" s="17"/>
      <c r="N543" s="35"/>
      <c r="R543" s="17"/>
    </row>
    <row r="544" spans="13:18" ht="12.75">
      <c r="M544" s="17"/>
      <c r="N544" s="35"/>
      <c r="R544" s="17"/>
    </row>
    <row r="545" spans="13:18" ht="12.75">
      <c r="M545" s="17"/>
      <c r="N545" s="35"/>
      <c r="R545" s="17"/>
    </row>
    <row r="546" spans="13:18" ht="12.75">
      <c r="M546" s="17"/>
      <c r="N546" s="35"/>
      <c r="R546" s="17"/>
    </row>
    <row r="547" spans="13:18" ht="12.75">
      <c r="M547" s="17"/>
      <c r="N547" s="35"/>
      <c r="R547" s="17"/>
    </row>
    <row r="548" spans="13:18" ht="12.75">
      <c r="M548" s="17"/>
      <c r="N548" s="35"/>
      <c r="R548" s="17"/>
    </row>
    <row r="549" spans="13:18" ht="12.75">
      <c r="M549" s="17"/>
      <c r="N549" s="35"/>
      <c r="R549" s="17"/>
    </row>
    <row r="550" spans="13:18" ht="12.75">
      <c r="M550" s="17"/>
      <c r="N550" s="35"/>
      <c r="R550" s="17"/>
    </row>
    <row r="551" spans="13:18" ht="12.75">
      <c r="M551" s="17"/>
      <c r="N551" s="35"/>
      <c r="R551" s="17"/>
    </row>
    <row r="552" spans="13:18" ht="12.75">
      <c r="M552" s="17"/>
      <c r="N552" s="35"/>
      <c r="R552" s="17"/>
    </row>
    <row r="553" spans="13:18" ht="12.75">
      <c r="M553" s="17"/>
      <c r="N553" s="35"/>
      <c r="R553" s="17"/>
    </row>
    <row r="554" spans="13:18" ht="12.75">
      <c r="M554" s="17"/>
      <c r="N554" s="35"/>
      <c r="R554" s="17"/>
    </row>
    <row r="555" spans="13:18" ht="12.75">
      <c r="M555" s="17"/>
      <c r="N555" s="35"/>
      <c r="R555" s="17"/>
    </row>
    <row r="556" spans="13:18" ht="12.75">
      <c r="M556" s="17"/>
      <c r="N556" s="35"/>
      <c r="R556" s="17"/>
    </row>
    <row r="557" spans="13:18" ht="12.75">
      <c r="M557" s="17"/>
      <c r="N557" s="35"/>
      <c r="R557" s="17"/>
    </row>
    <row r="558" spans="13:18" ht="12.75">
      <c r="M558" s="17"/>
      <c r="N558" s="35"/>
      <c r="R558" s="17"/>
    </row>
    <row r="559" spans="13:18" ht="12.75">
      <c r="M559" s="17"/>
      <c r="N559" s="35"/>
      <c r="R559" s="17"/>
    </row>
    <row r="560" spans="13:18" ht="12.75">
      <c r="M560" s="17"/>
      <c r="N560" s="35"/>
      <c r="R560" s="17"/>
    </row>
    <row r="561" spans="13:18" ht="12.75">
      <c r="M561" s="17"/>
      <c r="N561" s="35"/>
      <c r="R561" s="17"/>
    </row>
    <row r="562" spans="13:18" ht="12.75">
      <c r="M562" s="17"/>
      <c r="N562" s="35"/>
      <c r="R562" s="17"/>
    </row>
    <row r="563" spans="13:18" ht="12.75">
      <c r="M563" s="17"/>
      <c r="N563" s="35"/>
      <c r="R563" s="17"/>
    </row>
    <row r="564" spans="13:18" ht="12.75">
      <c r="M564" s="17"/>
      <c r="N564" s="35"/>
      <c r="R564" s="17"/>
    </row>
    <row r="565" spans="13:18" ht="12.75">
      <c r="M565" s="17"/>
      <c r="N565" s="35"/>
      <c r="R565" s="17"/>
    </row>
    <row r="566" spans="13:18" ht="12.75">
      <c r="M566" s="17"/>
      <c r="N566" s="35"/>
      <c r="R566" s="17"/>
    </row>
    <row r="567" spans="13:18" ht="12.75">
      <c r="M567" s="17"/>
      <c r="N567" s="35"/>
      <c r="R567" s="17"/>
    </row>
    <row r="568" spans="13:18" ht="12.75">
      <c r="M568" s="17"/>
      <c r="N568" s="35"/>
      <c r="R568" s="17"/>
    </row>
    <row r="569" spans="13:18" ht="12.75">
      <c r="M569" s="17"/>
      <c r="N569" s="35"/>
      <c r="R569" s="17"/>
    </row>
    <row r="570" spans="13:18" ht="12.75">
      <c r="M570" s="17"/>
      <c r="N570" s="35"/>
      <c r="R570" s="17"/>
    </row>
    <row r="571" spans="13:18" ht="12.75">
      <c r="M571" s="17"/>
      <c r="N571" s="35"/>
      <c r="R571" s="17"/>
    </row>
    <row r="572" spans="13:18" ht="12.75">
      <c r="M572" s="17"/>
      <c r="N572" s="35"/>
      <c r="R572" s="17"/>
    </row>
    <row r="573" spans="13:18" ht="12.75">
      <c r="M573" s="17"/>
      <c r="N573" s="35"/>
      <c r="R573" s="17"/>
    </row>
    <row r="574" spans="13:18" ht="12.75">
      <c r="M574" s="17"/>
      <c r="N574" s="35"/>
      <c r="R574" s="17"/>
    </row>
    <row r="575" spans="13:18" ht="12.75">
      <c r="M575" s="17"/>
      <c r="N575" s="35"/>
      <c r="R575" s="17"/>
    </row>
    <row r="576" spans="13:18" ht="12.75">
      <c r="M576" s="17"/>
      <c r="N576" s="35"/>
      <c r="R576" s="17"/>
    </row>
    <row r="577" spans="13:18" ht="12.75">
      <c r="M577" s="17"/>
      <c r="N577" s="35"/>
      <c r="R577" s="17"/>
    </row>
    <row r="578" spans="13:18" ht="12.75">
      <c r="M578" s="17"/>
      <c r="N578" s="35"/>
      <c r="R578" s="17"/>
    </row>
    <row r="579" spans="13:18" ht="12.75">
      <c r="M579" s="17"/>
      <c r="N579" s="35"/>
      <c r="R579" s="17"/>
    </row>
    <row r="580" spans="13:18" ht="12.75">
      <c r="M580" s="17"/>
      <c r="N580" s="35"/>
      <c r="R580" s="17"/>
    </row>
    <row r="581" spans="13:18" ht="12.75">
      <c r="M581" s="17"/>
      <c r="N581" s="35"/>
      <c r="R581" s="17"/>
    </row>
    <row r="582" spans="13:18" ht="12.75">
      <c r="M582" s="17"/>
      <c r="N582" s="35"/>
      <c r="R582" s="17"/>
    </row>
    <row r="583" spans="13:18" ht="12.75">
      <c r="M583" s="17"/>
      <c r="N583" s="35"/>
      <c r="R583" s="17"/>
    </row>
    <row r="584" spans="13:18" ht="12.75">
      <c r="M584" s="17"/>
      <c r="N584" s="35"/>
      <c r="R584" s="17"/>
    </row>
    <row r="585" spans="13:18" ht="12.75">
      <c r="M585" s="17"/>
      <c r="N585" s="35"/>
      <c r="R585" s="17"/>
    </row>
    <row r="586" spans="13:18" ht="12.75">
      <c r="M586" s="17"/>
      <c r="N586" s="35"/>
      <c r="R586" s="17"/>
    </row>
    <row r="587" spans="13:18" ht="12.75">
      <c r="M587" s="17"/>
      <c r="N587" s="35"/>
      <c r="R587" s="17"/>
    </row>
    <row r="588" spans="13:18" ht="12.75">
      <c r="M588" s="17"/>
      <c r="N588" s="35"/>
      <c r="R588" s="17"/>
    </row>
    <row r="589" spans="13:18" ht="12.75">
      <c r="M589" s="17"/>
      <c r="N589" s="35"/>
      <c r="R589" s="17"/>
    </row>
    <row r="590" spans="13:18" ht="12.75">
      <c r="M590" s="17"/>
      <c r="N590" s="35"/>
      <c r="R590" s="17"/>
    </row>
    <row r="591" spans="13:18" ht="12.75">
      <c r="M591" s="17"/>
      <c r="N591" s="35"/>
      <c r="R591" s="17"/>
    </row>
    <row r="592" spans="13:18" ht="12.75">
      <c r="M592" s="17"/>
      <c r="N592" s="35"/>
      <c r="R592" s="17"/>
    </row>
    <row r="593" spans="13:18" ht="12.75">
      <c r="M593" s="17"/>
      <c r="N593" s="35"/>
      <c r="R593" s="17"/>
    </row>
    <row r="594" spans="13:18" ht="12.75">
      <c r="M594" s="17"/>
      <c r="N594" s="35"/>
      <c r="R594" s="17"/>
    </row>
    <row r="595" spans="13:18" ht="12.75">
      <c r="M595" s="17"/>
      <c r="N595" s="35"/>
      <c r="R595" s="17"/>
    </row>
    <row r="596" spans="13:18" ht="12.75">
      <c r="M596" s="17"/>
      <c r="N596" s="35"/>
      <c r="R596" s="17"/>
    </row>
    <row r="597" spans="13:18" ht="12.75">
      <c r="M597" s="17"/>
      <c r="N597" s="35"/>
      <c r="R597" s="17"/>
    </row>
    <row r="598" spans="13:18" ht="12.75">
      <c r="M598" s="17"/>
      <c r="N598" s="35"/>
      <c r="R598" s="17"/>
    </row>
    <row r="599" spans="13:18" ht="12.75">
      <c r="M599" s="17"/>
      <c r="N599" s="35"/>
      <c r="R599" s="17"/>
    </row>
    <row r="600" spans="13:18" ht="12.75">
      <c r="M600" s="17"/>
      <c r="N600" s="35"/>
      <c r="R600" s="17"/>
    </row>
    <row r="601" spans="13:18" ht="12.75">
      <c r="M601" s="17"/>
      <c r="N601" s="35"/>
      <c r="R601" s="17"/>
    </row>
    <row r="602" spans="13:18" ht="12.75">
      <c r="M602" s="17"/>
      <c r="N602" s="35"/>
      <c r="R602" s="17"/>
    </row>
    <row r="603" spans="13:18" ht="12.75">
      <c r="M603" s="17"/>
      <c r="N603" s="35"/>
      <c r="R603" s="17"/>
    </row>
    <row r="604" spans="13:18" ht="12.75">
      <c r="M604" s="17"/>
      <c r="N604" s="35"/>
      <c r="R604" s="17"/>
    </row>
    <row r="605" spans="13:18" ht="12.75">
      <c r="M605" s="17"/>
      <c r="N605" s="35"/>
      <c r="R605" s="17"/>
    </row>
    <row r="606" spans="13:18" ht="12.75">
      <c r="M606" s="17"/>
      <c r="N606" s="35"/>
      <c r="R606" s="17"/>
    </row>
    <row r="607" spans="13:18" ht="12.75">
      <c r="M607" s="17"/>
      <c r="N607" s="35"/>
      <c r="R607" s="17"/>
    </row>
    <row r="608" spans="13:18" ht="12.75">
      <c r="M608" s="17"/>
      <c r="N608" s="35"/>
      <c r="R608" s="17"/>
    </row>
    <row r="609" spans="13:18" ht="12.75">
      <c r="M609" s="17"/>
      <c r="N609" s="35"/>
      <c r="R609" s="17"/>
    </row>
    <row r="610" spans="13:18" ht="12.75">
      <c r="M610" s="17"/>
      <c r="N610" s="35"/>
      <c r="R610" s="17"/>
    </row>
    <row r="611" spans="13:18" ht="12.75">
      <c r="M611" s="17"/>
      <c r="N611" s="35"/>
      <c r="R611" s="17"/>
    </row>
    <row r="612" spans="13:18" ht="12.75">
      <c r="M612" s="17"/>
      <c r="N612" s="35"/>
      <c r="R612" s="17"/>
    </row>
    <row r="613" spans="13:18" ht="12.75">
      <c r="M613" s="17"/>
      <c r="N613" s="35"/>
      <c r="R613" s="17"/>
    </row>
    <row r="614" spans="13:18" ht="12.75">
      <c r="M614" s="17"/>
      <c r="N614" s="35"/>
      <c r="R614" s="17"/>
    </row>
    <row r="615" spans="13:18" ht="12.75">
      <c r="M615" s="17"/>
      <c r="N615" s="35"/>
      <c r="R615" s="17"/>
    </row>
    <row r="616" spans="13:18" ht="12.75">
      <c r="M616" s="17"/>
      <c r="N616" s="35"/>
      <c r="R616" s="17"/>
    </row>
    <row r="617" spans="13:18" ht="12.75">
      <c r="M617" s="17"/>
      <c r="N617" s="35"/>
      <c r="R617" s="17"/>
    </row>
    <row r="618" spans="13:18" ht="12.75">
      <c r="M618" s="17"/>
      <c r="N618" s="35"/>
      <c r="R618" s="17"/>
    </row>
    <row r="619" spans="13:18" ht="12.75">
      <c r="M619" s="17"/>
      <c r="N619" s="35"/>
      <c r="R619" s="17"/>
    </row>
    <row r="620" spans="13:18" ht="12.75">
      <c r="M620" s="17"/>
      <c r="N620" s="35"/>
      <c r="R620" s="17"/>
    </row>
    <row r="621" spans="13:18" ht="12.75">
      <c r="M621" s="17"/>
      <c r="N621" s="35"/>
      <c r="R621" s="17"/>
    </row>
    <row r="622" spans="13:18" ht="12.75">
      <c r="M622" s="17"/>
      <c r="N622" s="35"/>
      <c r="R622" s="17"/>
    </row>
    <row r="623" spans="13:18" ht="12.75">
      <c r="M623" s="17"/>
      <c r="N623" s="35"/>
      <c r="R623" s="17"/>
    </row>
    <row r="624" spans="13:18" ht="12.75">
      <c r="M624" s="17"/>
      <c r="N624" s="35"/>
      <c r="R624" s="17"/>
    </row>
    <row r="625" spans="13:18" ht="12.75">
      <c r="M625" s="17"/>
      <c r="N625" s="35"/>
      <c r="R625" s="17"/>
    </row>
    <row r="626" spans="13:18" ht="12.75">
      <c r="M626" s="17"/>
      <c r="N626" s="35"/>
      <c r="R626" s="17"/>
    </row>
    <row r="627" spans="13:18" ht="12.75">
      <c r="M627" s="17"/>
      <c r="N627" s="35"/>
      <c r="R627" s="17"/>
    </row>
    <row r="628" spans="13:18" ht="12.75">
      <c r="M628" s="17"/>
      <c r="N628" s="35"/>
      <c r="R628" s="17"/>
    </row>
    <row r="629" spans="13:18" ht="12.75">
      <c r="M629" s="17"/>
      <c r="N629" s="35"/>
      <c r="R629" s="17"/>
    </row>
    <row r="630" spans="13:18" ht="12.75">
      <c r="M630" s="17"/>
      <c r="N630" s="35"/>
      <c r="R630" s="17"/>
    </row>
    <row r="631" spans="13:18" ht="12.75">
      <c r="M631" s="17"/>
      <c r="N631" s="35"/>
      <c r="R631" s="17"/>
    </row>
    <row r="632" spans="13:18" ht="12.75">
      <c r="M632" s="17"/>
      <c r="N632" s="35"/>
      <c r="R632" s="17"/>
    </row>
    <row r="633" spans="13:18" ht="12.75">
      <c r="M633" s="17"/>
      <c r="N633" s="35"/>
      <c r="R633" s="17"/>
    </row>
    <row r="634" spans="13:18" ht="12.75">
      <c r="M634" s="17"/>
      <c r="N634" s="35"/>
      <c r="R634" s="17"/>
    </row>
    <row r="635" spans="13:18" ht="12.75">
      <c r="M635" s="17"/>
      <c r="N635" s="35"/>
      <c r="R635" s="17"/>
    </row>
    <row r="636" spans="13:18" ht="12.75">
      <c r="M636" s="17"/>
      <c r="N636" s="35"/>
      <c r="R636" s="17"/>
    </row>
    <row r="637" spans="13:18" ht="12.75">
      <c r="M637" s="17"/>
      <c r="N637" s="35"/>
      <c r="R637" s="17"/>
    </row>
    <row r="638" spans="13:18" ht="12.75">
      <c r="M638" s="17"/>
      <c r="N638" s="35"/>
      <c r="R638" s="17"/>
    </row>
    <row r="639" spans="13:18" ht="12.75">
      <c r="M639" s="17"/>
      <c r="N639" s="35"/>
      <c r="R639" s="17"/>
    </row>
    <row r="640" spans="13:18" ht="12.75">
      <c r="M640" s="17"/>
      <c r="N640" s="35"/>
      <c r="R640" s="17"/>
    </row>
    <row r="641" spans="13:18" ht="12.75">
      <c r="M641" s="17"/>
      <c r="N641" s="35"/>
      <c r="R641" s="17"/>
    </row>
    <row r="642" spans="13:18" ht="12.75">
      <c r="M642" s="17"/>
      <c r="N642" s="35"/>
      <c r="R642" s="17"/>
    </row>
    <row r="643" spans="13:18" ht="12.75">
      <c r="M643" s="17"/>
      <c r="N643" s="35"/>
      <c r="R643" s="17"/>
    </row>
    <row r="644" spans="13:18" ht="12.75">
      <c r="M644" s="17"/>
      <c r="N644" s="35"/>
      <c r="R644" s="17"/>
    </row>
    <row r="645" spans="13:18" ht="12.75">
      <c r="M645" s="17"/>
      <c r="N645" s="35"/>
      <c r="R645" s="17"/>
    </row>
    <row r="646" spans="13:18" ht="12.75">
      <c r="M646" s="17"/>
      <c r="N646" s="35"/>
      <c r="R646" s="17"/>
    </row>
    <row r="647" spans="13:18" ht="12.75">
      <c r="M647" s="17"/>
      <c r="N647" s="35"/>
      <c r="R647" s="17"/>
    </row>
    <row r="648" spans="13:18" ht="12.75">
      <c r="M648" s="17"/>
      <c r="N648" s="35"/>
      <c r="R648" s="17"/>
    </row>
    <row r="649" spans="13:18" ht="12.75">
      <c r="M649" s="17"/>
      <c r="N649" s="35"/>
      <c r="R649" s="17"/>
    </row>
    <row r="650" spans="13:18" ht="12.75">
      <c r="M650" s="17"/>
      <c r="N650" s="35"/>
      <c r="R650" s="17"/>
    </row>
    <row r="651" spans="13:18" ht="12.75">
      <c r="M651" s="17"/>
      <c r="N651" s="35"/>
      <c r="R651" s="17"/>
    </row>
    <row r="652" spans="13:18" ht="12.75">
      <c r="M652" s="17"/>
      <c r="N652" s="35"/>
      <c r="R652" s="17"/>
    </row>
    <row r="653" spans="13:18" ht="12.75">
      <c r="M653" s="17"/>
      <c r="N653" s="35"/>
      <c r="R653" s="17"/>
    </row>
    <row r="654" spans="13:18" ht="12.75">
      <c r="M654" s="17"/>
      <c r="N654" s="35"/>
      <c r="R654" s="17"/>
    </row>
    <row r="655" spans="13:18" ht="12.75">
      <c r="M655" s="17"/>
      <c r="N655" s="35"/>
      <c r="R655" s="17"/>
    </row>
    <row r="656" spans="13:18" ht="12.75">
      <c r="M656" s="17"/>
      <c r="N656" s="35"/>
      <c r="R656" s="17"/>
    </row>
    <row r="657" spans="13:18" ht="12.75">
      <c r="M657" s="17"/>
      <c r="N657" s="35"/>
      <c r="R657" s="17"/>
    </row>
    <row r="658" spans="13:18" ht="12.75">
      <c r="M658" s="17"/>
      <c r="N658" s="35"/>
      <c r="R658" s="17"/>
    </row>
    <row r="659" spans="13:18" ht="12.75">
      <c r="M659" s="17"/>
      <c r="N659" s="35"/>
      <c r="R659" s="17"/>
    </row>
    <row r="660" spans="13:18" ht="12.75">
      <c r="M660" s="17"/>
      <c r="N660" s="35"/>
      <c r="R660" s="17"/>
    </row>
    <row r="661" spans="13:18" ht="12.75">
      <c r="M661" s="17"/>
      <c r="N661" s="35"/>
      <c r="R661" s="17"/>
    </row>
    <row r="662" spans="13:18" ht="12.75">
      <c r="M662" s="17"/>
      <c r="N662" s="35"/>
      <c r="R662" s="17"/>
    </row>
    <row r="663" spans="13:18" ht="12.75">
      <c r="M663" s="17"/>
      <c r="N663" s="35"/>
      <c r="R663" s="17"/>
    </row>
    <row r="664" spans="13:18" ht="12.75">
      <c r="M664" s="17"/>
      <c r="N664" s="35"/>
      <c r="R664" s="17"/>
    </row>
    <row r="665" spans="13:18" ht="12.75">
      <c r="M665" s="17"/>
      <c r="N665" s="35"/>
      <c r="R665" s="17"/>
    </row>
    <row r="666" spans="13:18" ht="12.75">
      <c r="M666" s="17"/>
      <c r="N666" s="35"/>
      <c r="R666" s="17"/>
    </row>
    <row r="667" spans="13:18" ht="12.75">
      <c r="M667" s="17"/>
      <c r="N667" s="35"/>
      <c r="R667" s="17"/>
    </row>
    <row r="668" spans="13:18" ht="12.75">
      <c r="M668" s="17"/>
      <c r="N668" s="35"/>
      <c r="R668" s="17"/>
    </row>
    <row r="669" spans="13:18" ht="12.75">
      <c r="M669" s="17"/>
      <c r="N669" s="35"/>
      <c r="R669" s="17"/>
    </row>
    <row r="670" spans="13:18" ht="12.75">
      <c r="M670" s="17"/>
      <c r="N670" s="35"/>
      <c r="R670" s="17"/>
    </row>
    <row r="671" spans="13:18" ht="12.75">
      <c r="M671" s="17"/>
      <c r="N671" s="35"/>
      <c r="R671" s="17"/>
    </row>
    <row r="672" spans="13:18" ht="12.75">
      <c r="M672" s="17"/>
      <c r="N672" s="35"/>
      <c r="R672" s="17"/>
    </row>
    <row r="673" spans="13:18" ht="12.75">
      <c r="M673" s="17"/>
      <c r="N673" s="35"/>
      <c r="R673" s="17"/>
    </row>
    <row r="674" spans="13:18" ht="12.75">
      <c r="M674" s="17"/>
      <c r="N674" s="35"/>
      <c r="R674" s="17"/>
    </row>
    <row r="675" spans="13:18" ht="12.75">
      <c r="M675" s="17"/>
      <c r="N675" s="35"/>
      <c r="R675" s="17"/>
    </row>
    <row r="676" spans="13:18" ht="12.75">
      <c r="M676" s="17"/>
      <c r="N676" s="35"/>
      <c r="R676" s="17"/>
    </row>
    <row r="677" spans="13:18" ht="12.75">
      <c r="M677" s="17"/>
      <c r="N677" s="35"/>
      <c r="R677" s="17"/>
    </row>
    <row r="678" spans="13:18" ht="12.75">
      <c r="M678" s="17"/>
      <c r="N678" s="35"/>
      <c r="R678" s="17"/>
    </row>
    <row r="679" spans="13:18" ht="12.75">
      <c r="M679" s="17"/>
      <c r="N679" s="35"/>
      <c r="R679" s="17"/>
    </row>
    <row r="680" spans="13:18" ht="12.75">
      <c r="M680" s="17"/>
      <c r="N680" s="35"/>
      <c r="R680" s="17"/>
    </row>
    <row r="681" spans="13:18" ht="12.75">
      <c r="M681" s="17"/>
      <c r="N681" s="35"/>
      <c r="R681" s="17"/>
    </row>
    <row r="682" spans="13:18" ht="12.75">
      <c r="M682" s="17"/>
      <c r="N682" s="35"/>
      <c r="R682" s="17"/>
    </row>
    <row r="683" spans="13:18" ht="12.75">
      <c r="M683" s="17"/>
      <c r="N683" s="35"/>
      <c r="R683" s="17"/>
    </row>
    <row r="684" spans="13:18" ht="12.75">
      <c r="M684" s="17"/>
      <c r="N684" s="35"/>
      <c r="R684" s="17"/>
    </row>
    <row r="685" spans="13:18" ht="12.75">
      <c r="M685" s="17"/>
      <c r="N685" s="35"/>
      <c r="R685" s="17"/>
    </row>
    <row r="686" spans="13:18" ht="12.75">
      <c r="M686" s="17"/>
      <c r="N686" s="35"/>
      <c r="R686" s="17"/>
    </row>
    <row r="687" spans="13:18" ht="12.75">
      <c r="M687" s="17"/>
      <c r="N687" s="35"/>
      <c r="R687" s="17"/>
    </row>
    <row r="688" spans="13:18" ht="12.75">
      <c r="M688" s="17"/>
      <c r="N688" s="35"/>
      <c r="R688" s="17"/>
    </row>
    <row r="689" spans="13:18" ht="12.75">
      <c r="M689" s="17"/>
      <c r="N689" s="35"/>
      <c r="R689" s="17"/>
    </row>
    <row r="690" spans="13:18" ht="12.75">
      <c r="M690" s="17"/>
      <c r="N690" s="35"/>
      <c r="R690" s="17"/>
    </row>
    <row r="691" spans="13:18" ht="12.75">
      <c r="M691" s="17"/>
      <c r="N691" s="35"/>
      <c r="R691" s="17"/>
    </row>
    <row r="692" spans="13:18" ht="12.75">
      <c r="M692" s="17"/>
      <c r="N692" s="35"/>
      <c r="R692" s="17"/>
    </row>
    <row r="693" spans="13:18" ht="12.75">
      <c r="M693" s="17"/>
      <c r="N693" s="35"/>
      <c r="R693" s="17"/>
    </row>
    <row r="694" spans="13:18" ht="12.75">
      <c r="M694" s="17"/>
      <c r="N694" s="35"/>
      <c r="R694" s="17"/>
    </row>
    <row r="695" spans="13:18" ht="12.75">
      <c r="M695" s="17"/>
      <c r="N695" s="35"/>
      <c r="R695" s="17"/>
    </row>
    <row r="696" spans="13:18" ht="12.75">
      <c r="M696" s="17"/>
      <c r="N696" s="35"/>
      <c r="R696" s="17"/>
    </row>
    <row r="697" spans="13:18" ht="12.75">
      <c r="M697" s="17"/>
      <c r="N697" s="35"/>
      <c r="R697" s="17"/>
    </row>
    <row r="698" spans="13:18" ht="12.75">
      <c r="M698" s="17"/>
      <c r="N698" s="35"/>
      <c r="R698" s="17"/>
    </row>
    <row r="699" spans="13:18" ht="12.75">
      <c r="M699" s="17"/>
      <c r="N699" s="35"/>
      <c r="R699" s="17"/>
    </row>
    <row r="700" spans="13:18" ht="12.75">
      <c r="M700" s="17"/>
      <c r="N700" s="35"/>
      <c r="R700" s="17"/>
    </row>
    <row r="701" spans="13:18" ht="12.75">
      <c r="M701" s="17"/>
      <c r="N701" s="35"/>
      <c r="R701" s="17"/>
    </row>
    <row r="702" spans="13:18" ht="12.75">
      <c r="M702" s="17"/>
      <c r="N702" s="35"/>
      <c r="R702" s="17"/>
    </row>
    <row r="703" spans="13:18" ht="12.75">
      <c r="M703" s="17"/>
      <c r="N703" s="35"/>
      <c r="R703" s="17"/>
    </row>
    <row r="704" spans="13:18" ht="12.75">
      <c r="M704" s="17"/>
      <c r="N704" s="35"/>
      <c r="R704" s="17"/>
    </row>
    <row r="705" spans="13:18" ht="12.75">
      <c r="M705" s="17"/>
      <c r="N705" s="35"/>
      <c r="R705" s="17"/>
    </row>
    <row r="706" spans="13:18" ht="12.75">
      <c r="M706" s="17"/>
      <c r="N706" s="35"/>
      <c r="R706" s="17"/>
    </row>
    <row r="707" spans="13:18" ht="12.75">
      <c r="M707" s="17"/>
      <c r="N707" s="35"/>
      <c r="R707" s="17"/>
    </row>
    <row r="708" spans="13:18" ht="12.75">
      <c r="M708" s="17"/>
      <c r="N708" s="35"/>
      <c r="R708" s="17"/>
    </row>
    <row r="709" spans="13:18" ht="12.75">
      <c r="M709" s="17"/>
      <c r="N709" s="35"/>
      <c r="R709" s="17"/>
    </row>
    <row r="710" spans="13:18" ht="12.75">
      <c r="M710" s="17"/>
      <c r="N710" s="35"/>
      <c r="R710" s="17"/>
    </row>
    <row r="711" spans="13:18" ht="12.75">
      <c r="M711" s="17"/>
      <c r="N711" s="35"/>
      <c r="R711" s="17"/>
    </row>
    <row r="712" spans="13:18" ht="12.75">
      <c r="M712" s="17"/>
      <c r="N712" s="35"/>
      <c r="R712" s="17"/>
    </row>
    <row r="713" spans="13:18" ht="12.75">
      <c r="M713" s="17"/>
      <c r="N713" s="35"/>
      <c r="R713" s="17"/>
    </row>
    <row r="714" spans="13:18" ht="12.75">
      <c r="M714" s="17"/>
      <c r="N714" s="35"/>
      <c r="R714" s="17"/>
    </row>
    <row r="715" spans="13:18" ht="12.75">
      <c r="M715" s="17"/>
      <c r="N715" s="35"/>
      <c r="R715" s="17"/>
    </row>
    <row r="716" spans="13:18" ht="12.75">
      <c r="M716" s="17"/>
      <c r="N716" s="35"/>
      <c r="R716" s="17"/>
    </row>
    <row r="717" spans="13:18" ht="12.75">
      <c r="M717" s="17"/>
      <c r="N717" s="35"/>
      <c r="R717" s="17"/>
    </row>
    <row r="718" spans="13:18" ht="12.75">
      <c r="M718" s="17"/>
      <c r="N718" s="35"/>
      <c r="R718" s="17"/>
    </row>
    <row r="719" spans="13:18" ht="12.75">
      <c r="M719" s="17"/>
      <c r="N719" s="35"/>
      <c r="R719" s="17"/>
    </row>
    <row r="720" spans="13:18" ht="12.75">
      <c r="M720" s="17"/>
      <c r="N720" s="35"/>
      <c r="R720" s="17"/>
    </row>
    <row r="721" spans="13:18" ht="12.75">
      <c r="M721" s="17"/>
      <c r="N721" s="35"/>
      <c r="R721" s="17"/>
    </row>
    <row r="722" spans="13:18" ht="12.75">
      <c r="M722" s="17"/>
      <c r="N722" s="35"/>
      <c r="R722" s="17"/>
    </row>
    <row r="723" spans="13:18" ht="12.75">
      <c r="M723" s="17"/>
      <c r="N723" s="35"/>
      <c r="R723" s="17"/>
    </row>
    <row r="724" spans="13:18" ht="12.75">
      <c r="M724" s="17"/>
      <c r="N724" s="35"/>
      <c r="R724" s="17"/>
    </row>
    <row r="725" spans="13:18" ht="12.75">
      <c r="M725" s="17"/>
      <c r="N725" s="35"/>
      <c r="R725" s="17"/>
    </row>
    <row r="726" spans="13:18" ht="12.75">
      <c r="M726" s="17"/>
      <c r="N726" s="35"/>
      <c r="R726" s="17"/>
    </row>
    <row r="727" spans="13:18" ht="12.75">
      <c r="M727" s="17"/>
      <c r="N727" s="35"/>
      <c r="R727" s="17"/>
    </row>
    <row r="728" spans="13:18" ht="12.75">
      <c r="M728" s="17"/>
      <c r="N728" s="35"/>
      <c r="R728" s="17"/>
    </row>
    <row r="729" spans="13:18" ht="12.75">
      <c r="M729" s="17"/>
      <c r="N729" s="35"/>
      <c r="R729" s="17"/>
    </row>
    <row r="730" spans="13:18" ht="12.75">
      <c r="M730" s="17"/>
      <c r="N730" s="35"/>
      <c r="R730" s="17"/>
    </row>
    <row r="731" spans="13:18" ht="12.75">
      <c r="M731" s="17"/>
      <c r="N731" s="35"/>
      <c r="R731" s="17"/>
    </row>
    <row r="732" spans="13:18" ht="12.75">
      <c r="M732" s="17"/>
      <c r="N732" s="35"/>
      <c r="R732" s="17"/>
    </row>
    <row r="733" spans="13:18" ht="12.75">
      <c r="M733" s="17"/>
      <c r="N733" s="35"/>
      <c r="R733" s="17"/>
    </row>
    <row r="734" spans="13:18" ht="12.75">
      <c r="M734" s="17"/>
      <c r="N734" s="35"/>
      <c r="R734" s="17"/>
    </row>
    <row r="735" spans="13:18" ht="12.75">
      <c r="M735" s="17"/>
      <c r="N735" s="35"/>
      <c r="R735" s="17"/>
    </row>
    <row r="736" spans="13:18" ht="12.75">
      <c r="M736" s="17"/>
      <c r="N736" s="35"/>
      <c r="R736" s="17"/>
    </row>
    <row r="737" spans="13:18" ht="12.75">
      <c r="M737" s="17"/>
      <c r="N737" s="35"/>
      <c r="R737" s="17"/>
    </row>
    <row r="738" spans="13:18" ht="12.75">
      <c r="M738" s="17"/>
      <c r="N738" s="35"/>
      <c r="R738" s="17"/>
    </row>
    <row r="739" spans="13:18" ht="12.75">
      <c r="M739" s="17"/>
      <c r="N739" s="35"/>
      <c r="R739" s="17"/>
    </row>
    <row r="740" spans="13:18" ht="12.75">
      <c r="M740" s="17"/>
      <c r="N740" s="35"/>
      <c r="R740" s="17"/>
    </row>
    <row r="741" spans="13:18" ht="12.75">
      <c r="M741" s="17"/>
      <c r="N741" s="35"/>
      <c r="R741" s="17"/>
    </row>
    <row r="742" spans="13:18" ht="12.75">
      <c r="M742" s="17"/>
      <c r="N742" s="35"/>
      <c r="R742" s="17"/>
    </row>
    <row r="743" spans="13:18" ht="12.75">
      <c r="M743" s="17"/>
      <c r="N743" s="35"/>
      <c r="R743" s="17"/>
    </row>
    <row r="744" spans="13:18" ht="12.75">
      <c r="M744" s="17"/>
      <c r="N744" s="35"/>
      <c r="R744" s="17"/>
    </row>
    <row r="745" spans="13:18" ht="12.75">
      <c r="M745" s="17"/>
      <c r="N745" s="35"/>
      <c r="R745" s="17"/>
    </row>
    <row r="746" spans="13:18" ht="12.75">
      <c r="M746" s="17"/>
      <c r="N746" s="35"/>
      <c r="R746" s="17"/>
    </row>
    <row r="747" spans="13:18" ht="12.75">
      <c r="M747" s="17"/>
      <c r="N747" s="35"/>
      <c r="R747" s="17"/>
    </row>
    <row r="748" spans="13:18" ht="12.75">
      <c r="M748" s="17"/>
      <c r="N748" s="35"/>
      <c r="R748" s="17"/>
    </row>
    <row r="749" spans="13:18" ht="12.75">
      <c r="M749" s="17"/>
      <c r="N749" s="35"/>
      <c r="R749" s="17"/>
    </row>
    <row r="750" spans="13:18" ht="12.75">
      <c r="M750" s="17"/>
      <c r="N750" s="35"/>
      <c r="R750" s="17"/>
    </row>
    <row r="751" spans="13:18" ht="12.75">
      <c r="M751" s="17"/>
      <c r="N751" s="35"/>
      <c r="R751" s="17"/>
    </row>
    <row r="752" spans="13:18" ht="12.75">
      <c r="M752" s="17"/>
      <c r="N752" s="35"/>
      <c r="R752" s="17"/>
    </row>
    <row r="753" spans="13:18" ht="12.75">
      <c r="M753" s="17"/>
      <c r="N753" s="35"/>
      <c r="R753" s="17"/>
    </row>
    <row r="754" spans="13:18" ht="12.75">
      <c r="M754" s="17"/>
      <c r="N754" s="35"/>
      <c r="R754" s="17"/>
    </row>
    <row r="755" spans="13:18" ht="12.75">
      <c r="M755" s="17"/>
      <c r="N755" s="35"/>
      <c r="R755" s="17"/>
    </row>
    <row r="756" spans="13:18" ht="12.75">
      <c r="M756" s="17"/>
      <c r="N756" s="35"/>
      <c r="R756" s="17"/>
    </row>
    <row r="757" spans="13:18" ht="12.75">
      <c r="M757" s="17"/>
      <c r="N757" s="35"/>
      <c r="R757" s="17"/>
    </row>
    <row r="758" spans="13:18" ht="12.75">
      <c r="M758" s="17"/>
      <c r="N758" s="35"/>
      <c r="R758" s="17"/>
    </row>
    <row r="759" spans="13:18" ht="12.75">
      <c r="M759" s="17"/>
      <c r="N759" s="35"/>
      <c r="R759" s="17"/>
    </row>
    <row r="760" spans="13:18" ht="12.75">
      <c r="M760" s="17"/>
      <c r="N760" s="35"/>
      <c r="R760" s="17"/>
    </row>
    <row r="761" spans="13:18" ht="12.75">
      <c r="M761" s="17"/>
      <c r="N761" s="35"/>
      <c r="R761" s="17"/>
    </row>
    <row r="762" spans="13:18" ht="12.75">
      <c r="M762" s="17"/>
      <c r="N762" s="35"/>
      <c r="R762" s="17"/>
    </row>
    <row r="763" spans="13:18" ht="12.75">
      <c r="M763" s="17"/>
      <c r="N763" s="35"/>
      <c r="R763" s="17"/>
    </row>
    <row r="764" spans="13:18" ht="12.75">
      <c r="M764" s="17"/>
      <c r="N764" s="35"/>
      <c r="R764" s="17"/>
    </row>
    <row r="765" spans="13:18" ht="12.75">
      <c r="M765" s="17"/>
      <c r="N765" s="35"/>
      <c r="R765" s="17"/>
    </row>
    <row r="766" spans="13:18" ht="12.75">
      <c r="M766" s="17"/>
      <c r="N766" s="35"/>
      <c r="R766" s="17"/>
    </row>
    <row r="767" spans="13:18" ht="12.75">
      <c r="M767" s="17"/>
      <c r="N767" s="35"/>
      <c r="R767" s="17"/>
    </row>
    <row r="768" spans="13:18" ht="12.75">
      <c r="M768" s="17"/>
      <c r="N768" s="35"/>
      <c r="R768" s="17"/>
    </row>
    <row r="769" spans="13:18" ht="12.75">
      <c r="M769" s="17"/>
      <c r="N769" s="35"/>
      <c r="R769" s="17"/>
    </row>
    <row r="770" spans="13:18" ht="12.75">
      <c r="M770" s="17"/>
      <c r="N770" s="35"/>
      <c r="R770" s="17"/>
    </row>
    <row r="771" spans="13:18" ht="12.75">
      <c r="M771" s="17"/>
      <c r="N771" s="35"/>
      <c r="R771" s="17"/>
    </row>
    <row r="772" spans="13:18" ht="12.75">
      <c r="M772" s="17"/>
      <c r="N772" s="35"/>
      <c r="R772" s="17"/>
    </row>
    <row r="773" spans="13:18" ht="12.75">
      <c r="M773" s="17"/>
      <c r="N773" s="35"/>
      <c r="R773" s="17"/>
    </row>
    <row r="774" spans="13:18" ht="12.75">
      <c r="M774" s="17"/>
      <c r="N774" s="35"/>
      <c r="R774" s="17"/>
    </row>
    <row r="775" spans="13:18" ht="12.75">
      <c r="M775" s="17"/>
      <c r="N775" s="35"/>
      <c r="R775" s="17"/>
    </row>
    <row r="776" spans="13:18" ht="12.75">
      <c r="M776" s="17"/>
      <c r="N776" s="35"/>
      <c r="R776" s="17"/>
    </row>
    <row r="777" spans="13:18" ht="12.75">
      <c r="M777" s="17"/>
      <c r="N777" s="35"/>
      <c r="R777" s="17"/>
    </row>
    <row r="778" spans="13:18" ht="12.75">
      <c r="M778" s="17"/>
      <c r="N778" s="35"/>
      <c r="R778" s="17"/>
    </row>
    <row r="779" spans="13:18" ht="12.75">
      <c r="M779" s="17"/>
      <c r="N779" s="35"/>
      <c r="R779" s="17"/>
    </row>
    <row r="780" spans="13:18" ht="12.75">
      <c r="M780" s="17"/>
      <c r="N780" s="35"/>
      <c r="R780" s="17"/>
    </row>
    <row r="781" spans="13:18" ht="12.75">
      <c r="M781" s="17"/>
      <c r="N781" s="35"/>
      <c r="R781" s="17"/>
    </row>
    <row r="782" spans="13:18" ht="12.75">
      <c r="M782" s="17"/>
      <c r="N782" s="35"/>
      <c r="R782" s="17"/>
    </row>
    <row r="783" spans="13:18" ht="12.75">
      <c r="M783" s="17"/>
      <c r="N783" s="35"/>
      <c r="R783" s="17"/>
    </row>
    <row r="784" spans="13:18" ht="12.75">
      <c r="M784" s="17"/>
      <c r="N784" s="35"/>
      <c r="R784" s="17"/>
    </row>
    <row r="785" spans="13:18" ht="12.75">
      <c r="M785" s="17"/>
      <c r="N785" s="35"/>
      <c r="R785" s="17"/>
    </row>
    <row r="786" spans="13:18" ht="12.75">
      <c r="M786" s="17"/>
      <c r="N786" s="35"/>
      <c r="R786" s="17"/>
    </row>
    <row r="787" spans="13:18" ht="12.75">
      <c r="M787" s="17"/>
      <c r="N787" s="35"/>
      <c r="R787" s="17"/>
    </row>
    <row r="788" spans="13:18" ht="12.75">
      <c r="M788" s="17"/>
      <c r="N788" s="35"/>
      <c r="R788" s="17"/>
    </row>
    <row r="789" spans="13:18" ht="12.75">
      <c r="M789" s="17"/>
      <c r="N789" s="35"/>
      <c r="R789" s="17"/>
    </row>
    <row r="790" spans="13:18" ht="12.75">
      <c r="M790" s="17"/>
      <c r="N790" s="35"/>
      <c r="R790" s="17"/>
    </row>
    <row r="791" spans="13:18" ht="12.75">
      <c r="M791" s="17"/>
      <c r="N791" s="35"/>
      <c r="R791" s="17"/>
    </row>
    <row r="792" spans="13:18" ht="12.75">
      <c r="M792" s="17"/>
      <c r="N792" s="35"/>
      <c r="R792" s="17"/>
    </row>
    <row r="793" spans="13:18" ht="12.75">
      <c r="M793" s="17"/>
      <c r="N793" s="35"/>
      <c r="R793" s="17"/>
    </row>
    <row r="794" spans="13:18" ht="12.75">
      <c r="M794" s="17"/>
      <c r="N794" s="35"/>
      <c r="R794" s="17"/>
    </row>
    <row r="795" spans="13:18" ht="12.75">
      <c r="M795" s="17"/>
      <c r="N795" s="35"/>
      <c r="R795" s="17"/>
    </row>
    <row r="796" spans="13:18" ht="12.75">
      <c r="M796" s="17"/>
      <c r="N796" s="35"/>
      <c r="R796" s="17"/>
    </row>
    <row r="797" spans="13:18" ht="12.75">
      <c r="M797" s="17"/>
      <c r="N797" s="35"/>
      <c r="R797" s="17"/>
    </row>
    <row r="798" spans="13:18" ht="12.75">
      <c r="M798" s="17"/>
      <c r="N798" s="35"/>
      <c r="R798" s="17"/>
    </row>
    <row r="799" spans="13:18" ht="12.75">
      <c r="M799" s="17"/>
      <c r="N799" s="35"/>
      <c r="R799" s="17"/>
    </row>
    <row r="800" spans="13:18" ht="12.75">
      <c r="M800" s="17"/>
      <c r="N800" s="35"/>
      <c r="R800" s="17"/>
    </row>
    <row r="801" spans="13:18" ht="12.75">
      <c r="M801" s="17"/>
      <c r="N801" s="35"/>
      <c r="R801" s="17"/>
    </row>
    <row r="802" spans="13:18" ht="12.75">
      <c r="M802" s="17"/>
      <c r="N802" s="35"/>
      <c r="R802" s="17"/>
    </row>
    <row r="803" spans="13:18" ht="12.75">
      <c r="M803" s="17"/>
      <c r="N803" s="35"/>
      <c r="R803" s="17"/>
    </row>
    <row r="804" spans="13:18" ht="12.75">
      <c r="M804" s="17"/>
      <c r="N804" s="35"/>
      <c r="R804" s="17"/>
    </row>
    <row r="805" spans="13:18" ht="12.75">
      <c r="M805" s="17"/>
      <c r="N805" s="35"/>
      <c r="R805" s="17"/>
    </row>
    <row r="806" spans="13:18" ht="12.75">
      <c r="M806" s="17"/>
      <c r="N806" s="35"/>
      <c r="R806" s="17"/>
    </row>
    <row r="807" spans="13:18" ht="12.75">
      <c r="M807" s="17"/>
      <c r="N807" s="35"/>
      <c r="R807" s="17"/>
    </row>
    <row r="808" spans="13:18" ht="12.75">
      <c r="M808" s="17"/>
      <c r="N808" s="35"/>
      <c r="R808" s="17"/>
    </row>
    <row r="809" spans="13:18" ht="12.75">
      <c r="M809" s="17"/>
      <c r="N809" s="35"/>
      <c r="R809" s="17"/>
    </row>
    <row r="810" spans="13:18" ht="12.75">
      <c r="M810" s="17"/>
      <c r="N810" s="35"/>
      <c r="R810" s="17"/>
    </row>
    <row r="811" spans="13:18" ht="12.75">
      <c r="M811" s="17"/>
      <c r="N811" s="35"/>
      <c r="R811" s="17"/>
    </row>
    <row r="812" spans="13:18" ht="12.75">
      <c r="M812" s="17"/>
      <c r="N812" s="35"/>
      <c r="R812" s="17"/>
    </row>
    <row r="813" spans="13:18" ht="12.75">
      <c r="M813" s="17"/>
      <c r="N813" s="35"/>
      <c r="R813" s="17"/>
    </row>
    <row r="814" spans="13:18" ht="12.75">
      <c r="M814" s="17"/>
      <c r="N814" s="35"/>
      <c r="R814" s="17"/>
    </row>
    <row r="815" spans="13:18" ht="12.75">
      <c r="M815" s="17"/>
      <c r="N815" s="35"/>
      <c r="R815" s="17"/>
    </row>
    <row r="816" spans="13:18" ht="12.75">
      <c r="M816" s="17"/>
      <c r="N816" s="35"/>
      <c r="R816" s="17"/>
    </row>
    <row r="817" spans="13:18" ht="12.75">
      <c r="M817" s="17"/>
      <c r="N817" s="35"/>
      <c r="R817" s="17"/>
    </row>
    <row r="818" spans="13:18" ht="12.75">
      <c r="M818" s="17"/>
      <c r="N818" s="35"/>
      <c r="R818" s="17"/>
    </row>
    <row r="819" spans="13:18" ht="12.75">
      <c r="M819" s="17"/>
      <c r="N819" s="35"/>
      <c r="R819" s="17"/>
    </row>
    <row r="820" spans="13:18" ht="12.75">
      <c r="M820" s="17"/>
      <c r="N820" s="35"/>
      <c r="R820" s="17"/>
    </row>
    <row r="821" spans="13:18" ht="12.75">
      <c r="M821" s="17"/>
      <c r="N821" s="35"/>
      <c r="R821" s="17"/>
    </row>
    <row r="822" spans="13:18" ht="12.75">
      <c r="M822" s="17"/>
      <c r="N822" s="35"/>
      <c r="R822" s="17"/>
    </row>
    <row r="823" spans="13:18" ht="12.75">
      <c r="M823" s="17"/>
      <c r="N823" s="35"/>
      <c r="R823" s="17"/>
    </row>
    <row r="824" spans="13:18" ht="12.75">
      <c r="M824" s="17"/>
      <c r="N824" s="35"/>
      <c r="R824" s="17"/>
    </row>
    <row r="825" spans="13:18" ht="12.75">
      <c r="M825" s="17"/>
      <c r="N825" s="35"/>
      <c r="R825" s="17"/>
    </row>
    <row r="826" spans="13:18" ht="12.75">
      <c r="M826" s="17"/>
      <c r="N826" s="35"/>
      <c r="R826" s="17"/>
    </row>
    <row r="827" spans="13:18" ht="12.75">
      <c r="M827" s="17"/>
      <c r="N827" s="35"/>
      <c r="R827" s="17"/>
    </row>
    <row r="828" spans="13:18" ht="12.75">
      <c r="M828" s="17"/>
      <c r="N828" s="35"/>
      <c r="R828" s="17"/>
    </row>
    <row r="829" spans="13:18" ht="12.75">
      <c r="M829" s="17"/>
      <c r="N829" s="35"/>
      <c r="R829" s="17"/>
    </row>
    <row r="830" spans="13:18" ht="12.75">
      <c r="M830" s="17"/>
      <c r="N830" s="35"/>
      <c r="R830" s="17"/>
    </row>
    <row r="831" spans="13:18" ht="12.75">
      <c r="M831" s="17"/>
      <c r="N831" s="35"/>
      <c r="R831" s="17"/>
    </row>
    <row r="832" spans="13:18" ht="12.75">
      <c r="M832" s="17"/>
      <c r="N832" s="35"/>
      <c r="R832" s="17"/>
    </row>
    <row r="833" spans="13:18" ht="12.75">
      <c r="M833" s="17"/>
      <c r="N833" s="35"/>
      <c r="R833" s="17"/>
    </row>
    <row r="834" spans="13:18" ht="12.75">
      <c r="M834" s="17"/>
      <c r="N834" s="35"/>
      <c r="R834" s="17"/>
    </row>
    <row r="835" spans="13:18" ht="12.75">
      <c r="M835" s="17"/>
      <c r="N835" s="35"/>
      <c r="R835" s="17"/>
    </row>
    <row r="836" spans="13:18" ht="12.75">
      <c r="M836" s="17"/>
      <c r="N836" s="35"/>
      <c r="R836" s="17"/>
    </row>
    <row r="837" spans="13:18" ht="12.75">
      <c r="M837" s="17"/>
      <c r="N837" s="35"/>
      <c r="R837" s="17"/>
    </row>
    <row r="838" spans="13:18" ht="12.75">
      <c r="M838" s="17"/>
      <c r="N838" s="35"/>
      <c r="R838" s="17"/>
    </row>
    <row r="839" spans="13:18" ht="12.75">
      <c r="M839" s="17"/>
      <c r="N839" s="35"/>
      <c r="R839" s="17"/>
    </row>
    <row r="840" spans="13:18" ht="12.75">
      <c r="M840" s="17"/>
      <c r="N840" s="35"/>
      <c r="R840" s="17"/>
    </row>
    <row r="841" spans="13:18" ht="12.75">
      <c r="M841" s="17"/>
      <c r="N841" s="35"/>
      <c r="R841" s="17"/>
    </row>
    <row r="842" spans="13:18" ht="12.75">
      <c r="M842" s="17"/>
      <c r="N842" s="35"/>
      <c r="R842" s="17"/>
    </row>
    <row r="843" spans="13:18" ht="12.75">
      <c r="M843" s="17"/>
      <c r="N843" s="35"/>
      <c r="R843" s="17"/>
    </row>
    <row r="844" spans="13:18" ht="12.75">
      <c r="M844" s="17"/>
      <c r="N844" s="35"/>
      <c r="R844" s="17"/>
    </row>
    <row r="845" spans="13:18" ht="12.75">
      <c r="M845" s="17"/>
      <c r="N845" s="35"/>
      <c r="R845" s="17"/>
    </row>
    <row r="846" spans="13:18" ht="12.75">
      <c r="M846" s="17"/>
      <c r="N846" s="35"/>
      <c r="R846" s="17"/>
    </row>
    <row r="847" spans="13:18" ht="12.75">
      <c r="M847" s="17"/>
      <c r="N847" s="35"/>
      <c r="R847" s="17"/>
    </row>
    <row r="848" spans="13:18" ht="12.75">
      <c r="M848" s="17"/>
      <c r="N848" s="35"/>
      <c r="R848" s="17"/>
    </row>
    <row r="849" spans="13:18" ht="12.75">
      <c r="M849" s="17"/>
      <c r="N849" s="35"/>
      <c r="R849" s="17"/>
    </row>
    <row r="850" spans="13:18" ht="12.75">
      <c r="M850" s="17"/>
      <c r="N850" s="35"/>
      <c r="R850" s="17"/>
    </row>
    <row r="851" spans="13:18" ht="12.75">
      <c r="M851" s="17"/>
      <c r="N851" s="35"/>
      <c r="R851" s="17"/>
    </row>
    <row r="852" spans="13:18" ht="12.75">
      <c r="M852" s="17"/>
      <c r="N852" s="35"/>
      <c r="R852" s="17"/>
    </row>
    <row r="853" spans="13:18" ht="12.75">
      <c r="M853" s="17"/>
      <c r="N853" s="35"/>
      <c r="R853" s="17"/>
    </row>
    <row r="854" spans="13:18" ht="12.75">
      <c r="M854" s="17"/>
      <c r="N854" s="35"/>
      <c r="R854" s="17"/>
    </row>
    <row r="855" spans="13:18" ht="12.75">
      <c r="M855" s="17"/>
      <c r="N855" s="35"/>
      <c r="R855" s="17"/>
    </row>
    <row r="856" spans="13:18" ht="12.75">
      <c r="M856" s="17"/>
      <c r="N856" s="35"/>
      <c r="R856" s="17"/>
    </row>
    <row r="857" spans="13:18" ht="12.75">
      <c r="M857" s="17"/>
      <c r="N857" s="35"/>
      <c r="R857" s="17"/>
    </row>
    <row r="858" spans="13:18" ht="12.75">
      <c r="M858" s="17"/>
      <c r="N858" s="35"/>
      <c r="R858" s="17"/>
    </row>
    <row r="859" spans="13:18" ht="12.75">
      <c r="M859" s="17"/>
      <c r="N859" s="35"/>
      <c r="R859" s="17"/>
    </row>
    <row r="860" spans="13:18" ht="12.75">
      <c r="M860" s="17"/>
      <c r="N860" s="35"/>
      <c r="R860" s="17"/>
    </row>
    <row r="861" spans="13:18" ht="12.75">
      <c r="M861" s="17"/>
      <c r="N861" s="35"/>
      <c r="R861" s="17"/>
    </row>
    <row r="862" spans="13:18" ht="12.75">
      <c r="M862" s="17"/>
      <c r="N862" s="35"/>
      <c r="R862" s="17"/>
    </row>
    <row r="863" spans="13:18" ht="12.75">
      <c r="M863" s="17"/>
      <c r="N863" s="35"/>
      <c r="R863" s="17"/>
    </row>
    <row r="864" spans="13:18" ht="12.75">
      <c r="M864" s="17"/>
      <c r="N864" s="35"/>
      <c r="R864" s="17"/>
    </row>
    <row r="865" spans="13:18" ht="12.75">
      <c r="M865" s="17"/>
      <c r="N865" s="35"/>
      <c r="R865" s="17"/>
    </row>
    <row r="866" spans="13:18" ht="12.75">
      <c r="M866" s="17"/>
      <c r="N866" s="35"/>
      <c r="R866" s="17"/>
    </row>
    <row r="867" spans="13:18" ht="12.75">
      <c r="M867" s="17"/>
      <c r="N867" s="35"/>
      <c r="R867" s="17"/>
    </row>
    <row r="868" spans="13:18" ht="12.75">
      <c r="M868" s="17"/>
      <c r="N868" s="35"/>
      <c r="R868" s="17"/>
    </row>
    <row r="869" spans="13:18" ht="12.75">
      <c r="M869" s="17"/>
      <c r="N869" s="35"/>
      <c r="R869" s="17"/>
    </row>
    <row r="870" spans="13:18" ht="12.75">
      <c r="M870" s="17"/>
      <c r="N870" s="35"/>
      <c r="R870" s="17"/>
    </row>
    <row r="871" spans="13:18" ht="12.75">
      <c r="M871" s="17"/>
      <c r="N871" s="35"/>
      <c r="R871" s="17"/>
    </row>
    <row r="872" spans="13:18" ht="12.75">
      <c r="M872" s="17"/>
      <c r="N872" s="35"/>
      <c r="R872" s="17"/>
    </row>
    <row r="873" spans="13:18" ht="12.75">
      <c r="M873" s="17"/>
      <c r="N873" s="35"/>
      <c r="R873" s="17"/>
    </row>
    <row r="874" spans="13:18" ht="12.75">
      <c r="M874" s="17"/>
      <c r="N874" s="35"/>
      <c r="R874" s="17"/>
    </row>
    <row r="875" spans="13:18" ht="12.75">
      <c r="M875" s="17"/>
      <c r="N875" s="35"/>
      <c r="R875" s="17"/>
    </row>
    <row r="876" spans="13:18" ht="12.75">
      <c r="M876" s="17"/>
      <c r="N876" s="35"/>
      <c r="R876" s="17"/>
    </row>
    <row r="877" spans="13:18" ht="12.75">
      <c r="M877" s="17"/>
      <c r="N877" s="35"/>
      <c r="R877" s="17"/>
    </row>
    <row r="878" spans="13:18" ht="12.75">
      <c r="M878" s="17"/>
      <c r="N878" s="35"/>
      <c r="R878" s="17"/>
    </row>
    <row r="879" spans="13:18" ht="12.75">
      <c r="M879" s="17"/>
      <c r="N879" s="35"/>
      <c r="R879" s="17"/>
    </row>
    <row r="880" spans="13:18" ht="12.75">
      <c r="M880" s="17"/>
      <c r="N880" s="35"/>
      <c r="R880" s="17"/>
    </row>
    <row r="881" spans="13:18" ht="12.75">
      <c r="M881" s="17"/>
      <c r="N881" s="35"/>
      <c r="R881" s="17"/>
    </row>
    <row r="882" spans="13:18" ht="12.75">
      <c r="M882" s="17"/>
      <c r="N882" s="35"/>
      <c r="R882" s="17"/>
    </row>
    <row r="883" spans="13:18" ht="12.75">
      <c r="M883" s="17"/>
      <c r="N883" s="35"/>
      <c r="R883" s="17"/>
    </row>
    <row r="884" spans="13:18" ht="12.75">
      <c r="M884" s="17"/>
      <c r="N884" s="35"/>
      <c r="R884" s="17"/>
    </row>
    <row r="885" spans="13:18" ht="12.75">
      <c r="M885" s="17"/>
      <c r="N885" s="35"/>
      <c r="R885" s="17"/>
    </row>
    <row r="886" spans="13:18" ht="12.75">
      <c r="M886" s="17"/>
      <c r="N886" s="35"/>
      <c r="R886" s="17"/>
    </row>
    <row r="887" spans="13:18" ht="12.75">
      <c r="M887" s="17"/>
      <c r="N887" s="35"/>
      <c r="R887" s="17"/>
    </row>
    <row r="888" spans="13:18" ht="12.75">
      <c r="M888" s="17"/>
      <c r="N888" s="35"/>
      <c r="R888" s="17"/>
    </row>
    <row r="889" spans="13:18" ht="12.75">
      <c r="M889" s="17"/>
      <c r="N889" s="35"/>
      <c r="R889" s="17"/>
    </row>
    <row r="890" spans="13:18" ht="12.75">
      <c r="M890" s="17"/>
      <c r="N890" s="35"/>
      <c r="R890" s="17"/>
    </row>
    <row r="891" spans="13:18" ht="12.75">
      <c r="M891" s="17"/>
      <c r="N891" s="35"/>
      <c r="R891" s="17"/>
    </row>
    <row r="892" spans="13:18" ht="12.75">
      <c r="M892" s="17"/>
      <c r="N892" s="35"/>
      <c r="R892" s="17"/>
    </row>
    <row r="893" spans="13:18" ht="12.75">
      <c r="M893" s="17"/>
      <c r="N893" s="35"/>
      <c r="R893" s="17"/>
    </row>
    <row r="894" spans="13:18" ht="12.75">
      <c r="M894" s="17"/>
      <c r="N894" s="35"/>
      <c r="R894" s="17"/>
    </row>
    <row r="895" spans="13:18" ht="12.75">
      <c r="M895" s="17"/>
      <c r="N895" s="35"/>
      <c r="R895" s="17"/>
    </row>
    <row r="896" spans="13:18" ht="12.75">
      <c r="M896" s="17"/>
      <c r="N896" s="35"/>
      <c r="R896" s="17"/>
    </row>
    <row r="897" spans="13:18" ht="12.75">
      <c r="M897" s="17"/>
      <c r="N897" s="35"/>
      <c r="R897" s="17"/>
    </row>
    <row r="898" spans="13:18" ht="12.75">
      <c r="M898" s="17"/>
      <c r="N898" s="35"/>
      <c r="R898" s="17"/>
    </row>
    <row r="899" spans="13:18" ht="12.75">
      <c r="M899" s="17"/>
      <c r="N899" s="35"/>
      <c r="R899" s="17"/>
    </row>
    <row r="900" spans="13:18" ht="12.75">
      <c r="M900" s="17"/>
      <c r="N900" s="35"/>
      <c r="R900" s="17"/>
    </row>
    <row r="901" spans="13:18" ht="12.75">
      <c r="M901" s="17"/>
      <c r="N901" s="35"/>
      <c r="R901" s="17"/>
    </row>
    <row r="902" spans="13:18" ht="12.75">
      <c r="M902" s="17"/>
      <c r="N902" s="35"/>
      <c r="R902" s="17"/>
    </row>
    <row r="903" spans="13:18" ht="12.75">
      <c r="M903" s="17"/>
      <c r="N903" s="35"/>
      <c r="R903" s="17"/>
    </row>
    <row r="904" spans="13:18" ht="12.75">
      <c r="M904" s="17"/>
      <c r="N904" s="35"/>
      <c r="R904" s="17"/>
    </row>
    <row r="905" spans="13:18" ht="12.75">
      <c r="M905" s="17"/>
      <c r="N905" s="35"/>
      <c r="R905" s="17"/>
    </row>
    <row r="906" spans="13:18" ht="12.75">
      <c r="M906" s="17"/>
      <c r="N906" s="35"/>
      <c r="R906" s="17"/>
    </row>
    <row r="907" spans="13:18" ht="12.75">
      <c r="M907" s="17"/>
      <c r="N907" s="35"/>
      <c r="R907" s="17"/>
    </row>
    <row r="908" spans="13:18" ht="12.75">
      <c r="M908" s="17"/>
      <c r="N908" s="35"/>
      <c r="R908" s="17"/>
    </row>
    <row r="909" spans="13:18" ht="12.75">
      <c r="M909" s="17"/>
      <c r="N909" s="35"/>
      <c r="R909" s="17"/>
    </row>
    <row r="910" spans="13:18" ht="12.75">
      <c r="M910" s="17"/>
      <c r="N910" s="35"/>
      <c r="R910" s="17"/>
    </row>
    <row r="911" spans="13:18" ht="12.75">
      <c r="M911" s="17"/>
      <c r="N911" s="35"/>
      <c r="R911" s="17"/>
    </row>
    <row r="912" spans="13:18" ht="12.75">
      <c r="M912" s="17"/>
      <c r="N912" s="35"/>
      <c r="R912" s="17"/>
    </row>
    <row r="913" spans="13:18" ht="12.75">
      <c r="M913" s="17"/>
      <c r="N913" s="35"/>
      <c r="R913" s="17"/>
    </row>
    <row r="914" spans="13:18" ht="12.75">
      <c r="M914" s="17"/>
      <c r="N914" s="35"/>
      <c r="R914" s="17"/>
    </row>
    <row r="915" spans="13:18" ht="12.75">
      <c r="M915" s="17"/>
      <c r="N915" s="35"/>
      <c r="R915" s="17"/>
    </row>
    <row r="916" spans="13:18" ht="12.75">
      <c r="M916" s="17"/>
      <c r="N916" s="35"/>
      <c r="R916" s="17"/>
    </row>
    <row r="917" spans="13:18" ht="12.75">
      <c r="M917" s="17"/>
      <c r="N917" s="35"/>
      <c r="R917" s="17"/>
    </row>
    <row r="918" spans="13:18" ht="12.75">
      <c r="M918" s="17"/>
      <c r="N918" s="35"/>
      <c r="R918" s="17"/>
    </row>
    <row r="919" spans="13:18" ht="12.75">
      <c r="M919" s="17"/>
      <c r="N919" s="35"/>
      <c r="R919" s="17"/>
    </row>
    <row r="920" spans="13:18" ht="12.75">
      <c r="M920" s="17"/>
      <c r="N920" s="35"/>
      <c r="R920" s="17"/>
    </row>
    <row r="921" spans="13:18" ht="12.75">
      <c r="M921" s="17"/>
      <c r="N921" s="35"/>
      <c r="R921" s="17"/>
    </row>
    <row r="922" spans="13:18" ht="12.75">
      <c r="M922" s="17"/>
      <c r="N922" s="35"/>
      <c r="R922" s="17"/>
    </row>
    <row r="923" spans="13:18" ht="12.75">
      <c r="M923" s="17"/>
      <c r="N923" s="35"/>
      <c r="R923" s="17"/>
    </row>
    <row r="924" spans="13:18" ht="12.75">
      <c r="M924" s="17"/>
      <c r="N924" s="35"/>
      <c r="R924" s="17"/>
    </row>
    <row r="925" spans="13:18" ht="12.75">
      <c r="M925" s="17"/>
      <c r="N925" s="35"/>
      <c r="R925" s="17"/>
    </row>
    <row r="926" spans="13:18" ht="12.75">
      <c r="M926" s="17"/>
      <c r="N926" s="35"/>
      <c r="R926" s="17"/>
    </row>
    <row r="927" spans="13:18" ht="12.75">
      <c r="M927" s="17"/>
      <c r="N927" s="35"/>
      <c r="R927" s="17"/>
    </row>
    <row r="928" spans="13:18" ht="12.75">
      <c r="M928" s="17"/>
      <c r="N928" s="35"/>
      <c r="R928" s="17"/>
    </row>
    <row r="929" spans="13:18" ht="12.75">
      <c r="M929" s="17"/>
      <c r="N929" s="35"/>
      <c r="R929" s="17"/>
    </row>
    <row r="930" spans="13:18" ht="12.75">
      <c r="M930" s="17"/>
      <c r="N930" s="35"/>
      <c r="R930" s="17"/>
    </row>
    <row r="931" spans="13:18" ht="12.75">
      <c r="M931" s="17"/>
      <c r="N931" s="35"/>
      <c r="R931" s="17"/>
    </row>
    <row r="932" spans="13:18" ht="12.75">
      <c r="M932" s="17"/>
      <c r="N932" s="35"/>
      <c r="R932" s="17"/>
    </row>
    <row r="933" spans="13:18" ht="12.75">
      <c r="M933" s="17"/>
      <c r="N933" s="35"/>
      <c r="R933" s="17"/>
    </row>
    <row r="934" spans="13:18" ht="12.75">
      <c r="M934" s="17"/>
      <c r="N934" s="35"/>
      <c r="R934" s="17"/>
    </row>
    <row r="935" spans="13:18" ht="12.75">
      <c r="M935" s="17"/>
      <c r="N935" s="35"/>
      <c r="R935" s="17"/>
    </row>
    <row r="936" spans="13:18" ht="12.75">
      <c r="M936" s="17"/>
      <c r="N936" s="35"/>
      <c r="R936" s="17"/>
    </row>
    <row r="937" spans="13:18" ht="12.75">
      <c r="M937" s="17"/>
      <c r="N937" s="35"/>
      <c r="R937" s="17"/>
    </row>
    <row r="938" spans="13:18" ht="12.75">
      <c r="M938" s="17"/>
      <c r="N938" s="35"/>
      <c r="R938" s="17"/>
    </row>
    <row r="939" spans="13:18" ht="12.75">
      <c r="M939" s="17"/>
      <c r="N939" s="35"/>
      <c r="R939" s="17"/>
    </row>
    <row r="940" spans="13:18" ht="12.75">
      <c r="M940" s="17"/>
      <c r="N940" s="35"/>
      <c r="R940" s="17"/>
    </row>
    <row r="941" spans="13:18" ht="12.75">
      <c r="M941" s="17"/>
      <c r="N941" s="35"/>
      <c r="R941" s="17"/>
    </row>
    <row r="942" spans="13:18" ht="12.75">
      <c r="M942" s="17"/>
      <c r="N942" s="35"/>
      <c r="R942" s="17"/>
    </row>
    <row r="943" spans="13:18" ht="12.75">
      <c r="M943" s="17"/>
      <c r="N943" s="35"/>
      <c r="R943" s="17"/>
    </row>
    <row r="944" spans="13:18" ht="12.75">
      <c r="M944" s="17"/>
      <c r="N944" s="35"/>
      <c r="R944" s="17"/>
    </row>
    <row r="945" spans="13:18" ht="12.75">
      <c r="M945" s="17"/>
      <c r="N945" s="35"/>
      <c r="R945" s="17"/>
    </row>
    <row r="946" spans="13:18" ht="12.75">
      <c r="M946" s="17"/>
      <c r="N946" s="35"/>
      <c r="R946" s="17"/>
    </row>
    <row r="947" spans="13:18" ht="12.75">
      <c r="M947" s="17"/>
      <c r="N947" s="35"/>
      <c r="R947" s="17"/>
    </row>
    <row r="948" spans="13:18" ht="12.75">
      <c r="M948" s="17"/>
      <c r="N948" s="35"/>
      <c r="R948" s="17"/>
    </row>
    <row r="949" spans="13:18" ht="12.75">
      <c r="M949" s="17"/>
      <c r="N949" s="35"/>
      <c r="R949" s="17"/>
    </row>
    <row r="950" spans="13:18" ht="12.75">
      <c r="M950" s="17"/>
      <c r="N950" s="35"/>
      <c r="R950" s="17"/>
    </row>
    <row r="951" spans="13:18" ht="12.75">
      <c r="M951" s="17"/>
      <c r="N951" s="35"/>
      <c r="R951" s="17"/>
    </row>
    <row r="952" spans="13:18" ht="12.75">
      <c r="M952" s="17"/>
      <c r="N952" s="35"/>
      <c r="R952" s="17"/>
    </row>
    <row r="953" spans="13:18" ht="12.75">
      <c r="M953" s="17"/>
      <c r="N953" s="35"/>
      <c r="R953" s="17"/>
    </row>
    <row r="954" spans="13:18" ht="12.75">
      <c r="M954" s="17"/>
      <c r="N954" s="35"/>
      <c r="R954" s="17"/>
    </row>
    <row r="955" spans="13:18" ht="12.75">
      <c r="M955" s="17"/>
      <c r="N955" s="35"/>
      <c r="R955" s="17"/>
    </row>
    <row r="956" spans="13:18" ht="12.75">
      <c r="M956" s="17"/>
      <c r="N956" s="35"/>
      <c r="R956" s="17"/>
    </row>
    <row r="957" spans="13:18" ht="12.75">
      <c r="M957" s="17"/>
      <c r="N957" s="35"/>
      <c r="R957" s="17"/>
    </row>
    <row r="958" spans="13:18" ht="12.75">
      <c r="M958" s="17"/>
      <c r="N958" s="35"/>
      <c r="R958" s="17"/>
    </row>
    <row r="959" spans="13:18" ht="12.75">
      <c r="M959" s="17"/>
      <c r="N959" s="35"/>
      <c r="R959" s="17"/>
    </row>
    <row r="960" spans="13:18" ht="12.75">
      <c r="M960" s="17"/>
      <c r="N960" s="35"/>
      <c r="R960" s="17"/>
    </row>
    <row r="961" spans="13:18" ht="12.75">
      <c r="M961" s="17"/>
      <c r="N961" s="35"/>
      <c r="R961" s="17"/>
    </row>
    <row r="962" spans="13:18" ht="12.75">
      <c r="M962" s="17"/>
      <c r="N962" s="35"/>
      <c r="R962" s="17"/>
    </row>
    <row r="963" spans="13:18" ht="12.75">
      <c r="M963" s="17"/>
      <c r="N963" s="35"/>
      <c r="R963" s="17"/>
    </row>
    <row r="964" spans="13:18" ht="12.75">
      <c r="M964" s="17"/>
      <c r="N964" s="35"/>
      <c r="R964" s="17"/>
    </row>
    <row r="965" spans="13:18" ht="12.75">
      <c r="M965" s="17"/>
      <c r="N965" s="35"/>
      <c r="R965" s="17"/>
    </row>
    <row r="966" spans="13:18" ht="12.75">
      <c r="M966" s="17"/>
      <c r="N966" s="35"/>
      <c r="R966" s="17"/>
    </row>
    <row r="967" spans="13:18" ht="12.75">
      <c r="M967" s="17"/>
      <c r="N967" s="35"/>
      <c r="R967" s="17"/>
    </row>
    <row r="968" spans="13:18" ht="12.75">
      <c r="M968" s="17"/>
      <c r="N968" s="35"/>
      <c r="R968" s="17"/>
    </row>
    <row r="969" spans="13:18" ht="12.75">
      <c r="M969" s="17"/>
      <c r="N969" s="35"/>
      <c r="R969" s="17"/>
    </row>
    <row r="970" spans="13:18" ht="12.75">
      <c r="M970" s="17"/>
      <c r="N970" s="35"/>
      <c r="R970" s="17"/>
    </row>
    <row r="971" spans="13:18" ht="12.75">
      <c r="M971" s="17"/>
      <c r="N971" s="35"/>
      <c r="R971" s="17"/>
    </row>
    <row r="972" spans="13:18" ht="12.75">
      <c r="M972" s="17"/>
      <c r="N972" s="35"/>
      <c r="R972" s="17"/>
    </row>
    <row r="973" spans="13:18" ht="12.75">
      <c r="M973" s="17"/>
      <c r="N973" s="35"/>
      <c r="R973" s="17"/>
    </row>
    <row r="974" spans="13:18" ht="12.75">
      <c r="M974" s="17"/>
      <c r="N974" s="35"/>
      <c r="R974" s="17"/>
    </row>
    <row r="975" spans="13:18" ht="12.75">
      <c r="M975" s="17"/>
      <c r="N975" s="35"/>
      <c r="R975" s="17"/>
    </row>
    <row r="976" spans="13:18" ht="12.75">
      <c r="M976" s="17"/>
      <c r="N976" s="35"/>
      <c r="R976" s="17"/>
    </row>
    <row r="977" spans="13:18" ht="12.75">
      <c r="M977" s="17"/>
      <c r="N977" s="35"/>
      <c r="R977" s="17"/>
    </row>
    <row r="978" spans="13:18" ht="12.75">
      <c r="M978" s="17"/>
      <c r="N978" s="35"/>
      <c r="R978" s="17"/>
    </row>
    <row r="979" spans="13:18" ht="12.75">
      <c r="M979" s="17"/>
      <c r="N979" s="35"/>
      <c r="R979" s="17"/>
    </row>
    <row r="980" spans="13:18" ht="12.75">
      <c r="M980" s="17"/>
      <c r="N980" s="35"/>
      <c r="R980" s="17"/>
    </row>
    <row r="981" spans="13:18" ht="12.75">
      <c r="M981" s="17"/>
      <c r="N981" s="35"/>
      <c r="R981" s="17"/>
    </row>
    <row r="982" spans="13:18" ht="12.75">
      <c r="M982" s="17"/>
      <c r="N982" s="35"/>
      <c r="R982" s="17"/>
    </row>
    <row r="983" spans="13:18" ht="12.75">
      <c r="M983" s="17"/>
      <c r="N983" s="35"/>
      <c r="R983" s="17"/>
    </row>
    <row r="984" spans="13:18" ht="12.75">
      <c r="M984" s="17"/>
      <c r="N984" s="35"/>
      <c r="R984" s="17"/>
    </row>
    <row r="985" spans="13:18" ht="12.75">
      <c r="M985" s="17"/>
      <c r="N985" s="35"/>
      <c r="R985" s="17"/>
    </row>
    <row r="986" spans="13:18" ht="12.75">
      <c r="M986" s="17"/>
      <c r="N986" s="35"/>
      <c r="R986" s="17"/>
    </row>
    <row r="987" spans="13:18" ht="12.75">
      <c r="M987" s="17"/>
      <c r="N987" s="35"/>
      <c r="R987" s="17"/>
    </row>
    <row r="988" spans="13:18" ht="12.75">
      <c r="M988" s="17"/>
      <c r="N988" s="35"/>
      <c r="R988" s="17"/>
    </row>
    <row r="989" spans="13:18" ht="12.75">
      <c r="M989" s="17"/>
      <c r="N989" s="35"/>
      <c r="R989" s="17"/>
    </row>
    <row r="990" spans="13:18" ht="12.75">
      <c r="M990" s="17"/>
      <c r="N990" s="35"/>
      <c r="R990" s="17"/>
    </row>
    <row r="991" spans="13:18" ht="12.75">
      <c r="M991" s="17"/>
      <c r="N991" s="35"/>
      <c r="R991" s="17"/>
    </row>
    <row r="992" spans="13:18" ht="12.75">
      <c r="M992" s="17"/>
      <c r="N992" s="35"/>
      <c r="R992" s="17"/>
    </row>
    <row r="993" spans="13:18" ht="12.75">
      <c r="M993" s="17"/>
      <c r="N993" s="35"/>
      <c r="R993" s="17"/>
    </row>
    <row r="994" spans="13:18" ht="12.75">
      <c r="M994" s="17"/>
      <c r="N994" s="35"/>
      <c r="R994" s="17"/>
    </row>
    <row r="995" spans="13:18" ht="12.75">
      <c r="M995" s="17"/>
      <c r="N995" s="35"/>
      <c r="R995" s="17"/>
    </row>
    <row r="996" spans="13:18" ht="12.75">
      <c r="M996" s="17"/>
      <c r="N996" s="35"/>
      <c r="R996" s="17"/>
    </row>
    <row r="997" spans="13:18" ht="12.75">
      <c r="M997" s="17"/>
      <c r="N997" s="35"/>
      <c r="R997" s="17"/>
    </row>
    <row r="998" spans="13:18" ht="12.75">
      <c r="M998" s="17"/>
      <c r="N998" s="35"/>
      <c r="R998" s="17"/>
    </row>
    <row r="999" spans="13:18" ht="12.75">
      <c r="M999" s="17"/>
      <c r="N999" s="35"/>
      <c r="R999" s="17"/>
    </row>
    <row r="1000" spans="13:18" ht="12.75">
      <c r="M1000" s="17"/>
      <c r="N1000" s="35"/>
      <c r="R1000" s="17"/>
    </row>
    <row r="1001" spans="13:18" ht="12.75">
      <c r="M1001" s="17"/>
      <c r="N1001" s="35"/>
      <c r="R1001" s="17"/>
    </row>
    <row r="1002" spans="13:18" ht="12.75">
      <c r="M1002" s="17"/>
      <c r="N1002" s="35"/>
      <c r="R1002" s="17"/>
    </row>
    <row r="1003" spans="13:18" ht="12.75">
      <c r="M1003" s="17"/>
      <c r="N1003" s="35"/>
      <c r="R1003" s="17"/>
    </row>
    <row r="1004" spans="13:18" ht="12.75">
      <c r="M1004" s="17"/>
      <c r="N1004" s="35"/>
      <c r="R1004" s="17"/>
    </row>
  </sheetData>
  <autoFilter ref="A1:R115" xr:uid="{00000000-0009-0000-0000-000004000000}"/>
  <customSheetViews>
    <customSheetView guid="{D4D06763-5632-4CAF-A0BD-7BAD6B3784B6}" filter="1" showAutoFilter="1">
      <pageMargins left="0.7" right="0.7" top="0.75" bottom="0.75" header="0.3" footer="0.3"/>
      <autoFilter ref="B1:L116" xr:uid="{00000000-0000-0000-0000-000000000000}"/>
    </customSheetView>
    <customSheetView guid="{F84F801C-695D-48CE-B142-0B7895FE071F}" filter="1" showAutoFilter="1">
      <pageMargins left="0.7" right="0.7" top="0.75" bottom="0.75" header="0.3" footer="0.3"/>
      <autoFilter ref="A1:R115" xr:uid="{00000000-0000-0000-0000-000000000000}"/>
    </customSheetView>
  </customSheetViews>
  <conditionalFormatting sqref="E89">
    <cfRule type="expression" dxfId="35" priority="1">
      <formula>$C89="N"</formula>
    </cfRule>
  </conditionalFormatting>
  <conditionalFormatting sqref="E79">
    <cfRule type="expression" dxfId="34" priority="2">
      <formula>$C78="N"</formula>
    </cfRule>
  </conditionalFormatting>
  <conditionalFormatting sqref="E65">
    <cfRule type="expression" dxfId="33" priority="3">
      <formula>$C65="N"</formula>
    </cfRule>
  </conditionalFormatting>
  <conditionalFormatting sqref="I109">
    <cfRule type="expression" dxfId="32" priority="4">
      <formula>$C107="N"</formula>
    </cfRule>
  </conditionalFormatting>
  <conditionalFormatting sqref="L1:M122 L232:M1004">
    <cfRule type="expression" dxfId="31" priority="5">
      <formula>AND(C1="Y",L1="")</formula>
    </cfRule>
  </conditionalFormatting>
  <conditionalFormatting sqref="B2:B86 C2:D115 E2:E63 F2:H115 I2:I106 J2:K115 E66:E77 E80:E88 B88:B107 E91:E115 B109:B115 I110:I115 B123:D231 F123:G237 H123:K233">
    <cfRule type="expression" dxfId="30" priority="6">
      <formula>$C2="N"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0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3984375" defaultRowHeight="15.75" customHeight="1"/>
  <cols>
    <col min="1" max="1" width="2.73046875" customWidth="1"/>
    <col min="2" max="2" width="30" customWidth="1"/>
    <col min="3" max="3" width="15.265625" customWidth="1"/>
    <col min="4" max="4" width="8.86328125" customWidth="1"/>
    <col min="5" max="5" width="17.265625" customWidth="1"/>
    <col min="6" max="6" width="13.86328125" customWidth="1"/>
    <col min="7" max="7" width="17.265625" customWidth="1"/>
    <col min="8" max="8" width="10.1328125" customWidth="1"/>
    <col min="9" max="9" width="14.1328125" customWidth="1"/>
    <col min="10" max="10" width="11.3984375" customWidth="1"/>
    <col min="11" max="11" width="13" customWidth="1"/>
    <col min="12" max="12" width="12.1328125" customWidth="1"/>
    <col min="18" max="18" width="19" customWidth="1"/>
    <col min="21" max="21" width="18.53125" customWidth="1"/>
  </cols>
  <sheetData>
    <row r="1" spans="1:25" ht="28.5" customHeight="1">
      <c r="B1" s="6" t="s">
        <v>0</v>
      </c>
      <c r="C1" s="7" t="s">
        <v>1</v>
      </c>
      <c r="D1" s="7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25" ht="12.75">
      <c r="A2" s="12">
        <f t="shared" ref="A2:A79" si="0">A1+1</f>
        <v>1</v>
      </c>
      <c r="B2" s="13" t="s">
        <v>68</v>
      </c>
      <c r="C2" s="14" t="str">
        <f t="array" aca="1" ref="C2" ca="1">INDEX('Rooms Master'!U:U,MATCH(B2,'Rooms Master'!D:D,0))</f>
        <v>Y</v>
      </c>
      <c r="D2" s="15">
        <v>1</v>
      </c>
      <c r="E2" s="15">
        <v>29</v>
      </c>
      <c r="F2" s="15">
        <v>0</v>
      </c>
      <c r="G2" s="15">
        <v>2</v>
      </c>
      <c r="H2" s="15">
        <v>0</v>
      </c>
      <c r="I2" s="15"/>
      <c r="J2" s="15"/>
      <c r="K2" s="15"/>
      <c r="L2" s="1" t="s">
        <v>20</v>
      </c>
      <c r="M2" s="17">
        <f t="shared" ref="M2:M26" si="1">IFERROR(F2/E2, " ")</f>
        <v>0</v>
      </c>
      <c r="N2" s="18">
        <f t="shared" ref="N2:N3" si="2">IFERROR(H2/E2," ")</f>
        <v>0</v>
      </c>
      <c r="O2" s="17" t="str">
        <f t="shared" ref="O2:O3" si="3">IFERROR(K2/H2, " ")</f>
        <v xml:space="preserve"> </v>
      </c>
      <c r="P2" s="17" t="str">
        <f>IFERROR(K2/I4, " ")</f>
        <v xml:space="preserve"> </v>
      </c>
      <c r="Q2" s="17" t="str">
        <f t="shared" ref="Q2:Q3" si="4">IFERROR(K2/J2, " ")</f>
        <v xml:space="preserve"> </v>
      </c>
      <c r="R2" s="17">
        <f t="shared" ref="R2:R29" si="5">IFERROR(E2/$E$117," ")</f>
        <v>9.4033722438391695E-3</v>
      </c>
    </row>
    <row r="3" spans="1:25" ht="12.75">
      <c r="A3" s="12">
        <f t="shared" si="0"/>
        <v>2</v>
      </c>
      <c r="B3" s="1" t="s">
        <v>43</v>
      </c>
      <c r="C3" s="14" t="str">
        <f t="array" aca="1" ref="C3" ca="1">INDEX('Rooms Master'!U:U,MATCH(B3,'Rooms Master'!D:D,0))</f>
        <v>Y</v>
      </c>
      <c r="D3" s="15">
        <v>2</v>
      </c>
      <c r="E3" s="15">
        <v>88</v>
      </c>
      <c r="F3" s="15">
        <v>13</v>
      </c>
      <c r="G3" s="15">
        <v>2</v>
      </c>
      <c r="H3" s="15">
        <v>1</v>
      </c>
      <c r="I3" s="15"/>
      <c r="J3" s="15"/>
      <c r="K3" s="15"/>
      <c r="L3" s="21" t="s">
        <v>34</v>
      </c>
      <c r="M3" s="17">
        <f t="shared" si="1"/>
        <v>0.14772727272727273</v>
      </c>
      <c r="N3" s="18">
        <f t="shared" si="2"/>
        <v>1.1363636363636364E-2</v>
      </c>
      <c r="O3" s="17">
        <f t="shared" si="3"/>
        <v>0</v>
      </c>
      <c r="P3" s="17" t="str">
        <f>IFERROR(K3/I3, " ")</f>
        <v xml:space="preserve"> </v>
      </c>
      <c r="Q3" s="17" t="str">
        <f t="shared" si="4"/>
        <v xml:space="preserve"> </v>
      </c>
      <c r="R3" s="17">
        <f t="shared" si="5"/>
        <v>2.8534370946822308E-2</v>
      </c>
    </row>
    <row r="4" spans="1:25" ht="12.75">
      <c r="A4" s="12">
        <f t="shared" si="0"/>
        <v>3</v>
      </c>
      <c r="B4" s="13" t="s">
        <v>83</v>
      </c>
      <c r="C4" s="14" t="str">
        <f t="array" aca="1" ref="C4" ca="1">INDEX('Rooms Master'!U:U,MATCH(B4,'Rooms Master'!D:D,0))</f>
        <v>Y</v>
      </c>
      <c r="D4" s="15">
        <v>3</v>
      </c>
      <c r="E4" s="15">
        <v>55</v>
      </c>
      <c r="F4" s="15">
        <v>9</v>
      </c>
      <c r="G4" s="15">
        <v>1</v>
      </c>
      <c r="H4" s="15">
        <v>1</v>
      </c>
      <c r="I4" s="15"/>
      <c r="J4" s="15">
        <v>1</v>
      </c>
      <c r="K4" s="15">
        <v>1</v>
      </c>
      <c r="L4" s="1"/>
      <c r="M4" s="17">
        <f t="shared" si="1"/>
        <v>0.16363636363636364</v>
      </c>
      <c r="N4" s="18"/>
      <c r="O4" s="17"/>
      <c r="P4" s="17"/>
      <c r="Q4" s="17"/>
      <c r="R4" s="17">
        <f t="shared" si="5"/>
        <v>1.7833981841763942E-2</v>
      </c>
    </row>
    <row r="5" spans="1:25" ht="12.75">
      <c r="A5" s="12">
        <f t="shared" si="0"/>
        <v>4</v>
      </c>
      <c r="B5" s="13" t="s">
        <v>102</v>
      </c>
      <c r="C5" s="14" t="str">
        <f t="array" aca="1" ref="C5" ca="1">INDEX('Rooms Master'!U:U,MATCH(B5,'Rooms Master'!D:D,0))</f>
        <v>N</v>
      </c>
      <c r="D5" s="15">
        <v>4</v>
      </c>
      <c r="E5" s="15">
        <v>79</v>
      </c>
      <c r="F5" s="15">
        <v>17</v>
      </c>
      <c r="G5" s="15">
        <v>4</v>
      </c>
      <c r="H5" s="15">
        <v>2</v>
      </c>
      <c r="I5" s="15">
        <v>1</v>
      </c>
      <c r="J5" s="15">
        <v>1</v>
      </c>
      <c r="K5" s="15">
        <v>1</v>
      </c>
      <c r="L5" s="1" t="s">
        <v>29</v>
      </c>
      <c r="M5" s="17">
        <f t="shared" si="1"/>
        <v>0.21518987341772153</v>
      </c>
      <c r="N5" s="18">
        <f t="shared" ref="N5:N26" si="6">IFERROR(H5/E5," ")</f>
        <v>2.5316455696202531E-2</v>
      </c>
      <c r="O5" s="17">
        <f t="shared" ref="O5:O115" si="7">IFERROR(K5/H5, " ")</f>
        <v>0.5</v>
      </c>
      <c r="P5" s="17">
        <f t="shared" ref="P5:P11" si="8">IFERROR(K5/I5, " ")</f>
        <v>1</v>
      </c>
      <c r="Q5" s="17">
        <f t="shared" ref="Q5:Q115" si="9">IFERROR(K5/J5, " ")</f>
        <v>1</v>
      </c>
      <c r="R5" s="17">
        <f t="shared" si="5"/>
        <v>2.5616083009079117E-2</v>
      </c>
    </row>
    <row r="6" spans="1:25" ht="12.75">
      <c r="A6" s="12">
        <f t="shared" si="0"/>
        <v>5</v>
      </c>
      <c r="B6" s="13" t="s">
        <v>77</v>
      </c>
      <c r="C6" s="14" t="str">
        <f t="array" aca="1" ref="C6" ca="1">INDEX('Rooms Master'!U:U,MATCH(B6,'Rooms Master'!D:D,0))</f>
        <v>N</v>
      </c>
      <c r="D6" s="15">
        <v>4</v>
      </c>
      <c r="E6" s="15">
        <v>90</v>
      </c>
      <c r="F6" s="15">
        <v>32</v>
      </c>
      <c r="G6" s="15">
        <v>8</v>
      </c>
      <c r="H6" s="15">
        <v>0</v>
      </c>
      <c r="I6" s="15"/>
      <c r="J6" s="15"/>
      <c r="K6" s="15"/>
      <c r="L6" s="1" t="s">
        <v>20</v>
      </c>
      <c r="M6" s="17">
        <f t="shared" si="1"/>
        <v>0.35555555555555557</v>
      </c>
      <c r="N6" s="18">
        <f t="shared" si="6"/>
        <v>0</v>
      </c>
      <c r="O6" s="17" t="str">
        <f t="shared" si="7"/>
        <v xml:space="preserve"> </v>
      </c>
      <c r="P6" s="17" t="str">
        <f t="shared" si="8"/>
        <v xml:space="preserve"> </v>
      </c>
      <c r="Q6" s="17" t="str">
        <f t="shared" si="9"/>
        <v xml:space="preserve"> </v>
      </c>
      <c r="R6" s="17">
        <f t="shared" si="5"/>
        <v>2.9182879377431907E-2</v>
      </c>
    </row>
    <row r="7" spans="1:25" ht="12.75">
      <c r="A7" s="12">
        <f t="shared" si="0"/>
        <v>6</v>
      </c>
      <c r="B7" s="13" t="s">
        <v>92</v>
      </c>
      <c r="C7" s="14" t="str">
        <f t="array" aca="1" ref="C7" ca="1">INDEX('Rooms Master'!U:U,MATCH(B7,'Rooms Master'!D:D,0))</f>
        <v>Y</v>
      </c>
      <c r="D7" s="15">
        <v>5</v>
      </c>
      <c r="E7" s="15">
        <v>30</v>
      </c>
      <c r="F7" s="15">
        <v>2</v>
      </c>
      <c r="G7" s="15">
        <v>2</v>
      </c>
      <c r="H7" s="15">
        <v>0</v>
      </c>
      <c r="I7" s="15"/>
      <c r="J7" s="15"/>
      <c r="K7" s="15"/>
      <c r="L7" s="1" t="s">
        <v>64</v>
      </c>
      <c r="M7" s="17">
        <f t="shared" si="1"/>
        <v>6.6666666666666666E-2</v>
      </c>
      <c r="N7" s="18">
        <f t="shared" si="6"/>
        <v>0</v>
      </c>
      <c r="O7" s="17" t="str">
        <f t="shared" si="7"/>
        <v xml:space="preserve"> </v>
      </c>
      <c r="P7" s="17" t="str">
        <f t="shared" si="8"/>
        <v xml:space="preserve"> </v>
      </c>
      <c r="Q7" s="17" t="str">
        <f t="shared" si="9"/>
        <v xml:space="preserve"> </v>
      </c>
      <c r="R7" s="17">
        <f t="shared" si="5"/>
        <v>9.727626459143969E-3</v>
      </c>
    </row>
    <row r="8" spans="1:25" ht="12.75">
      <c r="A8" s="12">
        <f t="shared" si="0"/>
        <v>7</v>
      </c>
      <c r="B8" s="13" t="s">
        <v>73</v>
      </c>
      <c r="C8" s="14" t="str">
        <f t="array" aca="1" ref="C8" ca="1">INDEX('Rooms Master'!U:U,MATCH(B8,'Rooms Master'!D:D,0))</f>
        <v>Y</v>
      </c>
      <c r="D8" s="15">
        <v>6</v>
      </c>
      <c r="E8" s="15">
        <v>38</v>
      </c>
      <c r="F8" s="15">
        <v>4</v>
      </c>
      <c r="G8" s="15">
        <v>2</v>
      </c>
      <c r="H8" s="15">
        <v>0</v>
      </c>
      <c r="I8" s="15"/>
      <c r="J8" s="15"/>
      <c r="K8" s="15"/>
      <c r="L8" s="1" t="s">
        <v>20</v>
      </c>
      <c r="M8" s="17">
        <f t="shared" si="1"/>
        <v>0.10526315789473684</v>
      </c>
      <c r="N8" s="18">
        <f t="shared" si="6"/>
        <v>0</v>
      </c>
      <c r="O8" s="17" t="str">
        <f t="shared" si="7"/>
        <v xml:space="preserve"> </v>
      </c>
      <c r="P8" s="17" t="str">
        <f t="shared" si="8"/>
        <v xml:space="preserve"> </v>
      </c>
      <c r="Q8" s="17" t="str">
        <f t="shared" si="9"/>
        <v xml:space="preserve"> </v>
      </c>
      <c r="R8" s="17">
        <f t="shared" si="5"/>
        <v>1.232166018158236E-2</v>
      </c>
    </row>
    <row r="9" spans="1:25" ht="12.75">
      <c r="A9" s="12">
        <f t="shared" si="0"/>
        <v>8</v>
      </c>
      <c r="B9" s="13" t="s">
        <v>93</v>
      </c>
      <c r="C9" s="14" t="str">
        <f t="array" aca="1" ref="C9" ca="1">INDEX('Rooms Master'!U:U,MATCH(B9,'Rooms Master'!D:D,0))</f>
        <v>Y</v>
      </c>
      <c r="D9" s="15">
        <v>7</v>
      </c>
      <c r="E9" s="15">
        <v>35</v>
      </c>
      <c r="F9" s="15">
        <v>6</v>
      </c>
      <c r="G9" s="15">
        <v>5</v>
      </c>
      <c r="H9" s="15">
        <v>1</v>
      </c>
      <c r="I9" s="15"/>
      <c r="J9" s="15">
        <v>1</v>
      </c>
      <c r="K9" s="15">
        <v>1</v>
      </c>
      <c r="L9" s="1" t="s">
        <v>20</v>
      </c>
      <c r="M9" s="17">
        <f t="shared" si="1"/>
        <v>0.17142857142857143</v>
      </c>
      <c r="N9" s="18">
        <f t="shared" si="6"/>
        <v>2.8571428571428571E-2</v>
      </c>
      <c r="O9" s="17">
        <f t="shared" si="7"/>
        <v>1</v>
      </c>
      <c r="P9" s="17" t="str">
        <f t="shared" si="8"/>
        <v xml:space="preserve"> </v>
      </c>
      <c r="Q9" s="17">
        <f t="shared" si="9"/>
        <v>1</v>
      </c>
      <c r="R9" s="17">
        <f t="shared" si="5"/>
        <v>1.1348897535667963E-2</v>
      </c>
    </row>
    <row r="10" spans="1:25" ht="12.75">
      <c r="A10" s="12">
        <f t="shared" si="0"/>
        <v>9</v>
      </c>
      <c r="B10" s="13" t="s">
        <v>115</v>
      </c>
      <c r="C10" s="14" t="str">
        <f t="array" aca="1" ref="C10" ca="1">INDEX('Rooms Master'!U:U,MATCH(B10,'Rooms Master'!D:D,0))</f>
        <v>Y</v>
      </c>
      <c r="D10" s="15">
        <v>8</v>
      </c>
      <c r="E10" s="15">
        <v>61</v>
      </c>
      <c r="F10" s="15">
        <v>2</v>
      </c>
      <c r="G10" s="15">
        <v>4</v>
      </c>
      <c r="H10" s="15">
        <v>0</v>
      </c>
      <c r="I10" s="15">
        <v>1</v>
      </c>
      <c r="J10" s="15"/>
      <c r="K10" s="15"/>
      <c r="L10" s="1" t="s">
        <v>29</v>
      </c>
      <c r="M10" s="17">
        <f t="shared" si="1"/>
        <v>3.2786885245901641E-2</v>
      </c>
      <c r="N10" s="18">
        <f t="shared" si="6"/>
        <v>0</v>
      </c>
      <c r="O10" s="17" t="str">
        <f t="shared" si="7"/>
        <v xml:space="preserve"> </v>
      </c>
      <c r="P10" s="17">
        <f t="shared" si="8"/>
        <v>0</v>
      </c>
      <c r="Q10" s="17" t="str">
        <f t="shared" si="9"/>
        <v xml:space="preserve"> </v>
      </c>
      <c r="R10" s="17">
        <f t="shared" si="5"/>
        <v>1.9779507133592736E-2</v>
      </c>
    </row>
    <row r="11" spans="1:25" ht="12.75">
      <c r="A11" s="12">
        <f t="shared" si="0"/>
        <v>10</v>
      </c>
      <c r="B11" s="13" t="s">
        <v>21</v>
      </c>
      <c r="C11" s="14" t="str">
        <f t="array" aca="1" ref="C11" ca="1">INDEX('Rooms Master'!U:U,MATCH(B11,'Rooms Master'!D:D,0))</f>
        <v>Y</v>
      </c>
      <c r="D11" s="15">
        <v>9</v>
      </c>
      <c r="E11" s="15">
        <v>94</v>
      </c>
      <c r="F11" s="15">
        <v>32</v>
      </c>
      <c r="G11" s="15">
        <v>7</v>
      </c>
      <c r="H11" s="15">
        <v>10</v>
      </c>
      <c r="I11" s="15"/>
      <c r="J11" s="15"/>
      <c r="K11" s="15"/>
      <c r="L11" s="1" t="s">
        <v>20</v>
      </c>
      <c r="M11" s="17">
        <f t="shared" si="1"/>
        <v>0.34042553191489361</v>
      </c>
      <c r="N11" s="18">
        <f t="shared" si="6"/>
        <v>0.10638297872340426</v>
      </c>
      <c r="O11" s="17">
        <f t="shared" si="7"/>
        <v>0</v>
      </c>
      <c r="P11" s="17" t="str">
        <f t="shared" si="8"/>
        <v xml:space="preserve"> </v>
      </c>
      <c r="Q11" s="17" t="str">
        <f t="shared" si="9"/>
        <v xml:space="preserve"> </v>
      </c>
      <c r="R11" s="17">
        <f t="shared" si="5"/>
        <v>3.0479896238651102E-2</v>
      </c>
    </row>
    <row r="12" spans="1:25" ht="12.75">
      <c r="A12" s="12">
        <f t="shared" si="0"/>
        <v>11</v>
      </c>
      <c r="B12" s="13" t="s">
        <v>99</v>
      </c>
      <c r="C12" s="14" t="str">
        <f t="array" aca="1" ref="C12" ca="1">INDEX('Rooms Master'!U:U,MATCH(B12,'Rooms Master'!D:D,0))</f>
        <v>N</v>
      </c>
      <c r="D12" s="15">
        <v>10</v>
      </c>
      <c r="E12" s="15">
        <v>174</v>
      </c>
      <c r="F12" s="15">
        <v>35</v>
      </c>
      <c r="G12" s="15">
        <v>15</v>
      </c>
      <c r="H12" s="15">
        <v>10</v>
      </c>
      <c r="I12" s="22">
        <v>1</v>
      </c>
      <c r="J12" s="15"/>
      <c r="K12" s="15"/>
      <c r="L12" s="1" t="s">
        <v>20</v>
      </c>
      <c r="M12" s="17">
        <f t="shared" si="1"/>
        <v>0.20114942528735633</v>
      </c>
      <c r="N12" s="18">
        <f t="shared" si="6"/>
        <v>5.7471264367816091E-2</v>
      </c>
      <c r="O12" s="17">
        <f t="shared" si="7"/>
        <v>0</v>
      </c>
      <c r="P12" s="17" t="str">
        <f>IFERROR(K12/I14, " ")</f>
        <v xml:space="preserve"> </v>
      </c>
      <c r="Q12" s="17" t="str">
        <f t="shared" si="9"/>
        <v xml:space="preserve"> </v>
      </c>
      <c r="R12" s="17">
        <f t="shared" si="5"/>
        <v>5.642023346303502E-2</v>
      </c>
    </row>
    <row r="13" spans="1:25" ht="12.75">
      <c r="A13" s="12">
        <f t="shared" si="0"/>
        <v>12</v>
      </c>
      <c r="B13" s="13" t="s">
        <v>113</v>
      </c>
      <c r="C13" s="14" t="str">
        <f t="array" aca="1" ref="C13" ca="1">INDEX('Rooms Master'!U:U,MATCH(B13,'Rooms Master'!D:D,0))</f>
        <v>Y</v>
      </c>
      <c r="D13" s="15">
        <v>11</v>
      </c>
      <c r="E13" s="15">
        <v>11</v>
      </c>
      <c r="F13" s="15">
        <v>0</v>
      </c>
      <c r="G13" s="15">
        <v>2</v>
      </c>
      <c r="H13" s="15">
        <v>0</v>
      </c>
      <c r="I13" s="15"/>
      <c r="J13" s="15"/>
      <c r="K13" s="15"/>
      <c r="L13" s="1" t="s">
        <v>24</v>
      </c>
      <c r="M13" s="17">
        <f t="shared" si="1"/>
        <v>0</v>
      </c>
      <c r="N13" s="18">
        <f t="shared" si="6"/>
        <v>0</v>
      </c>
      <c r="O13" s="17" t="str">
        <f t="shared" si="7"/>
        <v xml:space="preserve"> </v>
      </c>
      <c r="P13" s="17" t="str">
        <f t="shared" ref="P13:P15" si="10">IFERROR(K13/I13, " ")</f>
        <v xml:space="preserve"> </v>
      </c>
      <c r="Q13" s="17" t="str">
        <f t="shared" si="9"/>
        <v xml:space="preserve"> </v>
      </c>
      <c r="R13" s="17">
        <f t="shared" si="5"/>
        <v>3.5667963683527885E-3</v>
      </c>
    </row>
    <row r="14" spans="1:25" ht="12.75">
      <c r="A14" s="12">
        <f t="shared" si="0"/>
        <v>13</v>
      </c>
      <c r="B14" s="13" t="s">
        <v>30</v>
      </c>
      <c r="C14" s="14" t="str">
        <f t="array" aca="1" ref="C14" ca="1">INDEX('Rooms Master'!U:U,MATCH(B14,'Rooms Master'!D:D,0))</f>
        <v>Y</v>
      </c>
      <c r="D14" s="15">
        <v>12</v>
      </c>
      <c r="E14" s="15">
        <v>75</v>
      </c>
      <c r="F14" s="15">
        <v>13</v>
      </c>
      <c r="G14" s="15">
        <v>7</v>
      </c>
      <c r="H14" s="15">
        <v>6</v>
      </c>
      <c r="I14" s="15"/>
      <c r="J14" s="15">
        <v>1</v>
      </c>
      <c r="K14" s="15">
        <v>1</v>
      </c>
      <c r="L14" s="1" t="s">
        <v>20</v>
      </c>
      <c r="M14" s="17">
        <f t="shared" si="1"/>
        <v>0.17333333333333334</v>
      </c>
      <c r="N14" s="18">
        <f t="shared" si="6"/>
        <v>0.08</v>
      </c>
      <c r="O14" s="17">
        <f t="shared" si="7"/>
        <v>0.16666666666666666</v>
      </c>
      <c r="P14" s="17" t="str">
        <f t="shared" si="10"/>
        <v xml:space="preserve"> </v>
      </c>
      <c r="Q14" s="17">
        <f t="shared" si="9"/>
        <v>1</v>
      </c>
      <c r="R14" s="17">
        <f t="shared" si="5"/>
        <v>2.4319066147859923E-2</v>
      </c>
      <c r="U14" s="13"/>
      <c r="V14" s="19"/>
      <c r="W14" s="19"/>
      <c r="X14" s="19"/>
      <c r="Y14" s="20"/>
    </row>
    <row r="15" spans="1:25" ht="12.75">
      <c r="A15" s="12">
        <f t="shared" si="0"/>
        <v>14</v>
      </c>
      <c r="B15" s="13" t="s">
        <v>28</v>
      </c>
      <c r="C15" s="14" t="str">
        <f t="array" aca="1" ref="C15" ca="1">INDEX('Rooms Master'!U:U,MATCH(B15,'Rooms Master'!D:D,0))</f>
        <v>Y</v>
      </c>
      <c r="D15" s="15">
        <v>13</v>
      </c>
      <c r="E15" s="15">
        <v>118</v>
      </c>
      <c r="F15" s="15">
        <v>39</v>
      </c>
      <c r="G15" s="15">
        <v>8</v>
      </c>
      <c r="H15" s="15">
        <v>7</v>
      </c>
      <c r="I15" s="15">
        <v>2</v>
      </c>
      <c r="J15" s="15"/>
      <c r="K15" s="15"/>
      <c r="L15" s="1" t="s">
        <v>29</v>
      </c>
      <c r="M15" s="17">
        <f t="shared" si="1"/>
        <v>0.33050847457627119</v>
      </c>
      <c r="N15" s="18">
        <f t="shared" si="6"/>
        <v>5.9322033898305086E-2</v>
      </c>
      <c r="O15" s="17">
        <f t="shared" si="7"/>
        <v>0</v>
      </c>
      <c r="P15" s="17">
        <f t="shared" si="10"/>
        <v>0</v>
      </c>
      <c r="Q15" s="17" t="str">
        <f t="shared" si="9"/>
        <v xml:space="preserve"> </v>
      </c>
      <c r="R15" s="17">
        <f t="shared" si="5"/>
        <v>3.826199740596628E-2</v>
      </c>
      <c r="U15" s="25"/>
      <c r="V15" s="25"/>
      <c r="W15" s="25"/>
      <c r="X15" s="25"/>
      <c r="Y15" s="25"/>
    </row>
    <row r="16" spans="1:25" ht="12.75">
      <c r="A16" s="12">
        <f t="shared" si="0"/>
        <v>15</v>
      </c>
      <c r="B16" s="1" t="s">
        <v>53</v>
      </c>
      <c r="C16" s="14" t="str">
        <f t="array" aca="1" ref="C16" ca="1">INDEX('Rooms Master'!U:U,MATCH(B16,'Rooms Master'!D:D,0))</f>
        <v>Y</v>
      </c>
      <c r="D16" s="15">
        <v>14</v>
      </c>
      <c r="E16" s="15">
        <v>120</v>
      </c>
      <c r="F16" s="15">
        <v>16</v>
      </c>
      <c r="G16" s="15">
        <v>6</v>
      </c>
      <c r="H16" s="15">
        <v>6</v>
      </c>
      <c r="J16" s="15">
        <v>2</v>
      </c>
      <c r="K16" s="15">
        <v>2</v>
      </c>
      <c r="L16" s="1" t="s">
        <v>20</v>
      </c>
      <c r="M16" s="17">
        <f t="shared" si="1"/>
        <v>0.13333333333333333</v>
      </c>
      <c r="N16" s="18">
        <f t="shared" si="6"/>
        <v>0.05</v>
      </c>
      <c r="O16" s="17">
        <f t="shared" si="7"/>
        <v>0.33333333333333331</v>
      </c>
      <c r="P16" s="17" t="str">
        <f>IFERROR(K16/I18, " ")</f>
        <v xml:space="preserve"> </v>
      </c>
      <c r="Q16" s="17">
        <f t="shared" si="9"/>
        <v>1</v>
      </c>
      <c r="R16" s="17">
        <f t="shared" si="5"/>
        <v>3.8910505836575876E-2</v>
      </c>
    </row>
    <row r="17" spans="1:18" ht="12.75">
      <c r="A17" s="12">
        <f t="shared" si="0"/>
        <v>16</v>
      </c>
      <c r="B17" s="13" t="s">
        <v>105</v>
      </c>
      <c r="C17" s="14" t="str">
        <f t="array" aca="1" ref="C17" ca="1">INDEX('Rooms Master'!U:U,MATCH(B17,'Rooms Master'!D:D,0))</f>
        <v>Y</v>
      </c>
      <c r="D17" s="15">
        <v>15</v>
      </c>
      <c r="E17" s="15">
        <v>8</v>
      </c>
      <c r="F17" s="15">
        <v>0</v>
      </c>
      <c r="G17" s="15">
        <v>0</v>
      </c>
      <c r="H17" s="15">
        <v>0</v>
      </c>
      <c r="I17" s="15"/>
      <c r="J17" s="15"/>
      <c r="K17" s="15"/>
      <c r="L17" s="1" t="s">
        <v>24</v>
      </c>
      <c r="M17" s="17">
        <f t="shared" si="1"/>
        <v>0</v>
      </c>
      <c r="N17" s="18">
        <f t="shared" si="6"/>
        <v>0</v>
      </c>
      <c r="O17" s="17" t="str">
        <f t="shared" si="7"/>
        <v xml:space="preserve"> </v>
      </c>
      <c r="P17" s="17" t="str">
        <f t="shared" ref="P17:P37" si="11">IFERROR(K17/I17, " ")</f>
        <v xml:space="preserve"> </v>
      </c>
      <c r="Q17" s="17" t="str">
        <f t="shared" si="9"/>
        <v xml:space="preserve"> </v>
      </c>
      <c r="R17" s="17">
        <f t="shared" si="5"/>
        <v>2.5940337224383916E-3</v>
      </c>
    </row>
    <row r="18" spans="1:18" ht="12.75">
      <c r="A18" s="12">
        <f t="shared" si="0"/>
        <v>17</v>
      </c>
      <c r="B18" s="13" t="s">
        <v>17</v>
      </c>
      <c r="C18" s="14" t="str">
        <f t="array" aca="1" ref="C18" ca="1">INDEX('Rooms Master'!U:U,MATCH(B18,'Rooms Master'!D:D,0))</f>
        <v>Y</v>
      </c>
      <c r="D18" s="15">
        <v>16</v>
      </c>
      <c r="E18" s="15">
        <v>18</v>
      </c>
      <c r="F18" s="15">
        <v>5</v>
      </c>
      <c r="G18" s="15">
        <v>3</v>
      </c>
      <c r="H18" s="15">
        <v>0</v>
      </c>
      <c r="I18" s="15"/>
      <c r="J18" s="15">
        <v>1</v>
      </c>
      <c r="K18" s="15">
        <v>1</v>
      </c>
      <c r="L18" s="1" t="s">
        <v>18</v>
      </c>
      <c r="M18" s="17">
        <f t="shared" si="1"/>
        <v>0.27777777777777779</v>
      </c>
      <c r="N18" s="18">
        <f t="shared" si="6"/>
        <v>0</v>
      </c>
      <c r="O18" s="17" t="str">
        <f t="shared" si="7"/>
        <v xml:space="preserve"> </v>
      </c>
      <c r="P18" s="17" t="str">
        <f t="shared" si="11"/>
        <v xml:space="preserve"> </v>
      </c>
      <c r="Q18" s="17">
        <f t="shared" si="9"/>
        <v>1</v>
      </c>
      <c r="R18" s="17">
        <f t="shared" si="5"/>
        <v>5.8365758754863814E-3</v>
      </c>
    </row>
    <row r="19" spans="1:18" ht="12.75">
      <c r="A19" s="12">
        <f t="shared" si="0"/>
        <v>18</v>
      </c>
      <c r="B19" s="13" t="s">
        <v>59</v>
      </c>
      <c r="C19" s="14" t="str">
        <f t="array" aca="1" ref="C19" ca="1">INDEX('Rooms Master'!U:U,MATCH(B19,'Rooms Master'!D:D,0))</f>
        <v>Y</v>
      </c>
      <c r="D19" s="15">
        <v>16</v>
      </c>
      <c r="E19" s="15">
        <v>23</v>
      </c>
      <c r="F19" s="15">
        <v>10</v>
      </c>
      <c r="G19" s="15">
        <v>4</v>
      </c>
      <c r="H19" s="15">
        <v>1</v>
      </c>
      <c r="I19" s="15"/>
      <c r="J19" s="15"/>
      <c r="K19" s="15"/>
      <c r="L19" s="1" t="s">
        <v>34</v>
      </c>
      <c r="M19" s="17">
        <f t="shared" si="1"/>
        <v>0.43478260869565216</v>
      </c>
      <c r="N19" s="18">
        <f t="shared" si="6"/>
        <v>4.3478260869565216E-2</v>
      </c>
      <c r="O19" s="17">
        <f t="shared" si="7"/>
        <v>0</v>
      </c>
      <c r="P19" s="17" t="str">
        <f t="shared" si="11"/>
        <v xml:space="preserve"> </v>
      </c>
      <c r="Q19" s="17" t="str">
        <f t="shared" si="9"/>
        <v xml:space="preserve"> </v>
      </c>
      <c r="R19" s="17">
        <f t="shared" si="5"/>
        <v>7.4578469520103765E-3</v>
      </c>
    </row>
    <row r="20" spans="1:18" ht="12.75">
      <c r="A20" s="12">
        <f t="shared" si="0"/>
        <v>19</v>
      </c>
      <c r="B20" s="13" t="s">
        <v>124</v>
      </c>
      <c r="C20" s="14" t="str">
        <f t="array" aca="1" ref="C20" ca="1">INDEX('Rooms Master'!U:U,MATCH(B20,'Rooms Master'!D:D,0))</f>
        <v>N</v>
      </c>
      <c r="D20" s="15">
        <v>17</v>
      </c>
      <c r="E20" s="15">
        <v>24</v>
      </c>
      <c r="F20" s="15">
        <v>5</v>
      </c>
      <c r="G20" s="15">
        <v>1</v>
      </c>
      <c r="H20" s="15">
        <v>0</v>
      </c>
      <c r="I20" s="15">
        <v>1</v>
      </c>
      <c r="J20" s="15">
        <v>2</v>
      </c>
      <c r="K20" s="15"/>
      <c r="L20" s="1" t="s">
        <v>34</v>
      </c>
      <c r="M20" s="17">
        <f t="shared" si="1"/>
        <v>0.20833333333333334</v>
      </c>
      <c r="N20" s="18">
        <f t="shared" si="6"/>
        <v>0</v>
      </c>
      <c r="O20" s="17" t="str">
        <f t="shared" si="7"/>
        <v xml:space="preserve"> </v>
      </c>
      <c r="P20" s="17">
        <f t="shared" si="11"/>
        <v>0</v>
      </c>
      <c r="Q20" s="17">
        <f t="shared" si="9"/>
        <v>0</v>
      </c>
      <c r="R20" s="17">
        <f t="shared" si="5"/>
        <v>7.7821011673151752E-3</v>
      </c>
    </row>
    <row r="21" spans="1:18" ht="12.75">
      <c r="A21" s="12">
        <f t="shared" si="0"/>
        <v>20</v>
      </c>
      <c r="B21" s="13" t="s">
        <v>23</v>
      </c>
      <c r="C21" s="14" t="str">
        <f t="array" aca="1" ref="C21" ca="1">INDEX('Rooms Master'!U:U,MATCH(B21,'Rooms Master'!D:D,0))</f>
        <v>Y</v>
      </c>
      <c r="D21" s="15">
        <v>17</v>
      </c>
      <c r="E21" s="15">
        <v>40</v>
      </c>
      <c r="F21" s="15">
        <v>13</v>
      </c>
      <c r="G21" s="15">
        <v>4</v>
      </c>
      <c r="H21" s="15">
        <v>2</v>
      </c>
      <c r="I21" s="15"/>
      <c r="J21" s="15"/>
      <c r="K21" s="15"/>
      <c r="L21" s="1" t="s">
        <v>24</v>
      </c>
      <c r="M21" s="17">
        <f t="shared" si="1"/>
        <v>0.32500000000000001</v>
      </c>
      <c r="N21" s="18">
        <f t="shared" si="6"/>
        <v>0.05</v>
      </c>
      <c r="O21" s="17">
        <f t="shared" si="7"/>
        <v>0</v>
      </c>
      <c r="P21" s="17" t="str">
        <f t="shared" si="11"/>
        <v xml:space="preserve"> </v>
      </c>
      <c r="Q21" s="17" t="str">
        <f t="shared" si="9"/>
        <v xml:space="preserve"> </v>
      </c>
      <c r="R21" s="17">
        <f t="shared" si="5"/>
        <v>1.2970168612191959E-2</v>
      </c>
    </row>
    <row r="22" spans="1:18" ht="12.75">
      <c r="A22" s="12">
        <f t="shared" si="0"/>
        <v>21</v>
      </c>
      <c r="B22" s="13" t="s">
        <v>80</v>
      </c>
      <c r="C22" s="14" t="str">
        <f t="array" aca="1" ref="C22" ca="1">INDEX('Rooms Master'!U:U,MATCH(B22,'Rooms Master'!D:D,0))</f>
        <v>Y</v>
      </c>
      <c r="D22" s="15">
        <v>18</v>
      </c>
      <c r="E22" s="15">
        <v>20</v>
      </c>
      <c r="F22" s="15">
        <v>4</v>
      </c>
      <c r="G22" s="15">
        <v>2</v>
      </c>
      <c r="H22" s="15">
        <v>2</v>
      </c>
      <c r="I22" s="15"/>
      <c r="J22" s="15"/>
      <c r="K22" s="15"/>
      <c r="L22" s="1" t="s">
        <v>39</v>
      </c>
      <c r="M22" s="17">
        <f t="shared" si="1"/>
        <v>0.2</v>
      </c>
      <c r="N22" s="18">
        <f t="shared" si="6"/>
        <v>0.1</v>
      </c>
      <c r="O22" s="17">
        <f t="shared" si="7"/>
        <v>0</v>
      </c>
      <c r="P22" s="17" t="str">
        <f t="shared" si="11"/>
        <v xml:space="preserve"> </v>
      </c>
      <c r="Q22" s="17" t="str">
        <f t="shared" si="9"/>
        <v xml:space="preserve"> </v>
      </c>
      <c r="R22" s="17">
        <f t="shared" si="5"/>
        <v>6.4850843060959796E-3</v>
      </c>
    </row>
    <row r="23" spans="1:18" ht="12.75">
      <c r="A23" s="12">
        <f t="shared" si="0"/>
        <v>22</v>
      </c>
      <c r="B23" s="13" t="s">
        <v>106</v>
      </c>
      <c r="C23" s="14" t="str">
        <f t="array" aca="1" ref="C23" ca="1">INDEX('Rooms Master'!U:U,MATCH(B23,'Rooms Master'!D:D,0))</f>
        <v>N</v>
      </c>
      <c r="D23" s="15">
        <v>18</v>
      </c>
      <c r="E23" s="15">
        <v>9</v>
      </c>
      <c r="F23" s="15">
        <v>1</v>
      </c>
      <c r="G23" s="15">
        <v>2</v>
      </c>
      <c r="H23" s="15">
        <v>0</v>
      </c>
      <c r="I23" s="15"/>
      <c r="J23" s="15"/>
      <c r="K23" s="15"/>
      <c r="L23" s="1" t="s">
        <v>24</v>
      </c>
      <c r="M23" s="17">
        <f t="shared" si="1"/>
        <v>0.1111111111111111</v>
      </c>
      <c r="N23" s="18">
        <f t="shared" si="6"/>
        <v>0</v>
      </c>
      <c r="O23" s="17" t="str">
        <f t="shared" si="7"/>
        <v xml:space="preserve"> </v>
      </c>
      <c r="P23" s="17" t="str">
        <f t="shared" si="11"/>
        <v xml:space="preserve"> </v>
      </c>
      <c r="Q23" s="17" t="str">
        <f t="shared" si="9"/>
        <v xml:space="preserve"> </v>
      </c>
      <c r="R23" s="17">
        <f t="shared" si="5"/>
        <v>2.9182879377431907E-3</v>
      </c>
    </row>
    <row r="24" spans="1:18" ht="13.5">
      <c r="A24" s="12">
        <f t="shared" si="0"/>
        <v>23</v>
      </c>
      <c r="B24" s="13" t="s">
        <v>98</v>
      </c>
      <c r="C24" s="14" t="str">
        <f t="array" aca="1" ref="C24" ca="1">INDEX('Rooms Master'!U:U,MATCH(B24,'Rooms Master'!D:D,0))</f>
        <v>N</v>
      </c>
      <c r="D24" s="15">
        <v>19</v>
      </c>
      <c r="E24" s="15">
        <v>35</v>
      </c>
      <c r="F24" s="15">
        <v>7</v>
      </c>
      <c r="G24" s="15">
        <v>5</v>
      </c>
      <c r="H24" s="15">
        <v>1</v>
      </c>
      <c r="I24" s="15"/>
      <c r="J24" s="15"/>
      <c r="K24" s="28"/>
      <c r="L24" s="1" t="s">
        <v>34</v>
      </c>
      <c r="M24" s="17">
        <f t="shared" si="1"/>
        <v>0.2</v>
      </c>
      <c r="N24" s="18">
        <f t="shared" si="6"/>
        <v>2.8571428571428571E-2</v>
      </c>
      <c r="O24" s="17">
        <f t="shared" si="7"/>
        <v>0</v>
      </c>
      <c r="P24" s="17" t="str">
        <f t="shared" si="11"/>
        <v xml:space="preserve"> </v>
      </c>
      <c r="Q24" s="17" t="str">
        <f t="shared" si="9"/>
        <v xml:space="preserve"> </v>
      </c>
      <c r="R24" s="17">
        <f t="shared" si="5"/>
        <v>1.1348897535667963E-2</v>
      </c>
    </row>
    <row r="25" spans="1:18" ht="12.75">
      <c r="A25" s="12">
        <f t="shared" si="0"/>
        <v>24</v>
      </c>
      <c r="B25" s="13" t="s">
        <v>71</v>
      </c>
      <c r="C25" s="14" t="str">
        <f t="array" aca="1" ref="C25" ca="1">INDEX('Rooms Master'!U:U,MATCH(B25,'Rooms Master'!D:D,0))</f>
        <v>Y</v>
      </c>
      <c r="D25" s="15">
        <v>20</v>
      </c>
      <c r="E25" s="15">
        <v>61</v>
      </c>
      <c r="F25" s="15">
        <v>18</v>
      </c>
      <c r="G25" s="15">
        <v>3</v>
      </c>
      <c r="H25" s="15">
        <v>5</v>
      </c>
      <c r="I25" s="15"/>
      <c r="J25" s="15"/>
      <c r="K25" s="15"/>
      <c r="L25" s="1" t="s">
        <v>20</v>
      </c>
      <c r="M25" s="17">
        <f t="shared" si="1"/>
        <v>0.29508196721311475</v>
      </c>
      <c r="N25" s="18">
        <f t="shared" si="6"/>
        <v>8.1967213114754092E-2</v>
      </c>
      <c r="O25" s="17">
        <f t="shared" si="7"/>
        <v>0</v>
      </c>
      <c r="P25" s="17" t="str">
        <f t="shared" si="11"/>
        <v xml:space="preserve"> </v>
      </c>
      <c r="Q25" s="17" t="str">
        <f t="shared" si="9"/>
        <v xml:space="preserve"> </v>
      </c>
      <c r="R25" s="17">
        <f t="shared" si="5"/>
        <v>1.9779507133592736E-2</v>
      </c>
    </row>
    <row r="26" spans="1:18" ht="12.75">
      <c r="A26" s="12">
        <f t="shared" si="0"/>
        <v>25</v>
      </c>
      <c r="B26" s="13" t="s">
        <v>38</v>
      </c>
      <c r="C26" s="14" t="str">
        <f t="array" aca="1" ref="C26" ca="1">INDEX('Rooms Master'!U:U,MATCH(B26,'Rooms Master'!D:D,0))</f>
        <v>Y</v>
      </c>
      <c r="D26" s="15">
        <v>21</v>
      </c>
      <c r="E26" s="15">
        <v>28</v>
      </c>
      <c r="F26" s="15">
        <v>13</v>
      </c>
      <c r="G26" s="15">
        <v>3</v>
      </c>
      <c r="H26" s="15">
        <v>2</v>
      </c>
      <c r="I26" s="15"/>
      <c r="J26" s="15"/>
      <c r="K26" s="15"/>
      <c r="L26" s="1" t="s">
        <v>39</v>
      </c>
      <c r="M26" s="17">
        <f t="shared" si="1"/>
        <v>0.4642857142857143</v>
      </c>
      <c r="N26" s="18">
        <f t="shared" si="6"/>
        <v>7.1428571428571425E-2</v>
      </c>
      <c r="O26" s="17">
        <f t="shared" si="7"/>
        <v>0</v>
      </c>
      <c r="P26" s="17" t="str">
        <f t="shared" si="11"/>
        <v xml:space="preserve"> </v>
      </c>
      <c r="Q26" s="17" t="str">
        <f t="shared" si="9"/>
        <v xml:space="preserve"> </v>
      </c>
      <c r="R26" s="17">
        <f t="shared" si="5"/>
        <v>9.0791180285343717E-3</v>
      </c>
    </row>
    <row r="27" spans="1:18" ht="12.75">
      <c r="A27" s="12">
        <f t="shared" si="0"/>
        <v>26</v>
      </c>
      <c r="B27" s="13" t="s">
        <v>116</v>
      </c>
      <c r="C27" s="14" t="str">
        <f t="array" aca="1" ref="C27" ca="1">INDEX('Rooms Master'!U:U,MATCH(B27,'Rooms Master'!D:D,0))</f>
        <v>Y</v>
      </c>
      <c r="D27" s="15">
        <v>22</v>
      </c>
      <c r="E27" s="22">
        <v>13</v>
      </c>
      <c r="F27" s="15">
        <v>0</v>
      </c>
      <c r="G27" s="15">
        <v>2</v>
      </c>
      <c r="H27" s="15">
        <v>0</v>
      </c>
      <c r="I27" s="15"/>
      <c r="J27" s="15"/>
      <c r="K27" s="15"/>
      <c r="L27" s="1" t="s">
        <v>64</v>
      </c>
      <c r="M27" s="17" t="str">
        <f>IFERROR(F27/#REF!, " ")</f>
        <v xml:space="preserve"> </v>
      </c>
      <c r="N27" s="18" t="str">
        <f>IFERROR(H27/#REF!," ")</f>
        <v xml:space="preserve"> </v>
      </c>
      <c r="O27" s="17" t="str">
        <f t="shared" si="7"/>
        <v xml:space="preserve"> </v>
      </c>
      <c r="P27" s="17" t="str">
        <f t="shared" si="11"/>
        <v xml:space="preserve"> </v>
      </c>
      <c r="Q27" s="17" t="str">
        <f t="shared" si="9"/>
        <v xml:space="preserve"> </v>
      </c>
      <c r="R27" s="17">
        <f t="shared" si="5"/>
        <v>4.2153047989623863E-3</v>
      </c>
    </row>
    <row r="28" spans="1:18" ht="12.75">
      <c r="A28" s="12">
        <f t="shared" si="0"/>
        <v>27</v>
      </c>
      <c r="B28" s="13" t="s">
        <v>89</v>
      </c>
      <c r="C28" s="14" t="str">
        <f t="array" aca="1" ref="C28" ca="1">INDEX('Rooms Master'!U:U,MATCH(B28,'Rooms Master'!D:D,0))</f>
        <v>Y</v>
      </c>
      <c r="D28" s="15">
        <v>23</v>
      </c>
      <c r="E28" s="15">
        <v>12</v>
      </c>
      <c r="F28" s="15">
        <v>4</v>
      </c>
      <c r="G28" s="15">
        <v>2</v>
      </c>
      <c r="H28" s="15">
        <v>0</v>
      </c>
      <c r="I28" s="15"/>
      <c r="J28" s="15"/>
      <c r="K28" s="15"/>
      <c r="L28" s="1" t="s">
        <v>39</v>
      </c>
      <c r="M28" s="17">
        <f t="shared" ref="M28:M29" si="12">IFERROR(F28/E28, " ")</f>
        <v>0.33333333333333331</v>
      </c>
      <c r="N28" s="18">
        <f t="shared" ref="N28:N29" si="13">IFERROR(H28/E28," ")</f>
        <v>0</v>
      </c>
      <c r="O28" s="17" t="str">
        <f t="shared" si="7"/>
        <v xml:space="preserve"> </v>
      </c>
      <c r="P28" s="17" t="str">
        <f t="shared" si="11"/>
        <v xml:space="preserve"> </v>
      </c>
      <c r="Q28" s="17" t="str">
        <f t="shared" si="9"/>
        <v xml:space="preserve"> </v>
      </c>
      <c r="R28" s="17">
        <f t="shared" si="5"/>
        <v>3.8910505836575876E-3</v>
      </c>
    </row>
    <row r="29" spans="1:18" ht="12.75">
      <c r="A29" s="12">
        <f t="shared" si="0"/>
        <v>28</v>
      </c>
      <c r="B29" s="13" t="s">
        <v>136</v>
      </c>
      <c r="C29" s="14" t="str">
        <f t="array" aca="1" ref="C29" ca="1">INDEX('Rooms Master'!U:U,MATCH(B29,'Rooms Master'!D:D,0))</f>
        <v>N</v>
      </c>
      <c r="D29" s="15">
        <v>24</v>
      </c>
      <c r="E29" s="15">
        <v>11</v>
      </c>
      <c r="F29" s="15">
        <v>5</v>
      </c>
      <c r="G29" s="15">
        <v>3</v>
      </c>
      <c r="H29" s="15">
        <v>0</v>
      </c>
      <c r="I29" s="15"/>
      <c r="J29" s="15">
        <v>0</v>
      </c>
      <c r="K29" s="15">
        <v>3</v>
      </c>
      <c r="L29" s="1" t="s">
        <v>34</v>
      </c>
      <c r="M29" s="17">
        <f t="shared" si="12"/>
        <v>0.45454545454545453</v>
      </c>
      <c r="N29" s="18">
        <f t="shared" si="13"/>
        <v>0</v>
      </c>
      <c r="O29" s="17" t="str">
        <f t="shared" si="7"/>
        <v xml:space="preserve"> </v>
      </c>
      <c r="P29" s="17" t="str">
        <f t="shared" si="11"/>
        <v xml:space="preserve"> </v>
      </c>
      <c r="Q29" s="17" t="str">
        <f t="shared" si="9"/>
        <v xml:space="preserve"> </v>
      </c>
      <c r="R29" s="17">
        <f t="shared" si="5"/>
        <v>3.5667963683527885E-3</v>
      </c>
    </row>
    <row r="30" spans="1:18" ht="12.75">
      <c r="A30" s="12">
        <f t="shared" si="0"/>
        <v>29</v>
      </c>
      <c r="B30" s="13" t="s">
        <v>60</v>
      </c>
      <c r="C30" s="14" t="str">
        <f t="array" aca="1" ref="C30" ca="1">INDEX('Rooms Master'!U:U,MATCH(B30,'Rooms Master'!D:D,0))</f>
        <v>Y</v>
      </c>
      <c r="D30" s="15">
        <v>24</v>
      </c>
      <c r="E30" s="22">
        <v>29</v>
      </c>
      <c r="F30" s="15">
        <v>5</v>
      </c>
      <c r="G30" s="15">
        <v>3</v>
      </c>
      <c r="H30" s="15">
        <v>5</v>
      </c>
      <c r="I30" s="15"/>
      <c r="J30" s="15"/>
      <c r="K30" s="15"/>
      <c r="L30" s="1" t="s">
        <v>20</v>
      </c>
      <c r="M30" s="17">
        <f>IFERROR(F30/E31, " ")</f>
        <v>0.7142857142857143</v>
      </c>
      <c r="N30" s="18">
        <f>IFERROR(H30/E31," ")</f>
        <v>0.7142857142857143</v>
      </c>
      <c r="O30" s="17">
        <f t="shared" si="7"/>
        <v>0</v>
      </c>
      <c r="P30" s="17" t="str">
        <f t="shared" si="11"/>
        <v xml:space="preserve"> </v>
      </c>
      <c r="Q30" s="17" t="str">
        <f t="shared" si="9"/>
        <v xml:space="preserve"> </v>
      </c>
      <c r="R30" s="17">
        <f>IFERROR(E31/$E$117," ")</f>
        <v>2.2697795071335929E-3</v>
      </c>
    </row>
    <row r="31" spans="1:18" ht="12.75">
      <c r="A31" s="12">
        <f t="shared" si="0"/>
        <v>30</v>
      </c>
      <c r="B31" s="13" t="s">
        <v>110</v>
      </c>
      <c r="C31" s="14" t="str">
        <f t="array" aca="1" ref="C31" ca="1">INDEX('Rooms Master'!U:U,MATCH(B31,'Rooms Master'!D:D,0))</f>
        <v>Y</v>
      </c>
      <c r="D31" s="15">
        <v>25</v>
      </c>
      <c r="E31" s="15">
        <v>7</v>
      </c>
      <c r="F31" s="15">
        <v>0</v>
      </c>
      <c r="G31" s="15">
        <v>4</v>
      </c>
      <c r="H31" s="15">
        <v>6</v>
      </c>
      <c r="I31" s="15"/>
      <c r="J31" s="15"/>
      <c r="K31" s="15"/>
      <c r="L31" s="1" t="s">
        <v>34</v>
      </c>
      <c r="M31" s="17">
        <f t="shared" ref="M31:M33" si="14">IFERROR(F31/E31, " ")</f>
        <v>0</v>
      </c>
      <c r="N31" s="18">
        <f t="shared" ref="N31:N33" si="15">IFERROR(H31/E31," ")</f>
        <v>0.8571428571428571</v>
      </c>
      <c r="O31" s="17">
        <f t="shared" si="7"/>
        <v>0</v>
      </c>
      <c r="P31" s="17" t="str">
        <f t="shared" si="11"/>
        <v xml:space="preserve"> </v>
      </c>
      <c r="Q31" s="17" t="str">
        <f t="shared" si="9"/>
        <v xml:space="preserve"> </v>
      </c>
      <c r="R31" s="17">
        <f t="shared" ref="R31:R78" si="16">IFERROR(E31/$E$117," ")</f>
        <v>2.2697795071335929E-3</v>
      </c>
    </row>
    <row r="32" spans="1:18" ht="12.75">
      <c r="A32" s="12">
        <f t="shared" si="0"/>
        <v>31</v>
      </c>
      <c r="B32" s="13" t="s">
        <v>42</v>
      </c>
      <c r="C32" s="14" t="str">
        <f t="array" aca="1" ref="C32" ca="1">INDEX('Rooms Master'!U:U,MATCH(B32,'Rooms Master'!D:D,0))</f>
        <v>Y</v>
      </c>
      <c r="D32" s="15">
        <v>26</v>
      </c>
      <c r="E32" s="15">
        <v>82</v>
      </c>
      <c r="F32" s="15">
        <v>17</v>
      </c>
      <c r="G32" s="15">
        <v>8</v>
      </c>
      <c r="H32" s="15">
        <v>3</v>
      </c>
      <c r="I32" s="15">
        <v>2</v>
      </c>
      <c r="J32" s="15">
        <v>1</v>
      </c>
      <c r="K32" s="15"/>
      <c r="L32" s="1" t="s">
        <v>20</v>
      </c>
      <c r="M32" s="17">
        <f t="shared" si="14"/>
        <v>0.2073170731707317</v>
      </c>
      <c r="N32" s="18">
        <f t="shared" si="15"/>
        <v>3.6585365853658534E-2</v>
      </c>
      <c r="O32" s="17">
        <f t="shared" si="7"/>
        <v>0</v>
      </c>
      <c r="P32" s="17">
        <f t="shared" si="11"/>
        <v>0</v>
      </c>
      <c r="Q32" s="17">
        <f t="shared" si="9"/>
        <v>0</v>
      </c>
      <c r="R32" s="17">
        <f t="shared" si="16"/>
        <v>2.6588845654993514E-2</v>
      </c>
    </row>
    <row r="33" spans="1:18" ht="12.75">
      <c r="A33" s="12">
        <f t="shared" si="0"/>
        <v>32</v>
      </c>
      <c r="B33" s="13" t="s">
        <v>56</v>
      </c>
      <c r="C33" s="14" t="str">
        <f t="array" aca="1" ref="C33" ca="1">INDEX('Rooms Master'!U:U,MATCH(B33,'Rooms Master'!D:D,0))</f>
        <v>Y</v>
      </c>
      <c r="D33" s="15">
        <v>27</v>
      </c>
      <c r="E33" s="15">
        <v>18</v>
      </c>
      <c r="F33" s="15">
        <v>9</v>
      </c>
      <c r="G33" s="15">
        <v>5</v>
      </c>
      <c r="H33" s="15">
        <v>1</v>
      </c>
      <c r="I33" s="15"/>
      <c r="J33" s="15"/>
      <c r="K33" s="15"/>
      <c r="L33" s="1" t="s">
        <v>37</v>
      </c>
      <c r="M33" s="17">
        <f t="shared" si="14"/>
        <v>0.5</v>
      </c>
      <c r="N33" s="18">
        <f t="shared" si="15"/>
        <v>5.5555555555555552E-2</v>
      </c>
      <c r="O33" s="17">
        <f t="shared" si="7"/>
        <v>0</v>
      </c>
      <c r="P33" s="17" t="str">
        <f t="shared" si="11"/>
        <v xml:space="preserve"> </v>
      </c>
      <c r="Q33" s="17" t="str">
        <f t="shared" si="9"/>
        <v xml:space="preserve"> </v>
      </c>
      <c r="R33" s="17">
        <f t="shared" si="16"/>
        <v>5.8365758754863814E-3</v>
      </c>
    </row>
    <row r="34" spans="1:18" ht="12.75">
      <c r="A34" s="12">
        <f t="shared" si="0"/>
        <v>33</v>
      </c>
      <c r="B34" s="13" t="s">
        <v>54</v>
      </c>
      <c r="C34" s="14" t="str">
        <f t="array" aca="1" ref="C34" ca="1">INDEX('Rooms Master'!U:U,MATCH(B34,'Rooms Master'!D:D,0))</f>
        <v>N</v>
      </c>
      <c r="D34" s="15">
        <v>28</v>
      </c>
      <c r="E34" s="15">
        <v>41</v>
      </c>
      <c r="F34" s="15">
        <v>14</v>
      </c>
      <c r="G34" s="15">
        <v>3</v>
      </c>
      <c r="H34" s="15">
        <v>2</v>
      </c>
      <c r="I34" s="15"/>
      <c r="J34" s="15"/>
      <c r="K34" s="15"/>
      <c r="L34" s="1" t="s">
        <v>20</v>
      </c>
      <c r="M34" s="17" t="str">
        <f>IFERROR(F34/#REF!, " ")</f>
        <v xml:space="preserve"> </v>
      </c>
      <c r="N34" s="18" t="str">
        <f>IFERROR(H34/#REF!," ")</f>
        <v xml:space="preserve"> </v>
      </c>
      <c r="O34" s="17">
        <f t="shared" si="7"/>
        <v>0</v>
      </c>
      <c r="P34" s="17" t="str">
        <f t="shared" si="11"/>
        <v xml:space="preserve"> </v>
      </c>
      <c r="Q34" s="17" t="str">
        <f t="shared" si="9"/>
        <v xml:space="preserve"> </v>
      </c>
      <c r="R34" s="17">
        <f t="shared" si="16"/>
        <v>1.3294422827496757E-2</v>
      </c>
    </row>
    <row r="35" spans="1:18" ht="12.75">
      <c r="A35" s="12">
        <f t="shared" si="0"/>
        <v>34</v>
      </c>
      <c r="B35" s="13" t="s">
        <v>50</v>
      </c>
      <c r="C35" s="14" t="str">
        <f t="array" aca="1" ref="C35" ca="1">INDEX('Rooms Master'!U:U,MATCH(B35,'Rooms Master'!D:D,0))</f>
        <v>Y</v>
      </c>
      <c r="D35" s="15">
        <v>29</v>
      </c>
      <c r="E35" s="15">
        <v>62</v>
      </c>
      <c r="F35" s="15">
        <v>15</v>
      </c>
      <c r="G35" s="15">
        <v>5</v>
      </c>
      <c r="H35" s="15">
        <v>0</v>
      </c>
      <c r="I35" s="15"/>
      <c r="J35" s="15">
        <v>1</v>
      </c>
      <c r="K35" s="15">
        <v>1</v>
      </c>
      <c r="L35" s="1" t="s">
        <v>34</v>
      </c>
      <c r="M35" s="17">
        <f t="shared" ref="M35:M61" si="17">IFERROR(F35/E35, " ")</f>
        <v>0.24193548387096775</v>
      </c>
      <c r="N35" s="18">
        <f t="shared" ref="N35:N61" si="18">IFERROR(H35/E35," ")</f>
        <v>0</v>
      </c>
      <c r="O35" s="17" t="str">
        <f t="shared" si="7"/>
        <v xml:space="preserve"> </v>
      </c>
      <c r="P35" s="17" t="str">
        <f t="shared" si="11"/>
        <v xml:space="preserve"> </v>
      </c>
      <c r="Q35" s="17">
        <f t="shared" si="9"/>
        <v>1</v>
      </c>
      <c r="R35" s="17">
        <f t="shared" si="16"/>
        <v>2.0103761348897537E-2</v>
      </c>
    </row>
    <row r="36" spans="1:18" ht="12.75">
      <c r="A36" s="12">
        <f t="shared" si="0"/>
        <v>35</v>
      </c>
      <c r="B36" s="13" t="s">
        <v>78</v>
      </c>
      <c r="C36" s="14" t="str">
        <f t="array" aca="1" ref="C36" ca="1">INDEX('Rooms Master'!U:U,MATCH(B36,'Rooms Master'!D:D,0))</f>
        <v>Y</v>
      </c>
      <c r="D36" s="15">
        <v>30</v>
      </c>
      <c r="E36" s="15">
        <v>25</v>
      </c>
      <c r="F36" s="15">
        <v>2</v>
      </c>
      <c r="G36" s="15">
        <v>5</v>
      </c>
      <c r="H36" s="15">
        <v>2</v>
      </c>
      <c r="I36" s="15"/>
      <c r="J36" s="15"/>
      <c r="K36" s="15"/>
      <c r="L36" s="1" t="s">
        <v>20</v>
      </c>
      <c r="M36" s="17">
        <f t="shared" si="17"/>
        <v>0.08</v>
      </c>
      <c r="N36" s="18">
        <f t="shared" si="18"/>
        <v>0.08</v>
      </c>
      <c r="O36" s="17">
        <f t="shared" si="7"/>
        <v>0</v>
      </c>
      <c r="P36" s="17" t="str">
        <f t="shared" si="11"/>
        <v xml:space="preserve"> </v>
      </c>
      <c r="Q36" s="17" t="str">
        <f t="shared" si="9"/>
        <v xml:space="preserve"> </v>
      </c>
      <c r="R36" s="17">
        <f t="shared" si="16"/>
        <v>8.1063553826199748E-3</v>
      </c>
    </row>
    <row r="37" spans="1:18" ht="12.75">
      <c r="A37" s="12">
        <f t="shared" si="0"/>
        <v>36</v>
      </c>
      <c r="B37" s="13" t="s">
        <v>86</v>
      </c>
      <c r="C37" s="14" t="str">
        <f t="array" aca="1" ref="C37" ca="1">INDEX('Rooms Master'!U:U,MATCH(B37,'Rooms Master'!D:D,0))</f>
        <v>Y</v>
      </c>
      <c r="D37" s="15">
        <v>31</v>
      </c>
      <c r="E37" s="15">
        <v>36</v>
      </c>
      <c r="F37" s="15">
        <v>13</v>
      </c>
      <c r="G37" s="15">
        <v>3</v>
      </c>
      <c r="H37" s="15">
        <v>2</v>
      </c>
      <c r="I37" s="15"/>
      <c r="J37" s="15"/>
      <c r="K37" s="15"/>
      <c r="L37" s="1" t="s">
        <v>20</v>
      </c>
      <c r="M37" s="17">
        <f t="shared" si="17"/>
        <v>0.3611111111111111</v>
      </c>
      <c r="N37" s="18">
        <f t="shared" si="18"/>
        <v>5.5555555555555552E-2</v>
      </c>
      <c r="O37" s="17">
        <f t="shared" si="7"/>
        <v>0</v>
      </c>
      <c r="P37" s="17" t="str">
        <f t="shared" si="11"/>
        <v xml:space="preserve"> </v>
      </c>
      <c r="Q37" s="17" t="str">
        <f t="shared" si="9"/>
        <v xml:space="preserve"> </v>
      </c>
      <c r="R37" s="17">
        <f t="shared" si="16"/>
        <v>1.1673151750972763E-2</v>
      </c>
    </row>
    <row r="38" spans="1:18" ht="12.75">
      <c r="A38" s="12">
        <f t="shared" si="0"/>
        <v>37</v>
      </c>
      <c r="B38" s="13" t="s">
        <v>82</v>
      </c>
      <c r="C38" s="14" t="str">
        <f t="array" aca="1" ref="C38" ca="1">INDEX('Rooms Master'!U:U,MATCH(B38,'Rooms Master'!D:D,0))</f>
        <v>Y</v>
      </c>
      <c r="D38" s="15">
        <v>32</v>
      </c>
      <c r="E38" s="15">
        <v>21</v>
      </c>
      <c r="F38" s="15">
        <v>9</v>
      </c>
      <c r="G38" s="15">
        <v>2</v>
      </c>
      <c r="H38" s="15">
        <v>0</v>
      </c>
      <c r="I38" s="15"/>
      <c r="J38" s="15"/>
      <c r="K38" s="15"/>
      <c r="L38" s="1" t="s">
        <v>20</v>
      </c>
      <c r="M38" s="17">
        <f t="shared" si="17"/>
        <v>0.42857142857142855</v>
      </c>
      <c r="N38" s="18">
        <f t="shared" si="18"/>
        <v>0</v>
      </c>
      <c r="O38" s="17" t="str">
        <f t="shared" si="7"/>
        <v xml:space="preserve"> </v>
      </c>
      <c r="P38" s="17">
        <f>IFERROR(K38/I40, " ")</f>
        <v>0</v>
      </c>
      <c r="Q38" s="17" t="str">
        <f t="shared" si="9"/>
        <v xml:space="preserve"> </v>
      </c>
      <c r="R38" s="17">
        <f t="shared" si="16"/>
        <v>6.8093385214007783E-3</v>
      </c>
    </row>
    <row r="39" spans="1:18" ht="12.75">
      <c r="A39" s="12">
        <f t="shared" si="0"/>
        <v>38</v>
      </c>
      <c r="B39" s="13" t="s">
        <v>135</v>
      </c>
      <c r="C39" s="14" t="str">
        <f t="array" aca="1" ref="C39" ca="1">INDEX('Rooms Master'!U:U,MATCH(B39,'Rooms Master'!D:D,0))</f>
        <v>N</v>
      </c>
      <c r="D39" s="15">
        <v>33</v>
      </c>
      <c r="E39" s="15">
        <v>41</v>
      </c>
      <c r="F39" s="15">
        <v>10</v>
      </c>
      <c r="G39" s="15">
        <v>2</v>
      </c>
      <c r="H39" s="15">
        <v>0</v>
      </c>
      <c r="I39" s="15"/>
      <c r="J39" s="15"/>
      <c r="K39" s="15"/>
      <c r="L39" s="1" t="s">
        <v>20</v>
      </c>
      <c r="M39" s="17">
        <f t="shared" si="17"/>
        <v>0.24390243902439024</v>
      </c>
      <c r="N39" s="18">
        <f t="shared" si="18"/>
        <v>0</v>
      </c>
      <c r="O39" s="17" t="str">
        <f t="shared" si="7"/>
        <v xml:space="preserve"> </v>
      </c>
      <c r="P39" s="17" t="str">
        <f t="shared" ref="P39:P113" si="19">IFERROR(K39/I39, " ")</f>
        <v xml:space="preserve"> </v>
      </c>
      <c r="Q39" s="17" t="str">
        <f t="shared" si="9"/>
        <v xml:space="preserve"> </v>
      </c>
      <c r="R39" s="17">
        <f t="shared" si="16"/>
        <v>1.3294422827496757E-2</v>
      </c>
    </row>
    <row r="40" spans="1:18" ht="12.75">
      <c r="A40" s="12">
        <f t="shared" si="0"/>
        <v>39</v>
      </c>
      <c r="B40" s="13" t="s">
        <v>129</v>
      </c>
      <c r="C40" s="14" t="str">
        <f t="array" aca="1" ref="C40" ca="1">INDEX('Rooms Master'!U:U,MATCH(B40,'Rooms Master'!D:D,0))</f>
        <v>N</v>
      </c>
      <c r="D40" s="15">
        <v>34</v>
      </c>
      <c r="E40" s="15">
        <v>35</v>
      </c>
      <c r="F40" s="15">
        <v>18</v>
      </c>
      <c r="G40" s="15">
        <v>3</v>
      </c>
      <c r="H40" s="15">
        <v>2</v>
      </c>
      <c r="I40" s="15">
        <v>2</v>
      </c>
      <c r="J40" s="15"/>
      <c r="K40" s="15"/>
      <c r="L40" s="1" t="s">
        <v>20</v>
      </c>
      <c r="M40" s="17">
        <f t="shared" si="17"/>
        <v>0.51428571428571423</v>
      </c>
      <c r="N40" s="18">
        <f t="shared" si="18"/>
        <v>5.7142857142857141E-2</v>
      </c>
      <c r="O40" s="17">
        <f t="shared" si="7"/>
        <v>0</v>
      </c>
      <c r="P40" s="17">
        <f t="shared" si="19"/>
        <v>0</v>
      </c>
      <c r="Q40" s="17" t="str">
        <f t="shared" si="9"/>
        <v xml:space="preserve"> </v>
      </c>
      <c r="R40" s="17">
        <f t="shared" si="16"/>
        <v>1.1348897535667963E-2</v>
      </c>
    </row>
    <row r="41" spans="1:18" ht="12.75">
      <c r="A41" s="12">
        <f t="shared" si="0"/>
        <v>40</v>
      </c>
      <c r="B41" s="13" t="s">
        <v>33</v>
      </c>
      <c r="C41" s="14" t="str">
        <f t="array" aca="1" ref="C41" ca="1">INDEX('Rooms Master'!U:U,MATCH(B41,'Rooms Master'!D:D,0))</f>
        <v>Y</v>
      </c>
      <c r="D41" s="15">
        <v>35</v>
      </c>
      <c r="E41" s="15">
        <v>39</v>
      </c>
      <c r="F41" s="15">
        <v>14</v>
      </c>
      <c r="G41" s="15">
        <v>6</v>
      </c>
      <c r="H41" s="15">
        <v>0</v>
      </c>
      <c r="I41" s="15"/>
      <c r="J41" s="15"/>
      <c r="K41" s="15"/>
      <c r="L41" s="1" t="s">
        <v>34</v>
      </c>
      <c r="M41" s="17">
        <f t="shared" si="17"/>
        <v>0.35897435897435898</v>
      </c>
      <c r="N41" s="18">
        <f t="shared" si="18"/>
        <v>0</v>
      </c>
      <c r="O41" s="17" t="str">
        <f t="shared" si="7"/>
        <v xml:space="preserve"> </v>
      </c>
      <c r="P41" s="17" t="str">
        <f t="shared" si="19"/>
        <v xml:space="preserve"> </v>
      </c>
      <c r="Q41" s="17" t="str">
        <f t="shared" si="9"/>
        <v xml:space="preserve"> </v>
      </c>
      <c r="R41" s="17">
        <f t="shared" si="16"/>
        <v>1.264591439688716E-2</v>
      </c>
    </row>
    <row r="42" spans="1:18" ht="12.75">
      <c r="A42" s="12">
        <f t="shared" si="0"/>
        <v>41</v>
      </c>
      <c r="B42" s="13" t="s">
        <v>103</v>
      </c>
      <c r="C42" s="14" t="str">
        <f t="array" aca="1" ref="C42" ca="1">INDEX('Rooms Master'!U:U,MATCH(B42,'Rooms Master'!D:D,0))</f>
        <v>N</v>
      </c>
      <c r="D42" s="15">
        <v>36</v>
      </c>
      <c r="E42" s="15">
        <v>49</v>
      </c>
      <c r="F42" s="15">
        <v>17</v>
      </c>
      <c r="G42" s="15">
        <v>3</v>
      </c>
      <c r="H42" s="15">
        <v>2</v>
      </c>
      <c r="I42" s="15"/>
      <c r="J42" s="15">
        <v>1</v>
      </c>
      <c r="K42" s="15">
        <v>1</v>
      </c>
      <c r="L42" s="1" t="s">
        <v>20</v>
      </c>
      <c r="M42" s="17">
        <f t="shared" si="17"/>
        <v>0.34693877551020408</v>
      </c>
      <c r="N42" s="18">
        <f t="shared" si="18"/>
        <v>4.0816326530612242E-2</v>
      </c>
      <c r="O42" s="17">
        <f t="shared" si="7"/>
        <v>0.5</v>
      </c>
      <c r="P42" s="17" t="str">
        <f t="shared" si="19"/>
        <v xml:space="preserve"> </v>
      </c>
      <c r="Q42" s="17">
        <f t="shared" si="9"/>
        <v>1</v>
      </c>
      <c r="R42" s="17">
        <f t="shared" si="16"/>
        <v>1.5888456549935148E-2</v>
      </c>
    </row>
    <row r="43" spans="1:18" ht="12.75">
      <c r="A43" s="12">
        <f t="shared" si="0"/>
        <v>42</v>
      </c>
      <c r="B43" s="13" t="s">
        <v>117</v>
      </c>
      <c r="C43" s="14" t="str">
        <f t="array" aca="1" ref="C43" ca="1">INDEX('Rooms Master'!U:U,MATCH(B43,'Rooms Master'!D:D,0))</f>
        <v>N</v>
      </c>
      <c r="D43" s="15">
        <v>37</v>
      </c>
      <c r="E43" s="15">
        <v>73</v>
      </c>
      <c r="F43" s="15">
        <v>31</v>
      </c>
      <c r="G43" s="15">
        <v>6</v>
      </c>
      <c r="H43" s="15">
        <v>7</v>
      </c>
      <c r="I43" s="15"/>
      <c r="J43" s="15"/>
      <c r="K43" s="15"/>
      <c r="L43" s="1" t="s">
        <v>20</v>
      </c>
      <c r="M43" s="17">
        <f t="shared" si="17"/>
        <v>0.42465753424657532</v>
      </c>
      <c r="N43" s="18">
        <f t="shared" si="18"/>
        <v>9.5890410958904104E-2</v>
      </c>
      <c r="O43" s="17">
        <f t="shared" si="7"/>
        <v>0</v>
      </c>
      <c r="P43" s="17" t="str">
        <f t="shared" si="19"/>
        <v xml:space="preserve"> </v>
      </c>
      <c r="Q43" s="17" t="str">
        <f t="shared" si="9"/>
        <v xml:space="preserve"> </v>
      </c>
      <c r="R43" s="17">
        <f t="shared" si="16"/>
        <v>2.3670557717250323E-2</v>
      </c>
    </row>
    <row r="44" spans="1:18" ht="12.75">
      <c r="A44" s="12">
        <f t="shared" si="0"/>
        <v>43</v>
      </c>
      <c r="B44" s="13" t="s">
        <v>25</v>
      </c>
      <c r="C44" s="14" t="str">
        <f t="array" aca="1" ref="C44" ca="1">INDEX('Rooms Master'!U:U,MATCH(B44,'Rooms Master'!D:D,0))</f>
        <v>Y</v>
      </c>
      <c r="D44" s="15">
        <v>38</v>
      </c>
      <c r="E44" s="15">
        <v>56</v>
      </c>
      <c r="F44" s="15">
        <v>16</v>
      </c>
      <c r="G44" s="15">
        <v>5</v>
      </c>
      <c r="H44" s="15">
        <v>0</v>
      </c>
      <c r="I44" s="15"/>
      <c r="J44" s="15"/>
      <c r="K44" s="15"/>
      <c r="L44" s="1" t="s">
        <v>34</v>
      </c>
      <c r="M44" s="17">
        <f t="shared" si="17"/>
        <v>0.2857142857142857</v>
      </c>
      <c r="N44" s="18">
        <f t="shared" si="18"/>
        <v>0</v>
      </c>
      <c r="O44" s="17" t="str">
        <f t="shared" si="7"/>
        <v xml:space="preserve"> </v>
      </c>
      <c r="P44" s="17" t="str">
        <f t="shared" si="19"/>
        <v xml:space="preserve"> </v>
      </c>
      <c r="Q44" s="17" t="str">
        <f t="shared" si="9"/>
        <v xml:space="preserve"> </v>
      </c>
      <c r="R44" s="17">
        <f t="shared" si="16"/>
        <v>1.8158236057068743E-2</v>
      </c>
    </row>
    <row r="45" spans="1:18" ht="12.75">
      <c r="A45" s="12">
        <f t="shared" si="0"/>
        <v>44</v>
      </c>
      <c r="B45" s="13" t="s">
        <v>90</v>
      </c>
      <c r="C45" s="14" t="str">
        <f t="array" aca="1" ref="C45" ca="1">INDEX('Rooms Master'!U:U,MATCH(B45,'Rooms Master'!D:D,0))</f>
        <v>N</v>
      </c>
      <c r="D45" s="15">
        <v>38</v>
      </c>
      <c r="E45" s="15">
        <v>46</v>
      </c>
      <c r="F45" s="15">
        <v>20</v>
      </c>
      <c r="G45" s="15">
        <v>4</v>
      </c>
      <c r="H45" s="15">
        <v>0</v>
      </c>
      <c r="I45" s="15"/>
      <c r="J45" s="15"/>
      <c r="K45" s="15"/>
      <c r="L45" s="1" t="s">
        <v>20</v>
      </c>
      <c r="M45" s="17">
        <f t="shared" si="17"/>
        <v>0.43478260869565216</v>
      </c>
      <c r="N45" s="18">
        <f t="shared" si="18"/>
        <v>0</v>
      </c>
      <c r="O45" s="17" t="str">
        <f t="shared" si="7"/>
        <v xml:space="preserve"> </v>
      </c>
      <c r="P45" s="17" t="str">
        <f t="shared" si="19"/>
        <v xml:space="preserve"> </v>
      </c>
      <c r="Q45" s="17" t="str">
        <f t="shared" si="9"/>
        <v xml:space="preserve"> </v>
      </c>
      <c r="R45" s="17">
        <f t="shared" si="16"/>
        <v>1.4915693904020753E-2</v>
      </c>
    </row>
    <row r="46" spans="1:18" ht="12.75">
      <c r="A46" s="12">
        <f t="shared" si="0"/>
        <v>45</v>
      </c>
      <c r="B46" s="13" t="s">
        <v>51</v>
      </c>
      <c r="C46" s="14" t="str">
        <f t="array" aca="1" ref="C46" ca="1">INDEX('Rooms Master'!U:U,MATCH(B46,'Rooms Master'!D:D,0))</f>
        <v>Y</v>
      </c>
      <c r="D46" s="15">
        <v>39</v>
      </c>
      <c r="E46" s="15">
        <v>8</v>
      </c>
      <c r="F46" s="15">
        <v>0</v>
      </c>
      <c r="G46" s="15">
        <v>4</v>
      </c>
      <c r="H46" s="15">
        <v>0</v>
      </c>
      <c r="I46" s="15"/>
      <c r="J46" s="15"/>
      <c r="K46" s="15"/>
      <c r="L46" s="1" t="s">
        <v>20</v>
      </c>
      <c r="M46" s="17">
        <f t="shared" si="17"/>
        <v>0</v>
      </c>
      <c r="N46" s="18">
        <f t="shared" si="18"/>
        <v>0</v>
      </c>
      <c r="O46" s="17" t="str">
        <f t="shared" si="7"/>
        <v xml:space="preserve"> </v>
      </c>
      <c r="P46" s="17" t="str">
        <f t="shared" si="19"/>
        <v xml:space="preserve"> </v>
      </c>
      <c r="Q46" s="17" t="str">
        <f t="shared" si="9"/>
        <v xml:space="preserve"> </v>
      </c>
      <c r="R46" s="17">
        <f t="shared" si="16"/>
        <v>2.5940337224383916E-3</v>
      </c>
    </row>
    <row r="47" spans="1:18" ht="12.75">
      <c r="A47" s="12">
        <f t="shared" si="0"/>
        <v>46</v>
      </c>
      <c r="B47" s="13" t="s">
        <v>67</v>
      </c>
      <c r="C47" s="14" t="str">
        <f t="array" aca="1" ref="C47" ca="1">INDEX('Rooms Master'!U:U,MATCH(B47,'Rooms Master'!D:D,0))</f>
        <v>Y</v>
      </c>
      <c r="D47" s="15">
        <v>40</v>
      </c>
      <c r="E47" s="15">
        <v>22</v>
      </c>
      <c r="F47" s="15">
        <v>7</v>
      </c>
      <c r="G47" s="15">
        <v>3</v>
      </c>
      <c r="H47" s="15">
        <v>0</v>
      </c>
      <c r="I47" s="15"/>
      <c r="J47" s="15"/>
      <c r="K47" s="15"/>
      <c r="L47" s="1" t="s">
        <v>34</v>
      </c>
      <c r="M47" s="17">
        <f t="shared" si="17"/>
        <v>0.31818181818181818</v>
      </c>
      <c r="N47" s="18">
        <f t="shared" si="18"/>
        <v>0</v>
      </c>
      <c r="O47" s="17" t="str">
        <f t="shared" si="7"/>
        <v xml:space="preserve"> </v>
      </c>
      <c r="P47" s="17" t="str">
        <f t="shared" si="19"/>
        <v xml:space="preserve"> </v>
      </c>
      <c r="Q47" s="17" t="str">
        <f t="shared" si="9"/>
        <v xml:space="preserve"> </v>
      </c>
      <c r="R47" s="17">
        <f t="shared" si="16"/>
        <v>7.133592736705577E-3</v>
      </c>
    </row>
    <row r="48" spans="1:18" ht="12.75">
      <c r="A48" s="12">
        <f t="shared" si="0"/>
        <v>47</v>
      </c>
      <c r="B48" s="13" t="s">
        <v>47</v>
      </c>
      <c r="C48" s="14" t="str">
        <f t="array" aca="1" ref="C48" ca="1">INDEX('Rooms Master'!U:U,MATCH(B48,'Rooms Master'!D:D,0))</f>
        <v>Y</v>
      </c>
      <c r="D48" s="15">
        <v>41</v>
      </c>
      <c r="E48" s="15">
        <v>27</v>
      </c>
      <c r="F48" s="15">
        <v>1</v>
      </c>
      <c r="G48" s="15">
        <v>5</v>
      </c>
      <c r="H48" s="15">
        <v>6</v>
      </c>
      <c r="I48" s="15"/>
      <c r="J48" s="15"/>
      <c r="K48" s="15"/>
      <c r="L48" s="1" t="s">
        <v>20</v>
      </c>
      <c r="M48" s="17">
        <f t="shared" si="17"/>
        <v>3.7037037037037035E-2</v>
      </c>
      <c r="N48" s="18">
        <f t="shared" si="18"/>
        <v>0.22222222222222221</v>
      </c>
      <c r="O48" s="17">
        <f t="shared" si="7"/>
        <v>0</v>
      </c>
      <c r="P48" s="17" t="str">
        <f t="shared" si="19"/>
        <v xml:space="preserve"> </v>
      </c>
      <c r="Q48" s="17" t="str">
        <f t="shared" si="9"/>
        <v xml:space="preserve"> </v>
      </c>
      <c r="R48" s="17">
        <f t="shared" si="16"/>
        <v>8.7548638132295721E-3</v>
      </c>
    </row>
    <row r="49" spans="1:18" ht="12.75">
      <c r="A49" s="12">
        <f t="shared" si="0"/>
        <v>48</v>
      </c>
      <c r="B49" s="13" t="s">
        <v>95</v>
      </c>
      <c r="C49" s="14" t="str">
        <f t="array" aca="1" ref="C49" ca="1">INDEX('Rooms Master'!U:U,MATCH(B49,'Rooms Master'!D:D,0))</f>
        <v>N</v>
      </c>
      <c r="D49" s="15">
        <v>42</v>
      </c>
      <c r="E49" s="15">
        <v>35</v>
      </c>
      <c r="F49" s="15">
        <v>5</v>
      </c>
      <c r="G49" s="15">
        <v>2</v>
      </c>
      <c r="H49" s="15">
        <v>1</v>
      </c>
      <c r="I49" s="15"/>
      <c r="J49" s="15"/>
      <c r="K49" s="15"/>
      <c r="L49" s="1" t="s">
        <v>20</v>
      </c>
      <c r="M49" s="17">
        <f t="shared" si="17"/>
        <v>0.14285714285714285</v>
      </c>
      <c r="N49" s="18">
        <f t="shared" si="18"/>
        <v>2.8571428571428571E-2</v>
      </c>
      <c r="O49" s="17">
        <f t="shared" si="7"/>
        <v>0</v>
      </c>
      <c r="P49" s="17" t="str">
        <f t="shared" si="19"/>
        <v xml:space="preserve"> </v>
      </c>
      <c r="Q49" s="17" t="str">
        <f t="shared" si="9"/>
        <v xml:space="preserve"> </v>
      </c>
      <c r="R49" s="17">
        <f t="shared" si="16"/>
        <v>1.1348897535667963E-2</v>
      </c>
    </row>
    <row r="50" spans="1:18" ht="12.75">
      <c r="A50" s="12">
        <f t="shared" si="0"/>
        <v>49</v>
      </c>
      <c r="B50" s="13" t="s">
        <v>65</v>
      </c>
      <c r="C50" s="14" t="str">
        <f t="array" aca="1" ref="C50" ca="1">INDEX('Rooms Master'!U:U,MATCH(B50,'Rooms Master'!D:D,0))</f>
        <v>Y</v>
      </c>
      <c r="D50" s="15">
        <v>43</v>
      </c>
      <c r="E50" s="15">
        <v>24</v>
      </c>
      <c r="F50" s="15">
        <v>9</v>
      </c>
      <c r="G50" s="15">
        <v>2</v>
      </c>
      <c r="H50" s="15">
        <v>3</v>
      </c>
      <c r="I50" s="15"/>
      <c r="J50" s="15">
        <v>1</v>
      </c>
      <c r="K50" s="15">
        <v>1</v>
      </c>
      <c r="L50" s="1" t="s">
        <v>20</v>
      </c>
      <c r="M50" s="17">
        <f t="shared" si="17"/>
        <v>0.375</v>
      </c>
      <c r="N50" s="18">
        <f t="shared" si="18"/>
        <v>0.125</v>
      </c>
      <c r="O50" s="17">
        <f t="shared" si="7"/>
        <v>0.33333333333333331</v>
      </c>
      <c r="P50" s="17" t="str">
        <f t="shared" si="19"/>
        <v xml:space="preserve"> </v>
      </c>
      <c r="Q50" s="17">
        <f t="shared" si="9"/>
        <v>1</v>
      </c>
      <c r="R50" s="17">
        <f t="shared" si="16"/>
        <v>7.7821011673151752E-3</v>
      </c>
    </row>
    <row r="51" spans="1:18" ht="12.75">
      <c r="A51" s="12">
        <f t="shared" si="0"/>
        <v>50</v>
      </c>
      <c r="B51" s="13" t="s">
        <v>74</v>
      </c>
      <c r="C51" s="14" t="str">
        <f t="array" aca="1" ref="C51" ca="1">INDEX('Rooms Master'!U:U,MATCH(B51,'Rooms Master'!D:D,0))</f>
        <v>Y</v>
      </c>
      <c r="D51" s="15">
        <v>44</v>
      </c>
      <c r="E51" s="15">
        <v>25</v>
      </c>
      <c r="F51" s="15">
        <v>10</v>
      </c>
      <c r="G51" s="15">
        <v>4</v>
      </c>
      <c r="H51" s="15">
        <v>0</v>
      </c>
      <c r="I51" s="15"/>
      <c r="J51" s="15"/>
      <c r="K51" s="15"/>
      <c r="L51" s="1" t="s">
        <v>20</v>
      </c>
      <c r="M51" s="17">
        <f t="shared" si="17"/>
        <v>0.4</v>
      </c>
      <c r="N51" s="18">
        <f t="shared" si="18"/>
        <v>0</v>
      </c>
      <c r="O51" s="17" t="str">
        <f t="shared" si="7"/>
        <v xml:space="preserve"> </v>
      </c>
      <c r="P51" s="17" t="str">
        <f t="shared" si="19"/>
        <v xml:space="preserve"> </v>
      </c>
      <c r="Q51" s="17" t="str">
        <f t="shared" si="9"/>
        <v xml:space="preserve"> </v>
      </c>
      <c r="R51" s="17">
        <f t="shared" si="16"/>
        <v>8.1063553826199748E-3</v>
      </c>
    </row>
    <row r="52" spans="1:18" ht="12.75">
      <c r="A52" s="12">
        <f t="shared" si="0"/>
        <v>51</v>
      </c>
      <c r="B52" s="13" t="s">
        <v>69</v>
      </c>
      <c r="C52" s="14" t="str">
        <f t="array" aca="1" ref="C52" ca="1">INDEX('Rooms Master'!U:U,MATCH(B52,'Rooms Master'!D:D,0))</f>
        <v>Y</v>
      </c>
      <c r="D52" s="15">
        <v>45</v>
      </c>
      <c r="E52" s="15">
        <v>24</v>
      </c>
      <c r="F52" s="15">
        <v>7</v>
      </c>
      <c r="G52" s="15">
        <v>2</v>
      </c>
      <c r="H52" s="15">
        <v>0</v>
      </c>
      <c r="I52" s="15"/>
      <c r="J52" s="15"/>
      <c r="K52" s="15"/>
      <c r="L52" s="1" t="s">
        <v>20</v>
      </c>
      <c r="M52" s="17">
        <f t="shared" si="17"/>
        <v>0.29166666666666669</v>
      </c>
      <c r="N52" s="18">
        <f t="shared" si="18"/>
        <v>0</v>
      </c>
      <c r="O52" s="17" t="str">
        <f t="shared" si="7"/>
        <v xml:space="preserve"> </v>
      </c>
      <c r="P52" s="17" t="str">
        <f t="shared" si="19"/>
        <v xml:space="preserve"> </v>
      </c>
      <c r="Q52" s="17" t="str">
        <f t="shared" si="9"/>
        <v xml:space="preserve"> </v>
      </c>
      <c r="R52" s="17">
        <f t="shared" si="16"/>
        <v>7.7821011673151752E-3</v>
      </c>
    </row>
    <row r="53" spans="1:18" ht="12.75">
      <c r="A53" s="12">
        <f t="shared" si="0"/>
        <v>52</v>
      </c>
      <c r="B53" s="13" t="s">
        <v>58</v>
      </c>
      <c r="C53" s="14" t="str">
        <f t="array" aca="1" ref="C53" ca="1">INDEX('Rooms Master'!U:U,MATCH(B53,'Rooms Master'!D:D,0))</f>
        <v>Y</v>
      </c>
      <c r="D53" s="15">
        <v>46</v>
      </c>
      <c r="E53" s="15">
        <v>52</v>
      </c>
      <c r="F53" s="15">
        <v>13</v>
      </c>
      <c r="G53" s="15">
        <v>3</v>
      </c>
      <c r="H53" s="15">
        <v>2</v>
      </c>
      <c r="I53" s="15">
        <v>1</v>
      </c>
      <c r="J53" s="15">
        <v>1</v>
      </c>
      <c r="K53" s="15">
        <v>1</v>
      </c>
      <c r="L53" s="1" t="s">
        <v>20</v>
      </c>
      <c r="M53" s="17">
        <f t="shared" si="17"/>
        <v>0.25</v>
      </c>
      <c r="N53" s="18">
        <f t="shared" si="18"/>
        <v>3.8461538461538464E-2</v>
      </c>
      <c r="O53" s="17">
        <f t="shared" si="7"/>
        <v>0.5</v>
      </c>
      <c r="P53" s="17">
        <f t="shared" si="19"/>
        <v>1</v>
      </c>
      <c r="Q53" s="17">
        <f t="shared" si="9"/>
        <v>1</v>
      </c>
      <c r="R53" s="17">
        <f t="shared" si="16"/>
        <v>1.6861219195849545E-2</v>
      </c>
    </row>
    <row r="54" spans="1:18" ht="12.75">
      <c r="A54" s="12">
        <f t="shared" si="0"/>
        <v>53</v>
      </c>
      <c r="B54" s="13" t="s">
        <v>22</v>
      </c>
      <c r="C54" s="14" t="str">
        <f t="array" aca="1" ref="C54" ca="1">INDEX('Rooms Master'!U:U,MATCH(B54,'Rooms Master'!D:D,0))</f>
        <v>Y</v>
      </c>
      <c r="D54" s="15">
        <v>47</v>
      </c>
      <c r="E54" s="15">
        <v>25</v>
      </c>
      <c r="F54" s="15">
        <v>6</v>
      </c>
      <c r="G54" s="15">
        <v>6</v>
      </c>
      <c r="H54" s="15">
        <v>6</v>
      </c>
      <c r="I54" s="15">
        <v>1</v>
      </c>
      <c r="J54" s="15"/>
      <c r="K54" s="15"/>
      <c r="L54" s="1" t="s">
        <v>20</v>
      </c>
      <c r="M54" s="17">
        <f t="shared" si="17"/>
        <v>0.24</v>
      </c>
      <c r="N54" s="18">
        <f t="shared" si="18"/>
        <v>0.24</v>
      </c>
      <c r="O54" s="17">
        <f t="shared" si="7"/>
        <v>0</v>
      </c>
      <c r="P54" s="17">
        <f t="shared" si="19"/>
        <v>0</v>
      </c>
      <c r="Q54" s="17" t="str">
        <f t="shared" si="9"/>
        <v xml:space="preserve"> </v>
      </c>
      <c r="R54" s="17">
        <f t="shared" si="16"/>
        <v>8.1063553826199748E-3</v>
      </c>
    </row>
    <row r="55" spans="1:18" ht="12.75">
      <c r="A55" s="12">
        <f t="shared" si="0"/>
        <v>54</v>
      </c>
      <c r="B55" s="13" t="s">
        <v>19</v>
      </c>
      <c r="C55" s="14" t="str">
        <f t="array" aca="1" ref="C55" ca="1">INDEX('Rooms Master'!U:U,MATCH(B55,'Rooms Master'!D:D,0))</f>
        <v>N</v>
      </c>
      <c r="D55" s="15">
        <v>48</v>
      </c>
      <c r="E55" s="15">
        <v>36</v>
      </c>
      <c r="F55" s="15">
        <v>17</v>
      </c>
      <c r="G55" s="15">
        <v>5</v>
      </c>
      <c r="H55" s="15">
        <v>0</v>
      </c>
      <c r="I55" s="15"/>
      <c r="J55" s="15"/>
      <c r="K55" s="15"/>
      <c r="L55" s="1" t="s">
        <v>20</v>
      </c>
      <c r="M55" s="17">
        <f t="shared" si="17"/>
        <v>0.47222222222222221</v>
      </c>
      <c r="N55" s="18">
        <f t="shared" si="18"/>
        <v>0</v>
      </c>
      <c r="O55" s="17" t="str">
        <f t="shared" si="7"/>
        <v xml:space="preserve"> </v>
      </c>
      <c r="P55" s="17" t="str">
        <f t="shared" si="19"/>
        <v xml:space="preserve"> </v>
      </c>
      <c r="Q55" s="17" t="str">
        <f t="shared" si="9"/>
        <v xml:space="preserve"> </v>
      </c>
      <c r="R55" s="17">
        <f t="shared" si="16"/>
        <v>1.1673151750972763E-2</v>
      </c>
    </row>
    <row r="56" spans="1:18" ht="12.75">
      <c r="A56" s="12">
        <f t="shared" si="0"/>
        <v>55</v>
      </c>
      <c r="B56" s="13" t="s">
        <v>84</v>
      </c>
      <c r="C56" s="14" t="str">
        <f t="array" aca="1" ref="C56" ca="1">INDEX('Rooms Master'!U:U,MATCH(B56,'Rooms Master'!D:D,0))</f>
        <v>Y</v>
      </c>
      <c r="D56" s="15">
        <v>48</v>
      </c>
      <c r="E56" s="15">
        <v>10</v>
      </c>
      <c r="F56" s="15">
        <v>5</v>
      </c>
      <c r="G56" s="15">
        <v>3</v>
      </c>
      <c r="H56" s="15">
        <v>0</v>
      </c>
      <c r="I56" s="15"/>
      <c r="J56" s="15"/>
      <c r="K56" s="15"/>
      <c r="L56" s="1" t="s">
        <v>20</v>
      </c>
      <c r="M56" s="17">
        <f t="shared" si="17"/>
        <v>0.5</v>
      </c>
      <c r="N56" s="18">
        <f t="shared" si="18"/>
        <v>0</v>
      </c>
      <c r="O56" s="17" t="str">
        <f t="shared" si="7"/>
        <v xml:space="preserve"> </v>
      </c>
      <c r="P56" s="17" t="str">
        <f t="shared" si="19"/>
        <v xml:space="preserve"> </v>
      </c>
      <c r="Q56" s="17" t="str">
        <f t="shared" si="9"/>
        <v xml:space="preserve"> </v>
      </c>
      <c r="R56" s="17">
        <f t="shared" si="16"/>
        <v>3.2425421530479898E-3</v>
      </c>
    </row>
    <row r="57" spans="1:18" ht="12.75">
      <c r="A57" s="12">
        <f t="shared" si="0"/>
        <v>56</v>
      </c>
      <c r="B57" s="13" t="s">
        <v>96</v>
      </c>
      <c r="C57" s="14" t="str">
        <f t="array" aca="1" ref="C57" ca="1">INDEX('Rooms Master'!U:U,MATCH(B57,'Rooms Master'!D:D,0))</f>
        <v>N</v>
      </c>
      <c r="D57" s="15">
        <v>49</v>
      </c>
      <c r="E57" s="15">
        <v>33</v>
      </c>
      <c r="F57" s="15">
        <v>14</v>
      </c>
      <c r="G57" s="15">
        <v>3</v>
      </c>
      <c r="H57" s="15">
        <v>1</v>
      </c>
      <c r="I57" s="15"/>
      <c r="J57" s="15"/>
      <c r="K57" s="15"/>
      <c r="L57" s="1" t="s">
        <v>20</v>
      </c>
      <c r="M57" s="17">
        <f t="shared" si="17"/>
        <v>0.42424242424242425</v>
      </c>
      <c r="N57" s="18">
        <f t="shared" si="18"/>
        <v>3.0303030303030304E-2</v>
      </c>
      <c r="O57" s="17">
        <f t="shared" si="7"/>
        <v>0</v>
      </c>
      <c r="P57" s="17" t="str">
        <f t="shared" si="19"/>
        <v xml:space="preserve"> </v>
      </c>
      <c r="Q57" s="17" t="str">
        <f t="shared" si="9"/>
        <v xml:space="preserve"> </v>
      </c>
      <c r="R57" s="17">
        <f t="shared" si="16"/>
        <v>1.0700389105058366E-2</v>
      </c>
    </row>
    <row r="58" spans="1:18" ht="12.75">
      <c r="A58" s="12">
        <f t="shared" si="0"/>
        <v>57</v>
      </c>
      <c r="B58" s="13" t="s">
        <v>97</v>
      </c>
      <c r="C58" s="14" t="str">
        <f t="array" aca="1" ref="C58" ca="1">INDEX('Rooms Master'!U:U,MATCH(B58,'Rooms Master'!D:D,0))</f>
        <v>N</v>
      </c>
      <c r="D58" s="15">
        <v>50</v>
      </c>
      <c r="E58" s="15">
        <v>35</v>
      </c>
      <c r="F58" s="15">
        <v>11</v>
      </c>
      <c r="G58" s="15">
        <v>5</v>
      </c>
      <c r="H58" s="15">
        <v>2</v>
      </c>
      <c r="I58" s="15"/>
      <c r="J58" s="15"/>
      <c r="K58" s="15"/>
      <c r="L58" s="1" t="s">
        <v>20</v>
      </c>
      <c r="M58" s="17">
        <f t="shared" si="17"/>
        <v>0.31428571428571428</v>
      </c>
      <c r="N58" s="18">
        <f t="shared" si="18"/>
        <v>5.7142857142857141E-2</v>
      </c>
      <c r="O58" s="17">
        <f t="shared" si="7"/>
        <v>0</v>
      </c>
      <c r="P58" s="17" t="str">
        <f t="shared" si="19"/>
        <v xml:space="preserve"> </v>
      </c>
      <c r="Q58" s="17" t="str">
        <f t="shared" si="9"/>
        <v xml:space="preserve"> </v>
      </c>
      <c r="R58" s="17">
        <f t="shared" si="16"/>
        <v>1.1348897535667963E-2</v>
      </c>
    </row>
    <row r="59" spans="1:18" ht="12.75">
      <c r="A59" s="12">
        <f t="shared" si="0"/>
        <v>58</v>
      </c>
      <c r="B59" s="13" t="s">
        <v>31</v>
      </c>
      <c r="C59" s="14" t="str">
        <f t="array" aca="1" ref="C59" ca="1">INDEX('Rooms Master'!U:U,MATCH(B59,'Rooms Master'!D:D,0))</f>
        <v>Y</v>
      </c>
      <c r="D59" s="15">
        <v>51</v>
      </c>
      <c r="E59" s="15">
        <v>37</v>
      </c>
      <c r="F59" s="15">
        <v>9</v>
      </c>
      <c r="G59" s="15">
        <v>4</v>
      </c>
      <c r="H59" s="15">
        <v>0</v>
      </c>
      <c r="I59" s="15">
        <v>1</v>
      </c>
      <c r="J59" s="15"/>
      <c r="K59" s="15"/>
      <c r="L59" s="1" t="s">
        <v>20</v>
      </c>
      <c r="M59" s="17">
        <f t="shared" si="17"/>
        <v>0.24324324324324326</v>
      </c>
      <c r="N59" s="18">
        <f t="shared" si="18"/>
        <v>0</v>
      </c>
      <c r="O59" s="17" t="str">
        <f t="shared" si="7"/>
        <v xml:space="preserve"> </v>
      </c>
      <c r="P59" s="17">
        <f t="shared" si="19"/>
        <v>0</v>
      </c>
      <c r="Q59" s="17" t="str">
        <f t="shared" si="9"/>
        <v xml:space="preserve"> </v>
      </c>
      <c r="R59" s="17">
        <f t="shared" si="16"/>
        <v>1.1997405966277562E-2</v>
      </c>
    </row>
    <row r="60" spans="1:18" ht="12.75">
      <c r="A60" s="12">
        <f t="shared" si="0"/>
        <v>59</v>
      </c>
      <c r="B60" s="13" t="s">
        <v>70</v>
      </c>
      <c r="C60" s="14" t="str">
        <f t="array" aca="1" ref="C60" ca="1">INDEX('Rooms Master'!U:U,MATCH(B60,'Rooms Master'!D:D,0))</f>
        <v>N</v>
      </c>
      <c r="D60" s="15">
        <v>52</v>
      </c>
      <c r="E60" s="15">
        <v>6</v>
      </c>
      <c r="F60" s="15">
        <v>3</v>
      </c>
      <c r="G60" s="15">
        <v>2</v>
      </c>
      <c r="H60" s="15">
        <v>0</v>
      </c>
      <c r="I60" s="15"/>
      <c r="J60" s="15"/>
      <c r="K60" s="15"/>
      <c r="L60" s="1" t="s">
        <v>20</v>
      </c>
      <c r="M60" s="17">
        <f t="shared" si="17"/>
        <v>0.5</v>
      </c>
      <c r="N60" s="18">
        <f t="shared" si="18"/>
        <v>0</v>
      </c>
      <c r="O60" s="17" t="str">
        <f t="shared" si="7"/>
        <v xml:space="preserve"> </v>
      </c>
      <c r="P60" s="17" t="str">
        <f t="shared" si="19"/>
        <v xml:space="preserve"> </v>
      </c>
      <c r="Q60" s="17" t="str">
        <f t="shared" si="9"/>
        <v xml:space="preserve"> </v>
      </c>
      <c r="R60" s="17">
        <f t="shared" si="16"/>
        <v>1.9455252918287938E-3</v>
      </c>
    </row>
    <row r="61" spans="1:18" ht="12.75">
      <c r="A61" s="12">
        <f t="shared" si="0"/>
        <v>60</v>
      </c>
      <c r="B61" s="13" t="s">
        <v>46</v>
      </c>
      <c r="C61" s="14" t="str">
        <f t="array" aca="1" ref="C61" ca="1">INDEX('Rooms Master'!U:U,MATCH(B61,'Rooms Master'!D:D,0))</f>
        <v>Y</v>
      </c>
      <c r="D61" s="15">
        <v>53</v>
      </c>
      <c r="E61" s="15">
        <v>8</v>
      </c>
      <c r="F61" s="15">
        <v>0</v>
      </c>
      <c r="G61" s="15">
        <v>2</v>
      </c>
      <c r="H61" s="15">
        <v>0</v>
      </c>
      <c r="I61" s="15"/>
      <c r="J61" s="15"/>
      <c r="K61" s="15"/>
      <c r="L61" s="1" t="s">
        <v>37</v>
      </c>
      <c r="M61" s="17">
        <f t="shared" si="17"/>
        <v>0</v>
      </c>
      <c r="N61" s="18">
        <f t="shared" si="18"/>
        <v>0</v>
      </c>
      <c r="O61" s="17" t="str">
        <f t="shared" si="7"/>
        <v xml:space="preserve"> </v>
      </c>
      <c r="P61" s="17" t="str">
        <f t="shared" si="19"/>
        <v xml:space="preserve"> </v>
      </c>
      <c r="Q61" s="17" t="str">
        <f t="shared" si="9"/>
        <v xml:space="preserve"> </v>
      </c>
      <c r="R61" s="17">
        <f t="shared" si="16"/>
        <v>2.5940337224383916E-3</v>
      </c>
    </row>
    <row r="62" spans="1:18" ht="12.75">
      <c r="A62" s="12">
        <f t="shared" si="0"/>
        <v>61</v>
      </c>
      <c r="B62" s="13" t="s">
        <v>104</v>
      </c>
      <c r="C62" s="14" t="str">
        <f t="array" aca="1" ref="C62" ca="1">INDEX('Rooms Master'!U:U,MATCH(B62,'Rooms Master'!D:D,0))</f>
        <v>N</v>
      </c>
      <c r="D62" s="15">
        <v>54</v>
      </c>
      <c r="E62" s="15">
        <v>18</v>
      </c>
      <c r="F62" s="15">
        <v>4</v>
      </c>
      <c r="G62" s="15">
        <v>4</v>
      </c>
      <c r="H62" s="15">
        <v>0</v>
      </c>
      <c r="I62" s="15"/>
      <c r="J62" s="15"/>
      <c r="K62" s="15"/>
      <c r="L62" s="1" t="s">
        <v>20</v>
      </c>
      <c r="M62" s="17" t="str">
        <f>IFERROR(F62/#REF!, " ")</f>
        <v xml:space="preserve"> </v>
      </c>
      <c r="N62" s="18" t="str">
        <f>IFERROR(H62/#REF!," ")</f>
        <v xml:space="preserve"> </v>
      </c>
      <c r="O62" s="17" t="str">
        <f t="shared" si="7"/>
        <v xml:space="preserve"> </v>
      </c>
      <c r="P62" s="17" t="str">
        <f t="shared" si="19"/>
        <v xml:space="preserve"> </v>
      </c>
      <c r="Q62" s="17" t="str">
        <f t="shared" si="9"/>
        <v xml:space="preserve"> </v>
      </c>
      <c r="R62" s="17">
        <f t="shared" si="16"/>
        <v>5.8365758754863814E-3</v>
      </c>
    </row>
    <row r="63" spans="1:18" ht="12.75">
      <c r="A63" s="12">
        <f t="shared" si="0"/>
        <v>62</v>
      </c>
      <c r="B63" s="13" t="s">
        <v>32</v>
      </c>
      <c r="C63" s="14" t="str">
        <f t="array" aca="1" ref="C63" ca="1">INDEX('Rooms Master'!U:U,MATCH(B63,'Rooms Master'!D:D,0))</f>
        <v>Y</v>
      </c>
      <c r="D63" s="15">
        <v>55</v>
      </c>
      <c r="E63" s="15">
        <v>22</v>
      </c>
      <c r="F63" s="15">
        <v>11</v>
      </c>
      <c r="G63" s="15">
        <v>3</v>
      </c>
      <c r="H63" s="15">
        <v>0</v>
      </c>
      <c r="I63" s="15"/>
      <c r="J63" s="15"/>
      <c r="K63" s="15"/>
      <c r="L63" s="1" t="s">
        <v>20</v>
      </c>
      <c r="M63" s="17">
        <f t="shared" ref="M63:M78" si="20">IFERROR(F63/E63, " ")</f>
        <v>0.5</v>
      </c>
      <c r="N63" s="18">
        <f t="shared" ref="N63:N78" si="21">IFERROR(H63/E63," ")</f>
        <v>0</v>
      </c>
      <c r="O63" s="17" t="str">
        <f t="shared" si="7"/>
        <v xml:space="preserve"> </v>
      </c>
      <c r="P63" s="17" t="str">
        <f t="shared" si="19"/>
        <v xml:space="preserve"> </v>
      </c>
      <c r="Q63" s="17" t="str">
        <f t="shared" si="9"/>
        <v xml:space="preserve"> </v>
      </c>
      <c r="R63" s="17">
        <f t="shared" si="16"/>
        <v>7.133592736705577E-3</v>
      </c>
    </row>
    <row r="64" spans="1:18" ht="12.75">
      <c r="A64" s="12">
        <f t="shared" si="0"/>
        <v>63</v>
      </c>
      <c r="B64" s="13" t="s">
        <v>45</v>
      </c>
      <c r="C64" s="14" t="str">
        <f t="array" aca="1" ref="C64" ca="1">INDEX('Rooms Master'!U:U,MATCH(B64,'Rooms Master'!D:D,0))</f>
        <v>Y</v>
      </c>
      <c r="D64" s="15">
        <v>56</v>
      </c>
      <c r="E64" s="15">
        <v>26</v>
      </c>
      <c r="F64" s="15">
        <v>12</v>
      </c>
      <c r="G64" s="15">
        <v>3</v>
      </c>
      <c r="H64" s="15">
        <v>1</v>
      </c>
      <c r="I64" s="15"/>
      <c r="J64" s="15"/>
      <c r="K64" s="15"/>
      <c r="L64" s="1" t="s">
        <v>20</v>
      </c>
      <c r="M64" s="17">
        <f t="shared" si="20"/>
        <v>0.46153846153846156</v>
      </c>
      <c r="N64" s="18">
        <f t="shared" si="21"/>
        <v>3.8461538461538464E-2</v>
      </c>
      <c r="O64" s="17">
        <f t="shared" si="7"/>
        <v>0</v>
      </c>
      <c r="P64" s="17" t="str">
        <f t="shared" si="19"/>
        <v xml:space="preserve"> </v>
      </c>
      <c r="Q64" s="17" t="str">
        <f t="shared" si="9"/>
        <v xml:space="preserve"> </v>
      </c>
      <c r="R64" s="17">
        <f t="shared" si="16"/>
        <v>8.4306095979247726E-3</v>
      </c>
    </row>
    <row r="65" spans="1:18" ht="12.75">
      <c r="A65" s="12">
        <f t="shared" si="0"/>
        <v>64</v>
      </c>
      <c r="B65" s="13" t="s">
        <v>26</v>
      </c>
      <c r="C65" s="14" t="str">
        <f t="array" aca="1" ref="C65" ca="1">INDEX('Rooms Master'!U:U,MATCH(B65,'Rooms Master'!D:D,0))</f>
        <v>Y</v>
      </c>
      <c r="D65" s="15">
        <v>57</v>
      </c>
      <c r="E65" s="15">
        <v>28</v>
      </c>
      <c r="F65" s="15">
        <v>5</v>
      </c>
      <c r="G65" s="15">
        <v>2</v>
      </c>
      <c r="H65" s="15">
        <v>0</v>
      </c>
      <c r="I65" s="15"/>
      <c r="J65" s="15"/>
      <c r="K65" s="15"/>
      <c r="L65" s="1" t="s">
        <v>20</v>
      </c>
      <c r="M65" s="17">
        <f t="shared" si="20"/>
        <v>0.17857142857142858</v>
      </c>
      <c r="N65" s="18">
        <f t="shared" si="21"/>
        <v>0</v>
      </c>
      <c r="O65" s="17" t="str">
        <f t="shared" si="7"/>
        <v xml:space="preserve"> </v>
      </c>
      <c r="P65" s="17" t="str">
        <f t="shared" si="19"/>
        <v xml:space="preserve"> </v>
      </c>
      <c r="Q65" s="17" t="str">
        <f t="shared" si="9"/>
        <v xml:space="preserve"> </v>
      </c>
      <c r="R65" s="17">
        <f t="shared" si="16"/>
        <v>9.0791180285343717E-3</v>
      </c>
    </row>
    <row r="66" spans="1:18" ht="12.75">
      <c r="A66" s="12">
        <f t="shared" si="0"/>
        <v>65</v>
      </c>
      <c r="B66" s="13" t="s">
        <v>44</v>
      </c>
      <c r="C66" s="14" t="str">
        <f t="array" aca="1" ref="C66" ca="1">INDEX('Rooms Master'!U:U,MATCH(B66,'Rooms Master'!D:D,0))</f>
        <v>Y</v>
      </c>
      <c r="D66" s="15">
        <v>58</v>
      </c>
      <c r="E66" s="15">
        <v>45</v>
      </c>
      <c r="F66" s="15">
        <v>21</v>
      </c>
      <c r="G66" s="15">
        <v>4</v>
      </c>
      <c r="H66" s="15">
        <v>4</v>
      </c>
      <c r="I66" s="15">
        <v>1</v>
      </c>
      <c r="J66" s="15">
        <v>1</v>
      </c>
      <c r="K66" s="15">
        <v>1</v>
      </c>
      <c r="L66" s="21" t="s">
        <v>20</v>
      </c>
      <c r="M66" s="17">
        <f t="shared" si="20"/>
        <v>0.46666666666666667</v>
      </c>
      <c r="N66" s="18">
        <f t="shared" si="21"/>
        <v>8.8888888888888892E-2</v>
      </c>
      <c r="O66" s="17">
        <f t="shared" si="7"/>
        <v>0.25</v>
      </c>
      <c r="P66" s="17">
        <f t="shared" si="19"/>
        <v>1</v>
      </c>
      <c r="Q66" s="17">
        <f t="shared" si="9"/>
        <v>1</v>
      </c>
      <c r="R66" s="17">
        <f t="shared" si="16"/>
        <v>1.4591439688715954E-2</v>
      </c>
    </row>
    <row r="67" spans="1:18" ht="12.75">
      <c r="A67" s="12">
        <f t="shared" si="0"/>
        <v>66</v>
      </c>
      <c r="B67" s="13" t="s">
        <v>48</v>
      </c>
      <c r="C67" s="14" t="str">
        <f t="array" aca="1" ref="C67" ca="1">INDEX('Rooms Master'!U:U,MATCH(B67,'Rooms Master'!D:D,0))</f>
        <v>Y</v>
      </c>
      <c r="D67" s="15">
        <v>58</v>
      </c>
      <c r="E67" s="15">
        <v>16</v>
      </c>
      <c r="F67" s="15">
        <v>4</v>
      </c>
      <c r="G67" s="15">
        <v>3</v>
      </c>
      <c r="H67" s="15">
        <v>3</v>
      </c>
      <c r="I67" s="15"/>
      <c r="J67" s="15"/>
      <c r="K67" s="15"/>
      <c r="L67" s="1" t="s">
        <v>20</v>
      </c>
      <c r="M67" s="17">
        <f t="shared" si="20"/>
        <v>0.25</v>
      </c>
      <c r="N67" s="18">
        <f t="shared" si="21"/>
        <v>0.1875</v>
      </c>
      <c r="O67" s="17">
        <f t="shared" si="7"/>
        <v>0</v>
      </c>
      <c r="P67" s="17" t="str">
        <f t="shared" si="19"/>
        <v xml:space="preserve"> </v>
      </c>
      <c r="Q67" s="17" t="str">
        <f t="shared" si="9"/>
        <v xml:space="preserve"> </v>
      </c>
      <c r="R67" s="17">
        <f t="shared" si="16"/>
        <v>5.1880674448767832E-3</v>
      </c>
    </row>
    <row r="68" spans="1:18" ht="12.75">
      <c r="A68" s="12">
        <f t="shared" si="0"/>
        <v>67</v>
      </c>
      <c r="B68" s="13" t="s">
        <v>94</v>
      </c>
      <c r="C68" s="14" t="str">
        <f t="array" aca="1" ref="C68" ca="1">INDEX('Rooms Master'!U:U,MATCH(B68,'Rooms Master'!D:D,0))</f>
        <v>Y</v>
      </c>
      <c r="D68" s="15">
        <v>59</v>
      </c>
      <c r="E68" s="15">
        <v>21</v>
      </c>
      <c r="F68" s="15">
        <v>8</v>
      </c>
      <c r="G68" s="15">
        <v>3</v>
      </c>
      <c r="H68" s="15">
        <v>0</v>
      </c>
      <c r="I68" s="15"/>
      <c r="J68" s="15"/>
      <c r="K68" s="15"/>
      <c r="L68" s="27" t="s">
        <v>24</v>
      </c>
      <c r="M68" s="17">
        <f t="shared" si="20"/>
        <v>0.38095238095238093</v>
      </c>
      <c r="N68" s="18">
        <f t="shared" si="21"/>
        <v>0</v>
      </c>
      <c r="O68" s="17" t="str">
        <f t="shared" si="7"/>
        <v xml:space="preserve"> </v>
      </c>
      <c r="P68" s="17" t="str">
        <f t="shared" si="19"/>
        <v xml:space="preserve"> </v>
      </c>
      <c r="Q68" s="17" t="str">
        <f t="shared" si="9"/>
        <v xml:space="preserve"> </v>
      </c>
      <c r="R68" s="17">
        <f t="shared" si="16"/>
        <v>6.8093385214007783E-3</v>
      </c>
    </row>
    <row r="69" spans="1:18" ht="12.75">
      <c r="A69" s="12">
        <f t="shared" si="0"/>
        <v>68</v>
      </c>
      <c r="B69" s="13" t="s">
        <v>62</v>
      </c>
      <c r="C69" s="14" t="str">
        <f t="array" aca="1" ref="C69" ca="1">INDEX('Rooms Master'!U:U,MATCH(B69,'Rooms Master'!D:D,0))</f>
        <v>N</v>
      </c>
      <c r="D69" s="15">
        <v>60</v>
      </c>
      <c r="E69" s="15">
        <v>12</v>
      </c>
      <c r="F69" s="15">
        <v>2</v>
      </c>
      <c r="G69" s="15">
        <v>3</v>
      </c>
      <c r="H69" s="15">
        <v>0</v>
      </c>
      <c r="I69" s="15"/>
      <c r="J69" s="15"/>
      <c r="K69" s="15"/>
      <c r="L69" s="1" t="s">
        <v>20</v>
      </c>
      <c r="M69" s="17">
        <f t="shared" si="20"/>
        <v>0.16666666666666666</v>
      </c>
      <c r="N69" s="18">
        <f t="shared" si="21"/>
        <v>0</v>
      </c>
      <c r="O69" s="17" t="str">
        <f t="shared" si="7"/>
        <v xml:space="preserve"> </v>
      </c>
      <c r="P69" s="18" t="str">
        <f t="shared" si="19"/>
        <v xml:space="preserve"> </v>
      </c>
      <c r="Q69" s="18" t="str">
        <f t="shared" si="9"/>
        <v xml:space="preserve"> </v>
      </c>
      <c r="R69" s="17">
        <f t="shared" si="16"/>
        <v>3.8910505836575876E-3</v>
      </c>
    </row>
    <row r="70" spans="1:18" ht="12.75">
      <c r="A70" s="12">
        <f t="shared" si="0"/>
        <v>69</v>
      </c>
      <c r="B70" s="13" t="s">
        <v>123</v>
      </c>
      <c r="C70" s="14" t="str">
        <f t="array" aca="1" ref="C70" ca="1">INDEX('Rooms Master'!U:U,MATCH(B70,'Rooms Master'!D:D,0))</f>
        <v>N</v>
      </c>
      <c r="D70" s="15">
        <v>61</v>
      </c>
      <c r="E70" s="15">
        <v>20</v>
      </c>
      <c r="F70" s="15">
        <v>3</v>
      </c>
      <c r="G70" s="15">
        <v>3</v>
      </c>
      <c r="H70" s="15">
        <v>0</v>
      </c>
      <c r="I70" s="15"/>
      <c r="J70" s="15">
        <v>1</v>
      </c>
      <c r="K70" s="15"/>
      <c r="L70" s="1" t="s">
        <v>34</v>
      </c>
      <c r="M70" s="17">
        <f t="shared" si="20"/>
        <v>0.15</v>
      </c>
      <c r="N70" s="18">
        <f t="shared" si="21"/>
        <v>0</v>
      </c>
      <c r="O70" s="17" t="str">
        <f t="shared" si="7"/>
        <v xml:space="preserve"> </v>
      </c>
      <c r="P70" s="17" t="str">
        <f t="shared" si="19"/>
        <v xml:space="preserve"> </v>
      </c>
      <c r="Q70" s="17">
        <f t="shared" si="9"/>
        <v>0</v>
      </c>
      <c r="R70" s="17">
        <f t="shared" si="16"/>
        <v>6.4850843060959796E-3</v>
      </c>
    </row>
    <row r="71" spans="1:18" ht="12.75">
      <c r="A71" s="12">
        <f t="shared" si="0"/>
        <v>70</v>
      </c>
      <c r="B71" s="13" t="s">
        <v>27</v>
      </c>
      <c r="C71" s="14" t="str">
        <f t="array" aca="1" ref="C71" ca="1">INDEX('Rooms Master'!U:U,MATCH(B71,'Rooms Master'!D:D,0))</f>
        <v>Y</v>
      </c>
      <c r="D71" s="15">
        <v>62</v>
      </c>
      <c r="E71" s="15">
        <v>32</v>
      </c>
      <c r="F71" s="15">
        <v>21</v>
      </c>
      <c r="G71" s="15">
        <v>2</v>
      </c>
      <c r="H71" s="15">
        <v>0</v>
      </c>
      <c r="I71" s="15"/>
      <c r="J71" s="15"/>
      <c r="K71" s="15"/>
      <c r="L71" s="1" t="s">
        <v>20</v>
      </c>
      <c r="M71" s="17">
        <f t="shared" si="20"/>
        <v>0.65625</v>
      </c>
      <c r="N71" s="18">
        <f t="shared" si="21"/>
        <v>0</v>
      </c>
      <c r="O71" s="17" t="str">
        <f t="shared" si="7"/>
        <v xml:space="preserve"> </v>
      </c>
      <c r="P71" s="17" t="str">
        <f t="shared" si="19"/>
        <v xml:space="preserve"> </v>
      </c>
      <c r="Q71" s="17" t="str">
        <f t="shared" si="9"/>
        <v xml:space="preserve"> </v>
      </c>
      <c r="R71" s="17">
        <f t="shared" si="16"/>
        <v>1.0376134889753566E-2</v>
      </c>
    </row>
    <row r="72" spans="1:18" ht="12.75">
      <c r="A72" s="12">
        <f t="shared" si="0"/>
        <v>71</v>
      </c>
      <c r="B72" s="13" t="s">
        <v>61</v>
      </c>
      <c r="C72" s="14" t="str">
        <f t="array" aca="1" ref="C72" ca="1">INDEX('Rooms Master'!U:U,MATCH(B72,'Rooms Master'!D:D,0))</f>
        <v>Y</v>
      </c>
      <c r="D72" s="15">
        <v>63</v>
      </c>
      <c r="E72" s="15">
        <v>22</v>
      </c>
      <c r="F72" s="15">
        <v>6</v>
      </c>
      <c r="G72" s="15">
        <v>4</v>
      </c>
      <c r="H72" s="15">
        <v>0</v>
      </c>
      <c r="I72" s="15"/>
      <c r="J72" s="15"/>
      <c r="K72" s="15"/>
      <c r="L72" s="1" t="s">
        <v>20</v>
      </c>
      <c r="M72" s="17">
        <f t="shared" si="20"/>
        <v>0.27272727272727271</v>
      </c>
      <c r="N72" s="18">
        <f t="shared" si="21"/>
        <v>0</v>
      </c>
      <c r="O72" s="17" t="str">
        <f t="shared" si="7"/>
        <v xml:space="preserve"> </v>
      </c>
      <c r="P72" s="17" t="str">
        <f t="shared" si="19"/>
        <v xml:space="preserve"> </v>
      </c>
      <c r="Q72" s="17" t="str">
        <f t="shared" si="9"/>
        <v xml:space="preserve"> </v>
      </c>
      <c r="R72" s="17">
        <f t="shared" si="16"/>
        <v>7.133592736705577E-3</v>
      </c>
    </row>
    <row r="73" spans="1:18" ht="12.75">
      <c r="A73" s="12">
        <f t="shared" si="0"/>
        <v>72</v>
      </c>
      <c r="B73" s="13" t="s">
        <v>112</v>
      </c>
      <c r="C73" s="14" t="str">
        <f t="array" aca="1" ref="C73" ca="1">INDEX('Rooms Master'!U:U,MATCH(B73,'Rooms Master'!D:D,0))</f>
        <v>Y</v>
      </c>
      <c r="D73" s="15">
        <v>64</v>
      </c>
      <c r="E73" s="15">
        <v>5</v>
      </c>
      <c r="F73" s="15">
        <v>0</v>
      </c>
      <c r="G73" s="15">
        <v>3</v>
      </c>
      <c r="H73" s="15">
        <v>0</v>
      </c>
      <c r="I73" s="15"/>
      <c r="J73" s="15"/>
      <c r="K73" s="15"/>
      <c r="L73" s="1" t="s">
        <v>37</v>
      </c>
      <c r="M73" s="17">
        <f t="shared" si="20"/>
        <v>0</v>
      </c>
      <c r="N73" s="18">
        <f t="shared" si="21"/>
        <v>0</v>
      </c>
      <c r="O73" s="17" t="str">
        <f t="shared" si="7"/>
        <v xml:space="preserve"> </v>
      </c>
      <c r="P73" s="17" t="str">
        <f t="shared" si="19"/>
        <v xml:space="preserve"> </v>
      </c>
      <c r="Q73" s="17" t="str">
        <f t="shared" si="9"/>
        <v xml:space="preserve"> </v>
      </c>
      <c r="R73" s="17">
        <f t="shared" si="16"/>
        <v>1.6212710765239949E-3</v>
      </c>
    </row>
    <row r="74" spans="1:18" ht="12.75">
      <c r="A74" s="12">
        <f t="shared" si="0"/>
        <v>73</v>
      </c>
      <c r="B74" s="13" t="s">
        <v>101</v>
      </c>
      <c r="C74" s="14" t="str">
        <f t="array" aca="1" ref="C74" ca="1">INDEX('Rooms Master'!U:U,MATCH(B74,'Rooms Master'!D:D,0))</f>
        <v>N</v>
      </c>
      <c r="D74" s="15">
        <v>65</v>
      </c>
      <c r="E74" s="15">
        <v>34</v>
      </c>
      <c r="F74" s="15">
        <v>20</v>
      </c>
      <c r="G74" s="15">
        <v>3</v>
      </c>
      <c r="H74" s="15">
        <v>0</v>
      </c>
      <c r="I74" s="15"/>
      <c r="J74" s="15">
        <v>1</v>
      </c>
      <c r="K74" s="15"/>
      <c r="L74" s="1" t="s">
        <v>34</v>
      </c>
      <c r="M74" s="17">
        <f t="shared" si="20"/>
        <v>0.58823529411764708</v>
      </c>
      <c r="N74" s="18">
        <f t="shared" si="21"/>
        <v>0</v>
      </c>
      <c r="O74" s="17" t="str">
        <f t="shared" si="7"/>
        <v xml:space="preserve"> </v>
      </c>
      <c r="P74" s="17" t="str">
        <f t="shared" si="19"/>
        <v xml:space="preserve"> </v>
      </c>
      <c r="Q74" s="17">
        <f t="shared" si="9"/>
        <v>0</v>
      </c>
      <c r="R74" s="17">
        <f t="shared" si="16"/>
        <v>1.1024643320363165E-2</v>
      </c>
    </row>
    <row r="75" spans="1:18" ht="12.75">
      <c r="A75" s="12">
        <f t="shared" si="0"/>
        <v>74</v>
      </c>
      <c r="B75" s="13" t="s">
        <v>63</v>
      </c>
      <c r="C75" s="14" t="str">
        <f t="array" aca="1" ref="C75" ca="1">INDEX('Rooms Master'!U:U,MATCH(B75,'Rooms Master'!D:D,0))</f>
        <v>Y</v>
      </c>
      <c r="D75" s="15">
        <v>66</v>
      </c>
      <c r="E75" s="15">
        <v>9</v>
      </c>
      <c r="F75" s="15">
        <v>2</v>
      </c>
      <c r="G75" s="15">
        <v>2</v>
      </c>
      <c r="H75" s="15">
        <v>5</v>
      </c>
      <c r="I75" s="15"/>
      <c r="J75" s="15"/>
      <c r="K75" s="15"/>
      <c r="L75" s="1" t="s">
        <v>64</v>
      </c>
      <c r="M75" s="17">
        <f t="shared" si="20"/>
        <v>0.22222222222222221</v>
      </c>
      <c r="N75" s="18">
        <f t="shared" si="21"/>
        <v>0.55555555555555558</v>
      </c>
      <c r="O75" s="17">
        <f t="shared" si="7"/>
        <v>0</v>
      </c>
      <c r="P75" s="17" t="str">
        <f t="shared" si="19"/>
        <v xml:space="preserve"> </v>
      </c>
      <c r="Q75" s="17" t="str">
        <f t="shared" si="9"/>
        <v xml:space="preserve"> </v>
      </c>
      <c r="R75" s="17">
        <f t="shared" si="16"/>
        <v>2.9182879377431907E-3</v>
      </c>
    </row>
    <row r="76" spans="1:18" ht="12.75">
      <c r="A76" s="12">
        <f t="shared" si="0"/>
        <v>75</v>
      </c>
      <c r="B76" s="13" t="s">
        <v>79</v>
      </c>
      <c r="C76" s="14" t="str">
        <f t="array" aca="1" ref="C76" ca="1">INDEX('Rooms Master'!U:U,MATCH(B76,'Rooms Master'!D:D,0))</f>
        <v>Y</v>
      </c>
      <c r="D76" s="15">
        <v>67</v>
      </c>
      <c r="E76" s="15">
        <v>4</v>
      </c>
      <c r="F76" s="15">
        <v>1</v>
      </c>
      <c r="G76" s="15">
        <v>1</v>
      </c>
      <c r="H76" s="15">
        <v>0</v>
      </c>
      <c r="I76" s="15"/>
      <c r="J76" s="15"/>
      <c r="K76" s="15"/>
      <c r="L76" s="1" t="s">
        <v>64</v>
      </c>
      <c r="M76" s="17">
        <f t="shared" si="20"/>
        <v>0.25</v>
      </c>
      <c r="N76" s="18">
        <f t="shared" si="21"/>
        <v>0</v>
      </c>
      <c r="O76" s="17" t="str">
        <f t="shared" si="7"/>
        <v xml:space="preserve"> </v>
      </c>
      <c r="P76" s="17" t="str">
        <f t="shared" si="19"/>
        <v xml:space="preserve"> </v>
      </c>
      <c r="Q76" s="17" t="str">
        <f t="shared" si="9"/>
        <v xml:space="preserve"> </v>
      </c>
      <c r="R76" s="17">
        <f t="shared" si="16"/>
        <v>1.2970168612191958E-3</v>
      </c>
    </row>
    <row r="77" spans="1:18" ht="12.75">
      <c r="A77" s="12">
        <f t="shared" si="0"/>
        <v>76</v>
      </c>
      <c r="B77" s="13" t="s">
        <v>81</v>
      </c>
      <c r="C77" s="14" t="str">
        <f t="array" aca="1" ref="C77" ca="1">INDEX('Rooms Master'!U:U,MATCH(B77,'Rooms Master'!D:D,0))</f>
        <v>Y</v>
      </c>
      <c r="D77" s="15">
        <v>68</v>
      </c>
      <c r="E77" s="15">
        <v>11</v>
      </c>
      <c r="F77" s="15">
        <v>0</v>
      </c>
      <c r="G77" s="15">
        <v>2</v>
      </c>
      <c r="H77" s="15">
        <v>0</v>
      </c>
      <c r="I77" s="15"/>
      <c r="J77" s="15"/>
      <c r="K77" s="15"/>
      <c r="L77" s="1" t="s">
        <v>64</v>
      </c>
      <c r="M77" s="17">
        <f t="shared" si="20"/>
        <v>0</v>
      </c>
      <c r="N77" s="18">
        <f t="shared" si="21"/>
        <v>0</v>
      </c>
      <c r="O77" s="17" t="str">
        <f t="shared" si="7"/>
        <v xml:space="preserve"> </v>
      </c>
      <c r="P77" s="17" t="str">
        <f t="shared" si="19"/>
        <v xml:space="preserve"> </v>
      </c>
      <c r="Q77" s="17" t="str">
        <f t="shared" si="9"/>
        <v xml:space="preserve"> </v>
      </c>
      <c r="R77" s="17">
        <f t="shared" si="16"/>
        <v>3.5667963683527885E-3</v>
      </c>
    </row>
    <row r="78" spans="1:18" ht="12.75">
      <c r="A78" s="12">
        <f t="shared" si="0"/>
        <v>77</v>
      </c>
      <c r="B78" s="13" t="s">
        <v>36</v>
      </c>
      <c r="C78" s="14" t="str">
        <f t="array" aca="1" ref="C78" ca="1">INDEX('Rooms Master'!U:U,MATCH(B78,'Rooms Master'!D:D,0))</f>
        <v>Y</v>
      </c>
      <c r="D78" s="15">
        <v>69</v>
      </c>
      <c r="E78" s="15">
        <v>42</v>
      </c>
      <c r="F78" s="15">
        <v>17</v>
      </c>
      <c r="G78" s="15">
        <v>5</v>
      </c>
      <c r="H78" s="15">
        <v>3</v>
      </c>
      <c r="I78" s="15">
        <v>1</v>
      </c>
      <c r="J78" s="15"/>
      <c r="K78" s="15"/>
      <c r="L78" s="1" t="s">
        <v>37</v>
      </c>
      <c r="M78" s="17">
        <f t="shared" si="20"/>
        <v>0.40476190476190477</v>
      </c>
      <c r="N78" s="18">
        <f t="shared" si="21"/>
        <v>7.1428571428571425E-2</v>
      </c>
      <c r="O78" s="17">
        <f t="shared" si="7"/>
        <v>0</v>
      </c>
      <c r="P78" s="17">
        <f t="shared" si="19"/>
        <v>0</v>
      </c>
      <c r="Q78" s="17" t="str">
        <f t="shared" si="9"/>
        <v xml:space="preserve"> </v>
      </c>
      <c r="R78" s="17">
        <f t="shared" si="16"/>
        <v>1.3618677042801557E-2</v>
      </c>
    </row>
    <row r="79" spans="1:18" ht="12.75">
      <c r="A79" s="12">
        <f t="shared" si="0"/>
        <v>78</v>
      </c>
      <c r="B79" s="13" t="s">
        <v>87</v>
      </c>
      <c r="C79" s="14" t="str">
        <f t="array" aca="1" ref="C79" ca="1">INDEX('Rooms Master'!U:U,MATCH(B79,'Rooms Master'!D:D,0))</f>
        <v>Y</v>
      </c>
      <c r="D79" s="15">
        <v>70</v>
      </c>
      <c r="E79" s="22">
        <v>12</v>
      </c>
      <c r="F79" s="15">
        <v>2</v>
      </c>
      <c r="G79" s="15">
        <v>4</v>
      </c>
      <c r="H79" s="15">
        <v>0</v>
      </c>
      <c r="I79" s="15"/>
      <c r="J79" s="15"/>
      <c r="K79" s="15"/>
      <c r="L79" s="1" t="s">
        <v>34</v>
      </c>
      <c r="M79" s="17">
        <f>IFERROR(F79/E78, " ")</f>
        <v>4.7619047619047616E-2</v>
      </c>
      <c r="N79" s="18">
        <f>IFERROR(H79/E78," ")</f>
        <v>0</v>
      </c>
      <c r="O79" s="17" t="str">
        <f t="shared" si="7"/>
        <v xml:space="preserve"> </v>
      </c>
      <c r="P79" s="17" t="str">
        <f t="shared" si="19"/>
        <v xml:space="preserve"> </v>
      </c>
      <c r="Q79" s="17" t="str">
        <f t="shared" si="9"/>
        <v xml:space="preserve"> </v>
      </c>
      <c r="R79" s="17">
        <f>IFERROR(E78/$E$117," ")</f>
        <v>1.3618677042801557E-2</v>
      </c>
    </row>
    <row r="80" spans="1:18" ht="12.75">
      <c r="A80" s="21">
        <v>1</v>
      </c>
      <c r="B80" s="13" t="s">
        <v>57</v>
      </c>
      <c r="C80" s="14" t="str">
        <f t="array" aca="1" ref="C80" ca="1">INDEX('Rooms Master'!U:U,MATCH(B80,'Rooms Master'!D:D,0))</f>
        <v>Y</v>
      </c>
      <c r="D80" s="15">
        <v>71</v>
      </c>
      <c r="E80" s="15">
        <v>22</v>
      </c>
      <c r="F80" s="15">
        <v>0</v>
      </c>
      <c r="G80" s="15">
        <v>2</v>
      </c>
      <c r="H80" s="15">
        <v>0</v>
      </c>
      <c r="I80" s="15"/>
      <c r="J80" s="15"/>
      <c r="K80" s="15"/>
      <c r="L80" s="1"/>
      <c r="M80" s="17">
        <f t="shared" ref="M80:M115" si="22">IFERROR(F80/E80, " ")</f>
        <v>0</v>
      </c>
      <c r="N80" s="18">
        <f t="shared" ref="N80:N117" si="23">IFERROR(H80/E80," ")</f>
        <v>0</v>
      </c>
      <c r="O80" s="24" t="str">
        <f t="shared" si="7"/>
        <v xml:space="preserve"> </v>
      </c>
      <c r="P80" s="18" t="str">
        <f t="shared" si="19"/>
        <v xml:space="preserve"> </v>
      </c>
      <c r="Q80" s="18" t="str">
        <f t="shared" si="9"/>
        <v xml:space="preserve"> </v>
      </c>
      <c r="R80" s="17">
        <f t="shared" ref="R80:R115" si="24">IFERROR(E80/$E$117," ")</f>
        <v>7.133592736705577E-3</v>
      </c>
    </row>
    <row r="81" spans="1:18" ht="12.75">
      <c r="A81" s="12">
        <f t="shared" ref="A81:A115" si="25">A80+1</f>
        <v>2</v>
      </c>
      <c r="B81" s="13" t="s">
        <v>40</v>
      </c>
      <c r="C81" s="14" t="str">
        <f t="array" aca="1" ref="C81" ca="1">INDEX('Rooms Master'!U:U,MATCH(B81,'Rooms Master'!D:D,0))</f>
        <v>Y</v>
      </c>
      <c r="D81" s="15">
        <v>72</v>
      </c>
      <c r="E81" s="15">
        <v>18</v>
      </c>
      <c r="F81" s="15">
        <v>8</v>
      </c>
      <c r="G81" s="15">
        <v>2</v>
      </c>
      <c r="H81" s="15">
        <v>0</v>
      </c>
      <c r="I81" s="15"/>
      <c r="J81" s="15"/>
      <c r="K81" s="15"/>
      <c r="L81" s="1" t="s">
        <v>20</v>
      </c>
      <c r="M81" s="17">
        <f t="shared" si="22"/>
        <v>0.44444444444444442</v>
      </c>
      <c r="N81" s="18">
        <f t="shared" si="23"/>
        <v>0</v>
      </c>
      <c r="O81" s="17" t="str">
        <f t="shared" si="7"/>
        <v xml:space="preserve"> </v>
      </c>
      <c r="P81" s="17" t="str">
        <f t="shared" si="19"/>
        <v xml:space="preserve"> </v>
      </c>
      <c r="Q81" s="17" t="str">
        <f t="shared" si="9"/>
        <v xml:space="preserve"> </v>
      </c>
      <c r="R81" s="17">
        <f t="shared" si="24"/>
        <v>5.8365758754863814E-3</v>
      </c>
    </row>
    <row r="82" spans="1:18" ht="12.75">
      <c r="A82" s="12">
        <f t="shared" si="25"/>
        <v>3</v>
      </c>
      <c r="B82" s="13" t="s">
        <v>55</v>
      </c>
      <c r="C82" s="14" t="str">
        <f t="array" aca="1" ref="C82" ca="1">INDEX('Rooms Master'!U:U,MATCH(B82,'Rooms Master'!D:D,0))</f>
        <v>Y</v>
      </c>
      <c r="D82" s="15">
        <v>73</v>
      </c>
      <c r="E82" s="15">
        <v>4</v>
      </c>
      <c r="F82" s="15">
        <v>1</v>
      </c>
      <c r="G82" s="15">
        <v>3</v>
      </c>
      <c r="H82" s="15">
        <v>0</v>
      </c>
      <c r="I82" s="15"/>
      <c r="J82" s="15"/>
      <c r="K82" s="15"/>
      <c r="L82" s="1" t="s">
        <v>24</v>
      </c>
      <c r="M82" s="17">
        <f t="shared" si="22"/>
        <v>0.25</v>
      </c>
      <c r="N82" s="18">
        <f t="shared" si="23"/>
        <v>0</v>
      </c>
      <c r="O82" s="17" t="str">
        <f t="shared" si="7"/>
        <v xml:space="preserve"> </v>
      </c>
      <c r="P82" s="17" t="str">
        <f t="shared" si="19"/>
        <v xml:space="preserve"> </v>
      </c>
      <c r="Q82" s="17" t="str">
        <f t="shared" si="9"/>
        <v xml:space="preserve"> </v>
      </c>
      <c r="R82" s="17">
        <f t="shared" si="24"/>
        <v>1.2970168612191958E-3</v>
      </c>
    </row>
    <row r="83" spans="1:18" ht="12.75">
      <c r="A83" s="12">
        <f t="shared" si="25"/>
        <v>4</v>
      </c>
      <c r="B83" s="13" t="s">
        <v>108</v>
      </c>
      <c r="C83" s="14" t="str">
        <f t="array" aca="1" ref="C83" ca="1">INDEX('Rooms Master'!U:U,MATCH(B83,'Rooms Master'!D:D,0))</f>
        <v>Y</v>
      </c>
      <c r="D83" s="15">
        <v>74</v>
      </c>
      <c r="E83" s="15">
        <v>7</v>
      </c>
      <c r="F83" s="15">
        <v>0</v>
      </c>
      <c r="G83" s="15">
        <v>2</v>
      </c>
      <c r="H83" s="15">
        <v>4</v>
      </c>
      <c r="I83" s="15"/>
      <c r="J83" s="15"/>
      <c r="K83" s="15"/>
      <c r="L83" s="1" t="s">
        <v>24</v>
      </c>
      <c r="M83" s="17">
        <f t="shared" si="22"/>
        <v>0</v>
      </c>
      <c r="N83" s="18">
        <f t="shared" si="23"/>
        <v>0.5714285714285714</v>
      </c>
      <c r="O83" s="17">
        <f t="shared" si="7"/>
        <v>0</v>
      </c>
      <c r="P83" s="17" t="str">
        <f t="shared" si="19"/>
        <v xml:space="preserve"> </v>
      </c>
      <c r="Q83" s="17" t="str">
        <f t="shared" si="9"/>
        <v xml:space="preserve"> </v>
      </c>
      <c r="R83" s="17">
        <f t="shared" si="24"/>
        <v>2.2697795071335929E-3</v>
      </c>
    </row>
    <row r="84" spans="1:18" ht="12.75">
      <c r="A84" s="12">
        <f t="shared" si="25"/>
        <v>5</v>
      </c>
      <c r="B84" s="13" t="s">
        <v>52</v>
      </c>
      <c r="C84" s="14" t="str">
        <f t="array" aca="1" ref="C84" ca="1">INDEX('Rooms Master'!U:U,MATCH(B84,'Rooms Master'!D:D,0))</f>
        <v>Y</v>
      </c>
      <c r="D84" s="15">
        <v>75</v>
      </c>
      <c r="E84" s="15">
        <v>14</v>
      </c>
      <c r="F84" s="15">
        <v>2</v>
      </c>
      <c r="G84" s="15">
        <v>3</v>
      </c>
      <c r="H84" s="15">
        <v>0</v>
      </c>
      <c r="I84" s="15"/>
      <c r="J84" s="15"/>
      <c r="K84" s="15"/>
      <c r="L84" s="1" t="s">
        <v>24</v>
      </c>
      <c r="M84" s="17">
        <f t="shared" si="22"/>
        <v>0.14285714285714285</v>
      </c>
      <c r="N84" s="18">
        <f t="shared" si="23"/>
        <v>0</v>
      </c>
      <c r="O84" s="17" t="str">
        <f t="shared" si="7"/>
        <v xml:space="preserve"> </v>
      </c>
      <c r="P84" s="17" t="str">
        <f t="shared" si="19"/>
        <v xml:space="preserve"> </v>
      </c>
      <c r="Q84" s="17" t="str">
        <f t="shared" si="9"/>
        <v xml:space="preserve"> </v>
      </c>
      <c r="R84" s="17">
        <f t="shared" si="24"/>
        <v>4.5395590142671858E-3</v>
      </c>
    </row>
    <row r="85" spans="1:18" ht="12.75">
      <c r="A85" s="12">
        <f t="shared" si="25"/>
        <v>6</v>
      </c>
      <c r="B85" s="13" t="s">
        <v>109</v>
      </c>
      <c r="C85" s="14" t="str">
        <f t="array" aca="1" ref="C85" ca="1">INDEX('Rooms Master'!U:U,MATCH(B85,'Rooms Master'!D:D,0))</f>
        <v>Y</v>
      </c>
      <c r="D85" s="15">
        <v>76</v>
      </c>
      <c r="E85" s="15">
        <v>15</v>
      </c>
      <c r="F85" s="15">
        <v>4</v>
      </c>
      <c r="G85" s="15">
        <v>3</v>
      </c>
      <c r="H85" s="15">
        <v>0</v>
      </c>
      <c r="I85" s="15"/>
      <c r="J85" s="15"/>
      <c r="K85" s="15"/>
      <c r="L85" s="1" t="s">
        <v>37</v>
      </c>
      <c r="M85" s="17">
        <f t="shared" si="22"/>
        <v>0.26666666666666666</v>
      </c>
      <c r="N85" s="18">
        <f t="shared" si="23"/>
        <v>0</v>
      </c>
      <c r="O85" s="17" t="str">
        <f t="shared" si="7"/>
        <v xml:space="preserve"> </v>
      </c>
      <c r="P85" s="17" t="str">
        <f t="shared" si="19"/>
        <v xml:space="preserve"> </v>
      </c>
      <c r="Q85" s="17" t="str">
        <f t="shared" si="9"/>
        <v xml:space="preserve"> </v>
      </c>
      <c r="R85" s="17">
        <f t="shared" si="24"/>
        <v>4.8638132295719845E-3</v>
      </c>
    </row>
    <row r="86" spans="1:18" ht="12.75">
      <c r="A86" s="12">
        <f t="shared" si="25"/>
        <v>7</v>
      </c>
      <c r="B86" s="13" t="s">
        <v>49</v>
      </c>
      <c r="C86" s="14" t="str">
        <f t="array" aca="1" ref="C86" ca="1">INDEX('Rooms Master'!U:U,MATCH(B86,'Rooms Master'!D:D,0))</f>
        <v>Y</v>
      </c>
      <c r="D86" s="15">
        <v>77</v>
      </c>
      <c r="E86" s="15">
        <v>23</v>
      </c>
      <c r="F86" s="15">
        <v>13</v>
      </c>
      <c r="G86" s="15">
        <v>3</v>
      </c>
      <c r="H86" s="15">
        <v>0</v>
      </c>
      <c r="I86" s="15"/>
      <c r="J86" s="15"/>
      <c r="K86" s="15"/>
      <c r="L86" s="1" t="s">
        <v>37</v>
      </c>
      <c r="M86" s="17">
        <f t="shared" si="22"/>
        <v>0.56521739130434778</v>
      </c>
      <c r="N86" s="18">
        <f t="shared" si="23"/>
        <v>0</v>
      </c>
      <c r="O86" s="17" t="str">
        <f t="shared" si="7"/>
        <v xml:space="preserve"> </v>
      </c>
      <c r="P86" s="17" t="str">
        <f t="shared" si="19"/>
        <v xml:space="preserve"> </v>
      </c>
      <c r="Q86" s="17" t="str">
        <f t="shared" si="9"/>
        <v xml:space="preserve"> </v>
      </c>
      <c r="R86" s="17">
        <f t="shared" si="24"/>
        <v>7.4578469520103765E-3</v>
      </c>
    </row>
    <row r="87" spans="1:18" ht="12.75">
      <c r="A87" s="12">
        <f t="shared" si="25"/>
        <v>8</v>
      </c>
      <c r="B87" s="13" t="s">
        <v>88</v>
      </c>
      <c r="C87" s="14" t="str">
        <f t="array" aca="1" ref="C87" ca="1">INDEX('Rooms Master'!U:U,MATCH(B87,'Rooms Master'!D:D,0))</f>
        <v>N</v>
      </c>
      <c r="D87" s="15">
        <v>78</v>
      </c>
      <c r="E87" s="15">
        <v>26</v>
      </c>
      <c r="F87" s="15">
        <v>5</v>
      </c>
      <c r="G87" s="15">
        <v>3</v>
      </c>
      <c r="H87" s="15">
        <v>0</v>
      </c>
      <c r="I87" s="15"/>
      <c r="J87" s="15"/>
      <c r="K87" s="15"/>
      <c r="L87" s="1" t="s">
        <v>24</v>
      </c>
      <c r="M87" s="17">
        <f t="shared" si="22"/>
        <v>0.19230769230769232</v>
      </c>
      <c r="N87" s="18">
        <f t="shared" si="23"/>
        <v>0</v>
      </c>
      <c r="O87" s="17" t="str">
        <f t="shared" si="7"/>
        <v xml:space="preserve"> </v>
      </c>
      <c r="P87" s="17" t="str">
        <f t="shared" si="19"/>
        <v xml:space="preserve"> </v>
      </c>
      <c r="Q87" s="17" t="str">
        <f t="shared" si="9"/>
        <v xml:space="preserve"> </v>
      </c>
      <c r="R87" s="17">
        <f t="shared" si="24"/>
        <v>8.4306095979247726E-3</v>
      </c>
    </row>
    <row r="88" spans="1:18" ht="12.75">
      <c r="A88" s="12">
        <f t="shared" si="25"/>
        <v>9</v>
      </c>
      <c r="B88" s="13" t="s">
        <v>41</v>
      </c>
      <c r="C88" s="14" t="str">
        <f t="array" aca="1" ref="C88" ca="1">INDEX('Rooms Master'!U:U,MATCH(B88,'Rooms Master'!D:D,0))</f>
        <v>Y</v>
      </c>
      <c r="D88" s="15">
        <v>79</v>
      </c>
      <c r="E88" s="15">
        <v>18</v>
      </c>
      <c r="F88" s="15">
        <v>6</v>
      </c>
      <c r="G88" s="15">
        <v>2</v>
      </c>
      <c r="H88" s="15">
        <v>1</v>
      </c>
      <c r="I88" s="15"/>
      <c r="J88" s="15"/>
      <c r="K88" s="15"/>
      <c r="L88" s="1" t="s">
        <v>34</v>
      </c>
      <c r="M88" s="17">
        <f t="shared" si="22"/>
        <v>0.33333333333333331</v>
      </c>
      <c r="N88" s="18">
        <f t="shared" si="23"/>
        <v>5.5555555555555552E-2</v>
      </c>
      <c r="O88" s="17">
        <f t="shared" si="7"/>
        <v>0</v>
      </c>
      <c r="P88" s="17" t="str">
        <f t="shared" si="19"/>
        <v xml:space="preserve"> </v>
      </c>
      <c r="Q88" s="17" t="str">
        <f t="shared" si="9"/>
        <v xml:space="preserve"> </v>
      </c>
      <c r="R88" s="17">
        <f t="shared" si="24"/>
        <v>5.8365758754863814E-3</v>
      </c>
    </row>
    <row r="89" spans="1:18" ht="12.75">
      <c r="A89" s="12">
        <f t="shared" si="25"/>
        <v>10</v>
      </c>
      <c r="B89" s="13" t="s">
        <v>85</v>
      </c>
      <c r="C89" s="14" t="str">
        <f t="array" aca="1" ref="C89" ca="1">INDEX('Rooms Master'!U:U,MATCH(B89,'Rooms Master'!D:D,0))</f>
        <v>N</v>
      </c>
      <c r="D89" s="15">
        <v>79</v>
      </c>
      <c r="E89" s="15">
        <v>24</v>
      </c>
      <c r="F89" s="15">
        <v>10</v>
      </c>
      <c r="G89" s="15">
        <v>4</v>
      </c>
      <c r="H89" s="15">
        <v>0</v>
      </c>
      <c r="I89" s="15"/>
      <c r="J89" s="15"/>
      <c r="K89" s="15"/>
      <c r="L89" s="1" t="s">
        <v>37</v>
      </c>
      <c r="M89" s="17">
        <f t="shared" si="22"/>
        <v>0.41666666666666669</v>
      </c>
      <c r="N89" s="18">
        <f t="shared" si="23"/>
        <v>0</v>
      </c>
      <c r="O89" s="17" t="str">
        <f t="shared" si="7"/>
        <v xml:space="preserve"> </v>
      </c>
      <c r="P89" s="17" t="str">
        <f t="shared" si="19"/>
        <v xml:space="preserve"> </v>
      </c>
      <c r="Q89" s="17" t="str">
        <f t="shared" si="9"/>
        <v xml:space="preserve"> </v>
      </c>
      <c r="R89" s="17">
        <f t="shared" si="24"/>
        <v>7.7821011673151752E-3</v>
      </c>
    </row>
    <row r="90" spans="1:18" ht="12.75">
      <c r="A90" s="12">
        <f t="shared" si="25"/>
        <v>11</v>
      </c>
      <c r="B90" s="13" t="s">
        <v>100</v>
      </c>
      <c r="C90" s="14" t="str">
        <f t="array" aca="1" ref="C90" ca="1">INDEX('Rooms Master'!U:U,MATCH(B90,'Rooms Master'!D:D,0))</f>
        <v>N</v>
      </c>
      <c r="D90" s="14"/>
      <c r="E90" s="15">
        <v>1</v>
      </c>
      <c r="F90" s="15">
        <v>0</v>
      </c>
      <c r="G90" s="15">
        <v>0</v>
      </c>
      <c r="H90" s="15">
        <v>0</v>
      </c>
      <c r="I90" s="15"/>
      <c r="J90" s="15"/>
      <c r="K90" s="15"/>
      <c r="L90" s="1" t="s">
        <v>24</v>
      </c>
      <c r="M90" s="17">
        <f t="shared" si="22"/>
        <v>0</v>
      </c>
      <c r="N90" s="18">
        <f t="shared" si="23"/>
        <v>0</v>
      </c>
      <c r="O90" s="17" t="str">
        <f t="shared" si="7"/>
        <v xml:space="preserve"> </v>
      </c>
      <c r="P90" s="17" t="str">
        <f t="shared" si="19"/>
        <v xml:space="preserve"> </v>
      </c>
      <c r="Q90" s="17" t="str">
        <f t="shared" si="9"/>
        <v xml:space="preserve"> </v>
      </c>
      <c r="R90" s="17">
        <f t="shared" si="24"/>
        <v>3.2425421530479895E-4</v>
      </c>
    </row>
    <row r="91" spans="1:18" ht="12.75">
      <c r="A91" s="12">
        <f t="shared" si="25"/>
        <v>12</v>
      </c>
      <c r="B91" s="13" t="s">
        <v>75</v>
      </c>
      <c r="C91" s="14" t="str">
        <f t="array" aca="1" ref="C91" ca="1">INDEX('Rooms Master'!U:U,MATCH(B91,'Rooms Master'!D:D,0))</f>
        <v>N</v>
      </c>
      <c r="D91" s="14"/>
      <c r="E91" s="15">
        <v>2</v>
      </c>
      <c r="F91" s="15">
        <v>2</v>
      </c>
      <c r="G91" s="15">
        <v>0</v>
      </c>
      <c r="H91" s="15">
        <v>0</v>
      </c>
      <c r="I91" s="15"/>
      <c r="J91" s="15"/>
      <c r="K91" s="15"/>
      <c r="L91" s="1" t="s">
        <v>24</v>
      </c>
      <c r="M91" s="17">
        <f t="shared" si="22"/>
        <v>1</v>
      </c>
      <c r="N91" s="18">
        <f t="shared" si="23"/>
        <v>0</v>
      </c>
      <c r="O91" s="17" t="str">
        <f t="shared" si="7"/>
        <v xml:space="preserve"> </v>
      </c>
      <c r="P91" s="17" t="str">
        <f t="shared" si="19"/>
        <v xml:space="preserve"> </v>
      </c>
      <c r="Q91" s="17" t="str">
        <f t="shared" si="9"/>
        <v xml:space="preserve"> </v>
      </c>
      <c r="R91" s="17">
        <f t="shared" si="24"/>
        <v>6.485084306095979E-4</v>
      </c>
    </row>
    <row r="92" spans="1:18" ht="12.75">
      <c r="A92" s="12">
        <f t="shared" si="25"/>
        <v>13</v>
      </c>
      <c r="B92" s="13" t="s">
        <v>118</v>
      </c>
      <c r="C92" s="14" t="str">
        <f t="array" aca="1" ref="C92" ca="1">INDEX('Rooms Master'!U:U,MATCH(B92,'Rooms Master'!D:D,0))</f>
        <v>N</v>
      </c>
      <c r="D92" s="14"/>
      <c r="E92" s="15">
        <v>0</v>
      </c>
      <c r="F92" s="15">
        <v>0</v>
      </c>
      <c r="G92" s="15">
        <v>0</v>
      </c>
      <c r="H92" s="15">
        <v>0</v>
      </c>
      <c r="I92" s="15"/>
      <c r="J92" s="15"/>
      <c r="K92" s="15"/>
      <c r="L92" s="1" t="s">
        <v>24</v>
      </c>
      <c r="M92" s="17" t="str">
        <f t="shared" si="22"/>
        <v xml:space="preserve"> </v>
      </c>
      <c r="N92" s="18" t="str">
        <f t="shared" si="23"/>
        <v xml:space="preserve"> </v>
      </c>
      <c r="O92" s="17" t="str">
        <f t="shared" si="7"/>
        <v xml:space="preserve"> </v>
      </c>
      <c r="P92" s="17" t="str">
        <f t="shared" si="19"/>
        <v xml:space="preserve"> </v>
      </c>
      <c r="Q92" s="17" t="str">
        <f t="shared" si="9"/>
        <v xml:space="preserve"> </v>
      </c>
      <c r="R92" s="17">
        <f t="shared" si="24"/>
        <v>0</v>
      </c>
    </row>
    <row r="93" spans="1:18" ht="12.75">
      <c r="A93" s="12">
        <f t="shared" si="25"/>
        <v>14</v>
      </c>
      <c r="B93" s="13" t="s">
        <v>114</v>
      </c>
      <c r="C93" s="14" t="str">
        <f t="array" aca="1" ref="C93" ca="1">INDEX('Rooms Master'!U:U,MATCH(B93,'Rooms Master'!D:D,0))</f>
        <v>Y</v>
      </c>
      <c r="D93" s="14"/>
      <c r="E93" s="15">
        <v>0</v>
      </c>
      <c r="F93" s="15">
        <v>0</v>
      </c>
      <c r="G93" s="15">
        <v>0</v>
      </c>
      <c r="H93" s="15"/>
      <c r="I93" s="15"/>
      <c r="J93" s="15"/>
      <c r="K93" s="15"/>
      <c r="L93" s="1" t="s">
        <v>24</v>
      </c>
      <c r="M93" s="17" t="str">
        <f t="shared" si="22"/>
        <v xml:space="preserve"> </v>
      </c>
      <c r="N93" s="18" t="str">
        <f t="shared" si="23"/>
        <v xml:space="preserve"> </v>
      </c>
      <c r="O93" s="17" t="str">
        <f t="shared" si="7"/>
        <v xml:space="preserve"> </v>
      </c>
      <c r="P93" s="17" t="str">
        <f t="shared" si="19"/>
        <v xml:space="preserve"> </v>
      </c>
      <c r="Q93" s="17" t="str">
        <f t="shared" si="9"/>
        <v xml:space="preserve"> </v>
      </c>
      <c r="R93" s="17">
        <f t="shared" si="24"/>
        <v>0</v>
      </c>
    </row>
    <row r="94" spans="1:18" ht="12.75">
      <c r="A94" s="12">
        <f t="shared" si="25"/>
        <v>15</v>
      </c>
      <c r="B94" s="13" t="s">
        <v>122</v>
      </c>
      <c r="C94" s="14" t="str">
        <f t="array" aca="1" ref="C94" ca="1">INDEX('Rooms Master'!U:U,MATCH(B94,'Rooms Master'!D:D,0))</f>
        <v>N</v>
      </c>
      <c r="D94" s="15"/>
      <c r="E94" s="15">
        <v>3</v>
      </c>
      <c r="F94" s="15">
        <v>3</v>
      </c>
      <c r="G94" s="15">
        <v>0</v>
      </c>
      <c r="H94" s="15">
        <v>0</v>
      </c>
      <c r="I94" s="15"/>
      <c r="J94" s="15"/>
      <c r="K94" s="15"/>
      <c r="L94" s="21" t="s">
        <v>20</v>
      </c>
      <c r="M94" s="17">
        <f t="shared" si="22"/>
        <v>1</v>
      </c>
      <c r="N94" s="18">
        <f t="shared" si="23"/>
        <v>0</v>
      </c>
      <c r="O94" s="18" t="str">
        <f t="shared" si="7"/>
        <v xml:space="preserve"> </v>
      </c>
      <c r="P94" s="17" t="str">
        <f t="shared" si="19"/>
        <v xml:space="preserve"> </v>
      </c>
      <c r="Q94" s="17" t="str">
        <f t="shared" si="9"/>
        <v xml:space="preserve"> </v>
      </c>
      <c r="R94" s="17">
        <f t="shared" si="24"/>
        <v>9.727626459143969E-4</v>
      </c>
    </row>
    <row r="95" spans="1:18" ht="12.75">
      <c r="A95" s="12">
        <f t="shared" si="25"/>
        <v>16</v>
      </c>
      <c r="B95" s="13" t="s">
        <v>125</v>
      </c>
      <c r="C95" s="14" t="str">
        <f t="array" aca="1" ref="C95" ca="1">INDEX('Rooms Master'!U:U,MATCH(B95,'Rooms Master'!D:D,0))</f>
        <v>N</v>
      </c>
      <c r="D95" s="15"/>
      <c r="E95" s="15">
        <v>10</v>
      </c>
      <c r="F95" s="15">
        <v>8</v>
      </c>
      <c r="G95" s="15">
        <v>0</v>
      </c>
      <c r="H95" s="15">
        <v>0</v>
      </c>
      <c r="I95" s="15"/>
      <c r="J95" s="15"/>
      <c r="K95" s="15"/>
      <c r="L95" s="1" t="s">
        <v>126</v>
      </c>
      <c r="M95" s="17">
        <f t="shared" si="22"/>
        <v>0.8</v>
      </c>
      <c r="N95" s="18">
        <f t="shared" si="23"/>
        <v>0</v>
      </c>
      <c r="O95" s="17" t="str">
        <f t="shared" si="7"/>
        <v xml:space="preserve"> </v>
      </c>
      <c r="P95" s="17" t="str">
        <f t="shared" si="19"/>
        <v xml:space="preserve"> </v>
      </c>
      <c r="Q95" s="17" t="str">
        <f t="shared" si="9"/>
        <v xml:space="preserve"> </v>
      </c>
      <c r="R95" s="17">
        <f t="shared" si="24"/>
        <v>3.2425421530479898E-3</v>
      </c>
    </row>
    <row r="96" spans="1:18" ht="12.75">
      <c r="A96" s="12">
        <f t="shared" si="25"/>
        <v>17</v>
      </c>
      <c r="B96" s="13" t="s">
        <v>127</v>
      </c>
      <c r="C96" s="14" t="str">
        <f t="array" aca="1" ref="C96" ca="1">INDEX('Rooms Master'!U:U,MATCH(B96,'Rooms Master'!D:D,0))</f>
        <v>N</v>
      </c>
      <c r="D96" s="14"/>
      <c r="E96" s="15">
        <v>0</v>
      </c>
      <c r="F96" s="15">
        <v>0</v>
      </c>
      <c r="G96" s="15">
        <v>0</v>
      </c>
      <c r="H96" s="15">
        <v>0</v>
      </c>
      <c r="I96" s="15"/>
      <c r="J96" s="15"/>
      <c r="K96" s="15"/>
      <c r="L96" s="1" t="s">
        <v>24</v>
      </c>
      <c r="M96" s="17" t="str">
        <f t="shared" si="22"/>
        <v xml:space="preserve"> </v>
      </c>
      <c r="N96" s="18" t="str">
        <f t="shared" si="23"/>
        <v xml:space="preserve"> </v>
      </c>
      <c r="O96" s="17" t="str">
        <f t="shared" si="7"/>
        <v xml:space="preserve"> </v>
      </c>
      <c r="P96" s="17" t="str">
        <f t="shared" si="19"/>
        <v xml:space="preserve"> </v>
      </c>
      <c r="Q96" s="17" t="str">
        <f t="shared" si="9"/>
        <v xml:space="preserve"> </v>
      </c>
      <c r="R96" s="17">
        <f t="shared" si="24"/>
        <v>0</v>
      </c>
    </row>
    <row r="97" spans="1:18" ht="12.75">
      <c r="A97" s="12">
        <f t="shared" si="25"/>
        <v>18</v>
      </c>
      <c r="B97" s="13" t="s">
        <v>128</v>
      </c>
      <c r="C97" s="14" t="str">
        <f t="array" aca="1" ref="C97" ca="1">INDEX('Rooms Master'!U:U,MATCH(B97,'Rooms Master'!D:D,0))</f>
        <v>N</v>
      </c>
      <c r="D97" s="14"/>
      <c r="E97" s="15">
        <v>0</v>
      </c>
      <c r="F97" s="15">
        <v>0</v>
      </c>
      <c r="G97" s="15">
        <v>0</v>
      </c>
      <c r="H97" s="15">
        <v>0</v>
      </c>
      <c r="I97" s="15"/>
      <c r="J97" s="15"/>
      <c r="K97" s="15"/>
      <c r="L97" s="1" t="s">
        <v>24</v>
      </c>
      <c r="M97" s="17" t="str">
        <f t="shared" si="22"/>
        <v xml:space="preserve"> </v>
      </c>
      <c r="N97" s="18" t="str">
        <f t="shared" si="23"/>
        <v xml:space="preserve"> </v>
      </c>
      <c r="O97" s="17" t="str">
        <f t="shared" si="7"/>
        <v xml:space="preserve"> </v>
      </c>
      <c r="P97" s="17" t="str">
        <f t="shared" si="19"/>
        <v xml:space="preserve"> </v>
      </c>
      <c r="Q97" s="17" t="str">
        <f t="shared" si="9"/>
        <v xml:space="preserve"> </v>
      </c>
      <c r="R97" s="17">
        <f t="shared" si="24"/>
        <v>0</v>
      </c>
    </row>
    <row r="98" spans="1:18" ht="12.75">
      <c r="A98" s="12">
        <f t="shared" si="25"/>
        <v>19</v>
      </c>
      <c r="B98" s="13" t="s">
        <v>130</v>
      </c>
      <c r="C98" s="14" t="str">
        <f t="array" aca="1" ref="C98" ca="1">INDEX('Rooms Master'!U:U,MATCH(B98,'Rooms Master'!D:D,0))</f>
        <v>N</v>
      </c>
      <c r="D98" s="15"/>
      <c r="E98" s="15">
        <v>0</v>
      </c>
      <c r="F98" s="15">
        <v>0</v>
      </c>
      <c r="G98" s="15">
        <v>0</v>
      </c>
      <c r="H98" s="15">
        <v>0</v>
      </c>
      <c r="I98" s="15"/>
      <c r="J98" s="15"/>
      <c r="K98" s="15"/>
      <c r="L98" s="21" t="s">
        <v>20</v>
      </c>
      <c r="M98" s="17" t="str">
        <f t="shared" si="22"/>
        <v xml:space="preserve"> </v>
      </c>
      <c r="N98" s="18" t="str">
        <f t="shared" si="23"/>
        <v xml:space="preserve"> </v>
      </c>
      <c r="O98" s="17" t="str">
        <f t="shared" si="7"/>
        <v xml:space="preserve"> </v>
      </c>
      <c r="P98" s="18" t="str">
        <f t="shared" si="19"/>
        <v xml:space="preserve"> </v>
      </c>
      <c r="Q98" s="18" t="str">
        <f t="shared" si="9"/>
        <v xml:space="preserve"> </v>
      </c>
      <c r="R98" s="17">
        <f t="shared" si="24"/>
        <v>0</v>
      </c>
    </row>
    <row r="99" spans="1:18" ht="12.75">
      <c r="A99" s="12">
        <f t="shared" si="25"/>
        <v>20</v>
      </c>
      <c r="B99" s="13" t="s">
        <v>131</v>
      </c>
      <c r="C99" s="14" t="str">
        <f t="array" aca="1" ref="C99" ca="1">INDEX('Rooms Master'!U:U,MATCH(B99,'Rooms Master'!D:D,0))</f>
        <v>N</v>
      </c>
      <c r="D99" s="14"/>
      <c r="E99" s="15">
        <v>0</v>
      </c>
      <c r="F99" s="15">
        <v>0</v>
      </c>
      <c r="G99" s="15">
        <v>0</v>
      </c>
      <c r="H99" s="15">
        <v>0</v>
      </c>
      <c r="I99" s="15"/>
      <c r="J99" s="15"/>
      <c r="K99" s="15"/>
      <c r="L99" s="1" t="s">
        <v>24</v>
      </c>
      <c r="M99" s="17" t="str">
        <f t="shared" si="22"/>
        <v xml:space="preserve"> </v>
      </c>
      <c r="N99" s="18" t="str">
        <f t="shared" si="23"/>
        <v xml:space="preserve"> </v>
      </c>
      <c r="O99" s="17" t="str">
        <f t="shared" si="7"/>
        <v xml:space="preserve"> </v>
      </c>
      <c r="P99" s="17" t="str">
        <f t="shared" si="19"/>
        <v xml:space="preserve"> </v>
      </c>
      <c r="Q99" s="17" t="str">
        <f t="shared" si="9"/>
        <v xml:space="preserve"> </v>
      </c>
      <c r="R99" s="17">
        <f t="shared" si="24"/>
        <v>0</v>
      </c>
    </row>
    <row r="100" spans="1:18" ht="12.75">
      <c r="A100" s="12">
        <f t="shared" si="25"/>
        <v>21</v>
      </c>
      <c r="B100" s="13" t="s">
        <v>132</v>
      </c>
      <c r="C100" s="14" t="str">
        <f t="array" aca="1" ref="C100" ca="1">INDEX('Rooms Master'!U:U,MATCH(B100,'Rooms Master'!D:D,0))</f>
        <v>N</v>
      </c>
      <c r="D100" s="15"/>
      <c r="E100" s="15">
        <v>0</v>
      </c>
      <c r="F100" s="15">
        <v>0</v>
      </c>
      <c r="G100" s="15">
        <v>0</v>
      </c>
      <c r="H100" s="15">
        <v>0</v>
      </c>
      <c r="I100" s="15"/>
      <c r="J100" s="15"/>
      <c r="K100" s="15"/>
      <c r="L100" s="1" t="s">
        <v>24</v>
      </c>
      <c r="M100" s="17" t="str">
        <f t="shared" si="22"/>
        <v xml:space="preserve"> </v>
      </c>
      <c r="N100" s="18" t="str">
        <f t="shared" si="23"/>
        <v xml:space="preserve"> </v>
      </c>
      <c r="O100" s="17" t="str">
        <f t="shared" si="7"/>
        <v xml:space="preserve"> </v>
      </c>
      <c r="P100" s="17" t="str">
        <f t="shared" si="19"/>
        <v xml:space="preserve"> </v>
      </c>
      <c r="Q100" s="17" t="str">
        <f t="shared" si="9"/>
        <v xml:space="preserve"> </v>
      </c>
      <c r="R100" s="17">
        <f t="shared" si="24"/>
        <v>0</v>
      </c>
    </row>
    <row r="101" spans="1:18" ht="12.75">
      <c r="A101" s="12">
        <f t="shared" si="25"/>
        <v>22</v>
      </c>
      <c r="B101" s="13" t="s">
        <v>119</v>
      </c>
      <c r="C101" s="14" t="str">
        <f t="array" aca="1" ref="C101" ca="1">INDEX('Rooms Master'!U:U,MATCH(B101,'Rooms Master'!D:D,0))</f>
        <v>N</v>
      </c>
      <c r="D101" s="14"/>
      <c r="E101" s="15">
        <v>0</v>
      </c>
      <c r="F101" s="15">
        <v>0</v>
      </c>
      <c r="G101" s="15">
        <v>0</v>
      </c>
      <c r="H101" s="15">
        <v>0</v>
      </c>
      <c r="I101" s="15"/>
      <c r="J101" s="15"/>
      <c r="K101" s="15"/>
      <c r="L101" s="1" t="s">
        <v>24</v>
      </c>
      <c r="M101" s="17" t="str">
        <f t="shared" si="22"/>
        <v xml:space="preserve"> </v>
      </c>
      <c r="N101" s="18" t="str">
        <f t="shared" si="23"/>
        <v xml:space="preserve"> </v>
      </c>
      <c r="O101" s="17" t="str">
        <f t="shared" si="7"/>
        <v xml:space="preserve"> </v>
      </c>
      <c r="P101" s="17" t="str">
        <f t="shared" si="19"/>
        <v xml:space="preserve"> </v>
      </c>
      <c r="Q101" s="17" t="str">
        <f t="shared" si="9"/>
        <v xml:space="preserve"> </v>
      </c>
      <c r="R101" s="17">
        <f t="shared" si="24"/>
        <v>0</v>
      </c>
    </row>
    <row r="102" spans="1:18" ht="12.75">
      <c r="A102" s="12">
        <f t="shared" si="25"/>
        <v>23</v>
      </c>
      <c r="B102" s="13" t="s">
        <v>133</v>
      </c>
      <c r="C102" s="14" t="str">
        <f t="array" aca="1" ref="C102" ca="1">INDEX('Rooms Master'!U:U,MATCH(B102,'Rooms Master'!D:D,0))</f>
        <v>N</v>
      </c>
      <c r="D102" s="14"/>
      <c r="E102" s="15"/>
      <c r="F102" s="15"/>
      <c r="G102" s="15">
        <v>0</v>
      </c>
      <c r="H102" s="15">
        <v>0</v>
      </c>
      <c r="I102" s="15"/>
      <c r="J102" s="15"/>
      <c r="K102" s="15"/>
      <c r="L102" s="1" t="s">
        <v>24</v>
      </c>
      <c r="M102" s="17" t="str">
        <f t="shared" si="22"/>
        <v xml:space="preserve"> </v>
      </c>
      <c r="N102" s="18" t="str">
        <f t="shared" si="23"/>
        <v xml:space="preserve"> </v>
      </c>
      <c r="O102" s="17" t="str">
        <f t="shared" si="7"/>
        <v xml:space="preserve"> </v>
      </c>
      <c r="P102" s="17" t="str">
        <f t="shared" si="19"/>
        <v xml:space="preserve"> </v>
      </c>
      <c r="Q102" s="17" t="str">
        <f t="shared" si="9"/>
        <v xml:space="preserve"> </v>
      </c>
      <c r="R102" s="17">
        <f t="shared" si="24"/>
        <v>0</v>
      </c>
    </row>
    <row r="103" spans="1:18" ht="12.75">
      <c r="A103" s="12">
        <f t="shared" si="25"/>
        <v>24</v>
      </c>
      <c r="B103" s="13" t="s">
        <v>134</v>
      </c>
      <c r="C103" s="14" t="str">
        <f t="array" aca="1" ref="C103" ca="1">INDEX('Rooms Master'!U:U,MATCH(B103,'Rooms Master'!D:D,0))</f>
        <v>N</v>
      </c>
      <c r="D103" s="14"/>
      <c r="E103" s="15"/>
      <c r="F103" s="15"/>
      <c r="G103" s="15">
        <v>0</v>
      </c>
      <c r="H103" s="15">
        <v>0</v>
      </c>
      <c r="I103" s="15"/>
      <c r="J103" s="15"/>
      <c r="K103" s="15"/>
      <c r="L103" s="1" t="s">
        <v>24</v>
      </c>
      <c r="M103" s="17" t="str">
        <f t="shared" si="22"/>
        <v xml:space="preserve"> </v>
      </c>
      <c r="N103" s="18" t="str">
        <f t="shared" si="23"/>
        <v xml:space="preserve"> </v>
      </c>
      <c r="O103" s="17" t="str">
        <f t="shared" si="7"/>
        <v xml:space="preserve"> </v>
      </c>
      <c r="P103" s="17" t="str">
        <f t="shared" si="19"/>
        <v xml:space="preserve"> </v>
      </c>
      <c r="Q103" s="17" t="str">
        <f t="shared" si="9"/>
        <v xml:space="preserve"> </v>
      </c>
      <c r="R103" s="17">
        <f t="shared" si="24"/>
        <v>0</v>
      </c>
    </row>
    <row r="104" spans="1:18" ht="12.75">
      <c r="A104" s="12">
        <f t="shared" si="25"/>
        <v>25</v>
      </c>
      <c r="B104" s="13" t="s">
        <v>137</v>
      </c>
      <c r="C104" s="14" t="str">
        <f t="array" aca="1" ref="C104" ca="1">INDEX('Rooms Master'!U:U,MATCH(B104,'Rooms Master'!D:D,0))</f>
        <v>N</v>
      </c>
      <c r="D104" s="15"/>
      <c r="E104" s="15">
        <v>0</v>
      </c>
      <c r="F104" s="15">
        <v>0</v>
      </c>
      <c r="G104" s="15">
        <v>2</v>
      </c>
      <c r="H104" s="15">
        <v>0</v>
      </c>
      <c r="I104" s="15"/>
      <c r="J104" s="15"/>
      <c r="K104" s="15"/>
      <c r="L104" s="1" t="s">
        <v>138</v>
      </c>
      <c r="M104" s="17" t="str">
        <f t="shared" si="22"/>
        <v xml:space="preserve"> </v>
      </c>
      <c r="N104" s="18" t="str">
        <f t="shared" si="23"/>
        <v xml:space="preserve"> </v>
      </c>
      <c r="O104" s="17" t="str">
        <f t="shared" si="7"/>
        <v xml:space="preserve"> </v>
      </c>
      <c r="P104" s="17" t="str">
        <f t="shared" si="19"/>
        <v xml:space="preserve"> </v>
      </c>
      <c r="Q104" s="17" t="str">
        <f t="shared" si="9"/>
        <v xml:space="preserve"> </v>
      </c>
      <c r="R104" s="17">
        <f t="shared" si="24"/>
        <v>0</v>
      </c>
    </row>
    <row r="105" spans="1:18" ht="12.75">
      <c r="A105" s="12">
        <f t="shared" si="25"/>
        <v>26</v>
      </c>
      <c r="B105" s="13" t="s">
        <v>76</v>
      </c>
      <c r="C105" s="14" t="str">
        <f t="array" aca="1" ref="C105" ca="1">INDEX('Rooms Master'!U:U,MATCH(B105,'Rooms Master'!D:D,0))</f>
        <v>N</v>
      </c>
      <c r="D105" s="15"/>
      <c r="E105" s="15">
        <v>29</v>
      </c>
      <c r="F105" s="15">
        <v>22</v>
      </c>
      <c r="G105" s="15">
        <v>3</v>
      </c>
      <c r="H105" s="15">
        <v>0</v>
      </c>
      <c r="I105" s="15"/>
      <c r="J105" s="15"/>
      <c r="K105" s="15"/>
      <c r="L105" s="1" t="s">
        <v>34</v>
      </c>
      <c r="M105" s="17">
        <f t="shared" si="22"/>
        <v>0.75862068965517238</v>
      </c>
      <c r="N105" s="18">
        <f t="shared" si="23"/>
        <v>0</v>
      </c>
      <c r="O105" s="17" t="str">
        <f t="shared" si="7"/>
        <v xml:space="preserve"> </v>
      </c>
      <c r="P105" s="17" t="str">
        <f t="shared" si="19"/>
        <v xml:space="preserve"> </v>
      </c>
      <c r="Q105" s="17" t="str">
        <f t="shared" si="9"/>
        <v xml:space="preserve"> </v>
      </c>
      <c r="R105" s="17">
        <f t="shared" si="24"/>
        <v>9.4033722438391695E-3</v>
      </c>
    </row>
    <row r="106" spans="1:18" ht="12.75">
      <c r="A106" s="12">
        <f t="shared" si="25"/>
        <v>27</v>
      </c>
      <c r="B106" s="13" t="s">
        <v>66</v>
      </c>
      <c r="C106" s="14" t="str">
        <f t="array" aca="1" ref="C106" ca="1">INDEX('Rooms Master'!U:U,MATCH(B106,'Rooms Master'!D:D,0))</f>
        <v>Y</v>
      </c>
      <c r="D106" s="15"/>
      <c r="E106" s="15">
        <v>5</v>
      </c>
      <c r="F106" s="15">
        <v>4</v>
      </c>
      <c r="G106" s="15">
        <v>0</v>
      </c>
      <c r="H106" s="15">
        <v>0</v>
      </c>
      <c r="I106" s="15"/>
      <c r="J106" s="15"/>
      <c r="K106" s="15"/>
      <c r="L106" s="1" t="s">
        <v>34</v>
      </c>
      <c r="M106" s="17">
        <f t="shared" si="22"/>
        <v>0.8</v>
      </c>
      <c r="N106" s="18">
        <f t="shared" si="23"/>
        <v>0</v>
      </c>
      <c r="O106" s="17" t="str">
        <f t="shared" si="7"/>
        <v xml:space="preserve"> </v>
      </c>
      <c r="P106" s="17" t="str">
        <f t="shared" si="19"/>
        <v xml:space="preserve"> </v>
      </c>
      <c r="Q106" s="17" t="str">
        <f t="shared" si="9"/>
        <v xml:space="preserve"> </v>
      </c>
      <c r="R106" s="17">
        <f t="shared" si="24"/>
        <v>1.6212710765239949E-3</v>
      </c>
    </row>
    <row r="107" spans="1:18" ht="12.75">
      <c r="A107" s="12">
        <f t="shared" si="25"/>
        <v>28</v>
      </c>
      <c r="B107" s="13" t="s">
        <v>139</v>
      </c>
      <c r="C107" s="14" t="str">
        <f t="array" aca="1" ref="C107" ca="1">INDEX('Rooms Master'!U:U,MATCH(B107,'Rooms Master'!D:D,0))</f>
        <v>N</v>
      </c>
      <c r="D107" s="14"/>
      <c r="E107" s="15">
        <v>0</v>
      </c>
      <c r="F107" s="15">
        <v>0</v>
      </c>
      <c r="G107" s="15">
        <v>0</v>
      </c>
      <c r="H107" s="15">
        <v>0</v>
      </c>
      <c r="I107" s="15"/>
      <c r="J107" s="15"/>
      <c r="K107" s="15"/>
      <c r="L107" s="1" t="s">
        <v>24</v>
      </c>
      <c r="M107" s="17" t="str">
        <f t="shared" si="22"/>
        <v xml:space="preserve"> </v>
      </c>
      <c r="N107" s="18" t="str">
        <f t="shared" si="23"/>
        <v xml:space="preserve"> </v>
      </c>
      <c r="O107" s="17" t="str">
        <f t="shared" si="7"/>
        <v xml:space="preserve"> </v>
      </c>
      <c r="P107" s="17" t="str">
        <f t="shared" si="19"/>
        <v xml:space="preserve"> </v>
      </c>
      <c r="Q107" s="17" t="str">
        <f t="shared" si="9"/>
        <v xml:space="preserve"> </v>
      </c>
      <c r="R107" s="17">
        <f t="shared" si="24"/>
        <v>0</v>
      </c>
    </row>
    <row r="108" spans="1:18" ht="12.75">
      <c r="A108" s="12">
        <f t="shared" si="25"/>
        <v>29</v>
      </c>
      <c r="B108" s="13" t="s">
        <v>140</v>
      </c>
      <c r="C108" s="14" t="str">
        <f t="array" aca="1" ref="C108" ca="1">INDEX('Rooms Master'!U:U,MATCH(B108,'Rooms Master'!D:D,0))</f>
        <v>N</v>
      </c>
      <c r="D108" s="14"/>
      <c r="E108" s="15">
        <v>0</v>
      </c>
      <c r="F108" s="15">
        <v>0</v>
      </c>
      <c r="G108" s="15">
        <v>0</v>
      </c>
      <c r="H108" s="15">
        <v>0</v>
      </c>
      <c r="I108" s="15"/>
      <c r="J108" s="15"/>
      <c r="K108" s="15"/>
      <c r="L108" s="1" t="s">
        <v>24</v>
      </c>
      <c r="M108" s="17" t="str">
        <f t="shared" si="22"/>
        <v xml:space="preserve"> </v>
      </c>
      <c r="N108" s="18" t="str">
        <f t="shared" si="23"/>
        <v xml:space="preserve"> </v>
      </c>
      <c r="O108" s="17" t="str">
        <f t="shared" si="7"/>
        <v xml:space="preserve"> </v>
      </c>
      <c r="P108" s="17" t="str">
        <f t="shared" si="19"/>
        <v xml:space="preserve"> </v>
      </c>
      <c r="Q108" s="17" t="str">
        <f t="shared" si="9"/>
        <v xml:space="preserve"> </v>
      </c>
      <c r="R108" s="17">
        <f t="shared" si="24"/>
        <v>0</v>
      </c>
    </row>
    <row r="109" spans="1:18" ht="12.75">
      <c r="A109" s="12">
        <f t="shared" si="25"/>
        <v>30</v>
      </c>
      <c r="B109" s="13" t="s">
        <v>107</v>
      </c>
      <c r="C109" s="14" t="str">
        <f t="array" aca="1" ref="C109" ca="1">INDEX('Rooms Master'!U:U,MATCH(B109,'Rooms Master'!D:D,0))</f>
        <v>Y</v>
      </c>
      <c r="D109" s="14"/>
      <c r="E109" s="15">
        <v>0</v>
      </c>
      <c r="F109" s="15">
        <v>0</v>
      </c>
      <c r="G109" s="15">
        <v>0</v>
      </c>
      <c r="H109" s="15">
        <v>0</v>
      </c>
      <c r="I109" s="15"/>
      <c r="J109" s="15"/>
      <c r="K109" s="15"/>
      <c r="L109" s="1" t="s">
        <v>24</v>
      </c>
      <c r="M109" s="17" t="str">
        <f t="shared" si="22"/>
        <v xml:space="preserve"> </v>
      </c>
      <c r="N109" s="18" t="str">
        <f t="shared" si="23"/>
        <v xml:space="preserve"> </v>
      </c>
      <c r="O109" s="17" t="str">
        <f t="shared" si="7"/>
        <v xml:space="preserve"> </v>
      </c>
      <c r="P109" s="17" t="str">
        <f t="shared" si="19"/>
        <v xml:space="preserve"> </v>
      </c>
      <c r="Q109" s="17" t="str">
        <f t="shared" si="9"/>
        <v xml:space="preserve"> </v>
      </c>
      <c r="R109" s="17">
        <f t="shared" si="24"/>
        <v>0</v>
      </c>
    </row>
    <row r="110" spans="1:18" ht="12.75">
      <c r="A110" s="12">
        <f t="shared" si="25"/>
        <v>31</v>
      </c>
      <c r="B110" s="13" t="s">
        <v>72</v>
      </c>
      <c r="C110" s="14" t="str">
        <f t="array" aca="1" ref="C110" ca="1">INDEX('Rooms Master'!U:U,MATCH(B110,'Rooms Master'!D:D,0))</f>
        <v>N</v>
      </c>
      <c r="D110" s="15"/>
      <c r="E110" s="15">
        <v>15</v>
      </c>
      <c r="F110" s="15">
        <v>9</v>
      </c>
      <c r="G110" s="15">
        <v>0</v>
      </c>
      <c r="H110" s="15">
        <v>0</v>
      </c>
      <c r="I110" s="15"/>
      <c r="J110" s="15"/>
      <c r="K110" s="15"/>
      <c r="M110" s="17">
        <f t="shared" si="22"/>
        <v>0.6</v>
      </c>
      <c r="N110" s="18">
        <f t="shared" si="23"/>
        <v>0</v>
      </c>
      <c r="O110" s="17" t="str">
        <f t="shared" si="7"/>
        <v xml:space="preserve"> </v>
      </c>
      <c r="P110" s="17" t="str">
        <f t="shared" si="19"/>
        <v xml:space="preserve"> </v>
      </c>
      <c r="Q110" s="17" t="str">
        <f t="shared" si="9"/>
        <v xml:space="preserve"> </v>
      </c>
      <c r="R110" s="17">
        <f t="shared" si="24"/>
        <v>4.8638132295719845E-3</v>
      </c>
    </row>
    <row r="111" spans="1:18" ht="12.75">
      <c r="A111" s="12">
        <f t="shared" si="25"/>
        <v>32</v>
      </c>
      <c r="B111" s="13" t="s">
        <v>141</v>
      </c>
      <c r="C111" s="15" t="s">
        <v>142</v>
      </c>
      <c r="D111" s="14"/>
      <c r="E111" s="15">
        <v>0</v>
      </c>
      <c r="F111" s="15">
        <v>0</v>
      </c>
      <c r="G111" s="15">
        <v>2</v>
      </c>
      <c r="H111" s="15">
        <v>0</v>
      </c>
      <c r="I111" s="15"/>
      <c r="J111" s="15"/>
      <c r="K111" s="15"/>
      <c r="L111" s="1" t="s">
        <v>24</v>
      </c>
      <c r="M111" s="17" t="str">
        <f t="shared" si="22"/>
        <v xml:space="preserve"> </v>
      </c>
      <c r="N111" s="18" t="str">
        <f t="shared" si="23"/>
        <v xml:space="preserve"> </v>
      </c>
      <c r="O111" s="17" t="str">
        <f t="shared" si="7"/>
        <v xml:space="preserve"> </v>
      </c>
      <c r="P111" s="17" t="str">
        <f t="shared" si="19"/>
        <v xml:space="preserve"> </v>
      </c>
      <c r="Q111" s="17" t="str">
        <f t="shared" si="9"/>
        <v xml:space="preserve"> </v>
      </c>
      <c r="R111" s="17">
        <f t="shared" si="24"/>
        <v>0</v>
      </c>
    </row>
    <row r="112" spans="1:18" ht="12.75">
      <c r="A112" s="12">
        <f t="shared" si="25"/>
        <v>33</v>
      </c>
      <c r="B112" s="13" t="s">
        <v>120</v>
      </c>
      <c r="C112" s="14" t="str">
        <f t="array" aca="1" ref="C112" ca="1">INDEX('Rooms Master'!U:U,MATCH(B112,'Rooms Master'!D:D,0))</f>
        <v>N</v>
      </c>
      <c r="D112" s="14"/>
      <c r="E112" s="15">
        <v>0</v>
      </c>
      <c r="F112" s="15">
        <v>0</v>
      </c>
      <c r="G112" s="15">
        <v>0</v>
      </c>
      <c r="H112" s="15">
        <v>0</v>
      </c>
      <c r="I112" s="15"/>
      <c r="J112" s="15"/>
      <c r="K112" s="15"/>
      <c r="L112" s="1" t="s">
        <v>24</v>
      </c>
      <c r="M112" s="17" t="str">
        <f t="shared" si="22"/>
        <v xml:space="preserve"> </v>
      </c>
      <c r="N112" s="18" t="str">
        <f t="shared" si="23"/>
        <v xml:space="preserve"> </v>
      </c>
      <c r="O112" s="17" t="str">
        <f t="shared" si="7"/>
        <v xml:space="preserve"> </v>
      </c>
      <c r="P112" s="17" t="str">
        <f t="shared" si="19"/>
        <v xml:space="preserve"> </v>
      </c>
      <c r="Q112" s="17" t="str">
        <f t="shared" si="9"/>
        <v xml:space="preserve"> </v>
      </c>
      <c r="R112" s="17">
        <f t="shared" si="24"/>
        <v>0</v>
      </c>
    </row>
    <row r="113" spans="1:29" ht="12.75">
      <c r="A113" s="12">
        <f t="shared" si="25"/>
        <v>34</v>
      </c>
      <c r="B113" s="13" t="s">
        <v>121</v>
      </c>
      <c r="C113" s="14" t="str">
        <f t="array" aca="1" ref="C113" ca="1">INDEX('Rooms Master'!U:U,MATCH(B113,'Rooms Master'!D:D,0))</f>
        <v>N</v>
      </c>
      <c r="D113" s="14"/>
      <c r="E113" s="15">
        <v>0</v>
      </c>
      <c r="F113" s="15">
        <v>0</v>
      </c>
      <c r="G113" s="15">
        <v>0</v>
      </c>
      <c r="H113" s="15">
        <v>0</v>
      </c>
      <c r="I113" s="15"/>
      <c r="J113" s="15"/>
      <c r="K113" s="15"/>
      <c r="L113" s="1" t="s">
        <v>24</v>
      </c>
      <c r="M113" s="17" t="str">
        <f t="shared" si="22"/>
        <v xml:space="preserve"> </v>
      </c>
      <c r="N113" s="18" t="str">
        <f t="shared" si="23"/>
        <v xml:space="preserve"> </v>
      </c>
      <c r="O113" s="17" t="str">
        <f t="shared" si="7"/>
        <v xml:space="preserve"> </v>
      </c>
      <c r="P113" s="17" t="str">
        <f t="shared" si="19"/>
        <v xml:space="preserve"> </v>
      </c>
      <c r="Q113" s="17" t="str">
        <f t="shared" si="9"/>
        <v xml:space="preserve"> </v>
      </c>
      <c r="R113" s="17">
        <f t="shared" si="24"/>
        <v>0</v>
      </c>
    </row>
    <row r="114" spans="1:29" ht="12.75">
      <c r="A114" s="12">
        <f t="shared" si="25"/>
        <v>35</v>
      </c>
      <c r="B114" s="13" t="s">
        <v>91</v>
      </c>
      <c r="C114" s="14" t="str">
        <f t="array" aca="1" ref="C114" ca="1">INDEX('Rooms Master'!U:U,MATCH(B114,'Rooms Master'!D:D,0))</f>
        <v>N</v>
      </c>
      <c r="D114" s="15"/>
      <c r="E114" s="15">
        <v>3</v>
      </c>
      <c r="F114" s="15">
        <v>1</v>
      </c>
      <c r="G114" s="15">
        <v>0</v>
      </c>
      <c r="H114" s="15">
        <v>0</v>
      </c>
      <c r="I114" s="26"/>
      <c r="J114" s="15"/>
      <c r="K114" s="15"/>
      <c r="L114" s="1" t="s">
        <v>20</v>
      </c>
      <c r="M114" s="17">
        <f t="shared" si="22"/>
        <v>0.33333333333333331</v>
      </c>
      <c r="N114" s="18">
        <f t="shared" si="23"/>
        <v>0</v>
      </c>
      <c r="O114" s="17" t="str">
        <f t="shared" si="7"/>
        <v xml:space="preserve"> </v>
      </c>
      <c r="P114" s="17" t="str">
        <f>IFERROR(K114/#REF!, " ")</f>
        <v xml:space="preserve"> </v>
      </c>
      <c r="Q114" s="17" t="str">
        <f t="shared" si="9"/>
        <v xml:space="preserve"> </v>
      </c>
      <c r="R114" s="17">
        <f t="shared" si="24"/>
        <v>9.727626459143969E-4</v>
      </c>
    </row>
    <row r="115" spans="1:29" ht="12.75">
      <c r="A115" s="12">
        <f t="shared" si="25"/>
        <v>36</v>
      </c>
      <c r="B115" s="13" t="s">
        <v>111</v>
      </c>
      <c r="C115" s="14" t="str">
        <f t="array" aca="1" ref="C115" ca="1">INDEX('Rooms Master'!U:U,MATCH(B115,'Rooms Master'!D:D,0))</f>
        <v>N</v>
      </c>
      <c r="D115" s="14"/>
      <c r="E115" s="15">
        <v>0</v>
      </c>
      <c r="F115" s="15">
        <v>0</v>
      </c>
      <c r="G115" s="15">
        <v>0</v>
      </c>
      <c r="H115" s="15">
        <v>0</v>
      </c>
      <c r="I115" s="15"/>
      <c r="J115" s="15"/>
      <c r="K115" s="15"/>
      <c r="L115" s="1" t="s">
        <v>24</v>
      </c>
      <c r="M115" s="17" t="str">
        <f t="shared" si="22"/>
        <v xml:space="preserve"> </v>
      </c>
      <c r="N115" s="18" t="str">
        <f t="shared" si="23"/>
        <v xml:space="preserve"> </v>
      </c>
      <c r="O115" s="17" t="str">
        <f t="shared" si="7"/>
        <v xml:space="preserve"> </v>
      </c>
      <c r="P115" s="17" t="str">
        <f>IFERROR(K115/I115, " ")</f>
        <v xml:space="preserve"> </v>
      </c>
      <c r="Q115" s="17" t="str">
        <f t="shared" si="9"/>
        <v xml:space="preserve"> </v>
      </c>
      <c r="R115" s="17">
        <f t="shared" si="24"/>
        <v>0</v>
      </c>
    </row>
    <row r="116" spans="1:29" ht="12.75">
      <c r="C116" s="29"/>
      <c r="D116" s="29"/>
      <c r="E116" s="29"/>
      <c r="F116" s="29"/>
      <c r="G116" s="29"/>
      <c r="H116" s="29"/>
      <c r="I116" s="29"/>
      <c r="J116" s="29"/>
      <c r="K116" s="29"/>
      <c r="M116" s="17"/>
      <c r="N116" s="18" t="str">
        <f t="shared" si="23"/>
        <v xml:space="preserve"> </v>
      </c>
      <c r="R116" s="17"/>
    </row>
    <row r="117" spans="1:29" ht="13.15">
      <c r="A117" s="30"/>
      <c r="B117" s="31" t="s">
        <v>143</v>
      </c>
      <c r="C117" s="32"/>
      <c r="D117" s="32"/>
      <c r="E117" s="32">
        <f t="shared" ref="E117:K117" si="26">SUM(E2:E115)</f>
        <v>3084</v>
      </c>
      <c r="F117" s="32">
        <f t="shared" si="26"/>
        <v>869</v>
      </c>
      <c r="G117" s="32">
        <f t="shared" si="26"/>
        <v>319</v>
      </c>
      <c r="H117" s="32">
        <f t="shared" si="26"/>
        <v>131</v>
      </c>
      <c r="I117" s="32">
        <f t="shared" si="26"/>
        <v>15</v>
      </c>
      <c r="J117" s="32">
        <f t="shared" si="26"/>
        <v>17</v>
      </c>
      <c r="K117" s="32">
        <f t="shared" si="26"/>
        <v>15</v>
      </c>
      <c r="L117" s="30"/>
      <c r="M117" s="33"/>
      <c r="N117" s="34">
        <f t="shared" si="23"/>
        <v>4.2477302204928666E-2</v>
      </c>
      <c r="O117" s="33">
        <f>K117/H117</f>
        <v>0.11450381679389313</v>
      </c>
      <c r="P117" s="33">
        <f>K117/I117</f>
        <v>1</v>
      </c>
      <c r="Q117" s="33">
        <f>K117/J117</f>
        <v>0.88235294117647056</v>
      </c>
      <c r="R117" s="33"/>
      <c r="S117" s="33">
        <f>K117/E117</f>
        <v>4.8638132295719845E-3</v>
      </c>
      <c r="T117" s="30"/>
      <c r="U117" s="30"/>
      <c r="V117" s="30"/>
      <c r="W117" s="30"/>
      <c r="X117" s="30"/>
      <c r="Y117" s="30"/>
      <c r="Z117" s="30"/>
      <c r="AA117" s="30"/>
      <c r="AB117" s="30"/>
      <c r="AC117" s="30"/>
    </row>
    <row r="118" spans="1:29" ht="12.75">
      <c r="M118" s="17"/>
      <c r="N118" s="35"/>
      <c r="R118" s="17"/>
    </row>
    <row r="119" spans="1:29" ht="13.5">
      <c r="B119" s="21" t="s">
        <v>144</v>
      </c>
      <c r="C119" s="36">
        <f ca="1">IFERROR(__xludf.DUMMYFUNCTION("AVERAGE(FILTER($E$2:$E$115,$C2:$C$115=""Y""))"),30.3731343283582)</f>
        <v>30.373134328358201</v>
      </c>
      <c r="K119" s="37"/>
      <c r="M119" s="17"/>
      <c r="N119" s="35"/>
      <c r="R119" s="17"/>
    </row>
    <row r="120" spans="1:29" ht="12.75">
      <c r="M120" s="17"/>
      <c r="N120" s="35"/>
      <c r="R120" s="17"/>
    </row>
    <row r="121" spans="1:29" ht="12.75">
      <c r="M121" s="17"/>
      <c r="N121" s="35"/>
      <c r="R121" s="17"/>
    </row>
    <row r="122" spans="1:29" ht="12.75">
      <c r="M122" s="17"/>
      <c r="N122" s="35"/>
      <c r="R122" s="17"/>
    </row>
    <row r="123" spans="1:29" ht="12.75">
      <c r="B123" s="13"/>
      <c r="C123" s="25"/>
      <c r="D123" s="25"/>
      <c r="F123" s="38"/>
      <c r="G123" s="38"/>
      <c r="H123" s="38"/>
      <c r="I123" s="38"/>
      <c r="J123" s="38"/>
      <c r="K123" s="38"/>
      <c r="M123" s="17"/>
      <c r="N123" s="35"/>
      <c r="R123" s="17"/>
    </row>
    <row r="124" spans="1:29" ht="12.75">
      <c r="B124" s="13"/>
      <c r="C124" s="25"/>
      <c r="D124" s="25"/>
      <c r="F124" s="38"/>
      <c r="G124" s="38"/>
      <c r="H124" s="38"/>
      <c r="I124" s="38"/>
      <c r="J124" s="38"/>
      <c r="K124" s="38"/>
      <c r="M124" s="17"/>
      <c r="N124" s="35"/>
      <c r="R124" s="17"/>
    </row>
    <row r="125" spans="1:29" ht="12.75">
      <c r="B125" s="13"/>
      <c r="C125" s="25"/>
      <c r="D125" s="25"/>
      <c r="F125" s="38"/>
      <c r="G125" s="38"/>
      <c r="H125" s="38"/>
      <c r="I125" s="38"/>
      <c r="J125" s="38"/>
      <c r="K125" s="38"/>
      <c r="M125" s="17"/>
      <c r="N125" s="35"/>
      <c r="R125" s="17"/>
    </row>
    <row r="126" spans="1:29" ht="12.75">
      <c r="B126" s="13"/>
      <c r="C126" s="25"/>
      <c r="D126" s="25"/>
      <c r="F126" s="38"/>
      <c r="G126" s="38"/>
      <c r="H126" s="38"/>
      <c r="I126" s="38"/>
      <c r="J126" s="38"/>
      <c r="K126" s="38"/>
      <c r="M126" s="17"/>
      <c r="N126" s="35"/>
      <c r="R126" s="17"/>
    </row>
    <row r="127" spans="1:29" ht="12.75">
      <c r="B127" s="13"/>
      <c r="C127" s="25"/>
      <c r="D127" s="25"/>
      <c r="F127" s="38"/>
      <c r="G127" s="38"/>
      <c r="H127" s="38"/>
      <c r="I127" s="38"/>
      <c r="J127" s="38"/>
      <c r="K127" s="38"/>
      <c r="M127" s="17"/>
      <c r="N127" s="35"/>
      <c r="R127" s="17"/>
    </row>
    <row r="128" spans="1:29" ht="12.75">
      <c r="B128" s="13"/>
      <c r="C128" s="25"/>
      <c r="D128" s="25"/>
      <c r="F128" s="38"/>
      <c r="G128" s="38"/>
      <c r="H128" s="38"/>
      <c r="I128" s="38"/>
      <c r="J128" s="38"/>
      <c r="K128" s="38"/>
      <c r="M128" s="17"/>
      <c r="N128" s="35"/>
      <c r="R128" s="17"/>
    </row>
    <row r="129" spans="2:18" ht="12.75">
      <c r="B129" s="13"/>
      <c r="C129" s="25"/>
      <c r="D129" s="25"/>
      <c r="F129" s="38"/>
      <c r="G129" s="38"/>
      <c r="H129" s="38"/>
      <c r="I129" s="38"/>
      <c r="J129" s="38"/>
      <c r="K129" s="38"/>
      <c r="M129" s="17"/>
      <c r="N129" s="35"/>
      <c r="R129" s="17"/>
    </row>
    <row r="130" spans="2:18" ht="12.75">
      <c r="B130" s="13"/>
      <c r="C130" s="25"/>
      <c r="D130" s="25"/>
      <c r="F130" s="38"/>
      <c r="G130" s="38"/>
      <c r="H130" s="38"/>
      <c r="I130" s="38"/>
      <c r="J130" s="38"/>
      <c r="K130" s="38"/>
      <c r="M130" s="17"/>
      <c r="N130" s="35"/>
      <c r="R130" s="17"/>
    </row>
    <row r="131" spans="2:18" ht="12.75">
      <c r="B131" s="13"/>
      <c r="C131" s="25"/>
      <c r="D131" s="25"/>
      <c r="F131" s="38"/>
      <c r="G131" s="38"/>
      <c r="H131" s="38"/>
      <c r="I131" s="38"/>
      <c r="J131" s="38"/>
      <c r="K131" s="38"/>
      <c r="M131" s="17"/>
      <c r="N131" s="35"/>
      <c r="R131" s="17"/>
    </row>
    <row r="132" spans="2:18" ht="12.75">
      <c r="B132" s="13"/>
      <c r="C132" s="25"/>
      <c r="D132" s="25"/>
      <c r="F132" s="38"/>
      <c r="G132" s="38"/>
      <c r="H132" s="38"/>
      <c r="I132" s="38"/>
      <c r="J132" s="38"/>
      <c r="K132" s="38"/>
      <c r="M132" s="17"/>
      <c r="N132" s="35"/>
      <c r="R132" s="17"/>
    </row>
    <row r="133" spans="2:18" ht="12.75">
      <c r="B133" s="13"/>
      <c r="C133" s="25"/>
      <c r="D133" s="25"/>
      <c r="F133" s="38"/>
      <c r="G133" s="38"/>
      <c r="H133" s="38"/>
      <c r="I133" s="38"/>
      <c r="J133" s="38"/>
      <c r="K133" s="38"/>
      <c r="M133" s="17"/>
      <c r="N133" s="35"/>
      <c r="R133" s="17"/>
    </row>
    <row r="134" spans="2:18" ht="12.75">
      <c r="B134" s="13"/>
      <c r="C134" s="25"/>
      <c r="D134" s="25"/>
      <c r="F134" s="38"/>
      <c r="G134" s="38"/>
      <c r="H134" s="38"/>
      <c r="I134" s="38"/>
      <c r="J134" s="38"/>
      <c r="K134" s="38"/>
      <c r="M134" s="17"/>
      <c r="N134" s="35"/>
      <c r="R134" s="17"/>
    </row>
    <row r="135" spans="2:18" ht="12.75">
      <c r="B135" s="13"/>
      <c r="C135" s="25"/>
      <c r="D135" s="25"/>
      <c r="F135" s="38"/>
      <c r="G135" s="38"/>
      <c r="H135" s="38"/>
      <c r="I135" s="38"/>
      <c r="J135" s="38"/>
      <c r="K135" s="38"/>
      <c r="M135" s="17"/>
      <c r="N135" s="35"/>
      <c r="R135" s="17"/>
    </row>
    <row r="136" spans="2:18" ht="12.75">
      <c r="B136" s="13"/>
      <c r="C136" s="25"/>
      <c r="D136" s="25"/>
      <c r="F136" s="38"/>
      <c r="G136" s="38"/>
      <c r="H136" s="38"/>
      <c r="I136" s="38"/>
      <c r="J136" s="38"/>
      <c r="K136" s="38"/>
      <c r="M136" s="17"/>
      <c r="N136" s="35"/>
      <c r="R136" s="17"/>
    </row>
    <row r="137" spans="2:18" ht="12.75">
      <c r="B137" s="13"/>
      <c r="C137" s="25"/>
      <c r="D137" s="25"/>
      <c r="F137" s="38"/>
      <c r="G137" s="38"/>
      <c r="H137" s="38"/>
      <c r="I137" s="38"/>
      <c r="J137" s="38"/>
      <c r="K137" s="38"/>
      <c r="M137" s="17"/>
      <c r="N137" s="35"/>
      <c r="R137" s="17"/>
    </row>
    <row r="138" spans="2:18" ht="12.75">
      <c r="B138" s="13"/>
      <c r="C138" s="25"/>
      <c r="D138" s="25"/>
      <c r="F138" s="38"/>
      <c r="G138" s="38"/>
      <c r="H138" s="38"/>
      <c r="I138" s="38"/>
      <c r="J138" s="38"/>
      <c r="K138" s="38"/>
      <c r="M138" s="17"/>
      <c r="N138" s="35"/>
      <c r="R138" s="17"/>
    </row>
    <row r="139" spans="2:18" ht="12.75">
      <c r="B139" s="13"/>
      <c r="C139" s="13"/>
      <c r="D139" s="13"/>
      <c r="F139" s="38"/>
      <c r="G139" s="38"/>
      <c r="H139" s="38"/>
      <c r="I139" s="38"/>
      <c r="J139" s="38"/>
      <c r="K139" s="38"/>
      <c r="M139" s="17"/>
      <c r="N139" s="35"/>
      <c r="R139" s="17"/>
    </row>
    <row r="140" spans="2:18" ht="12.75">
      <c r="B140" s="13"/>
      <c r="C140" s="25"/>
      <c r="D140" s="25"/>
      <c r="F140" s="38"/>
      <c r="G140" s="38"/>
      <c r="H140" s="38"/>
      <c r="I140" s="38"/>
      <c r="J140" s="38"/>
      <c r="K140" s="38"/>
      <c r="M140" s="17"/>
      <c r="N140" s="35"/>
      <c r="R140" s="17"/>
    </row>
    <row r="141" spans="2:18" ht="12.75">
      <c r="B141" s="13"/>
      <c r="C141" s="25"/>
      <c r="D141" s="25"/>
      <c r="F141" s="38"/>
      <c r="G141" s="38"/>
      <c r="H141" s="38"/>
      <c r="I141" s="38"/>
      <c r="J141" s="38"/>
      <c r="K141" s="38"/>
      <c r="M141" s="17"/>
      <c r="N141" s="35"/>
      <c r="R141" s="17"/>
    </row>
    <row r="142" spans="2:18" ht="12.75">
      <c r="B142" s="13"/>
      <c r="C142" s="25"/>
      <c r="D142" s="25"/>
      <c r="F142" s="38"/>
      <c r="G142" s="38"/>
      <c r="H142" s="38"/>
      <c r="I142" s="38"/>
      <c r="J142" s="38"/>
      <c r="K142" s="38"/>
      <c r="M142" s="17"/>
      <c r="N142" s="35"/>
      <c r="R142" s="17"/>
    </row>
    <row r="143" spans="2:18" ht="12.75">
      <c r="B143" s="13"/>
      <c r="C143" s="25"/>
      <c r="D143" s="25"/>
      <c r="F143" s="38"/>
      <c r="G143" s="38"/>
      <c r="H143" s="38"/>
      <c r="I143" s="38"/>
      <c r="J143" s="38"/>
      <c r="K143" s="38"/>
      <c r="M143" s="17"/>
      <c r="N143" s="35"/>
      <c r="R143" s="17"/>
    </row>
    <row r="144" spans="2:18" ht="12.75">
      <c r="B144" s="13"/>
      <c r="C144" s="25"/>
      <c r="D144" s="25"/>
      <c r="F144" s="38"/>
      <c r="G144" s="38"/>
      <c r="H144" s="38"/>
      <c r="I144" s="38"/>
      <c r="J144" s="38"/>
      <c r="K144" s="38"/>
      <c r="M144" s="17"/>
      <c r="N144" s="35"/>
      <c r="R144" s="17"/>
    </row>
    <row r="145" spans="2:18" ht="12.75">
      <c r="B145" s="13"/>
      <c r="C145" s="25"/>
      <c r="D145" s="25"/>
      <c r="F145" s="38"/>
      <c r="G145" s="38"/>
      <c r="H145" s="38"/>
      <c r="I145" s="38"/>
      <c r="J145" s="38"/>
      <c r="K145" s="38"/>
      <c r="M145" s="17"/>
      <c r="N145" s="35"/>
      <c r="R145" s="17"/>
    </row>
    <row r="146" spans="2:18" ht="12.75">
      <c r="B146" s="13"/>
      <c r="C146" s="25"/>
      <c r="D146" s="25"/>
      <c r="F146" s="38"/>
      <c r="G146" s="38"/>
      <c r="H146" s="38"/>
      <c r="I146" s="38"/>
      <c r="J146" s="38"/>
      <c r="K146" s="38"/>
      <c r="M146" s="17"/>
      <c r="N146" s="35"/>
      <c r="R146" s="17"/>
    </row>
    <row r="147" spans="2:18" ht="12.75">
      <c r="B147" s="13"/>
      <c r="C147" s="13"/>
      <c r="D147" s="13"/>
      <c r="F147" s="38"/>
      <c r="G147" s="38"/>
      <c r="H147" s="38"/>
      <c r="I147" s="38"/>
      <c r="J147" s="38"/>
      <c r="K147" s="38"/>
      <c r="M147" s="17"/>
      <c r="N147" s="35"/>
      <c r="R147" s="17"/>
    </row>
    <row r="148" spans="2:18" ht="12.75">
      <c r="B148" s="13"/>
      <c r="C148" s="25"/>
      <c r="D148" s="25"/>
      <c r="F148" s="38"/>
      <c r="G148" s="38"/>
      <c r="H148" s="38"/>
      <c r="I148" s="38"/>
      <c r="J148" s="38"/>
      <c r="K148" s="38"/>
      <c r="M148" s="17"/>
      <c r="N148" s="35"/>
      <c r="R148" s="17"/>
    </row>
    <row r="149" spans="2:18" ht="12.75">
      <c r="B149" s="13"/>
      <c r="C149" s="25"/>
      <c r="D149" s="25"/>
      <c r="F149" s="38"/>
      <c r="G149" s="38"/>
      <c r="H149" s="38"/>
      <c r="I149" s="38"/>
      <c r="J149" s="38"/>
      <c r="K149" s="38"/>
      <c r="M149" s="17"/>
      <c r="N149" s="35"/>
      <c r="R149" s="17"/>
    </row>
    <row r="150" spans="2:18" ht="12.75">
      <c r="B150" s="13"/>
      <c r="C150" s="25"/>
      <c r="D150" s="25"/>
      <c r="F150" s="38"/>
      <c r="G150" s="38"/>
      <c r="H150" s="38"/>
      <c r="I150" s="38"/>
      <c r="J150" s="38"/>
      <c r="K150" s="38"/>
      <c r="M150" s="17"/>
      <c r="N150" s="35"/>
      <c r="R150" s="17"/>
    </row>
    <row r="151" spans="2:18" ht="12.75">
      <c r="B151" s="13"/>
      <c r="C151" s="25"/>
      <c r="D151" s="25"/>
      <c r="F151" s="38"/>
      <c r="G151" s="38"/>
      <c r="H151" s="38"/>
      <c r="I151" s="38"/>
      <c r="J151" s="38"/>
      <c r="K151" s="38"/>
      <c r="M151" s="17"/>
      <c r="N151" s="35"/>
      <c r="R151" s="17"/>
    </row>
    <row r="152" spans="2:18" ht="12.75">
      <c r="B152" s="13"/>
      <c r="C152" s="25"/>
      <c r="D152" s="25"/>
      <c r="F152" s="38"/>
      <c r="G152" s="38"/>
      <c r="H152" s="38"/>
      <c r="I152" s="38"/>
      <c r="J152" s="38"/>
      <c r="K152" s="38"/>
      <c r="M152" s="17"/>
      <c r="N152" s="35"/>
      <c r="R152" s="17"/>
    </row>
    <row r="153" spans="2:18" ht="12.75">
      <c r="B153" s="13"/>
      <c r="C153" s="25"/>
      <c r="D153" s="25"/>
      <c r="F153" s="38"/>
      <c r="G153" s="38"/>
      <c r="H153" s="38"/>
      <c r="I153" s="38"/>
      <c r="J153" s="38"/>
      <c r="K153" s="38"/>
      <c r="M153" s="17"/>
      <c r="N153" s="35"/>
      <c r="R153" s="17"/>
    </row>
    <row r="154" spans="2:18" ht="12.75">
      <c r="B154" s="13"/>
      <c r="C154" s="25"/>
      <c r="D154" s="25"/>
      <c r="F154" s="38"/>
      <c r="G154" s="38"/>
      <c r="H154" s="38"/>
      <c r="I154" s="38"/>
      <c r="J154" s="38"/>
      <c r="K154" s="38"/>
      <c r="M154" s="17"/>
      <c r="N154" s="35"/>
      <c r="R154" s="17"/>
    </row>
    <row r="155" spans="2:18" ht="12.75">
      <c r="B155" s="13"/>
      <c r="C155" s="25"/>
      <c r="D155" s="25"/>
      <c r="F155" s="38"/>
      <c r="G155" s="38"/>
      <c r="H155" s="38"/>
      <c r="I155" s="38"/>
      <c r="J155" s="38"/>
      <c r="K155" s="38"/>
      <c r="M155" s="17"/>
      <c r="N155" s="35"/>
      <c r="R155" s="17"/>
    </row>
    <row r="156" spans="2:18" ht="12.75">
      <c r="B156" s="13"/>
      <c r="C156" s="25"/>
      <c r="D156" s="25"/>
      <c r="F156" s="38"/>
      <c r="G156" s="38"/>
      <c r="H156" s="38"/>
      <c r="I156" s="38"/>
      <c r="J156" s="38"/>
      <c r="K156" s="38"/>
      <c r="M156" s="17"/>
      <c r="N156" s="35"/>
      <c r="R156" s="17"/>
    </row>
    <row r="157" spans="2:18" ht="12.75">
      <c r="B157" s="13"/>
      <c r="C157" s="25"/>
      <c r="D157" s="25"/>
      <c r="F157" s="38"/>
      <c r="G157" s="38"/>
      <c r="H157" s="38"/>
      <c r="I157" s="38"/>
      <c r="J157" s="38"/>
      <c r="K157" s="38"/>
      <c r="M157" s="17"/>
      <c r="N157" s="35"/>
      <c r="R157" s="17"/>
    </row>
    <row r="158" spans="2:18" ht="12.75">
      <c r="B158" s="13"/>
      <c r="C158" s="25"/>
      <c r="D158" s="25"/>
      <c r="F158" s="38"/>
      <c r="G158" s="38"/>
      <c r="H158" s="38"/>
      <c r="I158" s="38"/>
      <c r="J158" s="38"/>
      <c r="K158" s="38"/>
      <c r="M158" s="17"/>
      <c r="N158" s="35"/>
      <c r="R158" s="17"/>
    </row>
    <row r="159" spans="2:18" ht="12.75">
      <c r="B159" s="13"/>
      <c r="C159" s="25"/>
      <c r="D159" s="25"/>
      <c r="F159" s="38"/>
      <c r="G159" s="38"/>
      <c r="H159" s="38"/>
      <c r="I159" s="38"/>
      <c r="J159" s="38"/>
      <c r="K159" s="38"/>
      <c r="M159" s="17"/>
      <c r="N159" s="35"/>
      <c r="R159" s="17"/>
    </row>
    <row r="160" spans="2:18" ht="12.75">
      <c r="B160" s="13"/>
      <c r="C160" s="25"/>
      <c r="D160" s="25"/>
      <c r="F160" s="38"/>
      <c r="G160" s="38"/>
      <c r="H160" s="38"/>
      <c r="I160" s="38"/>
      <c r="J160" s="38"/>
      <c r="K160" s="38"/>
      <c r="M160" s="17"/>
      <c r="N160" s="35"/>
      <c r="R160" s="17"/>
    </row>
    <row r="161" spans="2:18" ht="12.75">
      <c r="B161" s="13"/>
      <c r="C161" s="25"/>
      <c r="D161" s="25"/>
      <c r="F161" s="38"/>
      <c r="G161" s="38"/>
      <c r="H161" s="38"/>
      <c r="I161" s="38"/>
      <c r="J161" s="38"/>
      <c r="K161" s="38"/>
      <c r="M161" s="17"/>
      <c r="N161" s="35"/>
      <c r="R161" s="17"/>
    </row>
    <row r="162" spans="2:18" ht="12.75">
      <c r="B162" s="13"/>
      <c r="C162" s="25"/>
      <c r="D162" s="25"/>
      <c r="F162" s="38"/>
      <c r="G162" s="38"/>
      <c r="H162" s="38"/>
      <c r="I162" s="38"/>
      <c r="J162" s="38"/>
      <c r="K162" s="38"/>
      <c r="M162" s="17"/>
      <c r="N162" s="35"/>
      <c r="R162" s="17"/>
    </row>
    <row r="163" spans="2:18" ht="12.75">
      <c r="B163" s="13"/>
      <c r="C163" s="25"/>
      <c r="D163" s="25"/>
      <c r="F163" s="38"/>
      <c r="G163" s="38"/>
      <c r="H163" s="38"/>
      <c r="I163" s="38"/>
      <c r="J163" s="38"/>
      <c r="K163" s="38"/>
      <c r="M163" s="17"/>
      <c r="N163" s="35"/>
      <c r="R163" s="17"/>
    </row>
    <row r="164" spans="2:18" ht="12.75">
      <c r="B164" s="13"/>
      <c r="C164" s="25"/>
      <c r="D164" s="25"/>
      <c r="F164" s="38"/>
      <c r="G164" s="38"/>
      <c r="H164" s="38"/>
      <c r="I164" s="38"/>
      <c r="J164" s="38"/>
      <c r="K164" s="38"/>
      <c r="M164" s="17"/>
      <c r="N164" s="35"/>
      <c r="R164" s="17"/>
    </row>
    <row r="165" spans="2:18" ht="12.75">
      <c r="B165" s="13"/>
      <c r="C165" s="25"/>
      <c r="D165" s="25"/>
      <c r="F165" s="38"/>
      <c r="G165" s="38"/>
      <c r="H165" s="38"/>
      <c r="I165" s="38"/>
      <c r="J165" s="38"/>
      <c r="K165" s="38"/>
      <c r="M165" s="17"/>
      <c r="N165" s="35"/>
      <c r="R165" s="17"/>
    </row>
    <row r="166" spans="2:18" ht="12.75">
      <c r="B166" s="13"/>
      <c r="C166" s="25"/>
      <c r="D166" s="25"/>
      <c r="F166" s="38"/>
      <c r="G166" s="38"/>
      <c r="H166" s="38"/>
      <c r="I166" s="38"/>
      <c r="J166" s="38"/>
      <c r="K166" s="38"/>
      <c r="M166" s="17"/>
      <c r="N166" s="35"/>
      <c r="R166" s="17"/>
    </row>
    <row r="167" spans="2:18" ht="12.75">
      <c r="B167" s="13"/>
      <c r="C167" s="25"/>
      <c r="D167" s="25"/>
      <c r="F167" s="38"/>
      <c r="G167" s="38"/>
      <c r="H167" s="38"/>
      <c r="I167" s="38"/>
      <c r="J167" s="38"/>
      <c r="K167" s="38"/>
      <c r="M167" s="17"/>
      <c r="N167" s="35"/>
      <c r="R167" s="17"/>
    </row>
    <row r="168" spans="2:18" ht="12.75">
      <c r="B168" s="13"/>
      <c r="C168" s="25"/>
      <c r="D168" s="25"/>
      <c r="F168" s="38"/>
      <c r="G168" s="38"/>
      <c r="H168" s="38"/>
      <c r="I168" s="38"/>
      <c r="J168" s="38"/>
      <c r="K168" s="38"/>
      <c r="M168" s="17"/>
      <c r="N168" s="35"/>
      <c r="R168" s="17"/>
    </row>
    <row r="169" spans="2:18" ht="12.75">
      <c r="B169" s="13"/>
      <c r="C169" s="25"/>
      <c r="D169" s="25"/>
      <c r="F169" s="38"/>
      <c r="G169" s="38"/>
      <c r="H169" s="38"/>
      <c r="I169" s="38"/>
      <c r="J169" s="38"/>
      <c r="K169" s="38"/>
      <c r="M169" s="17"/>
      <c r="N169" s="35"/>
      <c r="R169" s="17"/>
    </row>
    <row r="170" spans="2:18" ht="12.75">
      <c r="B170" s="13"/>
      <c r="C170" s="25"/>
      <c r="D170" s="25"/>
      <c r="F170" s="38"/>
      <c r="G170" s="38"/>
      <c r="H170" s="38"/>
      <c r="I170" s="38"/>
      <c r="J170" s="38"/>
      <c r="K170" s="38"/>
      <c r="M170" s="17"/>
      <c r="N170" s="35"/>
      <c r="R170" s="17"/>
    </row>
    <row r="171" spans="2:18" ht="12.75">
      <c r="B171" s="13"/>
      <c r="C171" s="25"/>
      <c r="D171" s="25"/>
      <c r="F171" s="38"/>
      <c r="G171" s="38"/>
      <c r="H171" s="38"/>
      <c r="I171" s="38"/>
      <c r="J171" s="38"/>
      <c r="K171" s="38"/>
      <c r="M171" s="17"/>
      <c r="N171" s="35"/>
      <c r="R171" s="17"/>
    </row>
    <row r="172" spans="2:18" ht="12.75">
      <c r="B172" s="13"/>
      <c r="C172" s="25"/>
      <c r="D172" s="25"/>
      <c r="F172" s="38"/>
      <c r="G172" s="38"/>
      <c r="H172" s="38"/>
      <c r="I172" s="38"/>
      <c r="J172" s="38"/>
      <c r="K172" s="38"/>
      <c r="M172" s="17"/>
      <c r="N172" s="35"/>
      <c r="R172" s="17"/>
    </row>
    <row r="173" spans="2:18" ht="12.75">
      <c r="B173" s="13"/>
      <c r="C173" s="25"/>
      <c r="D173" s="25"/>
      <c r="F173" s="38"/>
      <c r="G173" s="38"/>
      <c r="H173" s="38"/>
      <c r="I173" s="38"/>
      <c r="J173" s="38"/>
      <c r="K173" s="38"/>
      <c r="M173" s="17"/>
      <c r="N173" s="35"/>
      <c r="R173" s="17"/>
    </row>
    <row r="174" spans="2:18" ht="12.75">
      <c r="B174" s="13"/>
      <c r="C174" s="25"/>
      <c r="D174" s="25"/>
      <c r="F174" s="38"/>
      <c r="G174" s="38"/>
      <c r="H174" s="38"/>
      <c r="I174" s="38"/>
      <c r="J174" s="38"/>
      <c r="K174" s="38"/>
      <c r="M174" s="17"/>
      <c r="N174" s="35"/>
      <c r="R174" s="17"/>
    </row>
    <row r="175" spans="2:18" ht="12.75">
      <c r="B175" s="13"/>
      <c r="C175" s="25"/>
      <c r="D175" s="25"/>
      <c r="F175" s="38"/>
      <c r="G175" s="38"/>
      <c r="H175" s="38"/>
      <c r="I175" s="38"/>
      <c r="J175" s="38"/>
      <c r="K175" s="38"/>
      <c r="M175" s="17"/>
      <c r="N175" s="35"/>
      <c r="R175" s="17"/>
    </row>
    <row r="176" spans="2:18" ht="12.75">
      <c r="B176" s="13"/>
      <c r="C176" s="25"/>
      <c r="D176" s="25"/>
      <c r="F176" s="38"/>
      <c r="G176" s="38"/>
      <c r="H176" s="38"/>
      <c r="I176" s="38"/>
      <c r="J176" s="38"/>
      <c r="K176" s="38"/>
      <c r="M176" s="17"/>
      <c r="N176" s="35"/>
      <c r="R176" s="17"/>
    </row>
    <row r="177" spans="2:18" ht="12.75">
      <c r="B177" s="13"/>
      <c r="C177" s="25"/>
      <c r="D177" s="25"/>
      <c r="F177" s="38"/>
      <c r="G177" s="38"/>
      <c r="H177" s="38"/>
      <c r="I177" s="38"/>
      <c r="J177" s="38"/>
      <c r="K177" s="38"/>
      <c r="M177" s="17"/>
      <c r="N177" s="35"/>
      <c r="R177" s="17"/>
    </row>
    <row r="178" spans="2:18" ht="12.75">
      <c r="B178" s="13"/>
      <c r="C178" s="25"/>
      <c r="D178" s="25"/>
      <c r="F178" s="38"/>
      <c r="G178" s="38"/>
      <c r="H178" s="38"/>
      <c r="I178" s="38"/>
      <c r="J178" s="38"/>
      <c r="K178" s="38"/>
      <c r="M178" s="17"/>
      <c r="N178" s="35"/>
      <c r="R178" s="17"/>
    </row>
    <row r="179" spans="2:18" ht="12.75">
      <c r="B179" s="13"/>
      <c r="C179" s="25"/>
      <c r="D179" s="25"/>
      <c r="F179" s="38"/>
      <c r="G179" s="38"/>
      <c r="H179" s="38"/>
      <c r="I179" s="38"/>
      <c r="J179" s="38"/>
      <c r="K179" s="38"/>
      <c r="M179" s="17"/>
      <c r="N179" s="35"/>
      <c r="R179" s="17"/>
    </row>
    <row r="180" spans="2:18" ht="12.75">
      <c r="B180" s="13"/>
      <c r="C180" s="25"/>
      <c r="D180" s="25"/>
      <c r="F180" s="38"/>
      <c r="G180" s="38"/>
      <c r="H180" s="38"/>
      <c r="I180" s="38"/>
      <c r="J180" s="38"/>
      <c r="K180" s="38"/>
      <c r="M180" s="17"/>
      <c r="N180" s="35"/>
      <c r="R180" s="17"/>
    </row>
    <row r="181" spans="2:18" ht="12.75">
      <c r="B181" s="13"/>
      <c r="C181" s="25"/>
      <c r="D181" s="25"/>
      <c r="F181" s="38"/>
      <c r="G181" s="38"/>
      <c r="H181" s="38"/>
      <c r="I181" s="38"/>
      <c r="J181" s="38"/>
      <c r="K181" s="38"/>
      <c r="M181" s="17"/>
      <c r="N181" s="35"/>
      <c r="R181" s="17"/>
    </row>
    <row r="182" spans="2:18" ht="12.75">
      <c r="B182" s="13"/>
      <c r="C182" s="25"/>
      <c r="D182" s="25"/>
      <c r="F182" s="38"/>
      <c r="G182" s="38"/>
      <c r="H182" s="38"/>
      <c r="I182" s="38"/>
      <c r="J182" s="38"/>
      <c r="K182" s="38"/>
      <c r="M182" s="17"/>
      <c r="N182" s="35"/>
      <c r="R182" s="17"/>
    </row>
    <row r="183" spans="2:18" ht="12.75">
      <c r="B183" s="13"/>
      <c r="C183" s="25"/>
      <c r="D183" s="25"/>
      <c r="F183" s="38"/>
      <c r="G183" s="38"/>
      <c r="H183" s="38"/>
      <c r="I183" s="38"/>
      <c r="J183" s="38"/>
      <c r="K183" s="38"/>
      <c r="M183" s="17"/>
      <c r="N183" s="35"/>
      <c r="R183" s="17"/>
    </row>
    <row r="184" spans="2:18" ht="12.75">
      <c r="B184" s="13"/>
      <c r="C184" s="25"/>
      <c r="D184" s="25"/>
      <c r="F184" s="38"/>
      <c r="G184" s="38"/>
      <c r="H184" s="38"/>
      <c r="I184" s="38"/>
      <c r="J184" s="38"/>
      <c r="K184" s="38"/>
      <c r="M184" s="17"/>
      <c r="N184" s="35"/>
      <c r="R184" s="17"/>
    </row>
    <row r="185" spans="2:18" ht="12.75">
      <c r="B185" s="13"/>
      <c r="C185" s="25"/>
      <c r="D185" s="25"/>
      <c r="F185" s="38"/>
      <c r="G185" s="38"/>
      <c r="H185" s="38"/>
      <c r="I185" s="38"/>
      <c r="J185" s="38"/>
      <c r="K185" s="38"/>
      <c r="M185" s="17"/>
      <c r="N185" s="35"/>
      <c r="R185" s="17"/>
    </row>
    <row r="186" spans="2:18" ht="12.75">
      <c r="B186" s="13"/>
      <c r="C186" s="25"/>
      <c r="D186" s="25"/>
      <c r="F186" s="38"/>
      <c r="G186" s="38"/>
      <c r="H186" s="38"/>
      <c r="I186" s="38"/>
      <c r="J186" s="38"/>
      <c r="K186" s="38"/>
      <c r="M186" s="17"/>
      <c r="N186" s="35"/>
      <c r="R186" s="17"/>
    </row>
    <row r="187" spans="2:18" ht="12.75">
      <c r="B187" s="13"/>
      <c r="C187" s="25"/>
      <c r="D187" s="25"/>
      <c r="F187" s="38"/>
      <c r="G187" s="38"/>
      <c r="H187" s="38"/>
      <c r="I187" s="38"/>
      <c r="J187" s="38"/>
      <c r="K187" s="38"/>
      <c r="M187" s="17"/>
      <c r="N187" s="35"/>
      <c r="R187" s="17"/>
    </row>
    <row r="188" spans="2:18" ht="12.75">
      <c r="B188" s="13"/>
      <c r="C188" s="25"/>
      <c r="D188" s="25"/>
      <c r="F188" s="38"/>
      <c r="G188" s="38"/>
      <c r="H188" s="38"/>
      <c r="I188" s="38"/>
      <c r="J188" s="38"/>
      <c r="K188" s="38"/>
      <c r="M188" s="17"/>
      <c r="N188" s="35"/>
      <c r="R188" s="17"/>
    </row>
    <row r="189" spans="2:18" ht="12.75">
      <c r="B189" s="13"/>
      <c r="C189" s="25"/>
      <c r="D189" s="25"/>
      <c r="F189" s="38"/>
      <c r="G189" s="38"/>
      <c r="H189" s="38"/>
      <c r="I189" s="38"/>
      <c r="J189" s="38"/>
      <c r="K189" s="38"/>
      <c r="M189" s="17"/>
      <c r="N189" s="35"/>
      <c r="R189" s="17"/>
    </row>
    <row r="190" spans="2:18" ht="12.75">
      <c r="B190" s="13"/>
      <c r="C190" s="25"/>
      <c r="D190" s="25"/>
      <c r="F190" s="38"/>
      <c r="G190" s="38"/>
      <c r="H190" s="38"/>
      <c r="I190" s="38"/>
      <c r="J190" s="38"/>
      <c r="K190" s="38"/>
      <c r="M190" s="17"/>
      <c r="N190" s="35"/>
      <c r="R190" s="17"/>
    </row>
    <row r="191" spans="2:18" ht="12.75">
      <c r="B191" s="13"/>
      <c r="C191" s="25"/>
      <c r="D191" s="25"/>
      <c r="F191" s="38"/>
      <c r="G191" s="38"/>
      <c r="H191" s="38"/>
      <c r="I191" s="38"/>
      <c r="J191" s="38"/>
      <c r="K191" s="38"/>
      <c r="M191" s="17"/>
      <c r="N191" s="35"/>
      <c r="R191" s="17"/>
    </row>
    <row r="192" spans="2:18" ht="12.75">
      <c r="B192" s="13"/>
      <c r="C192" s="25"/>
      <c r="D192" s="25"/>
      <c r="F192" s="38"/>
      <c r="G192" s="38"/>
      <c r="H192" s="38"/>
      <c r="I192" s="38"/>
      <c r="J192" s="38"/>
      <c r="K192" s="38"/>
      <c r="M192" s="17"/>
      <c r="N192" s="35"/>
      <c r="R192" s="17"/>
    </row>
    <row r="193" spans="2:18" ht="12.75">
      <c r="B193" s="13"/>
      <c r="C193" s="25"/>
      <c r="D193" s="25"/>
      <c r="F193" s="38"/>
      <c r="G193" s="38"/>
      <c r="H193" s="38"/>
      <c r="I193" s="38"/>
      <c r="J193" s="38"/>
      <c r="K193" s="38"/>
      <c r="M193" s="17"/>
      <c r="N193" s="35"/>
      <c r="R193" s="17"/>
    </row>
    <row r="194" spans="2:18" ht="12.75">
      <c r="B194" s="13"/>
      <c r="C194" s="25"/>
      <c r="D194" s="25"/>
      <c r="F194" s="38"/>
      <c r="G194" s="38"/>
      <c r="H194" s="38"/>
      <c r="I194" s="38"/>
      <c r="J194" s="38"/>
      <c r="K194" s="38"/>
      <c r="M194" s="17"/>
      <c r="N194" s="35"/>
      <c r="R194" s="17"/>
    </row>
    <row r="195" spans="2:18" ht="12.75">
      <c r="B195" s="13"/>
      <c r="C195" s="25"/>
      <c r="D195" s="25"/>
      <c r="F195" s="38"/>
      <c r="G195" s="38"/>
      <c r="H195" s="38"/>
      <c r="I195" s="38"/>
      <c r="J195" s="38"/>
      <c r="K195" s="38"/>
      <c r="M195" s="17"/>
      <c r="N195" s="35"/>
      <c r="R195" s="17"/>
    </row>
    <row r="196" spans="2:18" ht="12.75">
      <c r="B196" s="13"/>
      <c r="C196" s="25"/>
      <c r="D196" s="25"/>
      <c r="F196" s="38"/>
      <c r="G196" s="38"/>
      <c r="H196" s="38"/>
      <c r="I196" s="38"/>
      <c r="J196" s="38"/>
      <c r="K196" s="38"/>
      <c r="M196" s="17"/>
      <c r="N196" s="35"/>
      <c r="R196" s="17"/>
    </row>
    <row r="197" spans="2:18" ht="12.75">
      <c r="B197" s="13"/>
      <c r="C197" s="25"/>
      <c r="D197" s="25"/>
      <c r="F197" s="38"/>
      <c r="G197" s="38"/>
      <c r="H197" s="38"/>
      <c r="I197" s="38"/>
      <c r="J197" s="38"/>
      <c r="K197" s="38"/>
      <c r="M197" s="17"/>
      <c r="N197" s="35"/>
      <c r="R197" s="17"/>
    </row>
    <row r="198" spans="2:18" ht="12.75">
      <c r="B198" s="13"/>
      <c r="C198" s="25"/>
      <c r="D198" s="25"/>
      <c r="F198" s="38"/>
      <c r="G198" s="38"/>
      <c r="H198" s="38"/>
      <c r="I198" s="38"/>
      <c r="J198" s="38"/>
      <c r="K198" s="38"/>
      <c r="M198" s="17"/>
      <c r="N198" s="35"/>
      <c r="R198" s="17"/>
    </row>
    <row r="199" spans="2:18" ht="12.75">
      <c r="B199" s="13"/>
      <c r="C199" s="13"/>
      <c r="D199" s="13"/>
      <c r="F199" s="38"/>
      <c r="G199" s="38"/>
      <c r="H199" s="38"/>
      <c r="I199" s="38"/>
      <c r="J199" s="38"/>
      <c r="K199" s="38"/>
      <c r="M199" s="17"/>
      <c r="N199" s="35"/>
      <c r="R199" s="17"/>
    </row>
    <row r="200" spans="2:18" ht="12.75">
      <c r="B200" s="13"/>
      <c r="C200" s="25"/>
      <c r="D200" s="25"/>
      <c r="F200" s="38"/>
      <c r="G200" s="38"/>
      <c r="H200" s="38"/>
      <c r="I200" s="38"/>
      <c r="J200" s="38"/>
      <c r="K200" s="38"/>
      <c r="M200" s="17"/>
      <c r="N200" s="35"/>
      <c r="R200" s="17"/>
    </row>
    <row r="201" spans="2:18" ht="12.75">
      <c r="B201" s="13"/>
      <c r="C201" s="25"/>
      <c r="D201" s="25"/>
      <c r="F201" s="38"/>
      <c r="G201" s="38"/>
      <c r="H201" s="38"/>
      <c r="I201" s="38"/>
      <c r="J201" s="38"/>
      <c r="K201" s="38"/>
      <c r="M201" s="17"/>
      <c r="N201" s="35"/>
      <c r="R201" s="17"/>
    </row>
    <row r="202" spans="2:18" ht="12.75">
      <c r="B202" s="13"/>
      <c r="C202" s="25"/>
      <c r="D202" s="25"/>
      <c r="F202" s="38"/>
      <c r="G202" s="38"/>
      <c r="H202" s="38"/>
      <c r="I202" s="38"/>
      <c r="J202" s="38"/>
      <c r="K202" s="38"/>
      <c r="M202" s="17"/>
      <c r="N202" s="35"/>
      <c r="R202" s="17"/>
    </row>
    <row r="203" spans="2:18" ht="12.75">
      <c r="B203" s="13"/>
      <c r="C203" s="25"/>
      <c r="D203" s="25"/>
      <c r="F203" s="38"/>
      <c r="G203" s="38"/>
      <c r="H203" s="38"/>
      <c r="I203" s="38"/>
      <c r="J203" s="38"/>
      <c r="K203" s="38"/>
      <c r="M203" s="17"/>
      <c r="N203" s="35"/>
      <c r="R203" s="17"/>
    </row>
    <row r="204" spans="2:18" ht="12.75">
      <c r="B204" s="13"/>
      <c r="C204" s="25"/>
      <c r="D204" s="25"/>
      <c r="F204" s="38"/>
      <c r="G204" s="38"/>
      <c r="H204" s="38"/>
      <c r="I204" s="38"/>
      <c r="J204" s="38"/>
      <c r="K204" s="38"/>
      <c r="M204" s="17"/>
      <c r="N204" s="35"/>
      <c r="R204" s="17"/>
    </row>
    <row r="205" spans="2:18" ht="12.75">
      <c r="B205" s="13"/>
      <c r="C205" s="25"/>
      <c r="D205" s="25"/>
      <c r="F205" s="38"/>
      <c r="G205" s="38"/>
      <c r="H205" s="38"/>
      <c r="I205" s="38"/>
      <c r="J205" s="38"/>
      <c r="K205" s="38"/>
      <c r="M205" s="17"/>
      <c r="N205" s="35"/>
      <c r="R205" s="17"/>
    </row>
    <row r="206" spans="2:18" ht="12.75">
      <c r="B206" s="13"/>
      <c r="C206" s="25"/>
      <c r="D206" s="25"/>
      <c r="F206" s="38"/>
      <c r="G206" s="38"/>
      <c r="H206" s="38"/>
      <c r="I206" s="38"/>
      <c r="J206" s="38"/>
      <c r="K206" s="38"/>
      <c r="M206" s="17"/>
      <c r="N206" s="35"/>
      <c r="R206" s="17"/>
    </row>
    <row r="207" spans="2:18" ht="12.75">
      <c r="B207" s="13"/>
      <c r="C207" s="25"/>
      <c r="D207" s="25"/>
      <c r="F207" s="38"/>
      <c r="G207" s="38"/>
      <c r="H207" s="38"/>
      <c r="I207" s="38"/>
      <c r="J207" s="38"/>
      <c r="K207" s="38"/>
      <c r="M207" s="17"/>
      <c r="N207" s="35"/>
      <c r="R207" s="17"/>
    </row>
    <row r="208" spans="2:18" ht="12.75">
      <c r="B208" s="13"/>
      <c r="C208" s="25"/>
      <c r="D208" s="25"/>
      <c r="F208" s="38"/>
      <c r="G208" s="38"/>
      <c r="H208" s="38"/>
      <c r="I208" s="38"/>
      <c r="J208" s="38"/>
      <c r="K208" s="38"/>
      <c r="M208" s="17"/>
      <c r="N208" s="35"/>
      <c r="R208" s="17"/>
    </row>
    <row r="209" spans="2:18" ht="12.75">
      <c r="B209" s="13"/>
      <c r="C209" s="25"/>
      <c r="D209" s="25"/>
      <c r="F209" s="38"/>
      <c r="G209" s="38"/>
      <c r="H209" s="38"/>
      <c r="I209" s="38"/>
      <c r="J209" s="38"/>
      <c r="K209" s="38"/>
      <c r="M209" s="17"/>
      <c r="N209" s="35"/>
      <c r="R209" s="17"/>
    </row>
    <row r="210" spans="2:18" ht="12.75">
      <c r="B210" s="13"/>
      <c r="C210" s="25"/>
      <c r="D210" s="25"/>
      <c r="F210" s="38"/>
      <c r="G210" s="38"/>
      <c r="H210" s="38"/>
      <c r="I210" s="38"/>
      <c r="J210" s="38"/>
      <c r="K210" s="38"/>
      <c r="M210" s="17"/>
      <c r="N210" s="35"/>
      <c r="R210" s="17"/>
    </row>
    <row r="211" spans="2:18" ht="12.75">
      <c r="B211" s="13"/>
      <c r="C211" s="25"/>
      <c r="D211" s="25"/>
      <c r="F211" s="38"/>
      <c r="G211" s="38"/>
      <c r="H211" s="38"/>
      <c r="I211" s="38"/>
      <c r="J211" s="38"/>
      <c r="K211" s="38"/>
      <c r="M211" s="17"/>
      <c r="N211" s="35"/>
      <c r="R211" s="17"/>
    </row>
    <row r="212" spans="2:18" ht="12.75">
      <c r="B212" s="13"/>
      <c r="C212" s="25"/>
      <c r="D212" s="25"/>
      <c r="F212" s="38"/>
      <c r="G212" s="38"/>
      <c r="H212" s="38"/>
      <c r="I212" s="38"/>
      <c r="J212" s="38"/>
      <c r="K212" s="38"/>
      <c r="M212" s="17"/>
      <c r="N212" s="35"/>
      <c r="R212" s="17"/>
    </row>
    <row r="213" spans="2:18" ht="12.75">
      <c r="B213" s="13"/>
      <c r="C213" s="25"/>
      <c r="D213" s="25"/>
      <c r="F213" s="38"/>
      <c r="G213" s="38"/>
      <c r="H213" s="38"/>
      <c r="I213" s="38"/>
      <c r="J213" s="38"/>
      <c r="K213" s="38"/>
      <c r="M213" s="17"/>
      <c r="N213" s="35"/>
      <c r="R213" s="17"/>
    </row>
    <row r="214" spans="2:18" ht="12.75">
      <c r="B214" s="13"/>
      <c r="C214" s="25"/>
      <c r="D214" s="25"/>
      <c r="F214" s="38"/>
      <c r="G214" s="38"/>
      <c r="H214" s="38"/>
      <c r="I214" s="38"/>
      <c r="J214" s="38"/>
      <c r="K214" s="38"/>
      <c r="M214" s="17"/>
      <c r="N214" s="35"/>
      <c r="R214" s="17"/>
    </row>
    <row r="215" spans="2:18" ht="12.75">
      <c r="B215" s="13"/>
      <c r="C215" s="25"/>
      <c r="D215" s="25"/>
      <c r="F215" s="38"/>
      <c r="G215" s="38"/>
      <c r="H215" s="38"/>
      <c r="I215" s="38"/>
      <c r="J215" s="38"/>
      <c r="K215" s="38"/>
      <c r="M215" s="17"/>
      <c r="N215" s="35"/>
      <c r="R215" s="17"/>
    </row>
    <row r="216" spans="2:18" ht="12.75">
      <c r="B216" s="13"/>
      <c r="C216" s="25"/>
      <c r="D216" s="25"/>
      <c r="F216" s="38"/>
      <c r="G216" s="38"/>
      <c r="H216" s="38"/>
      <c r="I216" s="38"/>
      <c r="J216" s="38"/>
      <c r="K216" s="38"/>
      <c r="M216" s="17"/>
      <c r="N216" s="35"/>
      <c r="R216" s="17"/>
    </row>
    <row r="217" spans="2:18" ht="12.75">
      <c r="B217" s="13"/>
      <c r="C217" s="25"/>
      <c r="D217" s="25"/>
      <c r="F217" s="38"/>
      <c r="G217" s="38"/>
      <c r="H217" s="38"/>
      <c r="I217" s="38"/>
      <c r="J217" s="38"/>
      <c r="K217" s="38"/>
      <c r="M217" s="17"/>
      <c r="N217" s="35"/>
      <c r="R217" s="17"/>
    </row>
    <row r="218" spans="2:18" ht="12.75">
      <c r="B218" s="13"/>
      <c r="C218" s="25"/>
      <c r="D218" s="25"/>
      <c r="F218" s="38"/>
      <c r="G218" s="38"/>
      <c r="H218" s="38"/>
      <c r="I218" s="38"/>
      <c r="J218" s="38"/>
      <c r="K218" s="38"/>
      <c r="M218" s="17"/>
      <c r="N218" s="35"/>
      <c r="R218" s="17"/>
    </row>
    <row r="219" spans="2:18" ht="12.75">
      <c r="B219" s="13"/>
      <c r="C219" s="25"/>
      <c r="D219" s="25"/>
      <c r="F219" s="38"/>
      <c r="G219" s="38"/>
      <c r="H219" s="38"/>
      <c r="I219" s="38"/>
      <c r="J219" s="38"/>
      <c r="K219" s="38"/>
      <c r="M219" s="17"/>
      <c r="N219" s="35"/>
      <c r="R219" s="17"/>
    </row>
    <row r="220" spans="2:18" ht="12.75">
      <c r="B220" s="13"/>
      <c r="C220" s="25"/>
      <c r="D220" s="25"/>
      <c r="F220" s="38"/>
      <c r="G220" s="38"/>
      <c r="H220" s="38"/>
      <c r="I220" s="38"/>
      <c r="J220" s="38"/>
      <c r="K220" s="38"/>
      <c r="M220" s="17"/>
      <c r="N220" s="35"/>
      <c r="R220" s="17"/>
    </row>
    <row r="221" spans="2:18" ht="12.75">
      <c r="B221" s="13"/>
      <c r="C221" s="25"/>
      <c r="D221" s="25"/>
      <c r="F221" s="38"/>
      <c r="G221" s="38"/>
      <c r="H221" s="38"/>
      <c r="I221" s="38"/>
      <c r="J221" s="38"/>
      <c r="K221" s="38"/>
      <c r="M221" s="17"/>
      <c r="N221" s="35"/>
      <c r="R221" s="17"/>
    </row>
    <row r="222" spans="2:18" ht="12.75">
      <c r="B222" s="13"/>
      <c r="C222" s="25"/>
      <c r="D222" s="25"/>
      <c r="F222" s="38"/>
      <c r="G222" s="38"/>
      <c r="H222" s="38"/>
      <c r="I222" s="38"/>
      <c r="J222" s="38"/>
      <c r="K222" s="38"/>
      <c r="M222" s="17"/>
      <c r="N222" s="35"/>
      <c r="R222" s="17"/>
    </row>
    <row r="223" spans="2:18" ht="12.75">
      <c r="B223" s="13"/>
      <c r="C223" s="25"/>
      <c r="D223" s="25"/>
      <c r="F223" s="38"/>
      <c r="G223" s="38"/>
      <c r="H223" s="38"/>
      <c r="I223" s="38"/>
      <c r="J223" s="38"/>
      <c r="K223" s="38"/>
      <c r="M223" s="17"/>
      <c r="N223" s="35"/>
      <c r="R223" s="17"/>
    </row>
    <row r="224" spans="2:18" ht="12.75">
      <c r="B224" s="13"/>
      <c r="C224" s="25"/>
      <c r="D224" s="25"/>
      <c r="F224" s="38"/>
      <c r="G224" s="38"/>
      <c r="H224" s="38"/>
      <c r="I224" s="38"/>
      <c r="J224" s="38"/>
      <c r="K224" s="38"/>
      <c r="M224" s="17"/>
      <c r="N224" s="35"/>
      <c r="R224" s="17"/>
    </row>
    <row r="225" spans="1:29" ht="12.75">
      <c r="B225" s="13"/>
      <c r="C225" s="25"/>
      <c r="D225" s="25"/>
      <c r="F225" s="38"/>
      <c r="G225" s="38"/>
      <c r="H225" s="38"/>
      <c r="I225" s="38"/>
      <c r="J225" s="38"/>
      <c r="K225" s="38"/>
      <c r="M225" s="17"/>
      <c r="N225" s="35"/>
      <c r="R225" s="17"/>
    </row>
    <row r="226" spans="1:29" ht="12.75">
      <c r="B226" s="13"/>
      <c r="C226" s="25"/>
      <c r="D226" s="25"/>
      <c r="F226" s="38"/>
      <c r="G226" s="38"/>
      <c r="H226" s="38"/>
      <c r="I226" s="38"/>
      <c r="J226" s="38"/>
      <c r="K226" s="38"/>
      <c r="M226" s="17"/>
      <c r="N226" s="35"/>
      <c r="R226" s="17"/>
    </row>
    <row r="227" spans="1:29" ht="12.75">
      <c r="B227" s="13"/>
      <c r="C227" s="25"/>
      <c r="D227" s="25"/>
      <c r="F227" s="38"/>
      <c r="G227" s="38"/>
      <c r="H227" s="38"/>
      <c r="I227" s="38"/>
      <c r="J227" s="38"/>
      <c r="K227" s="38"/>
      <c r="M227" s="17"/>
      <c r="N227" s="35"/>
      <c r="R227" s="17"/>
    </row>
    <row r="228" spans="1:29" ht="12.75">
      <c r="B228" s="13"/>
      <c r="C228" s="25"/>
      <c r="D228" s="25"/>
      <c r="F228" s="38"/>
      <c r="G228" s="38"/>
      <c r="H228" s="38"/>
      <c r="I228" s="38"/>
      <c r="J228" s="38"/>
      <c r="K228" s="38"/>
      <c r="M228" s="17"/>
      <c r="N228" s="35"/>
      <c r="R228" s="17"/>
    </row>
    <row r="229" spans="1:29" ht="12.75">
      <c r="B229" s="13"/>
      <c r="C229" s="25"/>
      <c r="D229" s="25"/>
      <c r="F229" s="38"/>
      <c r="G229" s="38"/>
      <c r="H229" s="38"/>
      <c r="I229" s="38"/>
      <c r="J229" s="38"/>
      <c r="K229" s="38"/>
      <c r="M229" s="17"/>
      <c r="N229" s="35"/>
      <c r="R229" s="17"/>
    </row>
    <row r="230" spans="1:29" ht="12.75">
      <c r="B230" s="13"/>
      <c r="C230" s="25"/>
      <c r="D230" s="25"/>
      <c r="F230" s="38"/>
      <c r="G230" s="38"/>
      <c r="H230" s="38"/>
      <c r="I230" s="38"/>
      <c r="J230" s="38"/>
      <c r="K230" s="38"/>
      <c r="M230" s="17"/>
      <c r="N230" s="35"/>
      <c r="R230" s="17"/>
    </row>
    <row r="231" spans="1:29" ht="12.75">
      <c r="B231" s="13"/>
      <c r="C231" s="25"/>
      <c r="D231" s="25"/>
      <c r="F231" s="38"/>
      <c r="G231" s="38"/>
      <c r="H231" s="38"/>
      <c r="I231" s="38"/>
      <c r="J231" s="38"/>
      <c r="K231" s="38"/>
      <c r="M231" s="17"/>
      <c r="N231" s="35"/>
      <c r="R231" s="17"/>
    </row>
    <row r="232" spans="1:29" ht="12.75">
      <c r="F232" s="38"/>
      <c r="G232" s="38"/>
      <c r="H232" s="38"/>
      <c r="I232" s="38"/>
      <c r="J232" s="38"/>
      <c r="K232" s="38"/>
      <c r="M232" s="17"/>
      <c r="N232" s="35"/>
      <c r="R232" s="17"/>
    </row>
    <row r="233" spans="1:29" ht="13.15">
      <c r="A233" s="30"/>
      <c r="B233" s="31"/>
      <c r="C233" s="30"/>
      <c r="D233" s="30"/>
      <c r="E233" s="30"/>
      <c r="F233" s="39"/>
      <c r="G233" s="39"/>
      <c r="H233" s="38"/>
      <c r="I233" s="38"/>
      <c r="J233" s="38"/>
      <c r="K233" s="38"/>
      <c r="L233" s="30"/>
      <c r="M233" s="33"/>
      <c r="N233" s="40"/>
      <c r="O233" s="30"/>
      <c r="P233" s="30"/>
      <c r="Q233" s="30"/>
      <c r="R233" s="33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</row>
    <row r="234" spans="1:29" ht="12.75">
      <c r="F234" s="38"/>
      <c r="G234" s="38"/>
      <c r="M234" s="17"/>
      <c r="N234" s="35"/>
      <c r="R234" s="17"/>
    </row>
    <row r="235" spans="1:29" ht="12.75">
      <c r="F235" s="38"/>
      <c r="G235" s="38"/>
      <c r="M235" s="17"/>
      <c r="N235" s="35"/>
      <c r="R235" s="17"/>
    </row>
    <row r="236" spans="1:29" ht="12.75">
      <c r="F236" s="38"/>
      <c r="G236" s="38"/>
      <c r="M236" s="17"/>
      <c r="N236" s="35"/>
      <c r="R236" s="17"/>
    </row>
    <row r="237" spans="1:29" ht="12.75">
      <c r="F237" s="38"/>
      <c r="G237" s="38"/>
      <c r="M237" s="17"/>
      <c r="N237" s="35"/>
      <c r="R237" s="17"/>
    </row>
    <row r="238" spans="1:29" ht="12.75">
      <c r="M238" s="17"/>
      <c r="N238" s="35"/>
      <c r="R238" s="17"/>
    </row>
    <row r="239" spans="1:29" ht="12.75">
      <c r="M239" s="17"/>
      <c r="N239" s="35"/>
      <c r="R239" s="17"/>
    </row>
    <row r="240" spans="1:29" ht="12.75">
      <c r="M240" s="17"/>
      <c r="N240" s="35"/>
      <c r="R240" s="17"/>
    </row>
    <row r="241" spans="13:18" ht="12.75">
      <c r="M241" s="17"/>
      <c r="N241" s="35"/>
      <c r="R241" s="17"/>
    </row>
    <row r="242" spans="13:18" ht="12.75">
      <c r="M242" s="17"/>
      <c r="N242" s="35"/>
      <c r="R242" s="17"/>
    </row>
    <row r="243" spans="13:18" ht="12.75">
      <c r="M243" s="17"/>
      <c r="N243" s="35"/>
      <c r="R243" s="17"/>
    </row>
    <row r="244" spans="13:18" ht="12.75">
      <c r="M244" s="17"/>
      <c r="N244" s="35"/>
      <c r="R244" s="17"/>
    </row>
    <row r="245" spans="13:18" ht="12.75">
      <c r="M245" s="17"/>
      <c r="N245" s="35"/>
      <c r="R245" s="17"/>
    </row>
    <row r="246" spans="13:18" ht="12.75">
      <c r="M246" s="17"/>
      <c r="N246" s="35"/>
      <c r="R246" s="17"/>
    </row>
    <row r="247" spans="13:18" ht="12.75">
      <c r="M247" s="17"/>
      <c r="N247" s="35"/>
      <c r="R247" s="17"/>
    </row>
    <row r="248" spans="13:18" ht="12.75">
      <c r="M248" s="17"/>
      <c r="N248" s="35"/>
      <c r="R248" s="17"/>
    </row>
    <row r="249" spans="13:18" ht="12.75">
      <c r="M249" s="17"/>
      <c r="N249" s="35"/>
      <c r="R249" s="17"/>
    </row>
    <row r="250" spans="13:18" ht="12.75">
      <c r="M250" s="17"/>
      <c r="N250" s="35"/>
      <c r="R250" s="17"/>
    </row>
    <row r="251" spans="13:18" ht="12.75">
      <c r="M251" s="17"/>
      <c r="N251" s="35"/>
      <c r="R251" s="17"/>
    </row>
    <row r="252" spans="13:18" ht="12.75">
      <c r="M252" s="17"/>
      <c r="N252" s="35"/>
      <c r="R252" s="17"/>
    </row>
    <row r="253" spans="13:18" ht="12.75">
      <c r="M253" s="17"/>
      <c r="N253" s="35"/>
      <c r="R253" s="17"/>
    </row>
    <row r="254" spans="13:18" ht="12.75">
      <c r="M254" s="17"/>
      <c r="N254" s="35"/>
      <c r="R254" s="17"/>
    </row>
    <row r="255" spans="13:18" ht="12.75">
      <c r="M255" s="17"/>
      <c r="N255" s="35"/>
      <c r="R255" s="17"/>
    </row>
    <row r="256" spans="13:18" ht="12.75">
      <c r="M256" s="17"/>
      <c r="N256" s="35"/>
      <c r="R256" s="17"/>
    </row>
    <row r="257" spans="13:18" ht="12.75">
      <c r="M257" s="17"/>
      <c r="N257" s="35"/>
      <c r="R257" s="17"/>
    </row>
    <row r="258" spans="13:18" ht="12.75">
      <c r="M258" s="17"/>
      <c r="N258" s="35"/>
      <c r="R258" s="17"/>
    </row>
    <row r="259" spans="13:18" ht="12.75">
      <c r="M259" s="17"/>
      <c r="N259" s="35"/>
      <c r="R259" s="17"/>
    </row>
    <row r="260" spans="13:18" ht="12.75">
      <c r="M260" s="17"/>
      <c r="N260" s="35"/>
      <c r="R260" s="17"/>
    </row>
    <row r="261" spans="13:18" ht="12.75">
      <c r="M261" s="17"/>
      <c r="N261" s="35"/>
      <c r="R261" s="17"/>
    </row>
    <row r="262" spans="13:18" ht="12.75">
      <c r="M262" s="17"/>
      <c r="N262" s="35"/>
      <c r="R262" s="17"/>
    </row>
    <row r="263" spans="13:18" ht="12.75">
      <c r="M263" s="17"/>
      <c r="N263" s="35"/>
      <c r="R263" s="17"/>
    </row>
    <row r="264" spans="13:18" ht="12.75">
      <c r="M264" s="17"/>
      <c r="N264" s="35"/>
      <c r="R264" s="17"/>
    </row>
    <row r="265" spans="13:18" ht="12.75">
      <c r="M265" s="17"/>
      <c r="N265" s="35"/>
      <c r="R265" s="17"/>
    </row>
    <row r="266" spans="13:18" ht="12.75">
      <c r="M266" s="17"/>
      <c r="N266" s="35"/>
      <c r="R266" s="17"/>
    </row>
    <row r="267" spans="13:18" ht="12.75">
      <c r="M267" s="17"/>
      <c r="N267" s="35"/>
      <c r="R267" s="17"/>
    </row>
    <row r="268" spans="13:18" ht="12.75">
      <c r="M268" s="17"/>
      <c r="N268" s="35"/>
      <c r="R268" s="17"/>
    </row>
    <row r="269" spans="13:18" ht="12.75">
      <c r="M269" s="17"/>
      <c r="N269" s="35"/>
      <c r="R269" s="17"/>
    </row>
    <row r="270" spans="13:18" ht="12.75">
      <c r="M270" s="17"/>
      <c r="N270" s="35"/>
      <c r="R270" s="17"/>
    </row>
    <row r="271" spans="13:18" ht="12.75">
      <c r="M271" s="17"/>
      <c r="N271" s="35"/>
      <c r="R271" s="17"/>
    </row>
    <row r="272" spans="13:18" ht="12.75">
      <c r="M272" s="17"/>
      <c r="N272" s="35"/>
      <c r="R272" s="17"/>
    </row>
    <row r="273" spans="13:18" ht="12.75">
      <c r="M273" s="17"/>
      <c r="N273" s="35"/>
      <c r="R273" s="17"/>
    </row>
    <row r="274" spans="13:18" ht="12.75">
      <c r="M274" s="17"/>
      <c r="N274" s="35"/>
      <c r="R274" s="17"/>
    </row>
    <row r="275" spans="13:18" ht="12.75">
      <c r="M275" s="17"/>
      <c r="N275" s="35"/>
      <c r="R275" s="17"/>
    </row>
    <row r="276" spans="13:18" ht="12.75">
      <c r="M276" s="17"/>
      <c r="N276" s="35"/>
      <c r="R276" s="17"/>
    </row>
    <row r="277" spans="13:18" ht="12.75">
      <c r="M277" s="17"/>
      <c r="N277" s="35"/>
      <c r="R277" s="17"/>
    </row>
    <row r="278" spans="13:18" ht="12.75">
      <c r="M278" s="17"/>
      <c r="N278" s="35"/>
      <c r="R278" s="17"/>
    </row>
    <row r="279" spans="13:18" ht="12.75">
      <c r="M279" s="17"/>
      <c r="N279" s="35"/>
      <c r="R279" s="17"/>
    </row>
    <row r="280" spans="13:18" ht="12.75">
      <c r="M280" s="17"/>
      <c r="N280" s="35"/>
      <c r="R280" s="17"/>
    </row>
    <row r="281" spans="13:18" ht="12.75">
      <c r="M281" s="17"/>
      <c r="N281" s="35"/>
      <c r="R281" s="17"/>
    </row>
    <row r="282" spans="13:18" ht="12.75">
      <c r="M282" s="17"/>
      <c r="N282" s="35"/>
      <c r="R282" s="17"/>
    </row>
    <row r="283" spans="13:18" ht="12.75">
      <c r="M283" s="17"/>
      <c r="N283" s="35"/>
      <c r="R283" s="17"/>
    </row>
    <row r="284" spans="13:18" ht="12.75">
      <c r="M284" s="17"/>
      <c r="N284" s="35"/>
      <c r="R284" s="17"/>
    </row>
    <row r="285" spans="13:18" ht="12.75">
      <c r="M285" s="17"/>
      <c r="N285" s="35"/>
      <c r="R285" s="17"/>
    </row>
    <row r="286" spans="13:18" ht="12.75">
      <c r="M286" s="17"/>
      <c r="N286" s="35"/>
      <c r="R286" s="17"/>
    </row>
    <row r="287" spans="13:18" ht="12.75">
      <c r="M287" s="17"/>
      <c r="N287" s="35"/>
      <c r="R287" s="17"/>
    </row>
    <row r="288" spans="13:18" ht="12.75">
      <c r="M288" s="17"/>
      <c r="N288" s="35"/>
      <c r="R288" s="17"/>
    </row>
    <row r="289" spans="13:18" ht="12.75">
      <c r="M289" s="17"/>
      <c r="N289" s="35"/>
      <c r="R289" s="17"/>
    </row>
    <row r="290" spans="13:18" ht="12.75">
      <c r="M290" s="17"/>
      <c r="N290" s="35"/>
      <c r="R290" s="17"/>
    </row>
    <row r="291" spans="13:18" ht="12.75">
      <c r="M291" s="17"/>
      <c r="N291" s="35"/>
      <c r="R291" s="17"/>
    </row>
    <row r="292" spans="13:18" ht="12.75">
      <c r="M292" s="17"/>
      <c r="N292" s="35"/>
      <c r="R292" s="17"/>
    </row>
    <row r="293" spans="13:18" ht="12.75">
      <c r="M293" s="17"/>
      <c r="N293" s="35"/>
      <c r="R293" s="17"/>
    </row>
    <row r="294" spans="13:18" ht="12.75">
      <c r="M294" s="17"/>
      <c r="N294" s="35"/>
      <c r="R294" s="17"/>
    </row>
    <row r="295" spans="13:18" ht="12.75">
      <c r="M295" s="17"/>
      <c r="N295" s="35"/>
      <c r="R295" s="17"/>
    </row>
    <row r="296" spans="13:18" ht="12.75">
      <c r="M296" s="17"/>
      <c r="N296" s="35"/>
      <c r="R296" s="17"/>
    </row>
    <row r="297" spans="13:18" ht="12.75">
      <c r="M297" s="17"/>
      <c r="N297" s="35"/>
      <c r="R297" s="17"/>
    </row>
    <row r="298" spans="13:18" ht="12.75">
      <c r="M298" s="17"/>
      <c r="N298" s="35"/>
      <c r="R298" s="17"/>
    </row>
    <row r="299" spans="13:18" ht="12.75">
      <c r="M299" s="17"/>
      <c r="N299" s="35"/>
      <c r="R299" s="17"/>
    </row>
    <row r="300" spans="13:18" ht="12.75">
      <c r="M300" s="17"/>
      <c r="N300" s="35"/>
      <c r="R300" s="17"/>
    </row>
    <row r="301" spans="13:18" ht="12.75">
      <c r="M301" s="17"/>
      <c r="N301" s="35"/>
      <c r="R301" s="17"/>
    </row>
    <row r="302" spans="13:18" ht="12.75">
      <c r="M302" s="17"/>
      <c r="N302" s="35"/>
      <c r="R302" s="17"/>
    </row>
    <row r="303" spans="13:18" ht="12.75">
      <c r="M303" s="17"/>
      <c r="N303" s="35"/>
      <c r="R303" s="17"/>
    </row>
    <row r="304" spans="13:18" ht="12.75">
      <c r="M304" s="17"/>
      <c r="N304" s="35"/>
      <c r="R304" s="17"/>
    </row>
    <row r="305" spans="13:18" ht="12.75">
      <c r="M305" s="17"/>
      <c r="N305" s="35"/>
      <c r="R305" s="17"/>
    </row>
    <row r="306" spans="13:18" ht="12.75">
      <c r="M306" s="17"/>
      <c r="N306" s="35"/>
      <c r="R306" s="17"/>
    </row>
    <row r="307" spans="13:18" ht="12.75">
      <c r="M307" s="17"/>
      <c r="N307" s="35"/>
      <c r="R307" s="17"/>
    </row>
    <row r="308" spans="13:18" ht="12.75">
      <c r="M308" s="17"/>
      <c r="N308" s="35"/>
      <c r="R308" s="17"/>
    </row>
    <row r="309" spans="13:18" ht="12.75">
      <c r="M309" s="17"/>
      <c r="N309" s="35"/>
      <c r="R309" s="17"/>
    </row>
    <row r="310" spans="13:18" ht="12.75">
      <c r="M310" s="17"/>
      <c r="N310" s="35"/>
      <c r="R310" s="17"/>
    </row>
    <row r="311" spans="13:18" ht="12.75">
      <c r="M311" s="17"/>
      <c r="N311" s="35"/>
      <c r="R311" s="17"/>
    </row>
    <row r="312" spans="13:18" ht="12.75">
      <c r="M312" s="17"/>
      <c r="N312" s="35"/>
      <c r="R312" s="17"/>
    </row>
    <row r="313" spans="13:18" ht="12.75">
      <c r="M313" s="17"/>
      <c r="N313" s="35"/>
      <c r="R313" s="17"/>
    </row>
    <row r="314" spans="13:18" ht="12.75">
      <c r="M314" s="17"/>
      <c r="N314" s="35"/>
      <c r="R314" s="17"/>
    </row>
    <row r="315" spans="13:18" ht="12.75">
      <c r="M315" s="17"/>
      <c r="N315" s="35"/>
      <c r="R315" s="17"/>
    </row>
    <row r="316" spans="13:18" ht="12.75">
      <c r="M316" s="17"/>
      <c r="N316" s="35"/>
      <c r="R316" s="17"/>
    </row>
    <row r="317" spans="13:18" ht="12.75">
      <c r="M317" s="17"/>
      <c r="N317" s="35"/>
      <c r="R317" s="17"/>
    </row>
    <row r="318" spans="13:18" ht="12.75">
      <c r="M318" s="17"/>
      <c r="N318" s="35"/>
      <c r="R318" s="17"/>
    </row>
    <row r="319" spans="13:18" ht="12.75">
      <c r="M319" s="17"/>
      <c r="N319" s="35"/>
      <c r="R319" s="17"/>
    </row>
    <row r="320" spans="13:18" ht="12.75">
      <c r="M320" s="17"/>
      <c r="N320" s="35"/>
      <c r="R320" s="17"/>
    </row>
    <row r="321" spans="13:18" ht="12.75">
      <c r="M321" s="17"/>
      <c r="N321" s="35"/>
      <c r="R321" s="17"/>
    </row>
    <row r="322" spans="13:18" ht="12.75">
      <c r="M322" s="17"/>
      <c r="N322" s="35"/>
      <c r="R322" s="17"/>
    </row>
    <row r="323" spans="13:18" ht="12.75">
      <c r="M323" s="17"/>
      <c r="N323" s="35"/>
      <c r="R323" s="17"/>
    </row>
    <row r="324" spans="13:18" ht="12.75">
      <c r="M324" s="17"/>
      <c r="N324" s="35"/>
      <c r="R324" s="17"/>
    </row>
    <row r="325" spans="13:18" ht="12.75">
      <c r="M325" s="17"/>
      <c r="N325" s="35"/>
      <c r="R325" s="17"/>
    </row>
    <row r="326" spans="13:18" ht="12.75">
      <c r="M326" s="17"/>
      <c r="N326" s="35"/>
      <c r="R326" s="17"/>
    </row>
    <row r="327" spans="13:18" ht="12.75">
      <c r="M327" s="17"/>
      <c r="N327" s="35"/>
      <c r="R327" s="17"/>
    </row>
    <row r="328" spans="13:18" ht="12.75">
      <c r="M328" s="17"/>
      <c r="N328" s="35"/>
      <c r="R328" s="17"/>
    </row>
    <row r="329" spans="13:18" ht="12.75">
      <c r="M329" s="17"/>
      <c r="N329" s="35"/>
      <c r="R329" s="17"/>
    </row>
    <row r="330" spans="13:18" ht="12.75">
      <c r="M330" s="17"/>
      <c r="N330" s="35"/>
      <c r="R330" s="17"/>
    </row>
    <row r="331" spans="13:18" ht="12.75">
      <c r="M331" s="17"/>
      <c r="N331" s="35"/>
      <c r="R331" s="17"/>
    </row>
    <row r="332" spans="13:18" ht="12.75">
      <c r="M332" s="17"/>
      <c r="N332" s="35"/>
      <c r="R332" s="17"/>
    </row>
    <row r="333" spans="13:18" ht="12.75">
      <c r="M333" s="17"/>
      <c r="N333" s="35"/>
      <c r="R333" s="17"/>
    </row>
    <row r="334" spans="13:18" ht="12.75">
      <c r="M334" s="17"/>
      <c r="N334" s="35"/>
      <c r="R334" s="17"/>
    </row>
    <row r="335" spans="13:18" ht="12.75">
      <c r="M335" s="17"/>
      <c r="N335" s="35"/>
      <c r="R335" s="17"/>
    </row>
    <row r="336" spans="13:18" ht="12.75">
      <c r="M336" s="17"/>
      <c r="N336" s="35"/>
      <c r="R336" s="17"/>
    </row>
    <row r="337" spans="13:18" ht="12.75">
      <c r="M337" s="17"/>
      <c r="N337" s="35"/>
      <c r="R337" s="17"/>
    </row>
    <row r="338" spans="13:18" ht="12.75">
      <c r="M338" s="17"/>
      <c r="N338" s="35"/>
      <c r="R338" s="17"/>
    </row>
    <row r="339" spans="13:18" ht="12.75">
      <c r="M339" s="17"/>
      <c r="N339" s="35"/>
      <c r="R339" s="17"/>
    </row>
    <row r="340" spans="13:18" ht="12.75">
      <c r="M340" s="17"/>
      <c r="N340" s="35"/>
      <c r="R340" s="17"/>
    </row>
    <row r="341" spans="13:18" ht="12.75">
      <c r="M341" s="17"/>
      <c r="N341" s="35"/>
      <c r="R341" s="17"/>
    </row>
    <row r="342" spans="13:18" ht="12.75">
      <c r="M342" s="17"/>
      <c r="N342" s="35"/>
      <c r="R342" s="17"/>
    </row>
    <row r="343" spans="13:18" ht="12.75">
      <c r="M343" s="17"/>
      <c r="N343" s="35"/>
      <c r="R343" s="17"/>
    </row>
    <row r="344" spans="13:18" ht="12.75">
      <c r="M344" s="17"/>
      <c r="N344" s="35"/>
      <c r="R344" s="17"/>
    </row>
    <row r="345" spans="13:18" ht="12.75">
      <c r="M345" s="17"/>
      <c r="N345" s="35"/>
      <c r="R345" s="17"/>
    </row>
    <row r="346" spans="13:18" ht="12.75">
      <c r="M346" s="17"/>
      <c r="N346" s="35"/>
      <c r="R346" s="17"/>
    </row>
    <row r="347" spans="13:18" ht="12.75">
      <c r="M347" s="17"/>
      <c r="N347" s="35"/>
      <c r="R347" s="17"/>
    </row>
    <row r="348" spans="13:18" ht="12.75">
      <c r="M348" s="17"/>
      <c r="N348" s="35"/>
      <c r="R348" s="17"/>
    </row>
    <row r="349" spans="13:18" ht="12.75">
      <c r="M349" s="17"/>
      <c r="N349" s="35"/>
      <c r="R349" s="17"/>
    </row>
    <row r="350" spans="13:18" ht="12.75">
      <c r="M350" s="17"/>
      <c r="N350" s="35"/>
      <c r="R350" s="17"/>
    </row>
    <row r="351" spans="13:18" ht="12.75">
      <c r="M351" s="17"/>
      <c r="N351" s="35"/>
      <c r="R351" s="17"/>
    </row>
    <row r="352" spans="13:18" ht="12.75">
      <c r="M352" s="17"/>
      <c r="N352" s="35"/>
      <c r="R352" s="17"/>
    </row>
    <row r="353" spans="13:18" ht="12.75">
      <c r="M353" s="17"/>
      <c r="N353" s="35"/>
      <c r="R353" s="17"/>
    </row>
    <row r="354" spans="13:18" ht="12.75">
      <c r="M354" s="17"/>
      <c r="N354" s="35"/>
      <c r="R354" s="17"/>
    </row>
    <row r="355" spans="13:18" ht="12.75">
      <c r="M355" s="17"/>
      <c r="N355" s="35"/>
      <c r="R355" s="17"/>
    </row>
    <row r="356" spans="13:18" ht="12.75">
      <c r="M356" s="17"/>
      <c r="N356" s="35"/>
      <c r="R356" s="17"/>
    </row>
    <row r="357" spans="13:18" ht="12.75">
      <c r="M357" s="17"/>
      <c r="N357" s="35"/>
      <c r="R357" s="17"/>
    </row>
    <row r="358" spans="13:18" ht="12.75">
      <c r="M358" s="17"/>
      <c r="N358" s="35"/>
      <c r="R358" s="17"/>
    </row>
    <row r="359" spans="13:18" ht="12.75">
      <c r="M359" s="17"/>
      <c r="N359" s="35"/>
      <c r="R359" s="17"/>
    </row>
    <row r="360" spans="13:18" ht="12.75">
      <c r="M360" s="17"/>
      <c r="N360" s="35"/>
      <c r="R360" s="17"/>
    </row>
    <row r="361" spans="13:18" ht="12.75">
      <c r="M361" s="17"/>
      <c r="N361" s="35"/>
      <c r="R361" s="17"/>
    </row>
    <row r="362" spans="13:18" ht="12.75">
      <c r="M362" s="17"/>
      <c r="N362" s="35"/>
      <c r="R362" s="17"/>
    </row>
    <row r="363" spans="13:18" ht="12.75">
      <c r="M363" s="17"/>
      <c r="N363" s="35"/>
      <c r="R363" s="17"/>
    </row>
    <row r="364" spans="13:18" ht="12.75">
      <c r="M364" s="17"/>
      <c r="N364" s="35"/>
      <c r="R364" s="17"/>
    </row>
    <row r="365" spans="13:18" ht="12.75">
      <c r="M365" s="17"/>
      <c r="N365" s="35"/>
      <c r="R365" s="17"/>
    </row>
    <row r="366" spans="13:18" ht="12.75">
      <c r="M366" s="17"/>
      <c r="N366" s="35"/>
      <c r="R366" s="17"/>
    </row>
    <row r="367" spans="13:18" ht="12.75">
      <c r="M367" s="17"/>
      <c r="N367" s="35"/>
      <c r="R367" s="17"/>
    </row>
    <row r="368" spans="13:18" ht="12.75">
      <c r="M368" s="17"/>
      <c r="N368" s="35"/>
      <c r="R368" s="17"/>
    </row>
    <row r="369" spans="13:18" ht="12.75">
      <c r="M369" s="17"/>
      <c r="N369" s="35"/>
      <c r="R369" s="17"/>
    </row>
    <row r="370" spans="13:18" ht="12.75">
      <c r="M370" s="17"/>
      <c r="N370" s="35"/>
      <c r="R370" s="17"/>
    </row>
    <row r="371" spans="13:18" ht="12.75">
      <c r="M371" s="17"/>
      <c r="N371" s="35"/>
      <c r="R371" s="17"/>
    </row>
    <row r="372" spans="13:18" ht="12.75">
      <c r="M372" s="17"/>
      <c r="N372" s="35"/>
      <c r="R372" s="17"/>
    </row>
    <row r="373" spans="13:18" ht="12.75">
      <c r="M373" s="17"/>
      <c r="N373" s="35"/>
      <c r="R373" s="17"/>
    </row>
    <row r="374" spans="13:18" ht="12.75">
      <c r="M374" s="17"/>
      <c r="N374" s="35"/>
      <c r="R374" s="17"/>
    </row>
    <row r="375" spans="13:18" ht="12.75">
      <c r="M375" s="17"/>
      <c r="N375" s="35"/>
      <c r="R375" s="17"/>
    </row>
    <row r="376" spans="13:18" ht="12.75">
      <c r="M376" s="17"/>
      <c r="N376" s="35"/>
      <c r="R376" s="17"/>
    </row>
    <row r="377" spans="13:18" ht="12.75">
      <c r="M377" s="17"/>
      <c r="N377" s="35"/>
      <c r="R377" s="17"/>
    </row>
    <row r="378" spans="13:18" ht="12.75">
      <c r="M378" s="17"/>
      <c r="N378" s="35"/>
      <c r="R378" s="17"/>
    </row>
    <row r="379" spans="13:18" ht="12.75">
      <c r="M379" s="17"/>
      <c r="N379" s="35"/>
      <c r="R379" s="17"/>
    </row>
    <row r="380" spans="13:18" ht="12.75">
      <c r="M380" s="17"/>
      <c r="N380" s="35"/>
      <c r="R380" s="17"/>
    </row>
    <row r="381" spans="13:18" ht="12.75">
      <c r="M381" s="17"/>
      <c r="N381" s="35"/>
      <c r="R381" s="17"/>
    </row>
    <row r="382" spans="13:18" ht="12.75">
      <c r="M382" s="17"/>
      <c r="N382" s="35"/>
      <c r="R382" s="17"/>
    </row>
    <row r="383" spans="13:18" ht="12.75">
      <c r="M383" s="17"/>
      <c r="N383" s="35"/>
      <c r="R383" s="17"/>
    </row>
    <row r="384" spans="13:18" ht="12.75">
      <c r="M384" s="17"/>
      <c r="N384" s="35"/>
      <c r="R384" s="17"/>
    </row>
    <row r="385" spans="13:18" ht="12.75">
      <c r="M385" s="17"/>
      <c r="N385" s="35"/>
      <c r="R385" s="17"/>
    </row>
    <row r="386" spans="13:18" ht="12.75">
      <c r="M386" s="17"/>
      <c r="N386" s="35"/>
      <c r="R386" s="17"/>
    </row>
    <row r="387" spans="13:18" ht="12.75">
      <c r="M387" s="17"/>
      <c r="N387" s="35"/>
      <c r="R387" s="17"/>
    </row>
    <row r="388" spans="13:18" ht="12.75">
      <c r="M388" s="17"/>
      <c r="N388" s="35"/>
      <c r="R388" s="17"/>
    </row>
    <row r="389" spans="13:18" ht="12.75">
      <c r="M389" s="17"/>
      <c r="N389" s="35"/>
      <c r="R389" s="17"/>
    </row>
    <row r="390" spans="13:18" ht="12.75">
      <c r="M390" s="17"/>
      <c r="N390" s="35"/>
      <c r="R390" s="17"/>
    </row>
    <row r="391" spans="13:18" ht="12.75">
      <c r="M391" s="17"/>
      <c r="N391" s="35"/>
      <c r="R391" s="17"/>
    </row>
    <row r="392" spans="13:18" ht="12.75">
      <c r="M392" s="17"/>
      <c r="N392" s="35"/>
      <c r="R392" s="17"/>
    </row>
    <row r="393" spans="13:18" ht="12.75">
      <c r="M393" s="17"/>
      <c r="N393" s="35"/>
      <c r="R393" s="17"/>
    </row>
    <row r="394" spans="13:18" ht="12.75">
      <c r="M394" s="17"/>
      <c r="N394" s="35"/>
      <c r="R394" s="17"/>
    </row>
    <row r="395" spans="13:18" ht="12.75">
      <c r="M395" s="17"/>
      <c r="N395" s="35"/>
      <c r="R395" s="17"/>
    </row>
    <row r="396" spans="13:18" ht="12.75">
      <c r="M396" s="17"/>
      <c r="N396" s="35"/>
      <c r="R396" s="17"/>
    </row>
    <row r="397" spans="13:18" ht="12.75">
      <c r="M397" s="17"/>
      <c r="N397" s="35"/>
      <c r="R397" s="17"/>
    </row>
    <row r="398" spans="13:18" ht="12.75">
      <c r="M398" s="17"/>
      <c r="N398" s="35"/>
      <c r="R398" s="17"/>
    </row>
    <row r="399" spans="13:18" ht="12.75">
      <c r="M399" s="17"/>
      <c r="N399" s="35"/>
      <c r="R399" s="17"/>
    </row>
    <row r="400" spans="13:18" ht="12.75">
      <c r="M400" s="17"/>
      <c r="N400" s="35"/>
      <c r="R400" s="17"/>
    </row>
    <row r="401" spans="13:18" ht="12.75">
      <c r="M401" s="17"/>
      <c r="N401" s="35"/>
      <c r="R401" s="17"/>
    </row>
    <row r="402" spans="13:18" ht="12.75">
      <c r="M402" s="17"/>
      <c r="N402" s="35"/>
      <c r="R402" s="17"/>
    </row>
    <row r="403" spans="13:18" ht="12.75">
      <c r="M403" s="17"/>
      <c r="N403" s="35"/>
      <c r="R403" s="17"/>
    </row>
    <row r="404" spans="13:18" ht="12.75">
      <c r="M404" s="17"/>
      <c r="N404" s="35"/>
      <c r="R404" s="17"/>
    </row>
    <row r="405" spans="13:18" ht="12.75">
      <c r="M405" s="17"/>
      <c r="N405" s="35"/>
      <c r="R405" s="17"/>
    </row>
    <row r="406" spans="13:18" ht="12.75">
      <c r="M406" s="17"/>
      <c r="N406" s="35"/>
      <c r="R406" s="17"/>
    </row>
    <row r="407" spans="13:18" ht="12.75">
      <c r="M407" s="17"/>
      <c r="N407" s="35"/>
      <c r="R407" s="17"/>
    </row>
    <row r="408" spans="13:18" ht="12.75">
      <c r="M408" s="17"/>
      <c r="N408" s="35"/>
      <c r="R408" s="17"/>
    </row>
    <row r="409" spans="13:18" ht="12.75">
      <c r="M409" s="17"/>
      <c r="N409" s="35"/>
      <c r="R409" s="17"/>
    </row>
    <row r="410" spans="13:18" ht="12.75">
      <c r="M410" s="17"/>
      <c r="N410" s="35"/>
      <c r="R410" s="17"/>
    </row>
    <row r="411" spans="13:18" ht="12.75">
      <c r="M411" s="17"/>
      <c r="N411" s="35"/>
      <c r="R411" s="17"/>
    </row>
    <row r="412" spans="13:18" ht="12.75">
      <c r="M412" s="17"/>
      <c r="N412" s="35"/>
      <c r="R412" s="17"/>
    </row>
    <row r="413" spans="13:18" ht="12.75">
      <c r="M413" s="17"/>
      <c r="N413" s="35"/>
      <c r="R413" s="17"/>
    </row>
    <row r="414" spans="13:18" ht="12.75">
      <c r="M414" s="17"/>
      <c r="N414" s="35"/>
      <c r="R414" s="17"/>
    </row>
    <row r="415" spans="13:18" ht="12.75">
      <c r="M415" s="17"/>
      <c r="N415" s="35"/>
      <c r="R415" s="17"/>
    </row>
    <row r="416" spans="13:18" ht="12.75">
      <c r="M416" s="17"/>
      <c r="N416" s="35"/>
      <c r="R416" s="17"/>
    </row>
    <row r="417" spans="13:18" ht="12.75">
      <c r="M417" s="17"/>
      <c r="N417" s="35"/>
      <c r="R417" s="17"/>
    </row>
    <row r="418" spans="13:18" ht="12.75">
      <c r="M418" s="17"/>
      <c r="N418" s="35"/>
      <c r="R418" s="17"/>
    </row>
    <row r="419" spans="13:18" ht="12.75">
      <c r="M419" s="17"/>
      <c r="N419" s="35"/>
      <c r="R419" s="17"/>
    </row>
    <row r="420" spans="13:18" ht="12.75">
      <c r="M420" s="17"/>
      <c r="N420" s="35"/>
      <c r="R420" s="17"/>
    </row>
    <row r="421" spans="13:18" ht="12.75">
      <c r="M421" s="17"/>
      <c r="N421" s="35"/>
      <c r="R421" s="17"/>
    </row>
    <row r="422" spans="13:18" ht="12.75">
      <c r="M422" s="17"/>
      <c r="N422" s="35"/>
      <c r="R422" s="17"/>
    </row>
    <row r="423" spans="13:18" ht="12.75">
      <c r="M423" s="17"/>
      <c r="N423" s="35"/>
      <c r="R423" s="17"/>
    </row>
    <row r="424" spans="13:18" ht="12.75">
      <c r="M424" s="17"/>
      <c r="N424" s="35"/>
      <c r="R424" s="17"/>
    </row>
    <row r="425" spans="13:18" ht="12.75">
      <c r="M425" s="17"/>
      <c r="N425" s="35"/>
      <c r="R425" s="17"/>
    </row>
    <row r="426" spans="13:18" ht="12.75">
      <c r="M426" s="17"/>
      <c r="N426" s="35"/>
      <c r="R426" s="17"/>
    </row>
    <row r="427" spans="13:18" ht="12.75">
      <c r="M427" s="17"/>
      <c r="N427" s="35"/>
      <c r="R427" s="17"/>
    </row>
    <row r="428" spans="13:18" ht="12.75">
      <c r="M428" s="17"/>
      <c r="N428" s="35"/>
      <c r="R428" s="17"/>
    </row>
    <row r="429" spans="13:18" ht="12.75">
      <c r="M429" s="17"/>
      <c r="N429" s="35"/>
      <c r="R429" s="17"/>
    </row>
    <row r="430" spans="13:18" ht="12.75">
      <c r="M430" s="17"/>
      <c r="N430" s="35"/>
      <c r="R430" s="17"/>
    </row>
    <row r="431" spans="13:18" ht="12.75">
      <c r="M431" s="17"/>
      <c r="N431" s="35"/>
      <c r="R431" s="17"/>
    </row>
    <row r="432" spans="13:18" ht="12.75">
      <c r="M432" s="17"/>
      <c r="N432" s="35"/>
      <c r="R432" s="17"/>
    </row>
    <row r="433" spans="13:18" ht="12.75">
      <c r="M433" s="17"/>
      <c r="N433" s="35"/>
      <c r="R433" s="17"/>
    </row>
    <row r="434" spans="13:18" ht="12.75">
      <c r="M434" s="17"/>
      <c r="N434" s="35"/>
      <c r="R434" s="17"/>
    </row>
    <row r="435" spans="13:18" ht="12.75">
      <c r="M435" s="17"/>
      <c r="N435" s="35"/>
      <c r="R435" s="17"/>
    </row>
    <row r="436" spans="13:18" ht="12.75">
      <c r="M436" s="17"/>
      <c r="N436" s="35"/>
      <c r="R436" s="17"/>
    </row>
    <row r="437" spans="13:18" ht="12.75">
      <c r="M437" s="17"/>
      <c r="N437" s="35"/>
      <c r="R437" s="17"/>
    </row>
    <row r="438" spans="13:18" ht="12.75">
      <c r="M438" s="17"/>
      <c r="N438" s="35"/>
      <c r="R438" s="17"/>
    </row>
    <row r="439" spans="13:18" ht="12.75">
      <c r="M439" s="17"/>
      <c r="N439" s="35"/>
      <c r="R439" s="17"/>
    </row>
    <row r="440" spans="13:18" ht="12.75">
      <c r="M440" s="17"/>
      <c r="N440" s="35"/>
      <c r="R440" s="17"/>
    </row>
    <row r="441" spans="13:18" ht="12.75">
      <c r="M441" s="17"/>
      <c r="N441" s="35"/>
      <c r="R441" s="17"/>
    </row>
    <row r="442" spans="13:18" ht="12.75">
      <c r="M442" s="17"/>
      <c r="N442" s="35"/>
      <c r="R442" s="17"/>
    </row>
    <row r="443" spans="13:18" ht="12.75">
      <c r="M443" s="17"/>
      <c r="N443" s="35"/>
      <c r="R443" s="17"/>
    </row>
    <row r="444" spans="13:18" ht="12.75">
      <c r="M444" s="17"/>
      <c r="N444" s="35"/>
      <c r="R444" s="17"/>
    </row>
    <row r="445" spans="13:18" ht="12.75">
      <c r="M445" s="17"/>
      <c r="N445" s="35"/>
      <c r="R445" s="17"/>
    </row>
    <row r="446" spans="13:18" ht="12.75">
      <c r="M446" s="17"/>
      <c r="N446" s="35"/>
      <c r="R446" s="17"/>
    </row>
    <row r="447" spans="13:18" ht="12.75">
      <c r="M447" s="17"/>
      <c r="N447" s="35"/>
      <c r="R447" s="17"/>
    </row>
    <row r="448" spans="13:18" ht="12.75">
      <c r="M448" s="17"/>
      <c r="N448" s="35"/>
      <c r="R448" s="17"/>
    </row>
    <row r="449" spans="13:18" ht="12.75">
      <c r="M449" s="17"/>
      <c r="N449" s="35"/>
      <c r="R449" s="17"/>
    </row>
    <row r="450" spans="13:18" ht="12.75">
      <c r="M450" s="17"/>
      <c r="N450" s="35"/>
      <c r="R450" s="17"/>
    </row>
    <row r="451" spans="13:18" ht="12.75">
      <c r="M451" s="17"/>
      <c r="N451" s="35"/>
      <c r="R451" s="17"/>
    </row>
    <row r="452" spans="13:18" ht="12.75">
      <c r="M452" s="17"/>
      <c r="N452" s="35"/>
      <c r="R452" s="17"/>
    </row>
    <row r="453" spans="13:18" ht="12.75">
      <c r="M453" s="17"/>
      <c r="N453" s="35"/>
      <c r="R453" s="17"/>
    </row>
    <row r="454" spans="13:18" ht="12.75">
      <c r="M454" s="17"/>
      <c r="N454" s="35"/>
      <c r="R454" s="17"/>
    </row>
    <row r="455" spans="13:18" ht="12.75">
      <c r="M455" s="17"/>
      <c r="N455" s="35"/>
      <c r="R455" s="17"/>
    </row>
    <row r="456" spans="13:18" ht="12.75">
      <c r="M456" s="17"/>
      <c r="N456" s="35"/>
      <c r="R456" s="17"/>
    </row>
    <row r="457" spans="13:18" ht="12.75">
      <c r="M457" s="17"/>
      <c r="N457" s="35"/>
      <c r="R457" s="17"/>
    </row>
    <row r="458" spans="13:18" ht="12.75">
      <c r="M458" s="17"/>
      <c r="N458" s="35"/>
      <c r="R458" s="17"/>
    </row>
    <row r="459" spans="13:18" ht="12.75">
      <c r="M459" s="17"/>
      <c r="N459" s="35"/>
      <c r="R459" s="17"/>
    </row>
    <row r="460" spans="13:18" ht="12.75">
      <c r="M460" s="17"/>
      <c r="N460" s="35"/>
      <c r="R460" s="17"/>
    </row>
    <row r="461" spans="13:18" ht="12.75">
      <c r="M461" s="17"/>
      <c r="N461" s="35"/>
      <c r="R461" s="17"/>
    </row>
    <row r="462" spans="13:18" ht="12.75">
      <c r="M462" s="17"/>
      <c r="N462" s="35"/>
      <c r="R462" s="17"/>
    </row>
    <row r="463" spans="13:18" ht="12.75">
      <c r="M463" s="17"/>
      <c r="N463" s="35"/>
      <c r="R463" s="17"/>
    </row>
    <row r="464" spans="13:18" ht="12.75">
      <c r="M464" s="17"/>
      <c r="N464" s="35"/>
      <c r="R464" s="17"/>
    </row>
    <row r="465" spans="13:18" ht="12.75">
      <c r="M465" s="17"/>
      <c r="N465" s="35"/>
      <c r="R465" s="17"/>
    </row>
    <row r="466" spans="13:18" ht="12.75">
      <c r="M466" s="17"/>
      <c r="N466" s="35"/>
      <c r="R466" s="17"/>
    </row>
    <row r="467" spans="13:18" ht="12.75">
      <c r="M467" s="17"/>
      <c r="N467" s="35"/>
      <c r="R467" s="17"/>
    </row>
    <row r="468" spans="13:18" ht="12.75">
      <c r="M468" s="17"/>
      <c r="N468" s="35"/>
      <c r="R468" s="17"/>
    </row>
    <row r="469" spans="13:18" ht="12.75">
      <c r="M469" s="17"/>
      <c r="N469" s="35"/>
      <c r="R469" s="17"/>
    </row>
    <row r="470" spans="13:18" ht="12.75">
      <c r="M470" s="17"/>
      <c r="N470" s="35"/>
      <c r="R470" s="17"/>
    </row>
    <row r="471" spans="13:18" ht="12.75">
      <c r="M471" s="17"/>
      <c r="N471" s="35"/>
      <c r="R471" s="17"/>
    </row>
    <row r="472" spans="13:18" ht="12.75">
      <c r="M472" s="17"/>
      <c r="N472" s="35"/>
      <c r="R472" s="17"/>
    </row>
    <row r="473" spans="13:18" ht="12.75">
      <c r="M473" s="17"/>
      <c r="N473" s="35"/>
      <c r="R473" s="17"/>
    </row>
    <row r="474" spans="13:18" ht="12.75">
      <c r="M474" s="17"/>
      <c r="N474" s="35"/>
      <c r="R474" s="17"/>
    </row>
    <row r="475" spans="13:18" ht="12.75">
      <c r="M475" s="17"/>
      <c r="N475" s="35"/>
      <c r="R475" s="17"/>
    </row>
    <row r="476" spans="13:18" ht="12.75">
      <c r="M476" s="17"/>
      <c r="N476" s="35"/>
      <c r="R476" s="17"/>
    </row>
    <row r="477" spans="13:18" ht="12.75">
      <c r="M477" s="17"/>
      <c r="N477" s="35"/>
      <c r="R477" s="17"/>
    </row>
    <row r="478" spans="13:18" ht="12.75">
      <c r="M478" s="17"/>
      <c r="N478" s="35"/>
      <c r="R478" s="17"/>
    </row>
    <row r="479" spans="13:18" ht="12.75">
      <c r="M479" s="17"/>
      <c r="N479" s="35"/>
      <c r="R479" s="17"/>
    </row>
    <row r="480" spans="13:18" ht="12.75">
      <c r="M480" s="17"/>
      <c r="N480" s="35"/>
      <c r="R480" s="17"/>
    </row>
    <row r="481" spans="13:18" ht="12.75">
      <c r="M481" s="17"/>
      <c r="N481" s="35"/>
      <c r="R481" s="17"/>
    </row>
    <row r="482" spans="13:18" ht="12.75">
      <c r="M482" s="17"/>
      <c r="N482" s="35"/>
      <c r="R482" s="17"/>
    </row>
    <row r="483" spans="13:18" ht="12.75">
      <c r="M483" s="17"/>
      <c r="N483" s="35"/>
      <c r="R483" s="17"/>
    </row>
    <row r="484" spans="13:18" ht="12.75">
      <c r="M484" s="17"/>
      <c r="N484" s="35"/>
      <c r="R484" s="17"/>
    </row>
    <row r="485" spans="13:18" ht="12.75">
      <c r="M485" s="17"/>
      <c r="N485" s="35"/>
      <c r="R485" s="17"/>
    </row>
    <row r="486" spans="13:18" ht="12.75">
      <c r="M486" s="17"/>
      <c r="N486" s="35"/>
      <c r="R486" s="17"/>
    </row>
    <row r="487" spans="13:18" ht="12.75">
      <c r="M487" s="17"/>
      <c r="N487" s="35"/>
      <c r="R487" s="17"/>
    </row>
    <row r="488" spans="13:18" ht="12.75">
      <c r="M488" s="17"/>
      <c r="N488" s="35"/>
      <c r="R488" s="17"/>
    </row>
    <row r="489" spans="13:18" ht="12.75">
      <c r="M489" s="17"/>
      <c r="N489" s="35"/>
      <c r="R489" s="17"/>
    </row>
    <row r="490" spans="13:18" ht="12.75">
      <c r="M490" s="17"/>
      <c r="N490" s="35"/>
      <c r="R490" s="17"/>
    </row>
    <row r="491" spans="13:18" ht="12.75">
      <c r="M491" s="17"/>
      <c r="N491" s="35"/>
      <c r="R491" s="17"/>
    </row>
    <row r="492" spans="13:18" ht="12.75">
      <c r="M492" s="17"/>
      <c r="N492" s="35"/>
      <c r="R492" s="17"/>
    </row>
    <row r="493" spans="13:18" ht="12.75">
      <c r="M493" s="17"/>
      <c r="N493" s="35"/>
      <c r="R493" s="17"/>
    </row>
    <row r="494" spans="13:18" ht="12.75">
      <c r="M494" s="17"/>
      <c r="N494" s="35"/>
      <c r="R494" s="17"/>
    </row>
    <row r="495" spans="13:18" ht="12.75">
      <c r="M495" s="17"/>
      <c r="N495" s="35"/>
      <c r="R495" s="17"/>
    </row>
    <row r="496" spans="13:18" ht="12.75">
      <c r="M496" s="17"/>
      <c r="N496" s="35"/>
      <c r="R496" s="17"/>
    </row>
    <row r="497" spans="13:18" ht="12.75">
      <c r="M497" s="17"/>
      <c r="N497" s="35"/>
      <c r="R497" s="17"/>
    </row>
    <row r="498" spans="13:18" ht="12.75">
      <c r="M498" s="17"/>
      <c r="N498" s="35"/>
      <c r="R498" s="17"/>
    </row>
    <row r="499" spans="13:18" ht="12.75">
      <c r="M499" s="17"/>
      <c r="N499" s="35"/>
      <c r="R499" s="17"/>
    </row>
    <row r="500" spans="13:18" ht="12.75">
      <c r="M500" s="17"/>
      <c r="N500" s="35"/>
      <c r="R500" s="17"/>
    </row>
    <row r="501" spans="13:18" ht="12.75">
      <c r="M501" s="17"/>
      <c r="N501" s="35"/>
      <c r="R501" s="17"/>
    </row>
    <row r="502" spans="13:18" ht="12.75">
      <c r="M502" s="17"/>
      <c r="N502" s="35"/>
      <c r="R502" s="17"/>
    </row>
    <row r="503" spans="13:18" ht="12.75">
      <c r="M503" s="17"/>
      <c r="N503" s="35"/>
      <c r="R503" s="17"/>
    </row>
    <row r="504" spans="13:18" ht="12.75">
      <c r="M504" s="17"/>
      <c r="N504" s="35"/>
      <c r="R504" s="17"/>
    </row>
    <row r="505" spans="13:18" ht="12.75">
      <c r="M505" s="17"/>
      <c r="N505" s="35"/>
      <c r="R505" s="17"/>
    </row>
    <row r="506" spans="13:18" ht="12.75">
      <c r="M506" s="17"/>
      <c r="N506" s="35"/>
      <c r="R506" s="17"/>
    </row>
    <row r="507" spans="13:18" ht="12.75">
      <c r="M507" s="17"/>
      <c r="N507" s="35"/>
      <c r="R507" s="17"/>
    </row>
    <row r="508" spans="13:18" ht="12.75">
      <c r="M508" s="17"/>
      <c r="N508" s="35"/>
      <c r="R508" s="17"/>
    </row>
    <row r="509" spans="13:18" ht="12.75">
      <c r="M509" s="17"/>
      <c r="N509" s="35"/>
      <c r="R509" s="17"/>
    </row>
    <row r="510" spans="13:18" ht="12.75">
      <c r="M510" s="17"/>
      <c r="N510" s="35"/>
      <c r="R510" s="17"/>
    </row>
    <row r="511" spans="13:18" ht="12.75">
      <c r="M511" s="17"/>
      <c r="N511" s="35"/>
      <c r="R511" s="17"/>
    </row>
    <row r="512" spans="13:18" ht="12.75">
      <c r="M512" s="17"/>
      <c r="N512" s="35"/>
      <c r="R512" s="17"/>
    </row>
    <row r="513" spans="13:18" ht="12.75">
      <c r="M513" s="17"/>
      <c r="N513" s="35"/>
      <c r="R513" s="17"/>
    </row>
    <row r="514" spans="13:18" ht="12.75">
      <c r="M514" s="17"/>
      <c r="N514" s="35"/>
      <c r="R514" s="17"/>
    </row>
    <row r="515" spans="13:18" ht="12.75">
      <c r="M515" s="17"/>
      <c r="N515" s="35"/>
      <c r="R515" s="17"/>
    </row>
    <row r="516" spans="13:18" ht="12.75">
      <c r="M516" s="17"/>
      <c r="N516" s="35"/>
      <c r="R516" s="17"/>
    </row>
    <row r="517" spans="13:18" ht="12.75">
      <c r="M517" s="17"/>
      <c r="N517" s="35"/>
      <c r="R517" s="17"/>
    </row>
    <row r="518" spans="13:18" ht="12.75">
      <c r="M518" s="17"/>
      <c r="N518" s="35"/>
      <c r="R518" s="17"/>
    </row>
    <row r="519" spans="13:18" ht="12.75">
      <c r="M519" s="17"/>
      <c r="N519" s="35"/>
      <c r="R519" s="17"/>
    </row>
    <row r="520" spans="13:18" ht="12.75">
      <c r="M520" s="17"/>
      <c r="N520" s="35"/>
      <c r="R520" s="17"/>
    </row>
    <row r="521" spans="13:18" ht="12.75">
      <c r="M521" s="17"/>
      <c r="N521" s="35"/>
      <c r="R521" s="17"/>
    </row>
    <row r="522" spans="13:18" ht="12.75">
      <c r="M522" s="17"/>
      <c r="N522" s="35"/>
      <c r="R522" s="17"/>
    </row>
    <row r="523" spans="13:18" ht="12.75">
      <c r="M523" s="17"/>
      <c r="N523" s="35"/>
      <c r="R523" s="17"/>
    </row>
    <row r="524" spans="13:18" ht="12.75">
      <c r="M524" s="17"/>
      <c r="N524" s="35"/>
      <c r="R524" s="17"/>
    </row>
    <row r="525" spans="13:18" ht="12.75">
      <c r="M525" s="17"/>
      <c r="N525" s="35"/>
      <c r="R525" s="17"/>
    </row>
    <row r="526" spans="13:18" ht="12.75">
      <c r="M526" s="17"/>
      <c r="N526" s="35"/>
      <c r="R526" s="17"/>
    </row>
    <row r="527" spans="13:18" ht="12.75">
      <c r="M527" s="17"/>
      <c r="N527" s="35"/>
      <c r="R527" s="17"/>
    </row>
    <row r="528" spans="13:18" ht="12.75">
      <c r="M528" s="17"/>
      <c r="N528" s="35"/>
      <c r="R528" s="17"/>
    </row>
    <row r="529" spans="13:18" ht="12.75">
      <c r="M529" s="17"/>
      <c r="N529" s="35"/>
      <c r="R529" s="17"/>
    </row>
    <row r="530" spans="13:18" ht="12.75">
      <c r="M530" s="17"/>
      <c r="N530" s="35"/>
      <c r="R530" s="17"/>
    </row>
    <row r="531" spans="13:18" ht="12.75">
      <c r="M531" s="17"/>
      <c r="N531" s="35"/>
      <c r="R531" s="17"/>
    </row>
    <row r="532" spans="13:18" ht="12.75">
      <c r="M532" s="17"/>
      <c r="N532" s="35"/>
      <c r="R532" s="17"/>
    </row>
    <row r="533" spans="13:18" ht="12.75">
      <c r="M533" s="17"/>
      <c r="N533" s="35"/>
      <c r="R533" s="17"/>
    </row>
    <row r="534" spans="13:18" ht="12.75">
      <c r="M534" s="17"/>
      <c r="N534" s="35"/>
      <c r="R534" s="17"/>
    </row>
    <row r="535" spans="13:18" ht="12.75">
      <c r="M535" s="17"/>
      <c r="N535" s="35"/>
      <c r="R535" s="17"/>
    </row>
    <row r="536" spans="13:18" ht="12.75">
      <c r="M536" s="17"/>
      <c r="N536" s="35"/>
      <c r="R536" s="17"/>
    </row>
    <row r="537" spans="13:18" ht="12.75">
      <c r="M537" s="17"/>
      <c r="N537" s="35"/>
      <c r="R537" s="17"/>
    </row>
    <row r="538" spans="13:18" ht="12.75">
      <c r="M538" s="17"/>
      <c r="N538" s="35"/>
      <c r="R538" s="17"/>
    </row>
    <row r="539" spans="13:18" ht="12.75">
      <c r="M539" s="17"/>
      <c r="N539" s="35"/>
      <c r="R539" s="17"/>
    </row>
    <row r="540" spans="13:18" ht="12.75">
      <c r="M540" s="17"/>
      <c r="N540" s="35"/>
      <c r="R540" s="17"/>
    </row>
    <row r="541" spans="13:18" ht="12.75">
      <c r="M541" s="17"/>
      <c r="N541" s="35"/>
      <c r="R541" s="17"/>
    </row>
    <row r="542" spans="13:18" ht="12.75">
      <c r="M542" s="17"/>
      <c r="N542" s="35"/>
      <c r="R542" s="17"/>
    </row>
    <row r="543" spans="13:18" ht="12.75">
      <c r="M543" s="17"/>
      <c r="N543" s="35"/>
      <c r="R543" s="17"/>
    </row>
    <row r="544" spans="13:18" ht="12.75">
      <c r="M544" s="17"/>
      <c r="N544" s="35"/>
      <c r="R544" s="17"/>
    </row>
    <row r="545" spans="13:18" ht="12.75">
      <c r="M545" s="17"/>
      <c r="N545" s="35"/>
      <c r="R545" s="17"/>
    </row>
    <row r="546" spans="13:18" ht="12.75">
      <c r="M546" s="17"/>
      <c r="N546" s="35"/>
      <c r="R546" s="17"/>
    </row>
    <row r="547" spans="13:18" ht="12.75">
      <c r="M547" s="17"/>
      <c r="N547" s="35"/>
      <c r="R547" s="17"/>
    </row>
    <row r="548" spans="13:18" ht="12.75">
      <c r="M548" s="17"/>
      <c r="N548" s="35"/>
      <c r="R548" s="17"/>
    </row>
    <row r="549" spans="13:18" ht="12.75">
      <c r="M549" s="17"/>
      <c r="N549" s="35"/>
      <c r="R549" s="17"/>
    </row>
    <row r="550" spans="13:18" ht="12.75">
      <c r="M550" s="17"/>
      <c r="N550" s="35"/>
      <c r="R550" s="17"/>
    </row>
    <row r="551" spans="13:18" ht="12.75">
      <c r="M551" s="17"/>
      <c r="N551" s="35"/>
      <c r="R551" s="17"/>
    </row>
    <row r="552" spans="13:18" ht="12.75">
      <c r="M552" s="17"/>
      <c r="N552" s="35"/>
      <c r="R552" s="17"/>
    </row>
    <row r="553" spans="13:18" ht="12.75">
      <c r="M553" s="17"/>
      <c r="N553" s="35"/>
      <c r="R553" s="17"/>
    </row>
    <row r="554" spans="13:18" ht="12.75">
      <c r="M554" s="17"/>
      <c r="N554" s="35"/>
      <c r="R554" s="17"/>
    </row>
    <row r="555" spans="13:18" ht="12.75">
      <c r="M555" s="17"/>
      <c r="N555" s="35"/>
      <c r="R555" s="17"/>
    </row>
    <row r="556" spans="13:18" ht="12.75">
      <c r="M556" s="17"/>
      <c r="N556" s="35"/>
      <c r="R556" s="17"/>
    </row>
    <row r="557" spans="13:18" ht="12.75">
      <c r="M557" s="17"/>
      <c r="N557" s="35"/>
      <c r="R557" s="17"/>
    </row>
    <row r="558" spans="13:18" ht="12.75">
      <c r="M558" s="17"/>
      <c r="N558" s="35"/>
      <c r="R558" s="17"/>
    </row>
    <row r="559" spans="13:18" ht="12.75">
      <c r="M559" s="17"/>
      <c r="N559" s="35"/>
      <c r="R559" s="17"/>
    </row>
    <row r="560" spans="13:18" ht="12.75">
      <c r="M560" s="17"/>
      <c r="N560" s="35"/>
      <c r="R560" s="17"/>
    </row>
    <row r="561" spans="13:18" ht="12.75">
      <c r="M561" s="17"/>
      <c r="N561" s="35"/>
      <c r="R561" s="17"/>
    </row>
    <row r="562" spans="13:18" ht="12.75">
      <c r="M562" s="17"/>
      <c r="N562" s="35"/>
      <c r="R562" s="17"/>
    </row>
    <row r="563" spans="13:18" ht="12.75">
      <c r="M563" s="17"/>
      <c r="N563" s="35"/>
      <c r="R563" s="17"/>
    </row>
    <row r="564" spans="13:18" ht="12.75">
      <c r="M564" s="17"/>
      <c r="N564" s="35"/>
      <c r="R564" s="17"/>
    </row>
    <row r="565" spans="13:18" ht="12.75">
      <c r="M565" s="17"/>
      <c r="N565" s="35"/>
      <c r="R565" s="17"/>
    </row>
    <row r="566" spans="13:18" ht="12.75">
      <c r="M566" s="17"/>
      <c r="N566" s="35"/>
      <c r="R566" s="17"/>
    </row>
    <row r="567" spans="13:18" ht="12.75">
      <c r="M567" s="17"/>
      <c r="N567" s="35"/>
      <c r="R567" s="17"/>
    </row>
    <row r="568" spans="13:18" ht="12.75">
      <c r="M568" s="17"/>
      <c r="N568" s="35"/>
      <c r="R568" s="17"/>
    </row>
    <row r="569" spans="13:18" ht="12.75">
      <c r="M569" s="17"/>
      <c r="N569" s="35"/>
      <c r="R569" s="17"/>
    </row>
    <row r="570" spans="13:18" ht="12.75">
      <c r="M570" s="17"/>
      <c r="N570" s="35"/>
      <c r="R570" s="17"/>
    </row>
    <row r="571" spans="13:18" ht="12.75">
      <c r="M571" s="17"/>
      <c r="N571" s="35"/>
      <c r="R571" s="17"/>
    </row>
    <row r="572" spans="13:18" ht="12.75">
      <c r="M572" s="17"/>
      <c r="N572" s="35"/>
      <c r="R572" s="17"/>
    </row>
    <row r="573" spans="13:18" ht="12.75">
      <c r="M573" s="17"/>
      <c r="N573" s="35"/>
      <c r="R573" s="17"/>
    </row>
    <row r="574" spans="13:18" ht="12.75">
      <c r="M574" s="17"/>
      <c r="N574" s="35"/>
      <c r="R574" s="17"/>
    </row>
    <row r="575" spans="13:18" ht="12.75">
      <c r="M575" s="17"/>
      <c r="N575" s="35"/>
      <c r="R575" s="17"/>
    </row>
    <row r="576" spans="13:18" ht="12.75">
      <c r="M576" s="17"/>
      <c r="N576" s="35"/>
      <c r="R576" s="17"/>
    </row>
    <row r="577" spans="13:18" ht="12.75">
      <c r="M577" s="17"/>
      <c r="N577" s="35"/>
      <c r="R577" s="17"/>
    </row>
    <row r="578" spans="13:18" ht="12.75">
      <c r="M578" s="17"/>
      <c r="N578" s="35"/>
      <c r="R578" s="17"/>
    </row>
    <row r="579" spans="13:18" ht="12.75">
      <c r="M579" s="17"/>
      <c r="N579" s="35"/>
      <c r="R579" s="17"/>
    </row>
    <row r="580" spans="13:18" ht="12.75">
      <c r="M580" s="17"/>
      <c r="N580" s="35"/>
      <c r="R580" s="17"/>
    </row>
    <row r="581" spans="13:18" ht="12.75">
      <c r="M581" s="17"/>
      <c r="N581" s="35"/>
      <c r="R581" s="17"/>
    </row>
    <row r="582" spans="13:18" ht="12.75">
      <c r="M582" s="17"/>
      <c r="N582" s="35"/>
      <c r="R582" s="17"/>
    </row>
    <row r="583" spans="13:18" ht="12.75">
      <c r="M583" s="17"/>
      <c r="N583" s="35"/>
      <c r="R583" s="17"/>
    </row>
    <row r="584" spans="13:18" ht="12.75">
      <c r="M584" s="17"/>
      <c r="N584" s="35"/>
      <c r="R584" s="17"/>
    </row>
    <row r="585" spans="13:18" ht="12.75">
      <c r="M585" s="17"/>
      <c r="N585" s="35"/>
      <c r="R585" s="17"/>
    </row>
    <row r="586" spans="13:18" ht="12.75">
      <c r="M586" s="17"/>
      <c r="N586" s="35"/>
      <c r="R586" s="17"/>
    </row>
    <row r="587" spans="13:18" ht="12.75">
      <c r="M587" s="17"/>
      <c r="N587" s="35"/>
      <c r="R587" s="17"/>
    </row>
    <row r="588" spans="13:18" ht="12.75">
      <c r="M588" s="17"/>
      <c r="N588" s="35"/>
      <c r="R588" s="17"/>
    </row>
    <row r="589" spans="13:18" ht="12.75">
      <c r="M589" s="17"/>
      <c r="N589" s="35"/>
      <c r="R589" s="17"/>
    </row>
    <row r="590" spans="13:18" ht="12.75">
      <c r="M590" s="17"/>
      <c r="N590" s="35"/>
      <c r="R590" s="17"/>
    </row>
    <row r="591" spans="13:18" ht="12.75">
      <c r="M591" s="17"/>
      <c r="N591" s="35"/>
      <c r="R591" s="17"/>
    </row>
    <row r="592" spans="13:18" ht="12.75">
      <c r="M592" s="17"/>
      <c r="N592" s="35"/>
      <c r="R592" s="17"/>
    </row>
    <row r="593" spans="13:18" ht="12.75">
      <c r="M593" s="17"/>
      <c r="N593" s="35"/>
      <c r="R593" s="17"/>
    </row>
    <row r="594" spans="13:18" ht="12.75">
      <c r="M594" s="17"/>
      <c r="N594" s="35"/>
      <c r="R594" s="17"/>
    </row>
    <row r="595" spans="13:18" ht="12.75">
      <c r="M595" s="17"/>
      <c r="N595" s="35"/>
      <c r="R595" s="17"/>
    </row>
    <row r="596" spans="13:18" ht="12.75">
      <c r="M596" s="17"/>
      <c r="N596" s="35"/>
      <c r="R596" s="17"/>
    </row>
    <row r="597" spans="13:18" ht="12.75">
      <c r="M597" s="17"/>
      <c r="N597" s="35"/>
      <c r="R597" s="17"/>
    </row>
    <row r="598" spans="13:18" ht="12.75">
      <c r="M598" s="17"/>
      <c r="N598" s="35"/>
      <c r="R598" s="17"/>
    </row>
    <row r="599" spans="13:18" ht="12.75">
      <c r="M599" s="17"/>
      <c r="N599" s="35"/>
      <c r="R599" s="17"/>
    </row>
    <row r="600" spans="13:18" ht="12.75">
      <c r="M600" s="17"/>
      <c r="N600" s="35"/>
      <c r="R600" s="17"/>
    </row>
    <row r="601" spans="13:18" ht="12.75">
      <c r="M601" s="17"/>
      <c r="N601" s="35"/>
      <c r="R601" s="17"/>
    </row>
    <row r="602" spans="13:18" ht="12.75">
      <c r="M602" s="17"/>
      <c r="N602" s="35"/>
      <c r="R602" s="17"/>
    </row>
    <row r="603" spans="13:18" ht="12.75">
      <c r="M603" s="17"/>
      <c r="N603" s="35"/>
      <c r="R603" s="17"/>
    </row>
    <row r="604" spans="13:18" ht="12.75">
      <c r="M604" s="17"/>
      <c r="N604" s="35"/>
      <c r="R604" s="17"/>
    </row>
    <row r="605" spans="13:18" ht="12.75">
      <c r="M605" s="17"/>
      <c r="N605" s="35"/>
      <c r="R605" s="17"/>
    </row>
    <row r="606" spans="13:18" ht="12.75">
      <c r="M606" s="17"/>
      <c r="N606" s="35"/>
      <c r="R606" s="17"/>
    </row>
    <row r="607" spans="13:18" ht="12.75">
      <c r="M607" s="17"/>
      <c r="N607" s="35"/>
      <c r="R607" s="17"/>
    </row>
    <row r="608" spans="13:18" ht="12.75">
      <c r="M608" s="17"/>
      <c r="N608" s="35"/>
      <c r="R608" s="17"/>
    </row>
    <row r="609" spans="13:18" ht="12.75">
      <c r="M609" s="17"/>
      <c r="N609" s="35"/>
      <c r="R609" s="17"/>
    </row>
    <row r="610" spans="13:18" ht="12.75">
      <c r="M610" s="17"/>
      <c r="N610" s="35"/>
      <c r="R610" s="17"/>
    </row>
    <row r="611" spans="13:18" ht="12.75">
      <c r="M611" s="17"/>
      <c r="N611" s="35"/>
      <c r="R611" s="17"/>
    </row>
    <row r="612" spans="13:18" ht="12.75">
      <c r="M612" s="17"/>
      <c r="N612" s="35"/>
      <c r="R612" s="17"/>
    </row>
    <row r="613" spans="13:18" ht="12.75">
      <c r="M613" s="17"/>
      <c r="N613" s="35"/>
      <c r="R613" s="17"/>
    </row>
    <row r="614" spans="13:18" ht="12.75">
      <c r="M614" s="17"/>
      <c r="N614" s="35"/>
      <c r="R614" s="17"/>
    </row>
    <row r="615" spans="13:18" ht="12.75">
      <c r="M615" s="17"/>
      <c r="N615" s="35"/>
      <c r="R615" s="17"/>
    </row>
    <row r="616" spans="13:18" ht="12.75">
      <c r="M616" s="17"/>
      <c r="N616" s="35"/>
      <c r="R616" s="17"/>
    </row>
    <row r="617" spans="13:18" ht="12.75">
      <c r="M617" s="17"/>
      <c r="N617" s="35"/>
      <c r="R617" s="17"/>
    </row>
    <row r="618" spans="13:18" ht="12.75">
      <c r="M618" s="17"/>
      <c r="N618" s="35"/>
      <c r="R618" s="17"/>
    </row>
    <row r="619" spans="13:18" ht="12.75">
      <c r="M619" s="17"/>
      <c r="N619" s="35"/>
      <c r="R619" s="17"/>
    </row>
    <row r="620" spans="13:18" ht="12.75">
      <c r="M620" s="17"/>
      <c r="N620" s="35"/>
      <c r="R620" s="17"/>
    </row>
    <row r="621" spans="13:18" ht="12.75">
      <c r="M621" s="17"/>
      <c r="N621" s="35"/>
      <c r="R621" s="17"/>
    </row>
    <row r="622" spans="13:18" ht="12.75">
      <c r="M622" s="17"/>
      <c r="N622" s="35"/>
      <c r="R622" s="17"/>
    </row>
    <row r="623" spans="13:18" ht="12.75">
      <c r="M623" s="17"/>
      <c r="N623" s="35"/>
      <c r="R623" s="17"/>
    </row>
    <row r="624" spans="13:18" ht="12.75">
      <c r="M624" s="17"/>
      <c r="N624" s="35"/>
      <c r="R624" s="17"/>
    </row>
    <row r="625" spans="13:18" ht="12.75">
      <c r="M625" s="17"/>
      <c r="N625" s="35"/>
      <c r="R625" s="17"/>
    </row>
    <row r="626" spans="13:18" ht="12.75">
      <c r="M626" s="17"/>
      <c r="N626" s="35"/>
      <c r="R626" s="17"/>
    </row>
    <row r="627" spans="13:18" ht="12.75">
      <c r="M627" s="17"/>
      <c r="N627" s="35"/>
      <c r="R627" s="17"/>
    </row>
    <row r="628" spans="13:18" ht="12.75">
      <c r="M628" s="17"/>
      <c r="N628" s="35"/>
      <c r="R628" s="17"/>
    </row>
    <row r="629" spans="13:18" ht="12.75">
      <c r="M629" s="17"/>
      <c r="N629" s="35"/>
      <c r="R629" s="17"/>
    </row>
    <row r="630" spans="13:18" ht="12.75">
      <c r="M630" s="17"/>
      <c r="N630" s="35"/>
      <c r="R630" s="17"/>
    </row>
    <row r="631" spans="13:18" ht="12.75">
      <c r="M631" s="17"/>
      <c r="N631" s="35"/>
      <c r="R631" s="17"/>
    </row>
    <row r="632" spans="13:18" ht="12.75">
      <c r="M632" s="17"/>
      <c r="N632" s="35"/>
      <c r="R632" s="17"/>
    </row>
    <row r="633" spans="13:18" ht="12.75">
      <c r="M633" s="17"/>
      <c r="N633" s="35"/>
      <c r="R633" s="17"/>
    </row>
    <row r="634" spans="13:18" ht="12.75">
      <c r="M634" s="17"/>
      <c r="N634" s="35"/>
      <c r="R634" s="17"/>
    </row>
    <row r="635" spans="13:18" ht="12.75">
      <c r="M635" s="17"/>
      <c r="N635" s="35"/>
      <c r="R635" s="17"/>
    </row>
    <row r="636" spans="13:18" ht="12.75">
      <c r="M636" s="17"/>
      <c r="N636" s="35"/>
      <c r="R636" s="17"/>
    </row>
    <row r="637" spans="13:18" ht="12.75">
      <c r="M637" s="17"/>
      <c r="N637" s="35"/>
      <c r="R637" s="17"/>
    </row>
    <row r="638" spans="13:18" ht="12.75">
      <c r="M638" s="17"/>
      <c r="N638" s="35"/>
      <c r="R638" s="17"/>
    </row>
    <row r="639" spans="13:18" ht="12.75">
      <c r="M639" s="17"/>
      <c r="N639" s="35"/>
      <c r="R639" s="17"/>
    </row>
    <row r="640" spans="13:18" ht="12.75">
      <c r="M640" s="17"/>
      <c r="N640" s="35"/>
      <c r="R640" s="17"/>
    </row>
    <row r="641" spans="13:18" ht="12.75">
      <c r="M641" s="17"/>
      <c r="N641" s="35"/>
      <c r="R641" s="17"/>
    </row>
    <row r="642" spans="13:18" ht="12.75">
      <c r="M642" s="17"/>
      <c r="N642" s="35"/>
      <c r="R642" s="17"/>
    </row>
    <row r="643" spans="13:18" ht="12.75">
      <c r="M643" s="17"/>
      <c r="N643" s="35"/>
      <c r="R643" s="17"/>
    </row>
    <row r="644" spans="13:18" ht="12.75">
      <c r="M644" s="17"/>
      <c r="N644" s="35"/>
      <c r="R644" s="17"/>
    </row>
    <row r="645" spans="13:18" ht="12.75">
      <c r="M645" s="17"/>
      <c r="N645" s="35"/>
      <c r="R645" s="17"/>
    </row>
    <row r="646" spans="13:18" ht="12.75">
      <c r="M646" s="17"/>
      <c r="N646" s="35"/>
      <c r="R646" s="17"/>
    </row>
    <row r="647" spans="13:18" ht="12.75">
      <c r="M647" s="17"/>
      <c r="N647" s="35"/>
      <c r="R647" s="17"/>
    </row>
    <row r="648" spans="13:18" ht="12.75">
      <c r="M648" s="17"/>
      <c r="N648" s="35"/>
      <c r="R648" s="17"/>
    </row>
    <row r="649" spans="13:18" ht="12.75">
      <c r="M649" s="17"/>
      <c r="N649" s="35"/>
      <c r="R649" s="17"/>
    </row>
    <row r="650" spans="13:18" ht="12.75">
      <c r="M650" s="17"/>
      <c r="N650" s="35"/>
      <c r="R650" s="17"/>
    </row>
    <row r="651" spans="13:18" ht="12.75">
      <c r="M651" s="17"/>
      <c r="N651" s="35"/>
      <c r="R651" s="17"/>
    </row>
    <row r="652" spans="13:18" ht="12.75">
      <c r="M652" s="17"/>
      <c r="N652" s="35"/>
      <c r="R652" s="17"/>
    </row>
    <row r="653" spans="13:18" ht="12.75">
      <c r="M653" s="17"/>
      <c r="N653" s="35"/>
      <c r="R653" s="17"/>
    </row>
    <row r="654" spans="13:18" ht="12.75">
      <c r="M654" s="17"/>
      <c r="N654" s="35"/>
      <c r="R654" s="17"/>
    </row>
    <row r="655" spans="13:18" ht="12.75">
      <c r="M655" s="17"/>
      <c r="N655" s="35"/>
      <c r="R655" s="17"/>
    </row>
    <row r="656" spans="13:18" ht="12.75">
      <c r="M656" s="17"/>
      <c r="N656" s="35"/>
      <c r="R656" s="17"/>
    </row>
    <row r="657" spans="13:18" ht="12.75">
      <c r="M657" s="17"/>
      <c r="N657" s="35"/>
      <c r="R657" s="17"/>
    </row>
    <row r="658" spans="13:18" ht="12.75">
      <c r="M658" s="17"/>
      <c r="N658" s="35"/>
      <c r="R658" s="17"/>
    </row>
    <row r="659" spans="13:18" ht="12.75">
      <c r="M659" s="17"/>
      <c r="N659" s="35"/>
      <c r="R659" s="17"/>
    </row>
    <row r="660" spans="13:18" ht="12.75">
      <c r="M660" s="17"/>
      <c r="N660" s="35"/>
      <c r="R660" s="17"/>
    </row>
    <row r="661" spans="13:18" ht="12.75">
      <c r="M661" s="17"/>
      <c r="N661" s="35"/>
      <c r="R661" s="17"/>
    </row>
    <row r="662" spans="13:18" ht="12.75">
      <c r="M662" s="17"/>
      <c r="N662" s="35"/>
      <c r="R662" s="17"/>
    </row>
    <row r="663" spans="13:18" ht="12.75">
      <c r="M663" s="17"/>
      <c r="N663" s="35"/>
      <c r="R663" s="17"/>
    </row>
    <row r="664" spans="13:18" ht="12.75">
      <c r="M664" s="17"/>
      <c r="N664" s="35"/>
      <c r="R664" s="17"/>
    </row>
    <row r="665" spans="13:18" ht="12.75">
      <c r="M665" s="17"/>
      <c r="N665" s="35"/>
      <c r="R665" s="17"/>
    </row>
    <row r="666" spans="13:18" ht="12.75">
      <c r="M666" s="17"/>
      <c r="N666" s="35"/>
      <c r="R666" s="17"/>
    </row>
    <row r="667" spans="13:18" ht="12.75">
      <c r="M667" s="17"/>
      <c r="N667" s="35"/>
      <c r="R667" s="17"/>
    </row>
    <row r="668" spans="13:18" ht="12.75">
      <c r="M668" s="17"/>
      <c r="N668" s="35"/>
      <c r="R668" s="17"/>
    </row>
    <row r="669" spans="13:18" ht="12.75">
      <c r="M669" s="17"/>
      <c r="N669" s="35"/>
      <c r="R669" s="17"/>
    </row>
    <row r="670" spans="13:18" ht="12.75">
      <c r="M670" s="17"/>
      <c r="N670" s="35"/>
      <c r="R670" s="17"/>
    </row>
    <row r="671" spans="13:18" ht="12.75">
      <c r="M671" s="17"/>
      <c r="N671" s="35"/>
      <c r="R671" s="17"/>
    </row>
    <row r="672" spans="13:18" ht="12.75">
      <c r="M672" s="17"/>
      <c r="N672" s="35"/>
      <c r="R672" s="17"/>
    </row>
    <row r="673" spans="13:18" ht="12.75">
      <c r="M673" s="17"/>
      <c r="N673" s="35"/>
      <c r="R673" s="17"/>
    </row>
    <row r="674" spans="13:18" ht="12.75">
      <c r="M674" s="17"/>
      <c r="N674" s="35"/>
      <c r="R674" s="17"/>
    </row>
    <row r="675" spans="13:18" ht="12.75">
      <c r="M675" s="17"/>
      <c r="N675" s="35"/>
      <c r="R675" s="17"/>
    </row>
    <row r="676" spans="13:18" ht="12.75">
      <c r="M676" s="17"/>
      <c r="N676" s="35"/>
      <c r="R676" s="17"/>
    </row>
    <row r="677" spans="13:18" ht="12.75">
      <c r="M677" s="17"/>
      <c r="N677" s="35"/>
      <c r="R677" s="17"/>
    </row>
    <row r="678" spans="13:18" ht="12.75">
      <c r="M678" s="17"/>
      <c r="N678" s="35"/>
      <c r="R678" s="17"/>
    </row>
    <row r="679" spans="13:18" ht="12.75">
      <c r="M679" s="17"/>
      <c r="N679" s="35"/>
      <c r="R679" s="17"/>
    </row>
    <row r="680" spans="13:18" ht="12.75">
      <c r="M680" s="17"/>
      <c r="N680" s="35"/>
      <c r="R680" s="17"/>
    </row>
    <row r="681" spans="13:18" ht="12.75">
      <c r="M681" s="17"/>
      <c r="N681" s="35"/>
      <c r="R681" s="17"/>
    </row>
    <row r="682" spans="13:18" ht="12.75">
      <c r="M682" s="17"/>
      <c r="N682" s="35"/>
      <c r="R682" s="17"/>
    </row>
    <row r="683" spans="13:18" ht="12.75">
      <c r="M683" s="17"/>
      <c r="N683" s="35"/>
      <c r="R683" s="17"/>
    </row>
    <row r="684" spans="13:18" ht="12.75">
      <c r="M684" s="17"/>
      <c r="N684" s="35"/>
      <c r="R684" s="17"/>
    </row>
    <row r="685" spans="13:18" ht="12.75">
      <c r="M685" s="17"/>
      <c r="N685" s="35"/>
      <c r="R685" s="17"/>
    </row>
    <row r="686" spans="13:18" ht="12.75">
      <c r="M686" s="17"/>
      <c r="N686" s="35"/>
      <c r="R686" s="17"/>
    </row>
    <row r="687" spans="13:18" ht="12.75">
      <c r="M687" s="17"/>
      <c r="N687" s="35"/>
      <c r="R687" s="17"/>
    </row>
    <row r="688" spans="13:18" ht="12.75">
      <c r="M688" s="17"/>
      <c r="N688" s="35"/>
      <c r="R688" s="17"/>
    </row>
    <row r="689" spans="13:18" ht="12.75">
      <c r="M689" s="17"/>
      <c r="N689" s="35"/>
      <c r="R689" s="17"/>
    </row>
    <row r="690" spans="13:18" ht="12.75">
      <c r="M690" s="17"/>
      <c r="N690" s="35"/>
      <c r="R690" s="17"/>
    </row>
    <row r="691" spans="13:18" ht="12.75">
      <c r="M691" s="17"/>
      <c r="N691" s="35"/>
      <c r="R691" s="17"/>
    </row>
    <row r="692" spans="13:18" ht="12.75">
      <c r="M692" s="17"/>
      <c r="N692" s="35"/>
      <c r="R692" s="17"/>
    </row>
    <row r="693" spans="13:18" ht="12.75">
      <c r="M693" s="17"/>
      <c r="N693" s="35"/>
      <c r="R693" s="17"/>
    </row>
    <row r="694" spans="13:18" ht="12.75">
      <c r="M694" s="17"/>
      <c r="N694" s="35"/>
      <c r="R694" s="17"/>
    </row>
    <row r="695" spans="13:18" ht="12.75">
      <c r="M695" s="17"/>
      <c r="N695" s="35"/>
      <c r="R695" s="17"/>
    </row>
    <row r="696" spans="13:18" ht="12.75">
      <c r="M696" s="17"/>
      <c r="N696" s="35"/>
      <c r="R696" s="17"/>
    </row>
    <row r="697" spans="13:18" ht="12.75">
      <c r="M697" s="17"/>
      <c r="N697" s="35"/>
      <c r="R697" s="17"/>
    </row>
    <row r="698" spans="13:18" ht="12.75">
      <c r="M698" s="17"/>
      <c r="N698" s="35"/>
      <c r="R698" s="17"/>
    </row>
    <row r="699" spans="13:18" ht="12.75">
      <c r="M699" s="17"/>
      <c r="N699" s="35"/>
      <c r="R699" s="17"/>
    </row>
    <row r="700" spans="13:18" ht="12.75">
      <c r="M700" s="17"/>
      <c r="N700" s="35"/>
      <c r="R700" s="17"/>
    </row>
    <row r="701" spans="13:18" ht="12.75">
      <c r="M701" s="17"/>
      <c r="N701" s="35"/>
      <c r="R701" s="17"/>
    </row>
    <row r="702" spans="13:18" ht="12.75">
      <c r="M702" s="17"/>
      <c r="N702" s="35"/>
      <c r="R702" s="17"/>
    </row>
    <row r="703" spans="13:18" ht="12.75">
      <c r="M703" s="17"/>
      <c r="N703" s="35"/>
      <c r="R703" s="17"/>
    </row>
    <row r="704" spans="13:18" ht="12.75">
      <c r="M704" s="17"/>
      <c r="N704" s="35"/>
      <c r="R704" s="17"/>
    </row>
    <row r="705" spans="13:18" ht="12.75">
      <c r="M705" s="17"/>
      <c r="N705" s="35"/>
      <c r="R705" s="17"/>
    </row>
    <row r="706" spans="13:18" ht="12.75">
      <c r="M706" s="17"/>
      <c r="N706" s="35"/>
      <c r="R706" s="17"/>
    </row>
    <row r="707" spans="13:18" ht="12.75">
      <c r="M707" s="17"/>
      <c r="N707" s="35"/>
      <c r="R707" s="17"/>
    </row>
    <row r="708" spans="13:18" ht="12.75">
      <c r="M708" s="17"/>
      <c r="N708" s="35"/>
      <c r="R708" s="17"/>
    </row>
    <row r="709" spans="13:18" ht="12.75">
      <c r="M709" s="17"/>
      <c r="N709" s="35"/>
      <c r="R709" s="17"/>
    </row>
    <row r="710" spans="13:18" ht="12.75">
      <c r="M710" s="17"/>
      <c r="N710" s="35"/>
      <c r="R710" s="17"/>
    </row>
    <row r="711" spans="13:18" ht="12.75">
      <c r="M711" s="17"/>
      <c r="N711" s="35"/>
      <c r="R711" s="17"/>
    </row>
    <row r="712" spans="13:18" ht="12.75">
      <c r="M712" s="17"/>
      <c r="N712" s="35"/>
      <c r="R712" s="17"/>
    </row>
    <row r="713" spans="13:18" ht="12.75">
      <c r="M713" s="17"/>
      <c r="N713" s="35"/>
      <c r="R713" s="17"/>
    </row>
    <row r="714" spans="13:18" ht="12.75">
      <c r="M714" s="17"/>
      <c r="N714" s="35"/>
      <c r="R714" s="17"/>
    </row>
    <row r="715" spans="13:18" ht="12.75">
      <c r="M715" s="17"/>
      <c r="N715" s="35"/>
      <c r="R715" s="17"/>
    </row>
    <row r="716" spans="13:18" ht="12.75">
      <c r="M716" s="17"/>
      <c r="N716" s="35"/>
      <c r="R716" s="17"/>
    </row>
    <row r="717" spans="13:18" ht="12.75">
      <c r="M717" s="17"/>
      <c r="N717" s="35"/>
      <c r="R717" s="17"/>
    </row>
    <row r="718" spans="13:18" ht="12.75">
      <c r="M718" s="17"/>
      <c r="N718" s="35"/>
      <c r="R718" s="17"/>
    </row>
    <row r="719" spans="13:18" ht="12.75">
      <c r="M719" s="17"/>
      <c r="N719" s="35"/>
      <c r="R719" s="17"/>
    </row>
    <row r="720" spans="13:18" ht="12.75">
      <c r="M720" s="17"/>
      <c r="N720" s="35"/>
      <c r="R720" s="17"/>
    </row>
    <row r="721" spans="13:18" ht="12.75">
      <c r="M721" s="17"/>
      <c r="N721" s="35"/>
      <c r="R721" s="17"/>
    </row>
    <row r="722" spans="13:18" ht="12.75">
      <c r="M722" s="17"/>
      <c r="N722" s="35"/>
      <c r="R722" s="17"/>
    </row>
    <row r="723" spans="13:18" ht="12.75">
      <c r="M723" s="17"/>
      <c r="N723" s="35"/>
      <c r="R723" s="17"/>
    </row>
    <row r="724" spans="13:18" ht="12.75">
      <c r="M724" s="17"/>
      <c r="N724" s="35"/>
      <c r="R724" s="17"/>
    </row>
    <row r="725" spans="13:18" ht="12.75">
      <c r="M725" s="17"/>
      <c r="N725" s="35"/>
      <c r="R725" s="17"/>
    </row>
    <row r="726" spans="13:18" ht="12.75">
      <c r="M726" s="17"/>
      <c r="N726" s="35"/>
      <c r="R726" s="17"/>
    </row>
    <row r="727" spans="13:18" ht="12.75">
      <c r="M727" s="17"/>
      <c r="N727" s="35"/>
      <c r="R727" s="17"/>
    </row>
    <row r="728" spans="13:18" ht="12.75">
      <c r="M728" s="17"/>
      <c r="N728" s="35"/>
      <c r="R728" s="17"/>
    </row>
    <row r="729" spans="13:18" ht="12.75">
      <c r="M729" s="17"/>
      <c r="N729" s="35"/>
      <c r="R729" s="17"/>
    </row>
    <row r="730" spans="13:18" ht="12.75">
      <c r="M730" s="17"/>
      <c r="N730" s="35"/>
      <c r="R730" s="17"/>
    </row>
    <row r="731" spans="13:18" ht="12.75">
      <c r="M731" s="17"/>
      <c r="N731" s="35"/>
      <c r="R731" s="17"/>
    </row>
    <row r="732" spans="13:18" ht="12.75">
      <c r="M732" s="17"/>
      <c r="N732" s="35"/>
      <c r="R732" s="17"/>
    </row>
    <row r="733" spans="13:18" ht="12.75">
      <c r="M733" s="17"/>
      <c r="N733" s="35"/>
      <c r="R733" s="17"/>
    </row>
    <row r="734" spans="13:18" ht="12.75">
      <c r="M734" s="17"/>
      <c r="N734" s="35"/>
      <c r="R734" s="17"/>
    </row>
    <row r="735" spans="13:18" ht="12.75">
      <c r="M735" s="17"/>
      <c r="N735" s="35"/>
      <c r="R735" s="17"/>
    </row>
    <row r="736" spans="13:18" ht="12.75">
      <c r="M736" s="17"/>
      <c r="N736" s="35"/>
      <c r="R736" s="17"/>
    </row>
    <row r="737" spans="13:18" ht="12.75">
      <c r="M737" s="17"/>
      <c r="N737" s="35"/>
      <c r="R737" s="17"/>
    </row>
    <row r="738" spans="13:18" ht="12.75">
      <c r="M738" s="17"/>
      <c r="N738" s="35"/>
      <c r="R738" s="17"/>
    </row>
    <row r="739" spans="13:18" ht="12.75">
      <c r="M739" s="17"/>
      <c r="N739" s="35"/>
      <c r="R739" s="17"/>
    </row>
    <row r="740" spans="13:18" ht="12.75">
      <c r="M740" s="17"/>
      <c r="N740" s="35"/>
      <c r="R740" s="17"/>
    </row>
    <row r="741" spans="13:18" ht="12.75">
      <c r="M741" s="17"/>
      <c r="N741" s="35"/>
      <c r="R741" s="17"/>
    </row>
    <row r="742" spans="13:18" ht="12.75">
      <c r="M742" s="17"/>
      <c r="N742" s="35"/>
      <c r="R742" s="17"/>
    </row>
    <row r="743" spans="13:18" ht="12.75">
      <c r="M743" s="17"/>
      <c r="N743" s="35"/>
      <c r="R743" s="17"/>
    </row>
    <row r="744" spans="13:18" ht="12.75">
      <c r="M744" s="17"/>
      <c r="N744" s="35"/>
      <c r="R744" s="17"/>
    </row>
    <row r="745" spans="13:18" ht="12.75">
      <c r="M745" s="17"/>
      <c r="N745" s="35"/>
      <c r="R745" s="17"/>
    </row>
    <row r="746" spans="13:18" ht="12.75">
      <c r="M746" s="17"/>
      <c r="N746" s="35"/>
      <c r="R746" s="17"/>
    </row>
    <row r="747" spans="13:18" ht="12.75">
      <c r="M747" s="17"/>
      <c r="N747" s="35"/>
      <c r="R747" s="17"/>
    </row>
    <row r="748" spans="13:18" ht="12.75">
      <c r="M748" s="17"/>
      <c r="N748" s="35"/>
      <c r="R748" s="17"/>
    </row>
    <row r="749" spans="13:18" ht="12.75">
      <c r="M749" s="17"/>
      <c r="N749" s="35"/>
      <c r="R749" s="17"/>
    </row>
    <row r="750" spans="13:18" ht="12.75">
      <c r="M750" s="17"/>
      <c r="N750" s="35"/>
      <c r="R750" s="17"/>
    </row>
    <row r="751" spans="13:18" ht="12.75">
      <c r="M751" s="17"/>
      <c r="N751" s="35"/>
      <c r="R751" s="17"/>
    </row>
    <row r="752" spans="13:18" ht="12.75">
      <c r="M752" s="17"/>
      <c r="N752" s="35"/>
      <c r="R752" s="17"/>
    </row>
    <row r="753" spans="13:18" ht="12.75">
      <c r="M753" s="17"/>
      <c r="N753" s="35"/>
      <c r="R753" s="17"/>
    </row>
    <row r="754" spans="13:18" ht="12.75">
      <c r="M754" s="17"/>
      <c r="N754" s="35"/>
      <c r="R754" s="17"/>
    </row>
    <row r="755" spans="13:18" ht="12.75">
      <c r="M755" s="17"/>
      <c r="N755" s="35"/>
      <c r="R755" s="17"/>
    </row>
    <row r="756" spans="13:18" ht="12.75">
      <c r="M756" s="17"/>
      <c r="N756" s="35"/>
      <c r="R756" s="17"/>
    </row>
    <row r="757" spans="13:18" ht="12.75">
      <c r="M757" s="17"/>
      <c r="N757" s="35"/>
      <c r="R757" s="17"/>
    </row>
    <row r="758" spans="13:18" ht="12.75">
      <c r="M758" s="17"/>
      <c r="N758" s="35"/>
      <c r="R758" s="17"/>
    </row>
    <row r="759" spans="13:18" ht="12.75">
      <c r="M759" s="17"/>
      <c r="N759" s="35"/>
      <c r="R759" s="17"/>
    </row>
    <row r="760" spans="13:18" ht="12.75">
      <c r="M760" s="17"/>
      <c r="N760" s="35"/>
      <c r="R760" s="17"/>
    </row>
    <row r="761" spans="13:18" ht="12.75">
      <c r="M761" s="17"/>
      <c r="N761" s="35"/>
      <c r="R761" s="17"/>
    </row>
    <row r="762" spans="13:18" ht="12.75">
      <c r="M762" s="17"/>
      <c r="N762" s="35"/>
      <c r="R762" s="17"/>
    </row>
    <row r="763" spans="13:18" ht="12.75">
      <c r="M763" s="17"/>
      <c r="N763" s="35"/>
      <c r="R763" s="17"/>
    </row>
    <row r="764" spans="13:18" ht="12.75">
      <c r="M764" s="17"/>
      <c r="N764" s="35"/>
      <c r="R764" s="17"/>
    </row>
    <row r="765" spans="13:18" ht="12.75">
      <c r="M765" s="17"/>
      <c r="N765" s="35"/>
      <c r="R765" s="17"/>
    </row>
    <row r="766" spans="13:18" ht="12.75">
      <c r="M766" s="17"/>
      <c r="N766" s="35"/>
      <c r="R766" s="17"/>
    </row>
    <row r="767" spans="13:18" ht="12.75">
      <c r="M767" s="17"/>
      <c r="N767" s="35"/>
      <c r="R767" s="17"/>
    </row>
    <row r="768" spans="13:18" ht="12.75">
      <c r="M768" s="17"/>
      <c r="N768" s="35"/>
      <c r="R768" s="17"/>
    </row>
    <row r="769" spans="13:18" ht="12.75">
      <c r="M769" s="17"/>
      <c r="N769" s="35"/>
      <c r="R769" s="17"/>
    </row>
    <row r="770" spans="13:18" ht="12.75">
      <c r="M770" s="17"/>
      <c r="N770" s="35"/>
      <c r="R770" s="17"/>
    </row>
    <row r="771" spans="13:18" ht="12.75">
      <c r="M771" s="17"/>
      <c r="N771" s="35"/>
      <c r="R771" s="17"/>
    </row>
    <row r="772" spans="13:18" ht="12.75">
      <c r="M772" s="17"/>
      <c r="N772" s="35"/>
      <c r="R772" s="17"/>
    </row>
    <row r="773" spans="13:18" ht="12.75">
      <c r="M773" s="17"/>
      <c r="N773" s="35"/>
      <c r="R773" s="17"/>
    </row>
    <row r="774" spans="13:18" ht="12.75">
      <c r="M774" s="17"/>
      <c r="N774" s="35"/>
      <c r="R774" s="17"/>
    </row>
    <row r="775" spans="13:18" ht="12.75">
      <c r="M775" s="17"/>
      <c r="N775" s="35"/>
      <c r="R775" s="17"/>
    </row>
    <row r="776" spans="13:18" ht="12.75">
      <c r="M776" s="17"/>
      <c r="N776" s="35"/>
      <c r="R776" s="17"/>
    </row>
    <row r="777" spans="13:18" ht="12.75">
      <c r="M777" s="17"/>
      <c r="N777" s="35"/>
      <c r="R777" s="17"/>
    </row>
    <row r="778" spans="13:18" ht="12.75">
      <c r="M778" s="17"/>
      <c r="N778" s="35"/>
      <c r="R778" s="17"/>
    </row>
    <row r="779" spans="13:18" ht="12.75">
      <c r="M779" s="17"/>
      <c r="N779" s="35"/>
      <c r="R779" s="17"/>
    </row>
    <row r="780" spans="13:18" ht="12.75">
      <c r="M780" s="17"/>
      <c r="N780" s="35"/>
      <c r="R780" s="17"/>
    </row>
    <row r="781" spans="13:18" ht="12.75">
      <c r="M781" s="17"/>
      <c r="N781" s="35"/>
      <c r="R781" s="17"/>
    </row>
    <row r="782" spans="13:18" ht="12.75">
      <c r="M782" s="17"/>
      <c r="N782" s="35"/>
      <c r="R782" s="17"/>
    </row>
    <row r="783" spans="13:18" ht="12.75">
      <c r="M783" s="17"/>
      <c r="N783" s="35"/>
      <c r="R783" s="17"/>
    </row>
    <row r="784" spans="13:18" ht="12.75">
      <c r="M784" s="17"/>
      <c r="N784" s="35"/>
      <c r="R784" s="17"/>
    </row>
    <row r="785" spans="13:18" ht="12.75">
      <c r="M785" s="17"/>
      <c r="N785" s="35"/>
      <c r="R785" s="17"/>
    </row>
    <row r="786" spans="13:18" ht="12.75">
      <c r="M786" s="17"/>
      <c r="N786" s="35"/>
      <c r="R786" s="17"/>
    </row>
    <row r="787" spans="13:18" ht="12.75">
      <c r="M787" s="17"/>
      <c r="N787" s="35"/>
      <c r="R787" s="17"/>
    </row>
    <row r="788" spans="13:18" ht="12.75">
      <c r="M788" s="17"/>
      <c r="N788" s="35"/>
      <c r="R788" s="17"/>
    </row>
    <row r="789" spans="13:18" ht="12.75">
      <c r="M789" s="17"/>
      <c r="N789" s="35"/>
      <c r="R789" s="17"/>
    </row>
    <row r="790" spans="13:18" ht="12.75">
      <c r="M790" s="17"/>
      <c r="N790" s="35"/>
      <c r="R790" s="17"/>
    </row>
    <row r="791" spans="13:18" ht="12.75">
      <c r="M791" s="17"/>
      <c r="N791" s="35"/>
      <c r="R791" s="17"/>
    </row>
    <row r="792" spans="13:18" ht="12.75">
      <c r="M792" s="17"/>
      <c r="N792" s="35"/>
      <c r="R792" s="17"/>
    </row>
    <row r="793" spans="13:18" ht="12.75">
      <c r="M793" s="17"/>
      <c r="N793" s="35"/>
      <c r="R793" s="17"/>
    </row>
    <row r="794" spans="13:18" ht="12.75">
      <c r="M794" s="17"/>
      <c r="N794" s="35"/>
      <c r="R794" s="17"/>
    </row>
    <row r="795" spans="13:18" ht="12.75">
      <c r="M795" s="17"/>
      <c r="N795" s="35"/>
      <c r="R795" s="17"/>
    </row>
    <row r="796" spans="13:18" ht="12.75">
      <c r="M796" s="17"/>
      <c r="N796" s="35"/>
      <c r="R796" s="17"/>
    </row>
    <row r="797" spans="13:18" ht="12.75">
      <c r="M797" s="17"/>
      <c r="N797" s="35"/>
      <c r="R797" s="17"/>
    </row>
    <row r="798" spans="13:18" ht="12.75">
      <c r="M798" s="17"/>
      <c r="N798" s="35"/>
      <c r="R798" s="17"/>
    </row>
    <row r="799" spans="13:18" ht="12.75">
      <c r="M799" s="17"/>
      <c r="N799" s="35"/>
      <c r="R799" s="17"/>
    </row>
    <row r="800" spans="13:18" ht="12.75">
      <c r="M800" s="17"/>
      <c r="N800" s="35"/>
      <c r="R800" s="17"/>
    </row>
    <row r="801" spans="13:18" ht="12.75">
      <c r="M801" s="17"/>
      <c r="N801" s="35"/>
      <c r="R801" s="17"/>
    </row>
    <row r="802" spans="13:18" ht="12.75">
      <c r="M802" s="17"/>
      <c r="N802" s="35"/>
      <c r="R802" s="17"/>
    </row>
    <row r="803" spans="13:18" ht="12.75">
      <c r="M803" s="17"/>
      <c r="N803" s="35"/>
      <c r="R803" s="17"/>
    </row>
    <row r="804" spans="13:18" ht="12.75">
      <c r="M804" s="17"/>
      <c r="N804" s="35"/>
      <c r="R804" s="17"/>
    </row>
    <row r="805" spans="13:18" ht="12.75">
      <c r="M805" s="17"/>
      <c r="N805" s="35"/>
      <c r="R805" s="17"/>
    </row>
    <row r="806" spans="13:18" ht="12.75">
      <c r="M806" s="17"/>
      <c r="N806" s="35"/>
      <c r="R806" s="17"/>
    </row>
    <row r="807" spans="13:18" ht="12.75">
      <c r="M807" s="17"/>
      <c r="N807" s="35"/>
      <c r="R807" s="17"/>
    </row>
    <row r="808" spans="13:18" ht="12.75">
      <c r="M808" s="17"/>
      <c r="N808" s="35"/>
      <c r="R808" s="17"/>
    </row>
    <row r="809" spans="13:18" ht="12.75">
      <c r="M809" s="17"/>
      <c r="N809" s="35"/>
      <c r="R809" s="17"/>
    </row>
    <row r="810" spans="13:18" ht="12.75">
      <c r="M810" s="17"/>
      <c r="N810" s="35"/>
      <c r="R810" s="17"/>
    </row>
    <row r="811" spans="13:18" ht="12.75">
      <c r="M811" s="17"/>
      <c r="N811" s="35"/>
      <c r="R811" s="17"/>
    </row>
    <row r="812" spans="13:18" ht="12.75">
      <c r="M812" s="17"/>
      <c r="N812" s="35"/>
      <c r="R812" s="17"/>
    </row>
    <row r="813" spans="13:18" ht="12.75">
      <c r="M813" s="17"/>
      <c r="N813" s="35"/>
      <c r="R813" s="17"/>
    </row>
    <row r="814" spans="13:18" ht="12.75">
      <c r="M814" s="17"/>
      <c r="N814" s="35"/>
      <c r="R814" s="17"/>
    </row>
    <row r="815" spans="13:18" ht="12.75">
      <c r="M815" s="17"/>
      <c r="N815" s="35"/>
      <c r="R815" s="17"/>
    </row>
    <row r="816" spans="13:18" ht="12.75">
      <c r="M816" s="17"/>
      <c r="N816" s="35"/>
      <c r="R816" s="17"/>
    </row>
    <row r="817" spans="13:18" ht="12.75">
      <c r="M817" s="17"/>
      <c r="N817" s="35"/>
      <c r="R817" s="17"/>
    </row>
    <row r="818" spans="13:18" ht="12.75">
      <c r="M818" s="17"/>
      <c r="N818" s="35"/>
      <c r="R818" s="17"/>
    </row>
    <row r="819" spans="13:18" ht="12.75">
      <c r="M819" s="17"/>
      <c r="N819" s="35"/>
      <c r="R819" s="17"/>
    </row>
    <row r="820" spans="13:18" ht="12.75">
      <c r="M820" s="17"/>
      <c r="N820" s="35"/>
      <c r="R820" s="17"/>
    </row>
    <row r="821" spans="13:18" ht="12.75">
      <c r="M821" s="17"/>
      <c r="N821" s="35"/>
      <c r="R821" s="17"/>
    </row>
    <row r="822" spans="13:18" ht="12.75">
      <c r="M822" s="17"/>
      <c r="N822" s="35"/>
      <c r="R822" s="17"/>
    </row>
    <row r="823" spans="13:18" ht="12.75">
      <c r="M823" s="17"/>
      <c r="N823" s="35"/>
      <c r="R823" s="17"/>
    </row>
    <row r="824" spans="13:18" ht="12.75">
      <c r="M824" s="17"/>
      <c r="N824" s="35"/>
      <c r="R824" s="17"/>
    </row>
    <row r="825" spans="13:18" ht="12.75">
      <c r="M825" s="17"/>
      <c r="N825" s="35"/>
      <c r="R825" s="17"/>
    </row>
    <row r="826" spans="13:18" ht="12.75">
      <c r="M826" s="17"/>
      <c r="N826" s="35"/>
      <c r="R826" s="17"/>
    </row>
    <row r="827" spans="13:18" ht="12.75">
      <c r="M827" s="17"/>
      <c r="N827" s="35"/>
      <c r="R827" s="17"/>
    </row>
    <row r="828" spans="13:18" ht="12.75">
      <c r="M828" s="17"/>
      <c r="N828" s="35"/>
      <c r="R828" s="17"/>
    </row>
    <row r="829" spans="13:18" ht="12.75">
      <c r="M829" s="17"/>
      <c r="N829" s="35"/>
      <c r="R829" s="17"/>
    </row>
    <row r="830" spans="13:18" ht="12.75">
      <c r="M830" s="17"/>
      <c r="N830" s="35"/>
      <c r="R830" s="17"/>
    </row>
    <row r="831" spans="13:18" ht="12.75">
      <c r="M831" s="17"/>
      <c r="N831" s="35"/>
      <c r="R831" s="17"/>
    </row>
    <row r="832" spans="13:18" ht="12.75">
      <c r="M832" s="17"/>
      <c r="N832" s="35"/>
      <c r="R832" s="17"/>
    </row>
    <row r="833" spans="13:18" ht="12.75">
      <c r="M833" s="17"/>
      <c r="N833" s="35"/>
      <c r="R833" s="17"/>
    </row>
    <row r="834" spans="13:18" ht="12.75">
      <c r="M834" s="17"/>
      <c r="N834" s="35"/>
      <c r="R834" s="17"/>
    </row>
    <row r="835" spans="13:18" ht="12.75">
      <c r="M835" s="17"/>
      <c r="N835" s="35"/>
      <c r="R835" s="17"/>
    </row>
    <row r="836" spans="13:18" ht="12.75">
      <c r="M836" s="17"/>
      <c r="N836" s="35"/>
      <c r="R836" s="17"/>
    </row>
    <row r="837" spans="13:18" ht="12.75">
      <c r="M837" s="17"/>
      <c r="N837" s="35"/>
      <c r="R837" s="17"/>
    </row>
    <row r="838" spans="13:18" ht="12.75">
      <c r="M838" s="17"/>
      <c r="N838" s="35"/>
      <c r="R838" s="17"/>
    </row>
    <row r="839" spans="13:18" ht="12.75">
      <c r="M839" s="17"/>
      <c r="N839" s="35"/>
      <c r="R839" s="17"/>
    </row>
    <row r="840" spans="13:18" ht="12.75">
      <c r="M840" s="17"/>
      <c r="N840" s="35"/>
      <c r="R840" s="17"/>
    </row>
    <row r="841" spans="13:18" ht="12.75">
      <c r="M841" s="17"/>
      <c r="N841" s="35"/>
      <c r="R841" s="17"/>
    </row>
    <row r="842" spans="13:18" ht="12.75">
      <c r="M842" s="17"/>
      <c r="N842" s="35"/>
      <c r="R842" s="17"/>
    </row>
    <row r="843" spans="13:18" ht="12.75">
      <c r="M843" s="17"/>
      <c r="N843" s="35"/>
      <c r="R843" s="17"/>
    </row>
    <row r="844" spans="13:18" ht="12.75">
      <c r="M844" s="17"/>
      <c r="N844" s="35"/>
      <c r="R844" s="17"/>
    </row>
    <row r="845" spans="13:18" ht="12.75">
      <c r="M845" s="17"/>
      <c r="N845" s="35"/>
      <c r="R845" s="17"/>
    </row>
    <row r="846" spans="13:18" ht="12.75">
      <c r="M846" s="17"/>
      <c r="N846" s="35"/>
      <c r="R846" s="17"/>
    </row>
    <row r="847" spans="13:18" ht="12.75">
      <c r="M847" s="17"/>
      <c r="N847" s="35"/>
      <c r="R847" s="17"/>
    </row>
    <row r="848" spans="13:18" ht="12.75">
      <c r="M848" s="17"/>
      <c r="N848" s="35"/>
      <c r="R848" s="17"/>
    </row>
    <row r="849" spans="13:18" ht="12.75">
      <c r="M849" s="17"/>
      <c r="N849" s="35"/>
      <c r="R849" s="17"/>
    </row>
    <row r="850" spans="13:18" ht="12.75">
      <c r="M850" s="17"/>
      <c r="N850" s="35"/>
      <c r="R850" s="17"/>
    </row>
    <row r="851" spans="13:18" ht="12.75">
      <c r="M851" s="17"/>
      <c r="N851" s="35"/>
      <c r="R851" s="17"/>
    </row>
    <row r="852" spans="13:18" ht="12.75">
      <c r="M852" s="17"/>
      <c r="N852" s="35"/>
      <c r="R852" s="17"/>
    </row>
    <row r="853" spans="13:18" ht="12.75">
      <c r="M853" s="17"/>
      <c r="N853" s="35"/>
      <c r="R853" s="17"/>
    </row>
    <row r="854" spans="13:18" ht="12.75">
      <c r="M854" s="17"/>
      <c r="N854" s="35"/>
      <c r="R854" s="17"/>
    </row>
    <row r="855" spans="13:18" ht="12.75">
      <c r="M855" s="17"/>
      <c r="N855" s="35"/>
      <c r="R855" s="17"/>
    </row>
    <row r="856" spans="13:18" ht="12.75">
      <c r="M856" s="17"/>
      <c r="N856" s="35"/>
      <c r="R856" s="17"/>
    </row>
    <row r="857" spans="13:18" ht="12.75">
      <c r="M857" s="17"/>
      <c r="N857" s="35"/>
      <c r="R857" s="17"/>
    </row>
    <row r="858" spans="13:18" ht="12.75">
      <c r="M858" s="17"/>
      <c r="N858" s="35"/>
      <c r="R858" s="17"/>
    </row>
    <row r="859" spans="13:18" ht="12.75">
      <c r="M859" s="17"/>
      <c r="N859" s="35"/>
      <c r="R859" s="17"/>
    </row>
    <row r="860" spans="13:18" ht="12.75">
      <c r="M860" s="17"/>
      <c r="N860" s="35"/>
      <c r="R860" s="17"/>
    </row>
    <row r="861" spans="13:18" ht="12.75">
      <c r="M861" s="17"/>
      <c r="N861" s="35"/>
      <c r="R861" s="17"/>
    </row>
    <row r="862" spans="13:18" ht="12.75">
      <c r="M862" s="17"/>
      <c r="N862" s="35"/>
      <c r="R862" s="17"/>
    </row>
    <row r="863" spans="13:18" ht="12.75">
      <c r="M863" s="17"/>
      <c r="N863" s="35"/>
      <c r="R863" s="17"/>
    </row>
    <row r="864" spans="13:18" ht="12.75">
      <c r="M864" s="17"/>
      <c r="N864" s="35"/>
      <c r="R864" s="17"/>
    </row>
    <row r="865" spans="13:18" ht="12.75">
      <c r="M865" s="17"/>
      <c r="N865" s="35"/>
      <c r="R865" s="17"/>
    </row>
    <row r="866" spans="13:18" ht="12.75">
      <c r="M866" s="17"/>
      <c r="N866" s="35"/>
      <c r="R866" s="17"/>
    </row>
    <row r="867" spans="13:18" ht="12.75">
      <c r="M867" s="17"/>
      <c r="N867" s="35"/>
      <c r="R867" s="17"/>
    </row>
    <row r="868" spans="13:18" ht="12.75">
      <c r="M868" s="17"/>
      <c r="N868" s="35"/>
      <c r="R868" s="17"/>
    </row>
    <row r="869" spans="13:18" ht="12.75">
      <c r="M869" s="17"/>
      <c r="N869" s="35"/>
      <c r="R869" s="17"/>
    </row>
    <row r="870" spans="13:18" ht="12.75">
      <c r="M870" s="17"/>
      <c r="N870" s="35"/>
      <c r="R870" s="17"/>
    </row>
    <row r="871" spans="13:18" ht="12.75">
      <c r="M871" s="17"/>
      <c r="N871" s="35"/>
      <c r="R871" s="17"/>
    </row>
    <row r="872" spans="13:18" ht="12.75">
      <c r="M872" s="17"/>
      <c r="N872" s="35"/>
      <c r="R872" s="17"/>
    </row>
    <row r="873" spans="13:18" ht="12.75">
      <c r="M873" s="17"/>
      <c r="N873" s="35"/>
      <c r="R873" s="17"/>
    </row>
    <row r="874" spans="13:18" ht="12.75">
      <c r="M874" s="17"/>
      <c r="N874" s="35"/>
      <c r="R874" s="17"/>
    </row>
    <row r="875" spans="13:18" ht="12.75">
      <c r="M875" s="17"/>
      <c r="N875" s="35"/>
      <c r="R875" s="17"/>
    </row>
    <row r="876" spans="13:18" ht="12.75">
      <c r="M876" s="17"/>
      <c r="N876" s="35"/>
      <c r="R876" s="17"/>
    </row>
    <row r="877" spans="13:18" ht="12.75">
      <c r="M877" s="17"/>
      <c r="N877" s="35"/>
      <c r="R877" s="17"/>
    </row>
    <row r="878" spans="13:18" ht="12.75">
      <c r="M878" s="17"/>
      <c r="N878" s="35"/>
      <c r="R878" s="17"/>
    </row>
    <row r="879" spans="13:18" ht="12.75">
      <c r="M879" s="17"/>
      <c r="N879" s="35"/>
      <c r="R879" s="17"/>
    </row>
    <row r="880" spans="13:18" ht="12.75">
      <c r="M880" s="17"/>
      <c r="N880" s="35"/>
      <c r="R880" s="17"/>
    </row>
    <row r="881" spans="13:18" ht="12.75">
      <c r="M881" s="17"/>
      <c r="N881" s="35"/>
      <c r="R881" s="17"/>
    </row>
    <row r="882" spans="13:18" ht="12.75">
      <c r="M882" s="17"/>
      <c r="N882" s="35"/>
      <c r="R882" s="17"/>
    </row>
    <row r="883" spans="13:18" ht="12.75">
      <c r="M883" s="17"/>
      <c r="N883" s="35"/>
      <c r="R883" s="17"/>
    </row>
    <row r="884" spans="13:18" ht="12.75">
      <c r="M884" s="17"/>
      <c r="N884" s="35"/>
      <c r="R884" s="17"/>
    </row>
    <row r="885" spans="13:18" ht="12.75">
      <c r="M885" s="17"/>
      <c r="N885" s="35"/>
      <c r="R885" s="17"/>
    </row>
    <row r="886" spans="13:18" ht="12.75">
      <c r="M886" s="17"/>
      <c r="N886" s="35"/>
      <c r="R886" s="17"/>
    </row>
    <row r="887" spans="13:18" ht="12.75">
      <c r="M887" s="17"/>
      <c r="N887" s="35"/>
      <c r="R887" s="17"/>
    </row>
    <row r="888" spans="13:18" ht="12.75">
      <c r="M888" s="17"/>
      <c r="N888" s="35"/>
      <c r="R888" s="17"/>
    </row>
    <row r="889" spans="13:18" ht="12.75">
      <c r="M889" s="17"/>
      <c r="N889" s="35"/>
      <c r="R889" s="17"/>
    </row>
    <row r="890" spans="13:18" ht="12.75">
      <c r="M890" s="17"/>
      <c r="N890" s="35"/>
      <c r="R890" s="17"/>
    </row>
    <row r="891" spans="13:18" ht="12.75">
      <c r="M891" s="17"/>
      <c r="N891" s="35"/>
      <c r="R891" s="17"/>
    </row>
    <row r="892" spans="13:18" ht="12.75">
      <c r="M892" s="17"/>
      <c r="N892" s="35"/>
      <c r="R892" s="17"/>
    </row>
    <row r="893" spans="13:18" ht="12.75">
      <c r="M893" s="17"/>
      <c r="N893" s="35"/>
      <c r="R893" s="17"/>
    </row>
    <row r="894" spans="13:18" ht="12.75">
      <c r="M894" s="17"/>
      <c r="N894" s="35"/>
      <c r="R894" s="17"/>
    </row>
    <row r="895" spans="13:18" ht="12.75">
      <c r="M895" s="17"/>
      <c r="N895" s="35"/>
      <c r="R895" s="17"/>
    </row>
    <row r="896" spans="13:18" ht="12.75">
      <c r="M896" s="17"/>
      <c r="N896" s="35"/>
      <c r="R896" s="17"/>
    </row>
    <row r="897" spans="13:18" ht="12.75">
      <c r="M897" s="17"/>
      <c r="N897" s="35"/>
      <c r="R897" s="17"/>
    </row>
    <row r="898" spans="13:18" ht="12.75">
      <c r="M898" s="17"/>
      <c r="N898" s="35"/>
      <c r="R898" s="17"/>
    </row>
    <row r="899" spans="13:18" ht="12.75">
      <c r="M899" s="17"/>
      <c r="N899" s="35"/>
      <c r="R899" s="17"/>
    </row>
    <row r="900" spans="13:18" ht="12.75">
      <c r="M900" s="17"/>
      <c r="N900" s="35"/>
      <c r="R900" s="17"/>
    </row>
    <row r="901" spans="13:18" ht="12.75">
      <c r="M901" s="17"/>
      <c r="N901" s="35"/>
      <c r="R901" s="17"/>
    </row>
    <row r="902" spans="13:18" ht="12.75">
      <c r="M902" s="17"/>
      <c r="N902" s="35"/>
      <c r="R902" s="17"/>
    </row>
    <row r="903" spans="13:18" ht="12.75">
      <c r="M903" s="17"/>
      <c r="N903" s="35"/>
      <c r="R903" s="17"/>
    </row>
    <row r="904" spans="13:18" ht="12.75">
      <c r="M904" s="17"/>
      <c r="N904" s="35"/>
      <c r="R904" s="17"/>
    </row>
    <row r="905" spans="13:18" ht="12.75">
      <c r="M905" s="17"/>
      <c r="N905" s="35"/>
      <c r="R905" s="17"/>
    </row>
    <row r="906" spans="13:18" ht="12.75">
      <c r="M906" s="17"/>
      <c r="N906" s="35"/>
      <c r="R906" s="17"/>
    </row>
    <row r="907" spans="13:18" ht="12.75">
      <c r="M907" s="17"/>
      <c r="N907" s="35"/>
      <c r="R907" s="17"/>
    </row>
    <row r="908" spans="13:18" ht="12.75">
      <c r="M908" s="17"/>
      <c r="N908" s="35"/>
      <c r="R908" s="17"/>
    </row>
    <row r="909" spans="13:18" ht="12.75">
      <c r="M909" s="17"/>
      <c r="N909" s="35"/>
      <c r="R909" s="17"/>
    </row>
    <row r="910" spans="13:18" ht="12.75">
      <c r="M910" s="17"/>
      <c r="N910" s="35"/>
      <c r="R910" s="17"/>
    </row>
    <row r="911" spans="13:18" ht="12.75">
      <c r="M911" s="17"/>
      <c r="N911" s="35"/>
      <c r="R911" s="17"/>
    </row>
    <row r="912" spans="13:18" ht="12.75">
      <c r="M912" s="17"/>
      <c r="N912" s="35"/>
      <c r="R912" s="17"/>
    </row>
    <row r="913" spans="13:18" ht="12.75">
      <c r="M913" s="17"/>
      <c r="N913" s="35"/>
      <c r="R913" s="17"/>
    </row>
    <row r="914" spans="13:18" ht="12.75">
      <c r="M914" s="17"/>
      <c r="N914" s="35"/>
      <c r="R914" s="17"/>
    </row>
    <row r="915" spans="13:18" ht="12.75">
      <c r="M915" s="17"/>
      <c r="N915" s="35"/>
      <c r="R915" s="17"/>
    </row>
    <row r="916" spans="13:18" ht="12.75">
      <c r="M916" s="17"/>
      <c r="N916" s="35"/>
      <c r="R916" s="17"/>
    </row>
    <row r="917" spans="13:18" ht="12.75">
      <c r="M917" s="17"/>
      <c r="N917" s="35"/>
      <c r="R917" s="17"/>
    </row>
    <row r="918" spans="13:18" ht="12.75">
      <c r="M918" s="17"/>
      <c r="N918" s="35"/>
      <c r="R918" s="17"/>
    </row>
    <row r="919" spans="13:18" ht="12.75">
      <c r="M919" s="17"/>
      <c r="N919" s="35"/>
      <c r="R919" s="17"/>
    </row>
    <row r="920" spans="13:18" ht="12.75">
      <c r="M920" s="17"/>
      <c r="N920" s="35"/>
      <c r="R920" s="17"/>
    </row>
    <row r="921" spans="13:18" ht="12.75">
      <c r="M921" s="17"/>
      <c r="N921" s="35"/>
      <c r="R921" s="17"/>
    </row>
    <row r="922" spans="13:18" ht="12.75">
      <c r="M922" s="17"/>
      <c r="N922" s="35"/>
      <c r="R922" s="17"/>
    </row>
    <row r="923" spans="13:18" ht="12.75">
      <c r="M923" s="17"/>
      <c r="N923" s="35"/>
      <c r="R923" s="17"/>
    </row>
    <row r="924" spans="13:18" ht="12.75">
      <c r="M924" s="17"/>
      <c r="N924" s="35"/>
      <c r="R924" s="17"/>
    </row>
    <row r="925" spans="13:18" ht="12.75">
      <c r="M925" s="17"/>
      <c r="N925" s="35"/>
      <c r="R925" s="17"/>
    </row>
    <row r="926" spans="13:18" ht="12.75">
      <c r="M926" s="17"/>
      <c r="N926" s="35"/>
      <c r="R926" s="17"/>
    </row>
    <row r="927" spans="13:18" ht="12.75">
      <c r="M927" s="17"/>
      <c r="N927" s="35"/>
      <c r="R927" s="17"/>
    </row>
    <row r="928" spans="13:18" ht="12.75">
      <c r="M928" s="17"/>
      <c r="N928" s="35"/>
      <c r="R928" s="17"/>
    </row>
    <row r="929" spans="13:18" ht="12.75">
      <c r="M929" s="17"/>
      <c r="N929" s="35"/>
      <c r="R929" s="17"/>
    </row>
    <row r="930" spans="13:18" ht="12.75">
      <c r="M930" s="17"/>
      <c r="N930" s="35"/>
      <c r="R930" s="17"/>
    </row>
    <row r="931" spans="13:18" ht="12.75">
      <c r="M931" s="17"/>
      <c r="N931" s="35"/>
      <c r="R931" s="17"/>
    </row>
    <row r="932" spans="13:18" ht="12.75">
      <c r="M932" s="17"/>
      <c r="N932" s="35"/>
      <c r="R932" s="17"/>
    </row>
    <row r="933" spans="13:18" ht="12.75">
      <c r="M933" s="17"/>
      <c r="N933" s="35"/>
      <c r="R933" s="17"/>
    </row>
    <row r="934" spans="13:18" ht="12.75">
      <c r="M934" s="17"/>
      <c r="N934" s="35"/>
      <c r="R934" s="17"/>
    </row>
    <row r="935" spans="13:18" ht="12.75">
      <c r="M935" s="17"/>
      <c r="N935" s="35"/>
      <c r="R935" s="17"/>
    </row>
    <row r="936" spans="13:18" ht="12.75">
      <c r="M936" s="17"/>
      <c r="N936" s="35"/>
      <c r="R936" s="17"/>
    </row>
    <row r="937" spans="13:18" ht="12.75">
      <c r="M937" s="17"/>
      <c r="N937" s="35"/>
      <c r="R937" s="17"/>
    </row>
    <row r="938" spans="13:18" ht="12.75">
      <c r="M938" s="17"/>
      <c r="N938" s="35"/>
      <c r="R938" s="17"/>
    </row>
    <row r="939" spans="13:18" ht="12.75">
      <c r="M939" s="17"/>
      <c r="N939" s="35"/>
      <c r="R939" s="17"/>
    </row>
    <row r="940" spans="13:18" ht="12.75">
      <c r="M940" s="17"/>
      <c r="N940" s="35"/>
      <c r="R940" s="17"/>
    </row>
    <row r="941" spans="13:18" ht="12.75">
      <c r="M941" s="17"/>
      <c r="N941" s="35"/>
      <c r="R941" s="17"/>
    </row>
    <row r="942" spans="13:18" ht="12.75">
      <c r="M942" s="17"/>
      <c r="N942" s="35"/>
      <c r="R942" s="17"/>
    </row>
    <row r="943" spans="13:18" ht="12.75">
      <c r="M943" s="17"/>
      <c r="N943" s="35"/>
      <c r="R943" s="17"/>
    </row>
    <row r="944" spans="13:18" ht="12.75">
      <c r="M944" s="17"/>
      <c r="N944" s="35"/>
      <c r="R944" s="17"/>
    </row>
    <row r="945" spans="13:18" ht="12.75">
      <c r="M945" s="17"/>
      <c r="N945" s="35"/>
      <c r="R945" s="17"/>
    </row>
    <row r="946" spans="13:18" ht="12.75">
      <c r="M946" s="17"/>
      <c r="N946" s="35"/>
      <c r="R946" s="17"/>
    </row>
    <row r="947" spans="13:18" ht="12.75">
      <c r="M947" s="17"/>
      <c r="N947" s="35"/>
      <c r="R947" s="17"/>
    </row>
    <row r="948" spans="13:18" ht="12.75">
      <c r="M948" s="17"/>
      <c r="N948" s="35"/>
      <c r="R948" s="17"/>
    </row>
    <row r="949" spans="13:18" ht="12.75">
      <c r="M949" s="17"/>
      <c r="N949" s="35"/>
      <c r="R949" s="17"/>
    </row>
    <row r="950" spans="13:18" ht="12.75">
      <c r="M950" s="17"/>
      <c r="N950" s="35"/>
      <c r="R950" s="17"/>
    </row>
    <row r="951" spans="13:18" ht="12.75">
      <c r="M951" s="17"/>
      <c r="N951" s="35"/>
      <c r="R951" s="17"/>
    </row>
    <row r="952" spans="13:18" ht="12.75">
      <c r="M952" s="17"/>
      <c r="N952" s="35"/>
      <c r="R952" s="17"/>
    </row>
    <row r="953" spans="13:18" ht="12.75">
      <c r="M953" s="17"/>
      <c r="N953" s="35"/>
      <c r="R953" s="17"/>
    </row>
    <row r="954" spans="13:18" ht="12.75">
      <c r="M954" s="17"/>
      <c r="N954" s="35"/>
      <c r="R954" s="17"/>
    </row>
    <row r="955" spans="13:18" ht="12.75">
      <c r="M955" s="17"/>
      <c r="N955" s="35"/>
      <c r="R955" s="17"/>
    </row>
    <row r="956" spans="13:18" ht="12.75">
      <c r="M956" s="17"/>
      <c r="N956" s="35"/>
      <c r="R956" s="17"/>
    </row>
    <row r="957" spans="13:18" ht="12.75">
      <c r="M957" s="17"/>
      <c r="N957" s="35"/>
      <c r="R957" s="17"/>
    </row>
    <row r="958" spans="13:18" ht="12.75">
      <c r="M958" s="17"/>
      <c r="N958" s="35"/>
      <c r="R958" s="17"/>
    </row>
    <row r="959" spans="13:18" ht="12.75">
      <c r="M959" s="17"/>
      <c r="N959" s="35"/>
      <c r="R959" s="17"/>
    </row>
    <row r="960" spans="13:18" ht="12.75">
      <c r="M960" s="17"/>
      <c r="N960" s="35"/>
      <c r="R960" s="17"/>
    </row>
    <row r="961" spans="13:18" ht="12.75">
      <c r="M961" s="17"/>
      <c r="N961" s="35"/>
      <c r="R961" s="17"/>
    </row>
    <row r="962" spans="13:18" ht="12.75">
      <c r="M962" s="17"/>
      <c r="N962" s="35"/>
      <c r="R962" s="17"/>
    </row>
    <row r="963" spans="13:18" ht="12.75">
      <c r="M963" s="17"/>
      <c r="N963" s="35"/>
      <c r="R963" s="17"/>
    </row>
    <row r="964" spans="13:18" ht="12.75">
      <c r="M964" s="17"/>
      <c r="N964" s="35"/>
      <c r="R964" s="17"/>
    </row>
    <row r="965" spans="13:18" ht="12.75">
      <c r="M965" s="17"/>
      <c r="N965" s="35"/>
      <c r="R965" s="17"/>
    </row>
    <row r="966" spans="13:18" ht="12.75">
      <c r="M966" s="17"/>
      <c r="N966" s="35"/>
      <c r="R966" s="17"/>
    </row>
    <row r="967" spans="13:18" ht="12.75">
      <c r="M967" s="17"/>
      <c r="N967" s="35"/>
      <c r="R967" s="17"/>
    </row>
    <row r="968" spans="13:18" ht="12.75">
      <c r="M968" s="17"/>
      <c r="N968" s="35"/>
      <c r="R968" s="17"/>
    </row>
    <row r="969" spans="13:18" ht="12.75">
      <c r="M969" s="17"/>
      <c r="N969" s="35"/>
      <c r="R969" s="17"/>
    </row>
    <row r="970" spans="13:18" ht="12.75">
      <c r="M970" s="17"/>
      <c r="N970" s="35"/>
      <c r="R970" s="17"/>
    </row>
    <row r="971" spans="13:18" ht="12.75">
      <c r="M971" s="17"/>
      <c r="N971" s="35"/>
      <c r="R971" s="17"/>
    </row>
    <row r="972" spans="13:18" ht="12.75">
      <c r="M972" s="17"/>
      <c r="N972" s="35"/>
      <c r="R972" s="17"/>
    </row>
    <row r="973" spans="13:18" ht="12.75">
      <c r="M973" s="17"/>
      <c r="N973" s="35"/>
      <c r="R973" s="17"/>
    </row>
    <row r="974" spans="13:18" ht="12.75">
      <c r="M974" s="17"/>
      <c r="N974" s="35"/>
      <c r="R974" s="17"/>
    </row>
    <row r="975" spans="13:18" ht="12.75">
      <c r="M975" s="17"/>
      <c r="N975" s="35"/>
      <c r="R975" s="17"/>
    </row>
    <row r="976" spans="13:18" ht="12.75">
      <c r="M976" s="17"/>
      <c r="N976" s="35"/>
      <c r="R976" s="17"/>
    </row>
    <row r="977" spans="13:18" ht="12.75">
      <c r="M977" s="17"/>
      <c r="N977" s="35"/>
      <c r="R977" s="17"/>
    </row>
    <row r="978" spans="13:18" ht="12.75">
      <c r="M978" s="17"/>
      <c r="N978" s="35"/>
      <c r="R978" s="17"/>
    </row>
    <row r="979" spans="13:18" ht="12.75">
      <c r="M979" s="17"/>
      <c r="N979" s="35"/>
      <c r="R979" s="17"/>
    </row>
    <row r="980" spans="13:18" ht="12.75">
      <c r="M980" s="17"/>
      <c r="N980" s="35"/>
      <c r="R980" s="17"/>
    </row>
    <row r="981" spans="13:18" ht="12.75">
      <c r="M981" s="17"/>
      <c r="N981" s="35"/>
      <c r="R981" s="17"/>
    </row>
    <row r="982" spans="13:18" ht="12.75">
      <c r="M982" s="17"/>
      <c r="N982" s="35"/>
      <c r="R982" s="17"/>
    </row>
    <row r="983" spans="13:18" ht="12.75">
      <c r="M983" s="17"/>
      <c r="N983" s="35"/>
      <c r="R983" s="17"/>
    </row>
    <row r="984" spans="13:18" ht="12.75">
      <c r="M984" s="17"/>
      <c r="N984" s="35"/>
      <c r="R984" s="17"/>
    </row>
    <row r="985" spans="13:18" ht="12.75">
      <c r="M985" s="17"/>
      <c r="N985" s="35"/>
      <c r="R985" s="17"/>
    </row>
    <row r="986" spans="13:18" ht="12.75">
      <c r="M986" s="17"/>
      <c r="N986" s="35"/>
      <c r="R986" s="17"/>
    </row>
    <row r="987" spans="13:18" ht="12.75">
      <c r="M987" s="17"/>
      <c r="N987" s="35"/>
      <c r="R987" s="17"/>
    </row>
    <row r="988" spans="13:18" ht="12.75">
      <c r="M988" s="17"/>
      <c r="N988" s="35"/>
      <c r="R988" s="17"/>
    </row>
    <row r="989" spans="13:18" ht="12.75">
      <c r="M989" s="17"/>
      <c r="N989" s="35"/>
      <c r="R989" s="17"/>
    </row>
    <row r="990" spans="13:18" ht="12.75">
      <c r="M990" s="17"/>
      <c r="N990" s="35"/>
      <c r="R990" s="17"/>
    </row>
    <row r="991" spans="13:18" ht="12.75">
      <c r="M991" s="17"/>
      <c r="N991" s="35"/>
      <c r="R991" s="17"/>
    </row>
    <row r="992" spans="13:18" ht="12.75">
      <c r="M992" s="17"/>
      <c r="N992" s="35"/>
      <c r="R992" s="17"/>
    </row>
    <row r="993" spans="13:18" ht="12.75">
      <c r="M993" s="17"/>
      <c r="N993" s="35"/>
      <c r="R993" s="17"/>
    </row>
    <row r="994" spans="13:18" ht="12.75">
      <c r="M994" s="17"/>
      <c r="N994" s="35"/>
      <c r="R994" s="17"/>
    </row>
    <row r="995" spans="13:18" ht="12.75">
      <c r="M995" s="17"/>
      <c r="N995" s="35"/>
      <c r="R995" s="17"/>
    </row>
    <row r="996" spans="13:18" ht="12.75">
      <c r="M996" s="17"/>
      <c r="N996" s="35"/>
      <c r="R996" s="17"/>
    </row>
    <row r="997" spans="13:18" ht="12.75">
      <c r="M997" s="17"/>
      <c r="N997" s="35"/>
      <c r="R997" s="17"/>
    </row>
    <row r="998" spans="13:18" ht="12.75">
      <c r="M998" s="17"/>
      <c r="N998" s="35"/>
      <c r="R998" s="17"/>
    </row>
    <row r="999" spans="13:18" ht="12.75">
      <c r="M999" s="17"/>
      <c r="N999" s="35"/>
      <c r="R999" s="17"/>
    </row>
    <row r="1000" spans="13:18" ht="12.75">
      <c r="M1000" s="17"/>
      <c r="N1000" s="35"/>
      <c r="R1000" s="17"/>
    </row>
    <row r="1001" spans="13:18" ht="12.75">
      <c r="M1001" s="17"/>
      <c r="N1001" s="35"/>
      <c r="R1001" s="17"/>
    </row>
    <row r="1002" spans="13:18" ht="12.75">
      <c r="M1002" s="17"/>
      <c r="N1002" s="35"/>
      <c r="R1002" s="17"/>
    </row>
    <row r="1003" spans="13:18" ht="12.75">
      <c r="M1003" s="17"/>
      <c r="N1003" s="35"/>
      <c r="R1003" s="17"/>
    </row>
    <row r="1004" spans="13:18" ht="12.75">
      <c r="M1004" s="17"/>
      <c r="N1004" s="35"/>
      <c r="R1004" s="17"/>
    </row>
  </sheetData>
  <autoFilter ref="A1:R115" xr:uid="{00000000-0009-0000-0000-000005000000}"/>
  <customSheetViews>
    <customSheetView guid="{D4D06763-5632-4CAF-A0BD-7BAD6B3784B6}" filter="1" showAutoFilter="1">
      <pageMargins left="0.7" right="0.7" top="0.75" bottom="0.75" header="0.3" footer="0.3"/>
      <autoFilter ref="B1:L116" xr:uid="{00000000-0000-0000-0000-000000000000}"/>
    </customSheetView>
    <customSheetView guid="{F84F801C-695D-48CE-B142-0B7895FE071F}" filter="1" showAutoFilter="1">
      <pageMargins left="0.7" right="0.7" top="0.75" bottom="0.75" header="0.3" footer="0.3"/>
      <autoFilter ref="A1:R115" xr:uid="{00000000-0000-0000-0000-000000000000}"/>
    </customSheetView>
  </customSheetViews>
  <conditionalFormatting sqref="E89">
    <cfRule type="expression" dxfId="29" priority="1">
      <formula>$C89="N"</formula>
    </cfRule>
  </conditionalFormatting>
  <conditionalFormatting sqref="E79">
    <cfRule type="expression" dxfId="28" priority="2">
      <formula>$C78="N"</formula>
    </cfRule>
  </conditionalFormatting>
  <conditionalFormatting sqref="E64">
    <cfRule type="expression" dxfId="27" priority="3">
      <formula>$C65="N"</formula>
    </cfRule>
  </conditionalFormatting>
  <conditionalFormatting sqref="I109">
    <cfRule type="expression" dxfId="26" priority="4">
      <formula>$C107="N"</formula>
    </cfRule>
  </conditionalFormatting>
  <conditionalFormatting sqref="L1:M122 L232:M1004">
    <cfRule type="expression" dxfId="25" priority="5">
      <formula>AND(C1="Y",L1="")</formula>
    </cfRule>
  </conditionalFormatting>
  <conditionalFormatting sqref="B2:B86 C2:D115 E2:E63 F2:H115 I2:I106 J2:K115 E66:E77 E80:E88 B88:B107 E91:E115 B109:B115 I110:I115 B123:D231 F123:G237 H123:K233">
    <cfRule type="expression" dxfId="24" priority="6">
      <formula>$C2="N"</formula>
    </cfRule>
  </conditionalFormatting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K116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.75" customHeight="1"/>
  <cols>
    <col min="1" max="1" width="3.3984375" customWidth="1"/>
    <col min="2" max="2" width="29.86328125" customWidth="1"/>
  </cols>
  <sheetData>
    <row r="1" spans="2:11" ht="15.75" customHeight="1">
      <c r="B1" s="6" t="s">
        <v>0</v>
      </c>
      <c r="C1" s="7" t="s">
        <v>1</v>
      </c>
      <c r="D1" s="7" t="s">
        <v>145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</row>
    <row r="2" spans="2:11">
      <c r="B2" s="13" t="s">
        <v>57</v>
      </c>
      <c r="C2" s="14" t="str">
        <f t="array" aca="1" ref="C2" ca="1">INDEX('Rooms Master'!U:U,MATCH(B2,'Rooms Master'!D:D,0))</f>
        <v>Y</v>
      </c>
      <c r="D2" s="15">
        <f t="array" ref="D2">INDEX('Dec 14 - Dec 20'!D$2:D$115,MATCH($B2,'Dec 14 - Dec 20'!$B$2:$B$115,0))-INDEX('Dec 7 - Dec 13'!D$2:D$113,MATCH($B2,'Dec 7 - Dec 13'!$B$2:$B$113,0))</f>
        <v>-6</v>
      </c>
      <c r="E2" s="15">
        <f t="array" ref="E2">INDEX('Dec 14 - Dec 20'!E$2:E$115,MATCH($B2,'Dec 14 - Dec 20'!$B$2:$B$115,0))-INDEX('Dec 7 - Dec 13'!E$2:E$113,MATCH($B2,'Dec 7 - Dec 13'!$B$2:$B$113,0))</f>
        <v>-1</v>
      </c>
      <c r="F2" s="15">
        <f t="array" ref="F2">INDEX('Dec 14 - Dec 20'!F$2:F$115,MATCH($B2,'Dec 14 - Dec 20'!$B$2:$B$115,0))-INDEX('Dec 7 - Dec 13'!F$2:F$113,MATCH($B2,'Dec 7 - Dec 13'!$B$2:$B$113,0))</f>
        <v>-3</v>
      </c>
      <c r="G2" s="15">
        <f t="array" ref="G2">INDEX('Dec 14 - Dec 20'!G$2:G$115,MATCH($B2,'Dec 14 - Dec 20'!$B$2:$B$115,0))-INDEX('Dec 7 - Dec 13'!G$2:G$113,MATCH($B2,'Dec 7 - Dec 13'!$B$2:$B$113,0))</f>
        <v>2</v>
      </c>
      <c r="H2" s="15">
        <f t="array" ref="H2">INDEX('Dec 14 - Dec 20'!H$2:H$115,MATCH($B2,'Dec 14 - Dec 20'!$B$2:$B$115,0))-INDEX('Dec 7 - Dec 13'!H$2:H$113,MATCH($B2,'Dec 7 - Dec 13'!$B$2:$B$113,0))</f>
        <v>0</v>
      </c>
      <c r="I2" s="15">
        <f t="array" ref="I2">INDEX('Dec 14 - Dec 20'!I$2:I$115,MATCH($B2,'Dec 14 - Dec 20'!$B$2:$B$115,0))-INDEX('Dec 7 - Dec 13'!I$2:I$113,MATCH($B2,'Dec 7 - Dec 13'!$B$2:$B$113,0))</f>
        <v>0</v>
      </c>
      <c r="J2" s="15">
        <f t="array" ref="J2">INDEX('Dec 14 - Dec 20'!J$2:J$115,MATCH($B2,'Dec 14 - Dec 20'!$B$2:$B$115,0))-INDEX('Dec 7 - Dec 13'!J$2:J$113,MATCH($B2,'Dec 7 - Dec 13'!$B$2:$B$113,0))</f>
        <v>0</v>
      </c>
      <c r="K2" s="15">
        <f t="array" ref="K2">INDEX('Dec 14 - Dec 20'!K$2:K$115,MATCH($B2,'Dec 14 - Dec 20'!$B$2:$B$115,0))-INDEX('Dec 7 - Dec 13'!K$2:K$113,MATCH($B2,'Dec 7 - Dec 13'!$B$2:$B$113,0))</f>
        <v>0</v>
      </c>
    </row>
    <row r="3" spans="2:11">
      <c r="B3" s="13" t="s">
        <v>67</v>
      </c>
      <c r="C3" s="14" t="str">
        <f t="array" aca="1" ref="C3" ca="1">INDEX('Rooms Master'!U:U,MATCH(B3,'Rooms Master'!D:D,0))</f>
        <v>Y</v>
      </c>
      <c r="D3" s="15">
        <f t="array" ref="D3">INDEX('Dec 14 - Dec 20'!D$2:D$115,MATCH($B3,'Dec 14 - Dec 20'!$B$2:$B$115,0))-INDEX('Dec 7 - Dec 13'!D$2:D$113,MATCH($B3,'Dec 7 - Dec 13'!$B$2:$B$113,0))</f>
        <v>-4</v>
      </c>
      <c r="E3" s="15">
        <f t="array" ref="E3">INDEX('Dec 14 - Dec 20'!E$2:E$115,MATCH($B3,'Dec 14 - Dec 20'!$B$2:$B$115,0))-INDEX('Dec 7 - Dec 13'!E$2:E$113,MATCH($B3,'Dec 7 - Dec 13'!$B$2:$B$113,0))</f>
        <v>-4</v>
      </c>
      <c r="F3" s="15">
        <f t="array" ref="F3">INDEX('Dec 14 - Dec 20'!F$2:F$115,MATCH($B3,'Dec 14 - Dec 20'!$B$2:$B$115,0))-INDEX('Dec 7 - Dec 13'!F$2:F$113,MATCH($B3,'Dec 7 - Dec 13'!$B$2:$B$113,0))</f>
        <v>1</v>
      </c>
      <c r="G3" s="15">
        <f t="array" ref="G3">INDEX('Dec 14 - Dec 20'!G$2:G$115,MATCH($B3,'Dec 14 - Dec 20'!$B$2:$B$115,0))-INDEX('Dec 7 - Dec 13'!G$2:G$113,MATCH($B3,'Dec 7 - Dec 13'!$B$2:$B$113,0))</f>
        <v>2</v>
      </c>
      <c r="H3" s="15">
        <f t="array" ref="H3">INDEX('Dec 14 - Dec 20'!H$2:H$115,MATCH($B3,'Dec 14 - Dec 20'!$B$2:$B$115,0))-INDEX('Dec 7 - Dec 13'!H$2:H$113,MATCH($B3,'Dec 7 - Dec 13'!$B$2:$B$113,0))</f>
        <v>0</v>
      </c>
      <c r="I3" s="15">
        <f t="array" ref="I3">INDEX('Dec 14 - Dec 20'!I$2:I$115,MATCH($B3,'Dec 14 - Dec 20'!$B$2:$B$115,0))-INDEX('Dec 7 - Dec 13'!I$2:I$113,MATCH($B3,'Dec 7 - Dec 13'!$B$2:$B$113,0))</f>
        <v>0</v>
      </c>
      <c r="J3" s="15">
        <f t="array" ref="J3">INDEX('Dec 14 - Dec 20'!J$2:J$115,MATCH($B3,'Dec 14 - Dec 20'!$B$2:$B$115,0))-INDEX('Dec 7 - Dec 13'!J$2:J$113,MATCH($B3,'Dec 7 - Dec 13'!$B$2:$B$113,0))</f>
        <v>0</v>
      </c>
      <c r="K3" s="15">
        <f t="array" ref="K3">INDEX('Dec 14 - Dec 20'!K$2:K$115,MATCH($B3,'Dec 14 - Dec 20'!$B$2:$B$115,0))-INDEX('Dec 7 - Dec 13'!K$2:K$113,MATCH($B3,'Dec 7 - Dec 13'!$B$2:$B$113,0))</f>
        <v>0</v>
      </c>
    </row>
    <row r="4" spans="2:11">
      <c r="B4" s="13" t="s">
        <v>100</v>
      </c>
      <c r="C4" s="14" t="str">
        <f t="array" aca="1" ref="C4" ca="1">INDEX('Rooms Master'!U:U,MATCH(B4,'Rooms Master'!D:D,0))</f>
        <v>N</v>
      </c>
      <c r="D4" s="15">
        <f t="array" ref="D4">INDEX('Dec 14 - Dec 20'!D$2:D$115,MATCH($B4,'Dec 14 - Dec 20'!$B$2:$B$115,0))-INDEX('Dec 7 - Dec 13'!D$2:D$113,MATCH($B4,'Dec 7 - Dec 13'!$B$2:$B$113,0))</f>
        <v>0</v>
      </c>
      <c r="E4" s="15">
        <f t="array" ref="E4">INDEX('Dec 14 - Dec 20'!E$2:E$115,MATCH($B4,'Dec 14 - Dec 20'!$B$2:$B$115,0))-INDEX('Dec 7 - Dec 13'!E$2:E$113,MATCH($B4,'Dec 7 - Dec 13'!$B$2:$B$113,0))</f>
        <v>1</v>
      </c>
      <c r="F4" s="15">
        <f t="array" ref="F4">INDEX('Dec 14 - Dec 20'!F$2:F$115,MATCH($B4,'Dec 14 - Dec 20'!$B$2:$B$115,0))-INDEX('Dec 7 - Dec 13'!F$2:F$113,MATCH($B4,'Dec 7 - Dec 13'!$B$2:$B$113,0))</f>
        <v>0</v>
      </c>
      <c r="G4" s="15">
        <f t="array" ref="G4">INDEX('Dec 14 - Dec 20'!G$2:G$115,MATCH($B4,'Dec 14 - Dec 20'!$B$2:$B$115,0))-INDEX('Dec 7 - Dec 13'!G$2:G$113,MATCH($B4,'Dec 7 - Dec 13'!$B$2:$B$113,0))</f>
        <v>0</v>
      </c>
      <c r="H4" s="15">
        <f t="array" ref="H4">INDEX('Dec 14 - Dec 20'!H$2:H$115,MATCH($B4,'Dec 14 - Dec 20'!$B$2:$B$115,0))-INDEX('Dec 7 - Dec 13'!H$2:H$113,MATCH($B4,'Dec 7 - Dec 13'!$B$2:$B$113,0))</f>
        <v>0</v>
      </c>
      <c r="I4" s="15">
        <f t="array" ref="I4">INDEX('Dec 14 - Dec 20'!I$2:I$115,MATCH($B4,'Dec 14 - Dec 20'!$B$2:$B$115,0))-INDEX('Dec 7 - Dec 13'!I$2:I$113,MATCH($B4,'Dec 7 - Dec 13'!$B$2:$B$113,0))</f>
        <v>0</v>
      </c>
      <c r="J4" s="15">
        <f t="array" ref="J4">INDEX('Dec 14 - Dec 20'!J$2:J$115,MATCH($B4,'Dec 14 - Dec 20'!$B$2:$B$115,0))-INDEX('Dec 7 - Dec 13'!J$2:J$113,MATCH($B4,'Dec 7 - Dec 13'!$B$2:$B$113,0))</f>
        <v>0</v>
      </c>
      <c r="K4" s="15">
        <f t="array" ref="K4">INDEX('Dec 14 - Dec 20'!K$2:K$115,MATCH($B4,'Dec 14 - Dec 20'!$B$2:$B$115,0))-INDEX('Dec 7 - Dec 13'!K$2:K$113,MATCH($B4,'Dec 7 - Dec 13'!$B$2:$B$113,0))</f>
        <v>0</v>
      </c>
    </row>
    <row r="5" spans="2:11">
      <c r="B5" s="13" t="s">
        <v>75</v>
      </c>
      <c r="C5" s="14" t="str">
        <f t="array" aca="1" ref="C5" ca="1">INDEX('Rooms Master'!U:U,MATCH(B5,'Rooms Master'!D:D,0))</f>
        <v>N</v>
      </c>
      <c r="D5" s="15">
        <f t="array" ref="D5">INDEX('Dec 14 - Dec 20'!D$2:D$115,MATCH($B5,'Dec 14 - Dec 20'!$B$2:$B$115,0))-INDEX('Dec 7 - Dec 13'!D$2:D$113,MATCH($B5,'Dec 7 - Dec 13'!$B$2:$B$113,0))</f>
        <v>0</v>
      </c>
      <c r="E5" s="15">
        <f t="array" ref="E5">INDEX('Dec 14 - Dec 20'!E$2:E$115,MATCH($B5,'Dec 14 - Dec 20'!$B$2:$B$115,0))-INDEX('Dec 7 - Dec 13'!E$2:E$113,MATCH($B5,'Dec 7 - Dec 13'!$B$2:$B$113,0))</f>
        <v>-2</v>
      </c>
      <c r="F5" s="15">
        <f t="array" ref="F5">INDEX('Dec 14 - Dec 20'!F$2:F$115,MATCH($B5,'Dec 14 - Dec 20'!$B$2:$B$115,0))-INDEX('Dec 7 - Dec 13'!F$2:F$113,MATCH($B5,'Dec 7 - Dec 13'!$B$2:$B$113,0))</f>
        <v>1</v>
      </c>
      <c r="G5" s="15">
        <f t="array" ref="G5">INDEX('Dec 14 - Dec 20'!G$2:G$115,MATCH($B5,'Dec 14 - Dec 20'!$B$2:$B$115,0))-INDEX('Dec 7 - Dec 13'!G$2:G$113,MATCH($B5,'Dec 7 - Dec 13'!$B$2:$B$113,0))</f>
        <v>0</v>
      </c>
      <c r="H5" s="15">
        <f t="array" ref="H5">INDEX('Dec 14 - Dec 20'!H$2:H$115,MATCH($B5,'Dec 14 - Dec 20'!$B$2:$B$115,0))-INDEX('Dec 7 - Dec 13'!H$2:H$113,MATCH($B5,'Dec 7 - Dec 13'!$B$2:$B$113,0))</f>
        <v>0</v>
      </c>
      <c r="I5" s="15">
        <f t="array" ref="I5">INDEX('Dec 14 - Dec 20'!I$2:I$115,MATCH($B5,'Dec 14 - Dec 20'!$B$2:$B$115,0))-INDEX('Dec 7 - Dec 13'!I$2:I$113,MATCH($B5,'Dec 7 - Dec 13'!$B$2:$B$113,0))</f>
        <v>0</v>
      </c>
      <c r="J5" s="15">
        <f t="array" ref="J5">INDEX('Dec 14 - Dec 20'!J$2:J$115,MATCH($B5,'Dec 14 - Dec 20'!$B$2:$B$115,0))-INDEX('Dec 7 - Dec 13'!J$2:J$113,MATCH($B5,'Dec 7 - Dec 13'!$B$2:$B$113,0))</f>
        <v>0</v>
      </c>
      <c r="K5" s="15">
        <f t="array" ref="K5">INDEX('Dec 14 - Dec 20'!K$2:K$115,MATCH($B5,'Dec 14 - Dec 20'!$B$2:$B$115,0))-INDEX('Dec 7 - Dec 13'!K$2:K$113,MATCH($B5,'Dec 7 - Dec 13'!$B$2:$B$113,0))</f>
        <v>0</v>
      </c>
    </row>
    <row r="6" spans="2:11">
      <c r="B6" s="13" t="s">
        <v>47</v>
      </c>
      <c r="C6" s="14" t="str">
        <f t="array" aca="1" ref="C6" ca="1">INDEX('Rooms Master'!U:U,MATCH(B6,'Rooms Master'!D:D,0))</f>
        <v>Y</v>
      </c>
      <c r="D6" s="15">
        <f t="array" ref="D6">INDEX('Dec 14 - Dec 20'!D$2:D$115,MATCH($B6,'Dec 14 - Dec 20'!$B$2:$B$115,0))-INDEX('Dec 7 - Dec 13'!D$2:D$113,MATCH($B6,'Dec 7 - Dec 13'!$B$2:$B$113,0))</f>
        <v>-4</v>
      </c>
      <c r="E6" s="15">
        <f t="array" ref="E6">INDEX('Dec 14 - Dec 20'!E$2:E$115,MATCH($B6,'Dec 14 - Dec 20'!$B$2:$B$115,0))-INDEX('Dec 7 - Dec 13'!E$2:E$113,MATCH($B6,'Dec 7 - Dec 13'!$B$2:$B$113,0))</f>
        <v>3</v>
      </c>
      <c r="F6" s="15">
        <f t="array" ref="F6">INDEX('Dec 14 - Dec 20'!F$2:F$115,MATCH($B6,'Dec 14 - Dec 20'!$B$2:$B$115,0))-INDEX('Dec 7 - Dec 13'!F$2:F$113,MATCH($B6,'Dec 7 - Dec 13'!$B$2:$B$113,0))</f>
        <v>-1</v>
      </c>
      <c r="G6" s="15">
        <f t="array" ref="G6">INDEX('Dec 14 - Dec 20'!G$2:G$115,MATCH($B6,'Dec 14 - Dec 20'!$B$2:$B$115,0))-INDEX('Dec 7 - Dec 13'!G$2:G$113,MATCH($B6,'Dec 7 - Dec 13'!$B$2:$B$113,0))</f>
        <v>3</v>
      </c>
      <c r="H6" s="15">
        <f t="array" ref="H6">INDEX('Dec 14 - Dec 20'!H$2:H$115,MATCH($B6,'Dec 14 - Dec 20'!$B$2:$B$115,0))-INDEX('Dec 7 - Dec 13'!H$2:H$113,MATCH($B6,'Dec 7 - Dec 13'!$B$2:$B$113,0))</f>
        <v>4</v>
      </c>
      <c r="I6" s="15">
        <f t="array" ref="I6">INDEX('Dec 14 - Dec 20'!I$2:I$115,MATCH($B6,'Dec 14 - Dec 20'!$B$2:$B$115,0))-INDEX('Dec 7 - Dec 13'!I$2:I$113,MATCH($B6,'Dec 7 - Dec 13'!$B$2:$B$113,0))</f>
        <v>0</v>
      </c>
      <c r="J6" s="15">
        <f t="array" ref="J6">INDEX('Dec 14 - Dec 20'!J$2:J$115,MATCH($B6,'Dec 14 - Dec 20'!$B$2:$B$115,0))-INDEX('Dec 7 - Dec 13'!J$2:J$113,MATCH($B6,'Dec 7 - Dec 13'!$B$2:$B$113,0))</f>
        <v>0</v>
      </c>
      <c r="K6" s="15">
        <f t="array" ref="K6">INDEX('Dec 14 - Dec 20'!K$2:K$115,MATCH($B6,'Dec 14 - Dec 20'!$B$2:$B$115,0))-INDEX('Dec 7 - Dec 13'!K$2:K$113,MATCH($B6,'Dec 7 - Dec 13'!$B$2:$B$113,0))</f>
        <v>0</v>
      </c>
    </row>
    <row r="7" spans="2:11">
      <c r="B7" s="13" t="s">
        <v>30</v>
      </c>
      <c r="C7" s="14" t="str">
        <f t="array" aca="1" ref="C7" ca="1">INDEX('Rooms Master'!U:U,MATCH(B7,'Rooms Master'!D:D,0))</f>
        <v>Y</v>
      </c>
      <c r="D7" s="15">
        <f t="array" ref="D7">INDEX('Dec 14 - Dec 20'!D$2:D$115,MATCH($B7,'Dec 14 - Dec 20'!$B$2:$B$115,0))-INDEX('Dec 7 - Dec 13'!D$2:D$113,MATCH($B7,'Dec 7 - Dec 13'!$B$2:$B$113,0))</f>
        <v>1</v>
      </c>
      <c r="E7" s="15">
        <f t="array" ref="E7">INDEX('Dec 14 - Dec 20'!E$2:E$115,MATCH($B7,'Dec 14 - Dec 20'!$B$2:$B$115,0))-INDEX('Dec 7 - Dec 13'!E$2:E$113,MATCH($B7,'Dec 7 - Dec 13'!$B$2:$B$113,0))</f>
        <v>2</v>
      </c>
      <c r="F7" s="15">
        <f t="array" ref="F7">INDEX('Dec 14 - Dec 20'!F$2:F$115,MATCH($B7,'Dec 14 - Dec 20'!$B$2:$B$115,0))-INDEX('Dec 7 - Dec 13'!F$2:F$113,MATCH($B7,'Dec 7 - Dec 13'!$B$2:$B$113,0))</f>
        <v>2</v>
      </c>
      <c r="G7" s="15">
        <f t="array" ref="G7">INDEX('Dec 14 - Dec 20'!G$2:G$115,MATCH($B7,'Dec 14 - Dec 20'!$B$2:$B$115,0))-INDEX('Dec 7 - Dec 13'!G$2:G$113,MATCH($B7,'Dec 7 - Dec 13'!$B$2:$B$113,0))</f>
        <v>2</v>
      </c>
      <c r="H7" s="15">
        <f t="array" ref="H7">INDEX('Dec 14 - Dec 20'!H$2:H$115,MATCH($B7,'Dec 14 - Dec 20'!$B$2:$B$115,0))-INDEX('Dec 7 - Dec 13'!H$2:H$113,MATCH($B7,'Dec 7 - Dec 13'!$B$2:$B$113,0))</f>
        <v>4</v>
      </c>
      <c r="I7" s="15">
        <f t="array" ref="I7">INDEX('Dec 14 - Dec 20'!I$2:I$115,MATCH($B7,'Dec 14 - Dec 20'!$B$2:$B$115,0))-INDEX('Dec 7 - Dec 13'!I$2:I$113,MATCH($B7,'Dec 7 - Dec 13'!$B$2:$B$113,0))</f>
        <v>0</v>
      </c>
      <c r="J7" s="15">
        <f t="array" ref="J7">INDEX('Dec 14 - Dec 20'!J$2:J$115,MATCH($B7,'Dec 14 - Dec 20'!$B$2:$B$115,0))-INDEX('Dec 7 - Dec 13'!J$2:J$113,MATCH($B7,'Dec 7 - Dec 13'!$B$2:$B$113,0))</f>
        <v>0</v>
      </c>
      <c r="K7" s="15">
        <f t="array" ref="K7">INDEX('Dec 14 - Dec 20'!K$2:K$115,MATCH($B7,'Dec 14 - Dec 20'!$B$2:$B$115,0))-INDEX('Dec 7 - Dec 13'!K$2:K$113,MATCH($B7,'Dec 7 - Dec 13'!$B$2:$B$113,0))</f>
        <v>1</v>
      </c>
    </row>
    <row r="8" spans="2:11">
      <c r="B8" s="13" t="s">
        <v>95</v>
      </c>
      <c r="C8" s="14" t="str">
        <f t="array" aca="1" ref="C8" ca="1">INDEX('Rooms Master'!U:U,MATCH(B8,'Rooms Master'!D:D,0))</f>
        <v>N</v>
      </c>
      <c r="D8" s="15">
        <f t="array" ref="D8">INDEX('Dec 14 - Dec 20'!D$2:D$115,MATCH($B8,'Dec 14 - Dec 20'!$B$2:$B$115,0))-INDEX('Dec 7 - Dec 13'!D$2:D$113,MATCH($B8,'Dec 7 - Dec 13'!$B$2:$B$113,0))</f>
        <v>-4</v>
      </c>
      <c r="E8" s="15">
        <f t="array" ref="E8">INDEX('Dec 14 - Dec 20'!E$2:E$115,MATCH($B8,'Dec 14 - Dec 20'!$B$2:$B$115,0))-INDEX('Dec 7 - Dec 13'!E$2:E$113,MATCH($B8,'Dec 7 - Dec 13'!$B$2:$B$113,0))</f>
        <v>8</v>
      </c>
      <c r="F8" s="15">
        <f t="array" ref="F8">INDEX('Dec 14 - Dec 20'!F$2:F$115,MATCH($B8,'Dec 14 - Dec 20'!$B$2:$B$115,0))-INDEX('Dec 7 - Dec 13'!F$2:F$113,MATCH($B8,'Dec 7 - Dec 13'!$B$2:$B$113,0))</f>
        <v>-2</v>
      </c>
      <c r="G8" s="15">
        <f t="array" ref="G8">INDEX('Dec 14 - Dec 20'!G$2:G$115,MATCH($B8,'Dec 14 - Dec 20'!$B$2:$B$115,0))-INDEX('Dec 7 - Dec 13'!G$2:G$113,MATCH($B8,'Dec 7 - Dec 13'!$B$2:$B$113,0))</f>
        <v>0</v>
      </c>
      <c r="H8" s="15">
        <f t="array" ref="H8">INDEX('Dec 14 - Dec 20'!H$2:H$115,MATCH($B8,'Dec 14 - Dec 20'!$B$2:$B$115,0))-INDEX('Dec 7 - Dec 13'!H$2:H$113,MATCH($B8,'Dec 7 - Dec 13'!$B$2:$B$113,0))</f>
        <v>1</v>
      </c>
      <c r="I8" s="15">
        <f t="array" ref="I8">INDEX('Dec 14 - Dec 20'!I$2:I$115,MATCH($B8,'Dec 14 - Dec 20'!$B$2:$B$115,0))-INDEX('Dec 7 - Dec 13'!I$2:I$113,MATCH($B8,'Dec 7 - Dec 13'!$B$2:$B$113,0))</f>
        <v>0</v>
      </c>
      <c r="J8" s="15">
        <f t="array" ref="J8">INDEX('Dec 14 - Dec 20'!J$2:J$115,MATCH($B8,'Dec 14 - Dec 20'!$B$2:$B$115,0))-INDEX('Dec 7 - Dec 13'!J$2:J$113,MATCH($B8,'Dec 7 - Dec 13'!$B$2:$B$113,0))</f>
        <v>0</v>
      </c>
      <c r="K8" s="15">
        <f t="array" ref="K8">INDEX('Dec 14 - Dec 20'!K$2:K$115,MATCH($B8,'Dec 14 - Dec 20'!$B$2:$B$115,0))-INDEX('Dec 7 - Dec 13'!K$2:K$113,MATCH($B8,'Dec 7 - Dec 13'!$B$2:$B$113,0))</f>
        <v>0</v>
      </c>
    </row>
    <row r="9" spans="2:11">
      <c r="B9" s="13" t="s">
        <v>22</v>
      </c>
      <c r="C9" s="14" t="str">
        <f t="array" aca="1" ref="C9" ca="1">INDEX('Rooms Master'!U:U,MATCH(B9,'Rooms Master'!D:D,0))</f>
        <v>Y</v>
      </c>
      <c r="D9" s="15">
        <f t="array" ref="D9">INDEX('Dec 14 - Dec 20'!D$2:D$115,MATCH($B9,'Dec 14 - Dec 20'!$B$2:$B$115,0))-INDEX('Dec 7 - Dec 13'!D$2:D$113,MATCH($B9,'Dec 7 - Dec 13'!$B$2:$B$113,0))</f>
        <v>-5</v>
      </c>
      <c r="E9" s="15">
        <f t="array" ref="E9">INDEX('Dec 14 - Dec 20'!E$2:E$115,MATCH($B9,'Dec 14 - Dec 20'!$B$2:$B$115,0))-INDEX('Dec 7 - Dec 13'!E$2:E$113,MATCH($B9,'Dec 7 - Dec 13'!$B$2:$B$113,0))</f>
        <v>-10</v>
      </c>
      <c r="F9" s="15">
        <f t="array" ref="F9">INDEX('Dec 14 - Dec 20'!F$2:F$115,MATCH($B9,'Dec 14 - Dec 20'!$B$2:$B$115,0))-INDEX('Dec 7 - Dec 13'!F$2:F$113,MATCH($B9,'Dec 7 - Dec 13'!$B$2:$B$113,0))</f>
        <v>-3</v>
      </c>
      <c r="G9" s="15">
        <f t="array" ref="G9">INDEX('Dec 14 - Dec 20'!G$2:G$115,MATCH($B9,'Dec 14 - Dec 20'!$B$2:$B$115,0))-INDEX('Dec 7 - Dec 13'!G$2:G$113,MATCH($B9,'Dec 7 - Dec 13'!$B$2:$B$113,0))</f>
        <v>3</v>
      </c>
      <c r="H9" s="15">
        <f t="array" ref="H9">INDEX('Dec 14 - Dec 20'!H$2:H$115,MATCH($B9,'Dec 14 - Dec 20'!$B$2:$B$115,0))-INDEX('Dec 7 - Dec 13'!H$2:H$113,MATCH($B9,'Dec 7 - Dec 13'!$B$2:$B$113,0))</f>
        <v>4</v>
      </c>
      <c r="I9" s="15">
        <f t="array" ref="I9">INDEX('Dec 14 - Dec 20'!I$2:I$115,MATCH($B9,'Dec 14 - Dec 20'!$B$2:$B$115,0))-INDEX('Dec 7 - Dec 13'!I$2:I$113,MATCH($B9,'Dec 7 - Dec 13'!$B$2:$B$113,0))</f>
        <v>1</v>
      </c>
      <c r="J9" s="15">
        <f t="array" ref="J9">INDEX('Dec 14 - Dec 20'!J$2:J$115,MATCH($B9,'Dec 14 - Dec 20'!$B$2:$B$115,0))-INDEX('Dec 7 - Dec 13'!J$2:J$113,MATCH($B9,'Dec 7 - Dec 13'!$B$2:$B$113,0))</f>
        <v>0</v>
      </c>
      <c r="K9" s="15">
        <f t="array" ref="K9">INDEX('Dec 14 - Dec 20'!K$2:K$115,MATCH($B9,'Dec 14 - Dec 20'!$B$2:$B$115,0))-INDEX('Dec 7 - Dec 13'!K$2:K$113,MATCH($B9,'Dec 7 - Dec 13'!$B$2:$B$113,0))</f>
        <v>0</v>
      </c>
    </row>
    <row r="10" spans="2:11">
      <c r="B10" s="13" t="s">
        <v>110</v>
      </c>
      <c r="C10" s="14" t="str">
        <f t="array" aca="1" ref="C10" ca="1">INDEX('Rooms Master'!U:U,MATCH(B10,'Rooms Master'!D:D,0))</f>
        <v>Y</v>
      </c>
      <c r="D10" s="15">
        <f t="array" ref="D10">INDEX('Dec 14 - Dec 20'!D$2:D$115,MATCH($B10,'Dec 14 - Dec 20'!$B$2:$B$115,0))-INDEX('Dec 7 - Dec 13'!D$2:D$113,MATCH($B10,'Dec 7 - Dec 13'!$B$2:$B$113,0))</f>
        <v>6</v>
      </c>
      <c r="E10" s="15">
        <f t="array" ref="E10">INDEX('Dec 14 - Dec 20'!E$2:E$115,MATCH($B10,'Dec 14 - Dec 20'!$B$2:$B$115,0))-INDEX('Dec 7 - Dec 13'!E$2:E$113,MATCH($B10,'Dec 7 - Dec 13'!$B$2:$B$113,0))</f>
        <v>-3</v>
      </c>
      <c r="F10" s="15">
        <f t="array" ref="F10">INDEX('Dec 14 - Dec 20'!F$2:F$115,MATCH($B10,'Dec 14 - Dec 20'!$B$2:$B$115,0))-INDEX('Dec 7 - Dec 13'!F$2:F$113,MATCH($B10,'Dec 7 - Dec 13'!$B$2:$B$113,0))</f>
        <v>0</v>
      </c>
      <c r="G10" s="15">
        <f t="array" ref="G10">INDEX('Dec 14 - Dec 20'!G$2:G$115,MATCH($B10,'Dec 14 - Dec 20'!$B$2:$B$115,0))-INDEX('Dec 7 - Dec 13'!G$2:G$113,MATCH($B10,'Dec 7 - Dec 13'!$B$2:$B$113,0))</f>
        <v>2</v>
      </c>
      <c r="H10" s="15">
        <f t="array" ref="H10">INDEX('Dec 14 - Dec 20'!H$2:H$115,MATCH($B10,'Dec 14 - Dec 20'!$B$2:$B$115,0))-INDEX('Dec 7 - Dec 13'!H$2:H$113,MATCH($B10,'Dec 7 - Dec 13'!$B$2:$B$113,0))</f>
        <v>4</v>
      </c>
      <c r="I10" s="15">
        <f t="array" ref="I10">INDEX('Dec 14 - Dec 20'!I$2:I$115,MATCH($B10,'Dec 14 - Dec 20'!$B$2:$B$115,0))-INDEX('Dec 7 - Dec 13'!I$2:I$113,MATCH($B10,'Dec 7 - Dec 13'!$B$2:$B$113,0))</f>
        <v>0</v>
      </c>
      <c r="J10" s="15">
        <f t="array" ref="J10">INDEX('Dec 14 - Dec 20'!J$2:J$115,MATCH($B10,'Dec 14 - Dec 20'!$B$2:$B$115,0))-INDEX('Dec 7 - Dec 13'!J$2:J$113,MATCH($B10,'Dec 7 - Dec 13'!$B$2:$B$113,0))</f>
        <v>0</v>
      </c>
      <c r="K10" s="15">
        <f t="array" ref="K10">INDEX('Dec 14 - Dec 20'!K$2:K$115,MATCH($B10,'Dec 14 - Dec 20'!$B$2:$B$115,0))-INDEX('Dec 7 - Dec 13'!K$2:K$113,MATCH($B10,'Dec 7 - Dec 13'!$B$2:$B$113,0))</f>
        <v>0</v>
      </c>
    </row>
    <row r="11" spans="2:11">
      <c r="B11" s="13" t="s">
        <v>117</v>
      </c>
      <c r="C11" s="14" t="str">
        <f t="array" aca="1" ref="C11" ca="1">INDEX('Rooms Master'!U:U,MATCH(B11,'Rooms Master'!D:D,0))</f>
        <v>N</v>
      </c>
      <c r="D11" s="15">
        <f t="array" ref="D11">INDEX('Dec 14 - Dec 20'!D$2:D$115,MATCH($B11,'Dec 14 - Dec 20'!$B$2:$B$115,0))-INDEX('Dec 7 - Dec 13'!D$2:D$113,MATCH($B11,'Dec 7 - Dec 13'!$B$2:$B$113,0))</f>
        <v>-4</v>
      </c>
      <c r="E11" s="15">
        <f t="array" ref="E11">INDEX('Dec 14 - Dec 20'!E$2:E$115,MATCH($B11,'Dec 14 - Dec 20'!$B$2:$B$115,0))-INDEX('Dec 7 - Dec 13'!E$2:E$113,MATCH($B11,'Dec 7 - Dec 13'!$B$2:$B$113,0))</f>
        <v>-9</v>
      </c>
      <c r="F11" s="15">
        <f t="array" ref="F11">INDEX('Dec 14 - Dec 20'!F$2:F$115,MATCH($B11,'Dec 14 - Dec 20'!$B$2:$B$115,0))-INDEX('Dec 7 - Dec 13'!F$2:F$113,MATCH($B11,'Dec 7 - Dec 13'!$B$2:$B$113,0))</f>
        <v>-4</v>
      </c>
      <c r="G11" s="15">
        <f t="array" ref="G11">INDEX('Dec 14 - Dec 20'!G$2:G$115,MATCH($B11,'Dec 14 - Dec 20'!$B$2:$B$115,0))-INDEX('Dec 7 - Dec 13'!G$2:G$113,MATCH($B11,'Dec 7 - Dec 13'!$B$2:$B$113,0))</f>
        <v>6</v>
      </c>
      <c r="H11" s="15">
        <f t="array" ref="H11">INDEX('Dec 14 - Dec 20'!H$2:H$115,MATCH($B11,'Dec 14 - Dec 20'!$B$2:$B$115,0))-INDEX('Dec 7 - Dec 13'!H$2:H$113,MATCH($B11,'Dec 7 - Dec 13'!$B$2:$B$113,0))</f>
        <v>3</v>
      </c>
      <c r="I11" s="15">
        <f t="array" ref="I11">INDEX('Dec 14 - Dec 20'!I$2:I$115,MATCH($B11,'Dec 14 - Dec 20'!$B$2:$B$115,0))-INDEX('Dec 7 - Dec 13'!I$2:I$113,MATCH($B11,'Dec 7 - Dec 13'!$B$2:$B$113,0))</f>
        <v>0</v>
      </c>
      <c r="J11" s="15">
        <f t="array" ref="J11">INDEX('Dec 14 - Dec 20'!J$2:J$115,MATCH($B11,'Dec 14 - Dec 20'!$B$2:$B$115,0))-INDEX('Dec 7 - Dec 13'!J$2:J$113,MATCH($B11,'Dec 7 - Dec 13'!$B$2:$B$113,0))</f>
        <v>0</v>
      </c>
      <c r="K11" s="15">
        <f t="array" ref="K11">INDEX('Dec 14 - Dec 20'!K$2:K$115,MATCH($B11,'Dec 14 - Dec 20'!$B$2:$B$115,0))-INDEX('Dec 7 - Dec 13'!K$2:K$113,MATCH($B11,'Dec 7 - Dec 13'!$B$2:$B$113,0))</f>
        <v>0</v>
      </c>
    </row>
    <row r="12" spans="2:11">
      <c r="B12" s="13" t="s">
        <v>42</v>
      </c>
      <c r="C12" s="14" t="str">
        <f t="array" aca="1" ref="C12" ca="1">INDEX('Rooms Master'!U:U,MATCH(B12,'Rooms Master'!D:D,0))</f>
        <v>Y</v>
      </c>
      <c r="D12" s="15">
        <f t="array" ref="D12">INDEX('Dec 14 - Dec 20'!D$2:D$115,MATCH($B12,'Dec 14 - Dec 20'!$B$2:$B$115,0))-INDEX('Dec 7 - Dec 13'!D$2:D$113,MATCH($B12,'Dec 7 - Dec 13'!$B$2:$B$113,0))</f>
        <v>1</v>
      </c>
      <c r="E12" s="15">
        <f t="array" ref="E12">INDEX('Dec 14 - Dec 20'!E$2:E$115,MATCH($B12,'Dec 14 - Dec 20'!$B$2:$B$115,0))-INDEX('Dec 7 - Dec 13'!E$2:E$113,MATCH($B12,'Dec 7 - Dec 13'!$B$2:$B$113,0))</f>
        <v>2</v>
      </c>
      <c r="F12" s="15">
        <f t="array" ref="F12">INDEX('Dec 14 - Dec 20'!F$2:F$115,MATCH($B12,'Dec 14 - Dec 20'!$B$2:$B$115,0))-INDEX('Dec 7 - Dec 13'!F$2:F$113,MATCH($B12,'Dec 7 - Dec 13'!$B$2:$B$113,0))</f>
        <v>1</v>
      </c>
      <c r="G12" s="15">
        <f t="array" ref="G12">INDEX('Dec 14 - Dec 20'!G$2:G$115,MATCH($B12,'Dec 14 - Dec 20'!$B$2:$B$115,0))-INDEX('Dec 7 - Dec 13'!G$2:G$113,MATCH($B12,'Dec 7 - Dec 13'!$B$2:$B$113,0))</f>
        <v>5</v>
      </c>
      <c r="H12" s="15">
        <f t="array" ref="H12">INDEX('Dec 14 - Dec 20'!H$2:H$115,MATCH($B12,'Dec 14 - Dec 20'!$B$2:$B$115,0))-INDEX('Dec 7 - Dec 13'!H$2:H$113,MATCH($B12,'Dec 7 - Dec 13'!$B$2:$B$113,0))</f>
        <v>2</v>
      </c>
      <c r="I12" s="15">
        <f t="array" ref="I12">INDEX('Dec 14 - Dec 20'!I$2:I$115,MATCH($B12,'Dec 14 - Dec 20'!$B$2:$B$115,0))-INDEX('Dec 7 - Dec 13'!I$2:I$113,MATCH($B12,'Dec 7 - Dec 13'!$B$2:$B$113,0))</f>
        <v>2</v>
      </c>
      <c r="J12" s="15">
        <f t="array" ref="J12">INDEX('Dec 14 - Dec 20'!J$2:J$115,MATCH($B12,'Dec 14 - Dec 20'!$B$2:$B$115,0))-INDEX('Dec 7 - Dec 13'!J$2:J$113,MATCH($B12,'Dec 7 - Dec 13'!$B$2:$B$113,0))</f>
        <v>1</v>
      </c>
      <c r="K12" s="15">
        <f t="array" ref="K12">INDEX('Dec 14 - Dec 20'!K$2:K$115,MATCH($B12,'Dec 14 - Dec 20'!$B$2:$B$115,0))-INDEX('Dec 7 - Dec 13'!K$2:K$113,MATCH($B12,'Dec 7 - Dec 13'!$B$2:$B$113,0))</f>
        <v>0</v>
      </c>
    </row>
    <row r="13" spans="2:11">
      <c r="B13" s="13" t="s">
        <v>118</v>
      </c>
      <c r="C13" s="14" t="str">
        <f t="array" aca="1" ref="C13" ca="1">INDEX('Rooms Master'!U:U,MATCH(B13,'Rooms Master'!D:D,0))</f>
        <v>N</v>
      </c>
      <c r="D13" s="15">
        <f t="array" ref="D13">INDEX('Dec 14 - Dec 20'!D$2:D$115,MATCH($B13,'Dec 14 - Dec 20'!$B$2:$B$115,0))-INDEX('Dec 7 - Dec 13'!D$2:D$113,MATCH($B13,'Dec 7 - Dec 13'!$B$2:$B$113,0))</f>
        <v>0</v>
      </c>
      <c r="E13" s="15">
        <f t="array" ref="E13">INDEX('Dec 14 - Dec 20'!E$2:E$115,MATCH($B13,'Dec 14 - Dec 20'!$B$2:$B$115,0))-INDEX('Dec 7 - Dec 13'!E$2:E$113,MATCH($B13,'Dec 7 - Dec 13'!$B$2:$B$113,0))</f>
        <v>-1</v>
      </c>
      <c r="F13" s="15">
        <f t="array" ref="F13">INDEX('Dec 14 - Dec 20'!F$2:F$115,MATCH($B13,'Dec 14 - Dec 20'!$B$2:$B$115,0))-INDEX('Dec 7 - Dec 13'!F$2:F$113,MATCH($B13,'Dec 7 - Dec 13'!$B$2:$B$113,0))</f>
        <v>-1</v>
      </c>
      <c r="G13" s="15">
        <f t="array" ref="G13">INDEX('Dec 14 - Dec 20'!G$2:G$115,MATCH($B13,'Dec 14 - Dec 20'!$B$2:$B$115,0))-INDEX('Dec 7 - Dec 13'!G$2:G$113,MATCH($B13,'Dec 7 - Dec 13'!$B$2:$B$113,0))</f>
        <v>0</v>
      </c>
      <c r="H13" s="15">
        <f t="array" ref="H13">INDEX('Dec 14 - Dec 20'!H$2:H$115,MATCH($B13,'Dec 14 - Dec 20'!$B$2:$B$115,0))-INDEX('Dec 7 - Dec 13'!H$2:H$113,MATCH($B13,'Dec 7 - Dec 13'!$B$2:$B$113,0))</f>
        <v>0</v>
      </c>
      <c r="I13" s="15">
        <f t="array" ref="I13">INDEX('Dec 14 - Dec 20'!I$2:I$115,MATCH($B13,'Dec 14 - Dec 20'!$B$2:$B$115,0))-INDEX('Dec 7 - Dec 13'!I$2:I$113,MATCH($B13,'Dec 7 - Dec 13'!$B$2:$B$113,0))</f>
        <v>0</v>
      </c>
      <c r="J13" s="15">
        <f t="array" ref="J13">INDEX('Dec 14 - Dec 20'!J$2:J$115,MATCH($B13,'Dec 14 - Dec 20'!$B$2:$B$115,0))-INDEX('Dec 7 - Dec 13'!J$2:J$113,MATCH($B13,'Dec 7 - Dec 13'!$B$2:$B$113,0))</f>
        <v>0</v>
      </c>
      <c r="K13" s="15">
        <f t="array" ref="K13">INDEX('Dec 14 - Dec 20'!K$2:K$115,MATCH($B13,'Dec 14 - Dec 20'!$B$2:$B$115,0))-INDEX('Dec 7 - Dec 13'!K$2:K$113,MATCH($B13,'Dec 7 - Dec 13'!$B$2:$B$113,0))</f>
        <v>0</v>
      </c>
    </row>
    <row r="14" spans="2:11">
      <c r="B14" s="13" t="s">
        <v>25</v>
      </c>
      <c r="C14" s="14" t="str">
        <f t="array" aca="1" ref="C14" ca="1">INDEX('Rooms Master'!U:U,MATCH(B14,'Rooms Master'!D:D,0))</f>
        <v>Y</v>
      </c>
      <c r="D14" s="15">
        <f t="array" ref="D14">INDEX('Dec 14 - Dec 20'!D$2:D$115,MATCH($B14,'Dec 14 - Dec 20'!$B$2:$B$115,0))-INDEX('Dec 7 - Dec 13'!D$2:D$113,MATCH($B14,'Dec 7 - Dec 13'!$B$2:$B$113,0))</f>
        <v>-4</v>
      </c>
      <c r="E14" s="15">
        <f t="array" ref="E14">INDEX('Dec 14 - Dec 20'!E$2:E$115,MATCH($B14,'Dec 14 - Dec 20'!$B$2:$B$115,0))-INDEX('Dec 7 - Dec 13'!E$2:E$113,MATCH($B14,'Dec 7 - Dec 13'!$B$2:$B$113,0))</f>
        <v>-1</v>
      </c>
      <c r="F14" s="15">
        <f t="array" ref="F14">INDEX('Dec 14 - Dec 20'!F$2:F$115,MATCH($B14,'Dec 14 - Dec 20'!$B$2:$B$115,0))-INDEX('Dec 7 - Dec 13'!F$2:F$113,MATCH($B14,'Dec 7 - Dec 13'!$B$2:$B$113,0))</f>
        <v>2</v>
      </c>
      <c r="G14" s="15">
        <f t="array" ref="G14">INDEX('Dec 14 - Dec 20'!G$2:G$115,MATCH($B14,'Dec 14 - Dec 20'!$B$2:$B$115,0))-INDEX('Dec 7 - Dec 13'!G$2:G$113,MATCH($B14,'Dec 7 - Dec 13'!$B$2:$B$113,0))</f>
        <v>5</v>
      </c>
      <c r="H14" s="15">
        <f t="array" ref="H14">INDEX('Dec 14 - Dec 20'!H$2:H$115,MATCH($B14,'Dec 14 - Dec 20'!$B$2:$B$115,0))-INDEX('Dec 7 - Dec 13'!H$2:H$113,MATCH($B14,'Dec 7 - Dec 13'!$B$2:$B$113,0))</f>
        <v>0</v>
      </c>
      <c r="I14" s="15">
        <f t="array" ref="I14">INDEX('Dec 14 - Dec 20'!I$2:I$115,MATCH($B14,'Dec 14 - Dec 20'!$B$2:$B$115,0))-INDEX('Dec 7 - Dec 13'!I$2:I$113,MATCH($B14,'Dec 7 - Dec 13'!$B$2:$B$113,0))</f>
        <v>0</v>
      </c>
      <c r="J14" s="15">
        <f t="array" ref="J14">INDEX('Dec 14 - Dec 20'!J$2:J$115,MATCH($B14,'Dec 14 - Dec 20'!$B$2:$B$115,0))-INDEX('Dec 7 - Dec 13'!J$2:J$113,MATCH($B14,'Dec 7 - Dec 13'!$B$2:$B$113,0))</f>
        <v>0</v>
      </c>
      <c r="K14" s="15">
        <f t="array" ref="K14">INDEX('Dec 14 - Dec 20'!K$2:K$115,MATCH($B14,'Dec 14 - Dec 20'!$B$2:$B$115,0))-INDEX('Dec 7 - Dec 13'!K$2:K$113,MATCH($B14,'Dec 7 - Dec 13'!$B$2:$B$113,0))</f>
        <v>0</v>
      </c>
    </row>
    <row r="15" spans="2:11">
      <c r="B15" s="13" t="s">
        <v>38</v>
      </c>
      <c r="C15" s="14" t="str">
        <f t="array" aca="1" ref="C15" ca="1">INDEX('Rooms Master'!U:U,MATCH(B15,'Rooms Master'!D:D,0))</f>
        <v>Y</v>
      </c>
      <c r="D15" s="15">
        <f t="array" ref="D15">INDEX('Dec 14 - Dec 20'!D$2:D$115,MATCH($B15,'Dec 14 - Dec 20'!$B$2:$B$115,0))-INDEX('Dec 7 - Dec 13'!D$2:D$113,MATCH($B15,'Dec 7 - Dec 13'!$B$2:$B$113,0))</f>
        <v>0</v>
      </c>
      <c r="E15" s="15">
        <f t="array" ref="E15">INDEX('Dec 14 - Dec 20'!E$2:E$115,MATCH($B15,'Dec 14 - Dec 20'!$B$2:$B$115,0))-INDEX('Dec 7 - Dec 13'!E$2:E$113,MATCH($B15,'Dec 7 - Dec 13'!$B$2:$B$113,0))</f>
        <v>1</v>
      </c>
      <c r="F15" s="15">
        <f t="array" ref="F15">INDEX('Dec 14 - Dec 20'!F$2:F$115,MATCH($B15,'Dec 14 - Dec 20'!$B$2:$B$115,0))-INDEX('Dec 7 - Dec 13'!F$2:F$113,MATCH($B15,'Dec 7 - Dec 13'!$B$2:$B$113,0))</f>
        <v>4</v>
      </c>
      <c r="G15" s="15">
        <f t="array" ref="G15">INDEX('Dec 14 - Dec 20'!G$2:G$115,MATCH($B15,'Dec 14 - Dec 20'!$B$2:$B$115,0))-INDEX('Dec 7 - Dec 13'!G$2:G$113,MATCH($B15,'Dec 7 - Dec 13'!$B$2:$B$113,0))</f>
        <v>2</v>
      </c>
      <c r="H15" s="15">
        <f t="array" ref="H15">INDEX('Dec 14 - Dec 20'!H$2:H$115,MATCH($B15,'Dec 14 - Dec 20'!$B$2:$B$115,0))-INDEX('Dec 7 - Dec 13'!H$2:H$113,MATCH($B15,'Dec 7 - Dec 13'!$B$2:$B$113,0))</f>
        <v>2</v>
      </c>
      <c r="I15" s="15">
        <f t="array" ref="I15">INDEX('Dec 14 - Dec 20'!I$2:I$115,MATCH($B15,'Dec 14 - Dec 20'!$B$2:$B$115,0))-INDEX('Dec 7 - Dec 13'!I$2:I$113,MATCH($B15,'Dec 7 - Dec 13'!$B$2:$B$113,0))</f>
        <v>0</v>
      </c>
      <c r="J15" s="15">
        <f t="array" ref="J15">INDEX('Dec 14 - Dec 20'!J$2:J$115,MATCH($B15,'Dec 14 - Dec 20'!$B$2:$B$115,0))-INDEX('Dec 7 - Dec 13'!J$2:J$113,MATCH($B15,'Dec 7 - Dec 13'!$B$2:$B$113,0))</f>
        <v>0</v>
      </c>
      <c r="K15" s="15">
        <f t="array" ref="K15">INDEX('Dec 14 - Dec 20'!K$2:K$115,MATCH($B15,'Dec 14 - Dec 20'!$B$2:$B$115,0))-INDEX('Dec 7 - Dec 13'!K$2:K$113,MATCH($B15,'Dec 7 - Dec 13'!$B$2:$B$113,0))</f>
        <v>0</v>
      </c>
    </row>
    <row r="16" spans="2:11">
      <c r="B16" s="13" t="s">
        <v>86</v>
      </c>
      <c r="C16" s="14" t="str">
        <f t="array" aca="1" ref="C16" ca="1">INDEX('Rooms Master'!U:U,MATCH(B16,'Rooms Master'!D:D,0))</f>
        <v>Y</v>
      </c>
      <c r="D16" s="15">
        <f t="array" ref="D16">INDEX('Dec 14 - Dec 20'!D$2:D$115,MATCH($B16,'Dec 14 - Dec 20'!$B$2:$B$115,0))-INDEX('Dec 7 - Dec 13'!D$2:D$113,MATCH($B16,'Dec 7 - Dec 13'!$B$2:$B$113,0))</f>
        <v>-4</v>
      </c>
      <c r="E16" s="15">
        <f t="array" ref="E16">INDEX('Dec 14 - Dec 20'!E$2:E$115,MATCH($B16,'Dec 14 - Dec 20'!$B$2:$B$115,0))-INDEX('Dec 7 - Dec 13'!E$2:E$113,MATCH($B16,'Dec 7 - Dec 13'!$B$2:$B$113,0))</f>
        <v>-9</v>
      </c>
      <c r="F16" s="15">
        <f t="array" ref="F16">INDEX('Dec 14 - Dec 20'!F$2:F$115,MATCH($B16,'Dec 14 - Dec 20'!$B$2:$B$115,0))-INDEX('Dec 7 - Dec 13'!F$2:F$113,MATCH($B16,'Dec 7 - Dec 13'!$B$2:$B$113,0))</f>
        <v>-7</v>
      </c>
      <c r="G16" s="15">
        <f t="array" ref="G16">INDEX('Dec 14 - Dec 20'!G$2:G$115,MATCH($B16,'Dec 14 - Dec 20'!$B$2:$B$115,0))-INDEX('Dec 7 - Dec 13'!G$2:G$113,MATCH($B16,'Dec 7 - Dec 13'!$B$2:$B$113,0))</f>
        <v>-1</v>
      </c>
      <c r="H16" s="15">
        <f t="array" ref="H16">INDEX('Dec 14 - Dec 20'!H$2:H$115,MATCH($B16,'Dec 14 - Dec 20'!$B$2:$B$115,0))-INDEX('Dec 7 - Dec 13'!H$2:H$113,MATCH($B16,'Dec 7 - Dec 13'!$B$2:$B$113,0))</f>
        <v>2</v>
      </c>
      <c r="I16" s="15">
        <f t="array" ref="I16">INDEX('Dec 14 - Dec 20'!I$2:I$115,MATCH($B16,'Dec 14 - Dec 20'!$B$2:$B$115,0))-INDEX('Dec 7 - Dec 13'!I$2:I$113,MATCH($B16,'Dec 7 - Dec 13'!$B$2:$B$113,0))</f>
        <v>0</v>
      </c>
      <c r="J16" s="15">
        <f t="array" ref="J16">INDEX('Dec 14 - Dec 20'!J$2:J$115,MATCH($B16,'Dec 14 - Dec 20'!$B$2:$B$115,0))-INDEX('Dec 7 - Dec 13'!J$2:J$113,MATCH($B16,'Dec 7 - Dec 13'!$B$2:$B$113,0))</f>
        <v>0</v>
      </c>
      <c r="K16" s="15">
        <f t="array" ref="K16">INDEX('Dec 14 - Dec 20'!K$2:K$115,MATCH($B16,'Dec 14 - Dec 20'!$B$2:$B$115,0))-INDEX('Dec 7 - Dec 13'!K$2:K$113,MATCH($B16,'Dec 7 - Dec 13'!$B$2:$B$113,0))</f>
        <v>0</v>
      </c>
    </row>
    <row r="17" spans="2:11">
      <c r="B17" s="13" t="s">
        <v>78</v>
      </c>
      <c r="C17" s="14" t="str">
        <f t="array" aca="1" ref="C17" ca="1">INDEX('Rooms Master'!U:U,MATCH(B17,'Rooms Master'!D:D,0))</f>
        <v>Y</v>
      </c>
      <c r="D17" s="15">
        <f t="array" ref="D17">INDEX('Dec 14 - Dec 20'!D$2:D$115,MATCH($B17,'Dec 14 - Dec 20'!$B$2:$B$115,0))-INDEX('Dec 7 - Dec 13'!D$2:D$113,MATCH($B17,'Dec 7 - Dec 13'!$B$2:$B$113,0))</f>
        <v>-4</v>
      </c>
      <c r="E17" s="15">
        <f t="array" ref="E17">INDEX('Dec 14 - Dec 20'!E$2:E$115,MATCH($B17,'Dec 14 - Dec 20'!$B$2:$B$115,0))-INDEX('Dec 7 - Dec 13'!E$2:E$113,MATCH($B17,'Dec 7 - Dec 13'!$B$2:$B$113,0))</f>
        <v>-13</v>
      </c>
      <c r="F17" s="15">
        <f t="array" ref="F17">INDEX('Dec 14 - Dec 20'!F$2:F$115,MATCH($B17,'Dec 14 - Dec 20'!$B$2:$B$115,0))-INDEX('Dec 7 - Dec 13'!F$2:F$113,MATCH($B17,'Dec 7 - Dec 13'!$B$2:$B$113,0))</f>
        <v>-1</v>
      </c>
      <c r="G17" s="15">
        <f t="array" ref="G17">INDEX('Dec 14 - Dec 20'!G$2:G$115,MATCH($B17,'Dec 14 - Dec 20'!$B$2:$B$115,0))-INDEX('Dec 7 - Dec 13'!G$2:G$113,MATCH($B17,'Dec 7 - Dec 13'!$B$2:$B$113,0))</f>
        <v>3</v>
      </c>
      <c r="H17" s="15">
        <f t="array" ref="H17">INDEX('Dec 14 - Dec 20'!H$2:H$115,MATCH($B17,'Dec 14 - Dec 20'!$B$2:$B$115,0))-INDEX('Dec 7 - Dec 13'!H$2:H$113,MATCH($B17,'Dec 7 - Dec 13'!$B$2:$B$113,0))</f>
        <v>2</v>
      </c>
      <c r="I17" s="15">
        <f t="array" ref="I17">INDEX('Dec 14 - Dec 20'!I$2:I$115,MATCH($B17,'Dec 14 - Dec 20'!$B$2:$B$115,0))-INDEX('Dec 7 - Dec 13'!I$2:I$113,MATCH($B17,'Dec 7 - Dec 13'!$B$2:$B$113,0))</f>
        <v>0</v>
      </c>
      <c r="J17" s="15">
        <f t="array" ref="J17">INDEX('Dec 14 - Dec 20'!J$2:J$115,MATCH($B17,'Dec 14 - Dec 20'!$B$2:$B$115,0))-INDEX('Dec 7 - Dec 13'!J$2:J$113,MATCH($B17,'Dec 7 - Dec 13'!$B$2:$B$113,0))</f>
        <v>0</v>
      </c>
      <c r="K17" s="15">
        <f t="array" ref="K17">INDEX('Dec 14 - Dec 20'!K$2:K$115,MATCH($B17,'Dec 14 - Dec 20'!$B$2:$B$115,0))-INDEX('Dec 7 - Dec 13'!K$2:K$113,MATCH($B17,'Dec 7 - Dec 13'!$B$2:$B$113,0))</f>
        <v>0</v>
      </c>
    </row>
    <row r="18" spans="2:11">
      <c r="B18" s="13" t="s">
        <v>105</v>
      </c>
      <c r="C18" s="14" t="str">
        <f t="array" aca="1" ref="C18" ca="1">INDEX('Rooms Master'!U:U,MATCH(B18,'Rooms Master'!D:D,0))</f>
        <v>Y</v>
      </c>
      <c r="D18" s="15">
        <f t="array" ref="D18">INDEX('Dec 14 - Dec 20'!D$2:D$115,MATCH($B18,'Dec 14 - Dec 20'!$B$2:$B$115,0))-INDEX('Dec 7 - Dec 13'!D$2:D$113,MATCH($B18,'Dec 7 - Dec 13'!$B$2:$B$113,0))</f>
        <v>0</v>
      </c>
      <c r="E18" s="15">
        <f t="array" ref="E18">INDEX('Dec 14 - Dec 20'!E$2:E$115,MATCH($B18,'Dec 14 - Dec 20'!$B$2:$B$115,0))-INDEX('Dec 7 - Dec 13'!E$2:E$113,MATCH($B18,'Dec 7 - Dec 13'!$B$2:$B$113,0))</f>
        <v>-3</v>
      </c>
      <c r="F18" s="15">
        <f t="array" ref="F18">INDEX('Dec 14 - Dec 20'!F$2:F$115,MATCH($B18,'Dec 14 - Dec 20'!$B$2:$B$115,0))-INDEX('Dec 7 - Dec 13'!F$2:F$113,MATCH($B18,'Dec 7 - Dec 13'!$B$2:$B$113,0))</f>
        <v>0</v>
      </c>
      <c r="G18" s="15">
        <f t="array" ref="G18">INDEX('Dec 14 - Dec 20'!G$2:G$115,MATCH($B18,'Dec 14 - Dec 20'!$B$2:$B$115,0))-INDEX('Dec 7 - Dec 13'!G$2:G$113,MATCH($B18,'Dec 7 - Dec 13'!$B$2:$B$113,0))</f>
        <v>0</v>
      </c>
      <c r="H18" s="15">
        <f t="array" ref="H18">INDEX('Dec 14 - Dec 20'!H$2:H$115,MATCH($B18,'Dec 14 - Dec 20'!$B$2:$B$115,0))-INDEX('Dec 7 - Dec 13'!H$2:H$113,MATCH($B18,'Dec 7 - Dec 13'!$B$2:$B$113,0))</f>
        <v>0</v>
      </c>
      <c r="I18" s="15">
        <f t="array" ref="I18">INDEX('Dec 14 - Dec 20'!I$2:I$115,MATCH($B18,'Dec 14 - Dec 20'!$B$2:$B$115,0))-INDEX('Dec 7 - Dec 13'!I$2:I$113,MATCH($B18,'Dec 7 - Dec 13'!$B$2:$B$113,0))</f>
        <v>0</v>
      </c>
      <c r="J18" s="15">
        <f t="array" ref="J18">INDEX('Dec 14 - Dec 20'!J$2:J$115,MATCH($B18,'Dec 14 - Dec 20'!$B$2:$B$115,0))-INDEX('Dec 7 - Dec 13'!J$2:J$113,MATCH($B18,'Dec 7 - Dec 13'!$B$2:$B$113,0))</f>
        <v>0</v>
      </c>
      <c r="K18" s="15">
        <f t="array" ref="K18">INDEX('Dec 14 - Dec 20'!K$2:K$115,MATCH($B18,'Dec 14 - Dec 20'!$B$2:$B$115,0))-INDEX('Dec 7 - Dec 13'!K$2:K$113,MATCH($B18,'Dec 7 - Dec 13'!$B$2:$B$113,0))</f>
        <v>0</v>
      </c>
    </row>
    <row r="19" spans="2:11">
      <c r="B19" s="13" t="s">
        <v>19</v>
      </c>
      <c r="C19" s="14" t="str">
        <f t="array" aca="1" ref="C19" ca="1">INDEX('Rooms Master'!U:U,MATCH(B19,'Rooms Master'!D:D,0))</f>
        <v>N</v>
      </c>
      <c r="D19" s="15">
        <f t="array" ref="D19">INDEX('Dec 14 - Dec 20'!D$2:D$115,MATCH($B19,'Dec 14 - Dec 20'!$B$2:$B$115,0))-INDEX('Dec 7 - Dec 13'!D$2:D$113,MATCH($B19,'Dec 7 - Dec 13'!$B$2:$B$113,0))</f>
        <v>-5</v>
      </c>
      <c r="E19" s="15">
        <f t="array" ref="E19">INDEX('Dec 14 - Dec 20'!E$2:E$115,MATCH($B19,'Dec 14 - Dec 20'!$B$2:$B$115,0))-INDEX('Dec 7 - Dec 13'!E$2:E$113,MATCH($B19,'Dec 7 - Dec 13'!$B$2:$B$113,0))</f>
        <v>-2</v>
      </c>
      <c r="F19" s="15">
        <f t="array" ref="F19">INDEX('Dec 14 - Dec 20'!F$2:F$115,MATCH($B19,'Dec 14 - Dec 20'!$B$2:$B$115,0))-INDEX('Dec 7 - Dec 13'!F$2:F$113,MATCH($B19,'Dec 7 - Dec 13'!$B$2:$B$113,0))</f>
        <v>5</v>
      </c>
      <c r="G19" s="15">
        <f t="array" ref="G19">INDEX('Dec 14 - Dec 20'!G$2:G$115,MATCH($B19,'Dec 14 - Dec 20'!$B$2:$B$115,0))-INDEX('Dec 7 - Dec 13'!G$2:G$113,MATCH($B19,'Dec 7 - Dec 13'!$B$2:$B$113,0))</f>
        <v>3</v>
      </c>
      <c r="H19" s="15">
        <f t="array" ref="H19">INDEX('Dec 14 - Dec 20'!H$2:H$115,MATCH($B19,'Dec 14 - Dec 20'!$B$2:$B$115,0))-INDEX('Dec 7 - Dec 13'!H$2:H$113,MATCH($B19,'Dec 7 - Dec 13'!$B$2:$B$113,0))</f>
        <v>-2</v>
      </c>
      <c r="I19" s="15">
        <f t="array" ref="I19">INDEX('Dec 14 - Dec 20'!I$2:I$115,MATCH($B19,'Dec 14 - Dec 20'!$B$2:$B$115,0))-INDEX('Dec 7 - Dec 13'!I$2:I$113,MATCH($B19,'Dec 7 - Dec 13'!$B$2:$B$113,0))</f>
        <v>-1</v>
      </c>
      <c r="J19" s="15">
        <f t="array" ref="J19">INDEX('Dec 14 - Dec 20'!J$2:J$115,MATCH($B19,'Dec 14 - Dec 20'!$B$2:$B$115,0))-INDEX('Dec 7 - Dec 13'!J$2:J$113,MATCH($B19,'Dec 7 - Dec 13'!$B$2:$B$113,0))</f>
        <v>0</v>
      </c>
      <c r="K19" s="15">
        <f t="array" ref="K19">INDEX('Dec 14 - Dec 20'!K$2:K$115,MATCH($B19,'Dec 14 - Dec 20'!$B$2:$B$115,0))-INDEX('Dec 7 - Dec 13'!K$2:K$113,MATCH($B19,'Dec 7 - Dec 13'!$B$2:$B$113,0))</f>
        <v>0</v>
      </c>
    </row>
    <row r="20" spans="2:11">
      <c r="B20" s="13" t="s">
        <v>114</v>
      </c>
      <c r="C20" s="14" t="str">
        <f t="array" aca="1" ref="C20" ca="1">INDEX('Rooms Master'!U:U,MATCH(B20,'Rooms Master'!D:D,0))</f>
        <v>Y</v>
      </c>
      <c r="D20" s="15">
        <f t="array" ref="D20">INDEX('Dec 14 - Dec 20'!D$2:D$115,MATCH($B20,'Dec 14 - Dec 20'!$B$2:$B$115,0))-INDEX('Dec 7 - Dec 13'!D$2:D$113,MATCH($B20,'Dec 7 - Dec 13'!$B$2:$B$113,0))</f>
        <v>0</v>
      </c>
      <c r="E20" s="15">
        <f t="array" ref="E20">INDEX('Dec 14 - Dec 20'!E$2:E$115,MATCH($B20,'Dec 14 - Dec 20'!$B$2:$B$115,0))-INDEX('Dec 7 - Dec 13'!E$2:E$113,MATCH($B20,'Dec 7 - Dec 13'!$B$2:$B$113,0))</f>
        <v>0</v>
      </c>
      <c r="F20" s="15">
        <f t="array" ref="F20">INDEX('Dec 14 - Dec 20'!F$2:F$115,MATCH($B20,'Dec 14 - Dec 20'!$B$2:$B$115,0))-INDEX('Dec 7 - Dec 13'!F$2:F$113,MATCH($B20,'Dec 7 - Dec 13'!$B$2:$B$113,0))</f>
        <v>0</v>
      </c>
      <c r="G20" s="15">
        <f t="array" ref="G20">INDEX('Dec 14 - Dec 20'!G$2:G$115,MATCH($B20,'Dec 14 - Dec 20'!$B$2:$B$115,0))-INDEX('Dec 7 - Dec 13'!G$2:G$113,MATCH($B20,'Dec 7 - Dec 13'!$B$2:$B$113,0))</f>
        <v>0</v>
      </c>
      <c r="H20" s="15">
        <f t="array" ref="H20">INDEX('Dec 14 - Dec 20'!H$2:H$115,MATCH($B20,'Dec 14 - Dec 20'!$B$2:$B$115,0))-INDEX('Dec 7 - Dec 13'!H$2:H$113,MATCH($B20,'Dec 7 - Dec 13'!$B$2:$B$113,0))</f>
        <v>0</v>
      </c>
      <c r="I20" s="15">
        <f t="array" ref="I20">INDEX('Dec 14 - Dec 20'!I$2:I$115,MATCH($B20,'Dec 14 - Dec 20'!$B$2:$B$115,0))-INDEX('Dec 7 - Dec 13'!I$2:I$113,MATCH($B20,'Dec 7 - Dec 13'!$B$2:$B$113,0))</f>
        <v>0</v>
      </c>
      <c r="J20" s="15">
        <f t="array" ref="J20">INDEX('Dec 14 - Dec 20'!J$2:J$115,MATCH($B20,'Dec 14 - Dec 20'!$B$2:$B$115,0))-INDEX('Dec 7 - Dec 13'!J$2:J$113,MATCH($B20,'Dec 7 - Dec 13'!$B$2:$B$113,0))</f>
        <v>0</v>
      </c>
      <c r="K20" s="15">
        <f t="array" ref="K20">INDEX('Dec 14 - Dec 20'!K$2:K$115,MATCH($B20,'Dec 14 - Dec 20'!$B$2:$B$115,0))-INDEX('Dec 7 - Dec 13'!K$2:K$113,MATCH($B20,'Dec 7 - Dec 13'!$B$2:$B$113,0))</f>
        <v>0</v>
      </c>
    </row>
    <row r="21" spans="2:11">
      <c r="B21" s="13" t="s">
        <v>58</v>
      </c>
      <c r="C21" s="14" t="str">
        <f t="array" aca="1" ref="C21" ca="1">INDEX('Rooms Master'!U:U,MATCH(B21,'Rooms Master'!D:D,0))</f>
        <v>Y</v>
      </c>
      <c r="D21" s="15">
        <f t="array" ref="D21">INDEX('Dec 14 - Dec 20'!D$2:D$115,MATCH($B21,'Dec 14 - Dec 20'!$B$2:$B$115,0))-INDEX('Dec 7 - Dec 13'!D$2:D$113,MATCH($B21,'Dec 7 - Dec 13'!$B$2:$B$113,0))</f>
        <v>-5</v>
      </c>
      <c r="E21" s="15">
        <f t="array" ref="E21">INDEX('Dec 14 - Dec 20'!E$2:E$115,MATCH($B21,'Dec 14 - Dec 20'!$B$2:$B$115,0))-INDEX('Dec 7 - Dec 13'!E$2:E$113,MATCH($B21,'Dec 7 - Dec 13'!$B$2:$B$113,0))</f>
        <v>-17</v>
      </c>
      <c r="F21" s="15">
        <f t="array" ref="F21">INDEX('Dec 14 - Dec 20'!F$2:F$115,MATCH($B21,'Dec 14 - Dec 20'!$B$2:$B$115,0))-INDEX('Dec 7 - Dec 13'!F$2:F$113,MATCH($B21,'Dec 7 - Dec 13'!$B$2:$B$113,0))</f>
        <v>-8</v>
      </c>
      <c r="G21" s="15">
        <f t="array" ref="G21">INDEX('Dec 14 - Dec 20'!G$2:G$115,MATCH($B21,'Dec 14 - Dec 20'!$B$2:$B$115,0))-INDEX('Dec 7 - Dec 13'!G$2:G$113,MATCH($B21,'Dec 7 - Dec 13'!$B$2:$B$113,0))</f>
        <v>2</v>
      </c>
      <c r="H21" s="15">
        <f t="array" ref="H21">INDEX('Dec 14 - Dec 20'!H$2:H$115,MATCH($B21,'Dec 14 - Dec 20'!$B$2:$B$115,0))-INDEX('Dec 7 - Dec 13'!H$2:H$113,MATCH($B21,'Dec 7 - Dec 13'!$B$2:$B$113,0))</f>
        <v>-3</v>
      </c>
      <c r="I21" s="15">
        <f t="array" ref="I21">INDEX('Dec 14 - Dec 20'!I$2:I$115,MATCH($B21,'Dec 14 - Dec 20'!$B$2:$B$115,0))-INDEX('Dec 7 - Dec 13'!I$2:I$113,MATCH($B21,'Dec 7 - Dec 13'!$B$2:$B$113,0))</f>
        <v>1</v>
      </c>
      <c r="J21" s="15">
        <f t="array" ref="J21">INDEX('Dec 14 - Dec 20'!J$2:J$115,MATCH($B21,'Dec 14 - Dec 20'!$B$2:$B$115,0))-INDEX('Dec 7 - Dec 13'!J$2:J$113,MATCH($B21,'Dec 7 - Dec 13'!$B$2:$B$113,0))</f>
        <v>1</v>
      </c>
      <c r="K21" s="15">
        <f t="array" ref="K21">INDEX('Dec 14 - Dec 20'!K$2:K$115,MATCH($B21,'Dec 14 - Dec 20'!$B$2:$B$115,0))-INDEX('Dec 7 - Dec 13'!K$2:K$113,MATCH($B21,'Dec 7 - Dec 13'!$B$2:$B$113,0))</f>
        <v>1</v>
      </c>
    </row>
    <row r="22" spans="2:11" ht="12.75">
      <c r="B22" s="13" t="s">
        <v>80</v>
      </c>
      <c r="C22" s="14" t="str">
        <f t="array" aca="1" ref="C22" ca="1">INDEX('Rooms Master'!U:U,MATCH(B22,'Rooms Master'!D:D,0))</f>
        <v>Y</v>
      </c>
      <c r="D22" s="15">
        <f t="array" ref="D22">INDEX('Dec 14 - Dec 20'!D$2:D$115,MATCH($B22,'Dec 14 - Dec 20'!$B$2:$B$115,0))-INDEX('Dec 7 - Dec 13'!D$2:D$113,MATCH($B22,'Dec 7 - Dec 13'!$B$2:$B$113,0))</f>
        <v>0</v>
      </c>
      <c r="E22" s="15">
        <f t="array" ref="E22">INDEX('Dec 14 - Dec 20'!E$2:E$115,MATCH($B22,'Dec 14 - Dec 20'!$B$2:$B$115,0))-INDEX('Dec 7 - Dec 13'!E$2:E$113,MATCH($B22,'Dec 7 - Dec 13'!$B$2:$B$113,0))</f>
        <v>-15</v>
      </c>
      <c r="F22" s="15">
        <f t="array" ref="F22">INDEX('Dec 14 - Dec 20'!F$2:F$115,MATCH($B22,'Dec 14 - Dec 20'!$B$2:$B$115,0))-INDEX('Dec 7 - Dec 13'!F$2:F$113,MATCH($B22,'Dec 7 - Dec 13'!$B$2:$B$113,0))</f>
        <v>-2</v>
      </c>
      <c r="G22" s="15">
        <f t="array" ref="G22">INDEX('Dec 14 - Dec 20'!G$2:G$115,MATCH($B22,'Dec 14 - Dec 20'!$B$2:$B$115,0))-INDEX('Dec 7 - Dec 13'!G$2:G$113,MATCH($B22,'Dec 7 - Dec 13'!$B$2:$B$113,0))</f>
        <v>2</v>
      </c>
      <c r="H22" s="15">
        <f t="array" ref="H22">INDEX('Dec 14 - Dec 20'!H$2:H$115,MATCH($B22,'Dec 14 - Dec 20'!$B$2:$B$115,0))-INDEX('Dec 7 - Dec 13'!H$2:H$113,MATCH($B22,'Dec 7 - Dec 13'!$B$2:$B$113,0))</f>
        <v>-3</v>
      </c>
      <c r="I22" s="15">
        <f t="array" ref="I22">INDEX('Dec 14 - Dec 20'!I$2:I$115,MATCH($B22,'Dec 14 - Dec 20'!$B$2:$B$115,0))-INDEX('Dec 7 - Dec 13'!I$2:I$113,MATCH($B22,'Dec 7 - Dec 13'!$B$2:$B$113,0))</f>
        <v>0</v>
      </c>
      <c r="J22" s="15">
        <f t="array" ref="J22">INDEX('Dec 14 - Dec 20'!J$2:J$115,MATCH($B22,'Dec 14 - Dec 20'!$B$2:$B$115,0))-INDEX('Dec 7 - Dec 13'!J$2:J$113,MATCH($B22,'Dec 7 - Dec 13'!$B$2:$B$113,0))</f>
        <v>0</v>
      </c>
      <c r="K22" s="15">
        <f t="array" ref="K22">INDEX('Dec 14 - Dec 20'!K$2:K$115,MATCH($B22,'Dec 14 - Dec 20'!$B$2:$B$115,0))-INDEX('Dec 7 - Dec 13'!K$2:K$113,MATCH($B22,'Dec 7 - Dec 13'!$B$2:$B$113,0))</f>
        <v>0</v>
      </c>
    </row>
    <row r="23" spans="2:11" ht="12.75">
      <c r="B23" s="13" t="s">
        <v>96</v>
      </c>
      <c r="C23" s="14" t="str">
        <f t="array" aca="1" ref="C23" ca="1">INDEX('Rooms Master'!U:U,MATCH(B23,'Rooms Master'!D:D,0))</f>
        <v>N</v>
      </c>
      <c r="D23" s="15">
        <f t="array" ref="D23">INDEX('Dec 14 - Dec 20'!D$2:D$115,MATCH($B23,'Dec 14 - Dec 20'!$B$2:$B$115,0))-INDEX('Dec 7 - Dec 13'!D$2:D$113,MATCH($B23,'Dec 7 - Dec 13'!$B$2:$B$113,0))</f>
        <v>-5</v>
      </c>
      <c r="E23" s="15">
        <f t="array" ref="E23">INDEX('Dec 14 - Dec 20'!E$2:E$115,MATCH($B23,'Dec 14 - Dec 20'!$B$2:$B$115,0))-INDEX('Dec 7 - Dec 13'!E$2:E$113,MATCH($B23,'Dec 7 - Dec 13'!$B$2:$B$113,0))</f>
        <v>4</v>
      </c>
      <c r="F23" s="15">
        <f t="array" ref="F23">INDEX('Dec 14 - Dec 20'!F$2:F$115,MATCH($B23,'Dec 14 - Dec 20'!$B$2:$B$115,0))-INDEX('Dec 7 - Dec 13'!F$2:F$113,MATCH($B23,'Dec 7 - Dec 13'!$B$2:$B$113,0))</f>
        <v>4</v>
      </c>
      <c r="G23" s="15">
        <f t="array" ref="G23">INDEX('Dec 14 - Dec 20'!G$2:G$115,MATCH($B23,'Dec 14 - Dec 20'!$B$2:$B$115,0))-INDEX('Dec 7 - Dec 13'!G$2:G$113,MATCH($B23,'Dec 7 - Dec 13'!$B$2:$B$113,0))</f>
        <v>-2</v>
      </c>
      <c r="H23" s="15">
        <f t="array" ref="H23">INDEX('Dec 14 - Dec 20'!H$2:H$115,MATCH($B23,'Dec 14 - Dec 20'!$B$2:$B$115,0))-INDEX('Dec 7 - Dec 13'!H$2:H$113,MATCH($B23,'Dec 7 - Dec 13'!$B$2:$B$113,0))</f>
        <v>1</v>
      </c>
      <c r="I23" s="15">
        <f t="array" ref="I23">INDEX('Dec 14 - Dec 20'!I$2:I$115,MATCH($B23,'Dec 14 - Dec 20'!$B$2:$B$115,0))-INDEX('Dec 7 - Dec 13'!I$2:I$113,MATCH($B23,'Dec 7 - Dec 13'!$B$2:$B$113,0))</f>
        <v>0</v>
      </c>
      <c r="J23" s="15">
        <f t="array" ref="J23">INDEX('Dec 14 - Dec 20'!J$2:J$115,MATCH($B23,'Dec 14 - Dec 20'!$B$2:$B$115,0))-INDEX('Dec 7 - Dec 13'!J$2:J$113,MATCH($B23,'Dec 7 - Dec 13'!$B$2:$B$113,0))</f>
        <v>0</v>
      </c>
      <c r="K23" s="15">
        <f t="array" ref="K23">INDEX('Dec 14 - Dec 20'!K$2:K$115,MATCH($B23,'Dec 14 - Dec 20'!$B$2:$B$115,0))-INDEX('Dec 7 - Dec 13'!K$2:K$113,MATCH($B23,'Dec 7 - Dec 13'!$B$2:$B$113,0))</f>
        <v>0</v>
      </c>
    </row>
    <row r="24" spans="2:11" ht="12.75">
      <c r="B24" s="13" t="s">
        <v>89</v>
      </c>
      <c r="C24" s="14" t="str">
        <f t="array" aca="1" ref="C24" ca="1">INDEX('Rooms Master'!U:U,MATCH(B24,'Rooms Master'!D:D,0))</f>
        <v>Y</v>
      </c>
      <c r="D24" s="15">
        <f t="array" ref="D24">INDEX('Dec 14 - Dec 20'!D$2:D$115,MATCH($B24,'Dec 14 - Dec 20'!$B$2:$B$115,0))-INDEX('Dec 7 - Dec 13'!D$2:D$113,MATCH($B24,'Dec 7 - Dec 13'!$B$2:$B$113,0))</f>
        <v>-3</v>
      </c>
      <c r="E24" s="15">
        <f t="array" ref="E24">INDEX('Dec 14 - Dec 20'!E$2:E$115,MATCH($B24,'Dec 14 - Dec 20'!$B$2:$B$115,0))-INDEX('Dec 7 - Dec 13'!E$2:E$113,MATCH($B24,'Dec 7 - Dec 13'!$B$2:$B$113,0))</f>
        <v>-11</v>
      </c>
      <c r="F24" s="15">
        <f t="array" ref="F24">INDEX('Dec 14 - Dec 20'!F$2:F$115,MATCH($B24,'Dec 14 - Dec 20'!$B$2:$B$115,0))-INDEX('Dec 7 - Dec 13'!F$2:F$113,MATCH($B24,'Dec 7 - Dec 13'!$B$2:$B$113,0))</f>
        <v>-4</v>
      </c>
      <c r="G24" s="15">
        <f t="array" ref="G24">INDEX('Dec 14 - Dec 20'!G$2:G$115,MATCH($B24,'Dec 14 - Dec 20'!$B$2:$B$115,0))-INDEX('Dec 7 - Dec 13'!G$2:G$113,MATCH($B24,'Dec 7 - Dec 13'!$B$2:$B$113,0))</f>
        <v>0</v>
      </c>
      <c r="H24" s="15">
        <f t="array" ref="H24">INDEX('Dec 14 - Dec 20'!H$2:H$115,MATCH($B24,'Dec 14 - Dec 20'!$B$2:$B$115,0))-INDEX('Dec 7 - Dec 13'!H$2:H$113,MATCH($B24,'Dec 7 - Dec 13'!$B$2:$B$113,0))</f>
        <v>0</v>
      </c>
      <c r="I24" s="15">
        <f t="array" ref="I24">INDEX('Dec 14 - Dec 20'!I$2:I$115,MATCH($B24,'Dec 14 - Dec 20'!$B$2:$B$115,0))-INDEX('Dec 7 - Dec 13'!I$2:I$113,MATCH($B24,'Dec 7 - Dec 13'!$B$2:$B$113,0))</f>
        <v>-1</v>
      </c>
      <c r="J24" s="15">
        <f t="array" ref="J24">INDEX('Dec 14 - Dec 20'!J$2:J$115,MATCH($B24,'Dec 14 - Dec 20'!$B$2:$B$115,0))-INDEX('Dec 7 - Dec 13'!J$2:J$113,MATCH($B24,'Dec 7 - Dec 13'!$B$2:$B$113,0))</f>
        <v>0</v>
      </c>
      <c r="K24" s="15">
        <f t="array" ref="K24">INDEX('Dec 14 - Dec 20'!K$2:K$115,MATCH($B24,'Dec 14 - Dec 20'!$B$2:$B$115,0))-INDEX('Dec 7 - Dec 13'!K$2:K$113,MATCH($B24,'Dec 7 - Dec 13'!$B$2:$B$113,0))</f>
        <v>0</v>
      </c>
    </row>
    <row r="25" spans="2:11" ht="12.75">
      <c r="B25" s="13" t="s">
        <v>17</v>
      </c>
      <c r="C25" s="14" t="str">
        <f t="array" aca="1" ref="C25" ca="1">INDEX('Rooms Master'!U:U,MATCH(B25,'Rooms Master'!D:D,0))</f>
        <v>Y</v>
      </c>
      <c r="D25" s="15">
        <f t="array" ref="D25">INDEX('Dec 14 - Dec 20'!D$2:D$115,MATCH($B25,'Dec 14 - Dec 20'!$B$2:$B$115,0))-INDEX('Dec 7 - Dec 13'!D$2:D$113,MATCH($B25,'Dec 7 - Dec 13'!$B$2:$B$113,0))</f>
        <v>0</v>
      </c>
      <c r="E25" s="15">
        <f t="array" ref="E25">INDEX('Dec 14 - Dec 20'!E$2:E$115,MATCH($B25,'Dec 14 - Dec 20'!$B$2:$B$115,0))-INDEX('Dec 7 - Dec 13'!E$2:E$113,MATCH($B25,'Dec 7 - Dec 13'!$B$2:$B$113,0))</f>
        <v>1</v>
      </c>
      <c r="F25" s="15">
        <f t="array" ref="F25">INDEX('Dec 14 - Dec 20'!F$2:F$115,MATCH($B25,'Dec 14 - Dec 20'!$B$2:$B$115,0))-INDEX('Dec 7 - Dec 13'!F$2:F$113,MATCH($B25,'Dec 7 - Dec 13'!$B$2:$B$113,0))</f>
        <v>1</v>
      </c>
      <c r="G25" s="15">
        <f t="array" ref="G25">INDEX('Dec 14 - Dec 20'!G$2:G$115,MATCH($B25,'Dec 14 - Dec 20'!$B$2:$B$115,0))-INDEX('Dec 7 - Dec 13'!G$2:G$113,MATCH($B25,'Dec 7 - Dec 13'!$B$2:$B$113,0))</f>
        <v>2</v>
      </c>
      <c r="H25" s="15">
        <f t="array" ref="H25">INDEX('Dec 14 - Dec 20'!H$2:H$115,MATCH($B25,'Dec 14 - Dec 20'!$B$2:$B$115,0))-INDEX('Dec 7 - Dec 13'!H$2:H$113,MATCH($B25,'Dec 7 - Dec 13'!$B$2:$B$113,0))</f>
        <v>0</v>
      </c>
      <c r="I25" s="15">
        <f t="array" ref="I25">INDEX('Dec 14 - Dec 20'!I$2:I$115,MATCH($B25,'Dec 14 - Dec 20'!$B$2:$B$115,0))-INDEX('Dec 7 - Dec 13'!I$2:I$113,MATCH($B25,'Dec 7 - Dec 13'!$B$2:$B$113,0))</f>
        <v>0</v>
      </c>
      <c r="J25" s="15">
        <f t="array" ref="J25">INDEX('Dec 14 - Dec 20'!J$2:J$115,MATCH($B25,'Dec 14 - Dec 20'!$B$2:$B$115,0))-INDEX('Dec 7 - Dec 13'!J$2:J$113,MATCH($B25,'Dec 7 - Dec 13'!$B$2:$B$113,0))</f>
        <v>1</v>
      </c>
      <c r="K25" s="15">
        <f t="array" ref="K25">INDEX('Dec 14 - Dec 20'!K$2:K$115,MATCH($B25,'Dec 14 - Dec 20'!$B$2:$B$115,0))-INDEX('Dec 7 - Dec 13'!K$2:K$113,MATCH($B25,'Dec 7 - Dec 13'!$B$2:$B$113,0))</f>
        <v>1</v>
      </c>
    </row>
    <row r="26" spans="2:11" ht="12.75">
      <c r="B26" s="13" t="s">
        <v>97</v>
      </c>
      <c r="C26" s="14" t="str">
        <f t="array" aca="1" ref="C26" ca="1">INDEX('Rooms Master'!U:U,MATCH(B26,'Rooms Master'!D:D,0))</f>
        <v>N</v>
      </c>
      <c r="D26" s="15">
        <f t="array" ref="D26">INDEX('Dec 14 - Dec 20'!D$2:D$115,MATCH($B26,'Dec 14 - Dec 20'!$B$2:$B$115,0))-INDEX('Dec 7 - Dec 13'!D$2:D$113,MATCH($B26,'Dec 7 - Dec 13'!$B$2:$B$113,0))</f>
        <v>-5</v>
      </c>
      <c r="E26" s="15">
        <f t="array" ref="E26">INDEX('Dec 14 - Dec 20'!E$2:E$115,MATCH($B26,'Dec 14 - Dec 20'!$B$2:$B$115,0))-INDEX('Dec 7 - Dec 13'!E$2:E$113,MATCH($B26,'Dec 7 - Dec 13'!$B$2:$B$113,0))</f>
        <v>-19</v>
      </c>
      <c r="F26" s="15">
        <f t="array" ref="F26">INDEX('Dec 14 - Dec 20'!F$2:F$115,MATCH($B26,'Dec 14 - Dec 20'!$B$2:$B$115,0))-INDEX('Dec 7 - Dec 13'!F$2:F$113,MATCH($B26,'Dec 7 - Dec 13'!$B$2:$B$113,0))</f>
        <v>-19</v>
      </c>
      <c r="G26" s="15">
        <f t="array" ref="G26">INDEX('Dec 14 - Dec 20'!G$2:G$115,MATCH($B26,'Dec 14 - Dec 20'!$B$2:$B$115,0))-INDEX('Dec 7 - Dec 13'!G$2:G$113,MATCH($B26,'Dec 7 - Dec 13'!$B$2:$B$113,0))</f>
        <v>3</v>
      </c>
      <c r="H26" s="15">
        <f t="array" ref="H26">INDEX('Dec 14 - Dec 20'!H$2:H$115,MATCH($B26,'Dec 14 - Dec 20'!$B$2:$B$115,0))-INDEX('Dec 7 - Dec 13'!H$2:H$113,MATCH($B26,'Dec 7 - Dec 13'!$B$2:$B$113,0))</f>
        <v>-3</v>
      </c>
      <c r="I26" s="15">
        <f t="array" ref="I26">INDEX('Dec 14 - Dec 20'!I$2:I$115,MATCH($B26,'Dec 14 - Dec 20'!$B$2:$B$115,0))-INDEX('Dec 7 - Dec 13'!I$2:I$113,MATCH($B26,'Dec 7 - Dec 13'!$B$2:$B$113,0))</f>
        <v>-1</v>
      </c>
      <c r="J26" s="15">
        <f t="array" ref="J26">INDEX('Dec 14 - Dec 20'!J$2:J$115,MATCH($B26,'Dec 14 - Dec 20'!$B$2:$B$115,0))-INDEX('Dec 7 - Dec 13'!J$2:J$113,MATCH($B26,'Dec 7 - Dec 13'!$B$2:$B$113,0))</f>
        <v>-1</v>
      </c>
      <c r="K26" s="15">
        <f t="array" ref="K26">INDEX('Dec 14 - Dec 20'!K$2:K$115,MATCH($B26,'Dec 14 - Dec 20'!$B$2:$B$115,0))-INDEX('Dec 7 - Dec 13'!K$2:K$113,MATCH($B26,'Dec 7 - Dec 13'!$B$2:$B$113,0))</f>
        <v>-1</v>
      </c>
    </row>
    <row r="27" spans="2:11" ht="12.75">
      <c r="B27" s="13" t="s">
        <v>122</v>
      </c>
      <c r="C27" s="14" t="str">
        <f t="array" aca="1" ref="C27" ca="1">INDEX('Rooms Master'!U:U,MATCH(B27,'Rooms Master'!D:D,0))</f>
        <v>N</v>
      </c>
      <c r="D27" s="15">
        <f t="array" ref="D27">INDEX('Dec 14 - Dec 20'!D$2:D$115,MATCH($B27,'Dec 14 - Dec 20'!$B$2:$B$115,0))-INDEX('Dec 7 - Dec 13'!D$2:D$113,MATCH($B27,'Dec 7 - Dec 13'!$B$2:$B$113,0))</f>
        <v>0</v>
      </c>
      <c r="E27" s="15">
        <f t="array" ref="E27">INDEX('Dec 14 - Dec 20'!E$2:E$115,MATCH($B27,'Dec 14 - Dec 20'!$B$2:$B$115,0))-INDEX('Dec 7 - Dec 13'!E$2:E$113,MATCH($B27,'Dec 7 - Dec 13'!$B$2:$B$113,0))</f>
        <v>-3</v>
      </c>
      <c r="F27" s="15">
        <f t="array" ref="F27">INDEX('Dec 14 - Dec 20'!F$2:F$115,MATCH($B27,'Dec 14 - Dec 20'!$B$2:$B$115,0))-INDEX('Dec 7 - Dec 13'!F$2:F$113,MATCH($B27,'Dec 7 - Dec 13'!$B$2:$B$113,0))</f>
        <v>0</v>
      </c>
      <c r="G27" s="15">
        <f t="array" ref="G27">INDEX('Dec 14 - Dec 20'!G$2:G$115,MATCH($B27,'Dec 14 - Dec 20'!$B$2:$B$115,0))-INDEX('Dec 7 - Dec 13'!G$2:G$113,MATCH($B27,'Dec 7 - Dec 13'!$B$2:$B$113,0))</f>
        <v>0</v>
      </c>
      <c r="H27" s="15">
        <f t="array" ref="H27">INDEX('Dec 14 - Dec 20'!H$2:H$115,MATCH($B27,'Dec 14 - Dec 20'!$B$2:$B$115,0))-INDEX('Dec 7 - Dec 13'!H$2:H$113,MATCH($B27,'Dec 7 - Dec 13'!$B$2:$B$113,0))</f>
        <v>0</v>
      </c>
      <c r="I27" s="15">
        <f t="array" ref="I27">INDEX('Dec 14 - Dec 20'!I$2:I$115,MATCH($B27,'Dec 14 - Dec 20'!$B$2:$B$115,0))-INDEX('Dec 7 - Dec 13'!I$2:I$113,MATCH($B27,'Dec 7 - Dec 13'!$B$2:$B$113,0))</f>
        <v>0</v>
      </c>
      <c r="J27" s="15">
        <f t="array" ref="J27">INDEX('Dec 14 - Dec 20'!J$2:J$115,MATCH($B27,'Dec 14 - Dec 20'!$B$2:$B$115,0))-INDEX('Dec 7 - Dec 13'!J$2:J$113,MATCH($B27,'Dec 7 - Dec 13'!$B$2:$B$113,0))</f>
        <v>0</v>
      </c>
      <c r="K27" s="15">
        <f t="array" ref="K27">INDEX('Dec 14 - Dec 20'!K$2:K$115,MATCH($B27,'Dec 14 - Dec 20'!$B$2:$B$115,0))-INDEX('Dec 7 - Dec 13'!K$2:K$113,MATCH($B27,'Dec 7 - Dec 13'!$B$2:$B$113,0))</f>
        <v>0</v>
      </c>
    </row>
    <row r="28" spans="2:11" ht="12.75">
      <c r="B28" s="13" t="s">
        <v>123</v>
      </c>
      <c r="C28" s="14" t="str">
        <f t="array" aca="1" ref="C28" ca="1">INDEX('Rooms Master'!U:U,MATCH(B28,'Rooms Master'!D:D,0))</f>
        <v>N</v>
      </c>
      <c r="D28" s="15">
        <f t="array" ref="D28">INDEX('Dec 14 - Dec 20'!D$2:D$115,MATCH($B28,'Dec 14 - Dec 20'!$B$2:$B$115,0))-INDEX('Dec 7 - Dec 13'!D$2:D$113,MATCH($B28,'Dec 7 - Dec 13'!$B$2:$B$113,0))</f>
        <v>-6</v>
      </c>
      <c r="E28" s="15">
        <f t="array" ref="E28">INDEX('Dec 14 - Dec 20'!E$2:E$115,MATCH($B28,'Dec 14 - Dec 20'!$B$2:$B$115,0))-INDEX('Dec 7 - Dec 13'!E$2:E$113,MATCH($B28,'Dec 7 - Dec 13'!$B$2:$B$113,0))</f>
        <v>-6</v>
      </c>
      <c r="F28" s="15">
        <f t="array" ref="F28">INDEX('Dec 14 - Dec 20'!F$2:F$115,MATCH($B28,'Dec 14 - Dec 20'!$B$2:$B$115,0))-INDEX('Dec 7 - Dec 13'!F$2:F$113,MATCH($B28,'Dec 7 - Dec 13'!$B$2:$B$113,0))</f>
        <v>-5</v>
      </c>
      <c r="G28" s="15">
        <f t="array" ref="G28">INDEX('Dec 14 - Dec 20'!G$2:G$115,MATCH($B28,'Dec 14 - Dec 20'!$B$2:$B$115,0))-INDEX('Dec 7 - Dec 13'!G$2:G$113,MATCH($B28,'Dec 7 - Dec 13'!$B$2:$B$113,0))</f>
        <v>3</v>
      </c>
      <c r="H28" s="15">
        <f t="array" ref="H28">INDEX('Dec 14 - Dec 20'!H$2:H$115,MATCH($B28,'Dec 14 - Dec 20'!$B$2:$B$115,0))-INDEX('Dec 7 - Dec 13'!H$2:H$113,MATCH($B28,'Dec 7 - Dec 13'!$B$2:$B$113,0))</f>
        <v>0</v>
      </c>
      <c r="I28" s="15">
        <f t="array" ref="I28">INDEX('Dec 14 - Dec 20'!I$2:I$115,MATCH($B28,'Dec 14 - Dec 20'!$B$2:$B$115,0))-INDEX('Dec 7 - Dec 13'!I$2:I$113,MATCH($B28,'Dec 7 - Dec 13'!$B$2:$B$113,0))</f>
        <v>0</v>
      </c>
      <c r="J28" s="15">
        <f t="array" ref="J28">INDEX('Dec 14 - Dec 20'!J$2:J$115,MATCH($B28,'Dec 14 - Dec 20'!$B$2:$B$115,0))-INDEX('Dec 7 - Dec 13'!J$2:J$113,MATCH($B28,'Dec 7 - Dec 13'!$B$2:$B$113,0))</f>
        <v>1</v>
      </c>
      <c r="K28" s="15">
        <f t="array" ref="K28">INDEX('Dec 14 - Dec 20'!K$2:K$115,MATCH($B28,'Dec 14 - Dec 20'!$B$2:$B$115,0))-INDEX('Dec 7 - Dec 13'!K$2:K$113,MATCH($B28,'Dec 7 - Dec 13'!$B$2:$B$113,0))</f>
        <v>0</v>
      </c>
    </row>
    <row r="29" spans="2:11" ht="12.75">
      <c r="B29" s="13" t="s">
        <v>112</v>
      </c>
      <c r="C29" s="14" t="str">
        <f t="array" aca="1" ref="C29" ca="1">INDEX('Rooms Master'!U:U,MATCH(B29,'Rooms Master'!D:D,0))</f>
        <v>Y</v>
      </c>
      <c r="D29" s="15">
        <f t="array" ref="D29">INDEX('Dec 14 - Dec 20'!D$2:D$115,MATCH($B29,'Dec 14 - Dec 20'!$B$2:$B$115,0))-INDEX('Dec 7 - Dec 13'!D$2:D$113,MATCH($B29,'Dec 7 - Dec 13'!$B$2:$B$113,0))</f>
        <v>-6</v>
      </c>
      <c r="E29" s="15">
        <f t="array" ref="E29">INDEX('Dec 14 - Dec 20'!E$2:E$115,MATCH($B29,'Dec 14 - Dec 20'!$B$2:$B$115,0))-INDEX('Dec 7 - Dec 13'!E$2:E$113,MATCH($B29,'Dec 7 - Dec 13'!$B$2:$B$113,0))</f>
        <v>1</v>
      </c>
      <c r="F29" s="15">
        <f t="array" ref="F29">INDEX('Dec 14 - Dec 20'!F$2:F$115,MATCH($B29,'Dec 14 - Dec 20'!$B$2:$B$115,0))-INDEX('Dec 7 - Dec 13'!F$2:F$113,MATCH($B29,'Dec 7 - Dec 13'!$B$2:$B$113,0))</f>
        <v>0</v>
      </c>
      <c r="G29" s="15">
        <f t="array" ref="G29">INDEX('Dec 14 - Dec 20'!G$2:G$115,MATCH($B29,'Dec 14 - Dec 20'!$B$2:$B$115,0))-INDEX('Dec 7 - Dec 13'!G$2:G$113,MATCH($B29,'Dec 7 - Dec 13'!$B$2:$B$113,0))</f>
        <v>3</v>
      </c>
      <c r="H29" s="15">
        <f t="array" ref="H29">INDEX('Dec 14 - Dec 20'!H$2:H$115,MATCH($B29,'Dec 14 - Dec 20'!$B$2:$B$115,0))-INDEX('Dec 7 - Dec 13'!H$2:H$113,MATCH($B29,'Dec 7 - Dec 13'!$B$2:$B$113,0))</f>
        <v>-2</v>
      </c>
      <c r="I29" s="15">
        <f t="array" ref="I29">INDEX('Dec 14 - Dec 20'!I$2:I$115,MATCH($B29,'Dec 14 - Dec 20'!$B$2:$B$115,0))-INDEX('Dec 7 - Dec 13'!I$2:I$113,MATCH($B29,'Dec 7 - Dec 13'!$B$2:$B$113,0))</f>
        <v>0</v>
      </c>
      <c r="J29" s="15">
        <f t="array" ref="J29">INDEX('Dec 14 - Dec 20'!J$2:J$115,MATCH($B29,'Dec 14 - Dec 20'!$B$2:$B$115,0))-INDEX('Dec 7 - Dec 13'!J$2:J$113,MATCH($B29,'Dec 7 - Dec 13'!$B$2:$B$113,0))</f>
        <v>0</v>
      </c>
      <c r="K29" s="15">
        <f t="array" ref="K29">INDEX('Dec 14 - Dec 20'!K$2:K$115,MATCH($B29,'Dec 14 - Dec 20'!$B$2:$B$115,0))-INDEX('Dec 7 - Dec 13'!K$2:K$113,MATCH($B29,'Dec 7 - Dec 13'!$B$2:$B$113,0))</f>
        <v>0</v>
      </c>
    </row>
    <row r="30" spans="2:11" ht="12.75">
      <c r="B30" s="13" t="s">
        <v>74</v>
      </c>
      <c r="C30" s="14" t="str">
        <f t="array" aca="1" ref="C30" ca="1">INDEX('Rooms Master'!U:U,MATCH(B30,'Rooms Master'!D:D,0))</f>
        <v>Y</v>
      </c>
      <c r="D30" s="15">
        <f t="array" ref="D30">INDEX('Dec 14 - Dec 20'!D$2:D$115,MATCH($B30,'Dec 14 - Dec 20'!$B$2:$B$115,0))-INDEX('Dec 7 - Dec 13'!D$2:D$113,MATCH($B30,'Dec 7 - Dec 13'!$B$2:$B$113,0))</f>
        <v>-5</v>
      </c>
      <c r="E30" s="15">
        <f t="array" ref="E30">INDEX('Dec 14 - Dec 20'!E$2:E$115,MATCH($B30,'Dec 14 - Dec 20'!$B$2:$B$115,0))-INDEX('Dec 7 - Dec 13'!E$2:E$113,MATCH($B30,'Dec 7 - Dec 13'!$B$2:$B$113,0))</f>
        <v>-10</v>
      </c>
      <c r="F30" s="15">
        <f t="array" ref="F30">INDEX('Dec 14 - Dec 20'!F$2:F$115,MATCH($B30,'Dec 14 - Dec 20'!$B$2:$B$115,0))-INDEX('Dec 7 - Dec 13'!F$2:F$113,MATCH($B30,'Dec 7 - Dec 13'!$B$2:$B$113,0))</f>
        <v>-17</v>
      </c>
      <c r="G30" s="15">
        <f t="array" ref="G30">INDEX('Dec 14 - Dec 20'!G$2:G$115,MATCH($B30,'Dec 14 - Dec 20'!$B$2:$B$115,0))-INDEX('Dec 7 - Dec 13'!G$2:G$113,MATCH($B30,'Dec 7 - Dec 13'!$B$2:$B$113,0))</f>
        <v>4</v>
      </c>
      <c r="H30" s="15">
        <f t="array" ref="H30">INDEX('Dec 14 - Dec 20'!H$2:H$115,MATCH($B30,'Dec 14 - Dec 20'!$B$2:$B$115,0))-INDEX('Dec 7 - Dec 13'!H$2:H$113,MATCH($B30,'Dec 7 - Dec 13'!$B$2:$B$113,0))</f>
        <v>-2</v>
      </c>
      <c r="I30" s="15">
        <f t="array" ref="I30">INDEX('Dec 14 - Dec 20'!I$2:I$115,MATCH($B30,'Dec 14 - Dec 20'!$B$2:$B$115,0))-INDEX('Dec 7 - Dec 13'!I$2:I$113,MATCH($B30,'Dec 7 - Dec 13'!$B$2:$B$113,0))</f>
        <v>0</v>
      </c>
      <c r="J30" s="15">
        <f t="array" ref="J30">INDEX('Dec 14 - Dec 20'!J$2:J$115,MATCH($B30,'Dec 14 - Dec 20'!$B$2:$B$115,0))-INDEX('Dec 7 - Dec 13'!J$2:J$113,MATCH($B30,'Dec 7 - Dec 13'!$B$2:$B$113,0))</f>
        <v>0</v>
      </c>
      <c r="K30" s="15">
        <f t="array" ref="K30">INDEX('Dec 14 - Dec 20'!K$2:K$115,MATCH($B30,'Dec 14 - Dec 20'!$B$2:$B$115,0))-INDEX('Dec 7 - Dec 13'!K$2:K$113,MATCH($B30,'Dec 7 - Dec 13'!$B$2:$B$113,0))</f>
        <v>0</v>
      </c>
    </row>
    <row r="31" spans="2:11" ht="12.75">
      <c r="B31" s="13" t="s">
        <v>51</v>
      </c>
      <c r="C31" s="14" t="str">
        <f t="array" aca="1" ref="C31" ca="1">INDEX('Rooms Master'!U:U,MATCH(B31,'Rooms Master'!D:D,0))</f>
        <v>Y</v>
      </c>
      <c r="D31" s="15">
        <f t="array" ref="D31">INDEX('Dec 14 - Dec 20'!D$2:D$115,MATCH($B31,'Dec 14 - Dec 20'!$B$2:$B$115,0))-INDEX('Dec 7 - Dec 13'!D$2:D$113,MATCH($B31,'Dec 7 - Dec 13'!$B$2:$B$113,0))</f>
        <v>-4</v>
      </c>
      <c r="E31" s="15">
        <f t="array" ref="E31">INDEX('Dec 14 - Dec 20'!E$2:E$115,MATCH($B31,'Dec 14 - Dec 20'!$B$2:$B$115,0))-INDEX('Dec 7 - Dec 13'!E$2:E$113,MATCH($B31,'Dec 7 - Dec 13'!$B$2:$B$113,0))</f>
        <v>2</v>
      </c>
      <c r="F31" s="15">
        <f t="array" ref="F31">INDEX('Dec 14 - Dec 20'!F$2:F$115,MATCH($B31,'Dec 14 - Dec 20'!$B$2:$B$115,0))-INDEX('Dec 7 - Dec 13'!F$2:F$113,MATCH($B31,'Dec 7 - Dec 13'!$B$2:$B$113,0))</f>
        <v>0</v>
      </c>
      <c r="G31" s="15">
        <f t="array" ref="G31">INDEX('Dec 14 - Dec 20'!G$2:G$115,MATCH($B31,'Dec 14 - Dec 20'!$B$2:$B$115,0))-INDEX('Dec 7 - Dec 13'!G$2:G$113,MATCH($B31,'Dec 7 - Dec 13'!$B$2:$B$113,0))</f>
        <v>4</v>
      </c>
      <c r="H31" s="15">
        <f t="array" ref="H31">INDEX('Dec 14 - Dec 20'!H$2:H$115,MATCH($B31,'Dec 14 - Dec 20'!$B$2:$B$115,0))-INDEX('Dec 7 - Dec 13'!H$2:H$113,MATCH($B31,'Dec 7 - Dec 13'!$B$2:$B$113,0))</f>
        <v>-2</v>
      </c>
      <c r="I31" s="15">
        <f t="array" ref="I31">INDEX('Dec 14 - Dec 20'!I$2:I$115,MATCH($B31,'Dec 14 - Dec 20'!$B$2:$B$115,0))-INDEX('Dec 7 - Dec 13'!I$2:I$113,MATCH($B31,'Dec 7 - Dec 13'!$B$2:$B$113,0))</f>
        <v>0</v>
      </c>
      <c r="J31" s="15">
        <f t="array" ref="J31">INDEX('Dec 14 - Dec 20'!J$2:J$115,MATCH($B31,'Dec 14 - Dec 20'!$B$2:$B$115,0))-INDEX('Dec 7 - Dec 13'!J$2:J$113,MATCH($B31,'Dec 7 - Dec 13'!$B$2:$B$113,0))</f>
        <v>0</v>
      </c>
      <c r="K31" s="15">
        <f t="array" ref="K31">INDEX('Dec 14 - Dec 20'!K$2:K$115,MATCH($B31,'Dec 14 - Dec 20'!$B$2:$B$115,0))-INDEX('Dec 7 - Dec 13'!K$2:K$113,MATCH($B31,'Dec 7 - Dec 13'!$B$2:$B$113,0))</f>
        <v>0</v>
      </c>
    </row>
    <row r="32" spans="2:11" ht="12.75">
      <c r="B32" s="13" t="s">
        <v>27</v>
      </c>
      <c r="C32" s="14" t="str">
        <f t="array" aca="1" ref="C32" ca="1">INDEX('Rooms Master'!U:U,MATCH(B32,'Rooms Master'!D:D,0))</f>
        <v>Y</v>
      </c>
      <c r="D32" s="15">
        <f t="array" ref="D32">INDEX('Dec 14 - Dec 20'!D$2:D$115,MATCH($B32,'Dec 14 - Dec 20'!$B$2:$B$115,0))-INDEX('Dec 7 - Dec 13'!D$2:D$113,MATCH($B32,'Dec 7 - Dec 13'!$B$2:$B$113,0))</f>
        <v>-6</v>
      </c>
      <c r="E32" s="15">
        <f t="array" ref="E32">INDEX('Dec 14 - Dec 20'!E$2:E$115,MATCH($B32,'Dec 14 - Dec 20'!$B$2:$B$115,0))-INDEX('Dec 7 - Dec 13'!E$2:E$113,MATCH($B32,'Dec 7 - Dec 13'!$B$2:$B$113,0))</f>
        <v>-7</v>
      </c>
      <c r="F32" s="15">
        <f t="array" ref="F32">INDEX('Dec 14 - Dec 20'!F$2:F$115,MATCH($B32,'Dec 14 - Dec 20'!$B$2:$B$115,0))-INDEX('Dec 7 - Dec 13'!F$2:F$113,MATCH($B32,'Dec 7 - Dec 13'!$B$2:$B$113,0))</f>
        <v>-3</v>
      </c>
      <c r="G32" s="15">
        <f t="array" ref="G32">INDEX('Dec 14 - Dec 20'!G$2:G$115,MATCH($B32,'Dec 14 - Dec 20'!$B$2:$B$115,0))-INDEX('Dec 7 - Dec 13'!G$2:G$113,MATCH($B32,'Dec 7 - Dec 13'!$B$2:$B$113,0))</f>
        <v>0</v>
      </c>
      <c r="H32" s="15">
        <f t="array" ref="H32">INDEX('Dec 14 - Dec 20'!H$2:H$115,MATCH($B32,'Dec 14 - Dec 20'!$B$2:$B$115,0))-INDEX('Dec 7 - Dec 13'!H$2:H$113,MATCH($B32,'Dec 7 - Dec 13'!$B$2:$B$113,0))</f>
        <v>0</v>
      </c>
      <c r="I32" s="15">
        <f t="array" ref="I32">INDEX('Dec 14 - Dec 20'!I$2:I$115,MATCH($B32,'Dec 14 - Dec 20'!$B$2:$B$115,0))-INDEX('Dec 7 - Dec 13'!I$2:I$113,MATCH($B32,'Dec 7 - Dec 13'!$B$2:$B$113,0))</f>
        <v>0</v>
      </c>
      <c r="J32" s="15">
        <f t="array" ref="J32">INDEX('Dec 14 - Dec 20'!J$2:J$115,MATCH($B32,'Dec 14 - Dec 20'!$B$2:$B$115,0))-INDEX('Dec 7 - Dec 13'!J$2:J$113,MATCH($B32,'Dec 7 - Dec 13'!$B$2:$B$113,0))</f>
        <v>0</v>
      </c>
      <c r="K32" s="15">
        <f t="array" ref="K32">INDEX('Dec 14 - Dec 20'!K$2:K$115,MATCH($B32,'Dec 14 - Dec 20'!$B$2:$B$115,0))-INDEX('Dec 7 - Dec 13'!K$2:K$113,MATCH($B32,'Dec 7 - Dec 13'!$B$2:$B$113,0))</f>
        <v>0</v>
      </c>
    </row>
    <row r="33" spans="2:11" ht="12.75">
      <c r="B33" s="13" t="s">
        <v>124</v>
      </c>
      <c r="C33" s="14" t="str">
        <f t="array" aca="1" ref="C33" ca="1">INDEX('Rooms Master'!U:U,MATCH(B33,'Rooms Master'!D:D,0))</f>
        <v>N</v>
      </c>
      <c r="D33" s="15">
        <f t="array" ref="D33">INDEX('Dec 14 - Dec 20'!D$2:D$115,MATCH($B33,'Dec 14 - Dec 20'!$B$2:$B$115,0))-INDEX('Dec 7 - Dec 13'!D$2:D$113,MATCH($B33,'Dec 7 - Dec 13'!$B$2:$B$113,0))</f>
        <v>0</v>
      </c>
      <c r="E33" s="15">
        <f t="array" ref="E33">INDEX('Dec 14 - Dec 20'!E$2:E$115,MATCH($B33,'Dec 14 - Dec 20'!$B$2:$B$115,0))-INDEX('Dec 7 - Dec 13'!E$2:E$113,MATCH($B33,'Dec 7 - Dec 13'!$B$2:$B$113,0))</f>
        <v>-2</v>
      </c>
      <c r="F33" s="15">
        <f t="array" ref="F33">INDEX('Dec 14 - Dec 20'!F$2:F$115,MATCH($B33,'Dec 14 - Dec 20'!$B$2:$B$115,0))-INDEX('Dec 7 - Dec 13'!F$2:F$113,MATCH($B33,'Dec 7 - Dec 13'!$B$2:$B$113,0))</f>
        <v>4</v>
      </c>
      <c r="G33" s="15">
        <f t="array" ref="G33">INDEX('Dec 14 - Dec 20'!G$2:G$115,MATCH($B33,'Dec 14 - Dec 20'!$B$2:$B$115,0))-INDEX('Dec 7 - Dec 13'!G$2:G$113,MATCH($B33,'Dec 7 - Dec 13'!$B$2:$B$113,0))</f>
        <v>0</v>
      </c>
      <c r="H33" s="15">
        <f t="array" ref="H33">INDEX('Dec 14 - Dec 20'!H$2:H$115,MATCH($B33,'Dec 14 - Dec 20'!$B$2:$B$115,0))-INDEX('Dec 7 - Dec 13'!H$2:H$113,MATCH($B33,'Dec 7 - Dec 13'!$B$2:$B$113,0))</f>
        <v>-1</v>
      </c>
      <c r="I33" s="15">
        <f t="array" ref="I33">INDEX('Dec 14 - Dec 20'!I$2:I$115,MATCH($B33,'Dec 14 - Dec 20'!$B$2:$B$115,0))-INDEX('Dec 7 - Dec 13'!I$2:I$113,MATCH($B33,'Dec 7 - Dec 13'!$B$2:$B$113,0))</f>
        <v>1</v>
      </c>
      <c r="J33" s="15">
        <f t="array" ref="J33">INDEX('Dec 14 - Dec 20'!J$2:J$115,MATCH($B33,'Dec 14 - Dec 20'!$B$2:$B$115,0))-INDEX('Dec 7 - Dec 13'!J$2:J$113,MATCH($B33,'Dec 7 - Dec 13'!$B$2:$B$113,0))</f>
        <v>2</v>
      </c>
      <c r="K33" s="15">
        <f t="array" ref="K33">INDEX('Dec 14 - Dec 20'!K$2:K$115,MATCH($B33,'Dec 14 - Dec 20'!$B$2:$B$115,0))-INDEX('Dec 7 - Dec 13'!K$2:K$113,MATCH($B33,'Dec 7 - Dec 13'!$B$2:$B$113,0))</f>
        <v>0</v>
      </c>
    </row>
    <row r="34" spans="2:11" ht="12.75">
      <c r="B34" s="13" t="s">
        <v>69</v>
      </c>
      <c r="C34" s="14" t="str">
        <f t="array" aca="1" ref="C34" ca="1">INDEX('Rooms Master'!U:U,MATCH(B34,'Rooms Master'!D:D,0))</f>
        <v>Y</v>
      </c>
      <c r="D34" s="15">
        <f t="array" ref="D34">INDEX('Dec 14 - Dec 20'!D$2:D$115,MATCH($B34,'Dec 14 - Dec 20'!$B$2:$B$115,0))-INDEX('Dec 7 - Dec 13'!D$2:D$113,MATCH($B34,'Dec 7 - Dec 13'!$B$2:$B$113,0))</f>
        <v>-5</v>
      </c>
      <c r="E34" s="15">
        <f t="array" ref="E34">INDEX('Dec 14 - Dec 20'!E$2:E$115,MATCH($B34,'Dec 14 - Dec 20'!$B$2:$B$115,0))-INDEX('Dec 7 - Dec 13'!E$2:E$113,MATCH($B34,'Dec 7 - Dec 13'!$B$2:$B$113,0))</f>
        <v>5</v>
      </c>
      <c r="F34" s="15">
        <f t="array" ref="F34">INDEX('Dec 14 - Dec 20'!F$2:F$115,MATCH($B34,'Dec 14 - Dec 20'!$B$2:$B$115,0))-INDEX('Dec 7 - Dec 13'!F$2:F$113,MATCH($B34,'Dec 7 - Dec 13'!$B$2:$B$113,0))</f>
        <v>2</v>
      </c>
      <c r="G34" s="15">
        <f t="array" ref="G34">INDEX('Dec 14 - Dec 20'!G$2:G$115,MATCH($B34,'Dec 14 - Dec 20'!$B$2:$B$115,0))-INDEX('Dec 7 - Dec 13'!G$2:G$113,MATCH($B34,'Dec 7 - Dec 13'!$B$2:$B$113,0))</f>
        <v>0</v>
      </c>
      <c r="H34" s="15">
        <f t="array" ref="H34">INDEX('Dec 14 - Dec 20'!H$2:H$115,MATCH($B34,'Dec 14 - Dec 20'!$B$2:$B$115,0))-INDEX('Dec 7 - Dec 13'!H$2:H$113,MATCH($B34,'Dec 7 - Dec 13'!$B$2:$B$113,0))</f>
        <v>-1</v>
      </c>
      <c r="I34" s="15">
        <f t="array" ref="I34">INDEX('Dec 14 - Dec 20'!I$2:I$115,MATCH($B34,'Dec 14 - Dec 20'!$B$2:$B$115,0))-INDEX('Dec 7 - Dec 13'!I$2:I$113,MATCH($B34,'Dec 7 - Dec 13'!$B$2:$B$113,0))</f>
        <v>0</v>
      </c>
      <c r="J34" s="15">
        <f t="array" ref="J34">INDEX('Dec 14 - Dec 20'!J$2:J$115,MATCH($B34,'Dec 14 - Dec 20'!$B$2:$B$115,0))-INDEX('Dec 7 - Dec 13'!J$2:J$113,MATCH($B34,'Dec 7 - Dec 13'!$B$2:$B$113,0))</f>
        <v>0</v>
      </c>
      <c r="K34" s="15">
        <f t="array" ref="K34">INDEX('Dec 14 - Dec 20'!K$2:K$115,MATCH($B34,'Dec 14 - Dec 20'!$B$2:$B$115,0))-INDEX('Dec 7 - Dec 13'!K$2:K$113,MATCH($B34,'Dec 7 - Dec 13'!$B$2:$B$113,0))</f>
        <v>0</v>
      </c>
    </row>
    <row r="35" spans="2:11" ht="12.75">
      <c r="B35" s="13" t="s">
        <v>125</v>
      </c>
      <c r="C35" s="14" t="str">
        <f t="array" aca="1" ref="C35" ca="1">INDEX('Rooms Master'!U:U,MATCH(B35,'Rooms Master'!D:D,0))</f>
        <v>N</v>
      </c>
      <c r="D35" s="15">
        <f t="array" ref="D35">INDEX('Dec 14 - Dec 20'!D$2:D$115,MATCH($B35,'Dec 14 - Dec 20'!$B$2:$B$115,0))-INDEX('Dec 7 - Dec 13'!D$2:D$113,MATCH($B35,'Dec 7 - Dec 13'!$B$2:$B$113,0))</f>
        <v>0</v>
      </c>
      <c r="E35" s="15">
        <f t="array" ref="E35">INDEX('Dec 14 - Dec 20'!E$2:E$115,MATCH($B35,'Dec 14 - Dec 20'!$B$2:$B$115,0))-INDEX('Dec 7 - Dec 13'!E$2:E$113,MATCH($B35,'Dec 7 - Dec 13'!$B$2:$B$113,0))</f>
        <v>-80</v>
      </c>
      <c r="F35" s="15">
        <f t="array" ref="F35">INDEX('Dec 14 - Dec 20'!F$2:F$115,MATCH($B35,'Dec 14 - Dec 20'!$B$2:$B$115,0))-INDEX('Dec 7 - Dec 13'!F$2:F$113,MATCH($B35,'Dec 7 - Dec 13'!$B$2:$B$113,0))</f>
        <v>-60</v>
      </c>
      <c r="G35" s="15">
        <f t="array" ref="G35">INDEX('Dec 14 - Dec 20'!G$2:G$115,MATCH($B35,'Dec 14 - Dec 20'!$B$2:$B$115,0))-INDEX('Dec 7 - Dec 13'!G$2:G$113,MATCH($B35,'Dec 7 - Dec 13'!$B$2:$B$113,0))</f>
        <v>-7</v>
      </c>
      <c r="H35" s="15">
        <f t="array" ref="H35">INDEX('Dec 14 - Dec 20'!H$2:H$115,MATCH($B35,'Dec 14 - Dec 20'!$B$2:$B$115,0))-INDEX('Dec 7 - Dec 13'!H$2:H$113,MATCH($B35,'Dec 7 - Dec 13'!$B$2:$B$113,0))</f>
        <v>-1</v>
      </c>
      <c r="I35" s="15">
        <f t="array" ref="I35">INDEX('Dec 14 - Dec 20'!I$2:I$115,MATCH($B35,'Dec 14 - Dec 20'!$B$2:$B$115,0))-INDEX('Dec 7 - Dec 13'!I$2:I$113,MATCH($B35,'Dec 7 - Dec 13'!$B$2:$B$113,0))</f>
        <v>0</v>
      </c>
      <c r="J35" s="15">
        <f t="array" ref="J35">INDEX('Dec 14 - Dec 20'!J$2:J$115,MATCH($B35,'Dec 14 - Dec 20'!$B$2:$B$115,0))-INDEX('Dec 7 - Dec 13'!J$2:J$113,MATCH($B35,'Dec 7 - Dec 13'!$B$2:$B$113,0))</f>
        <v>-5</v>
      </c>
      <c r="K35" s="15">
        <f t="array" ref="K35">INDEX('Dec 14 - Dec 20'!K$2:K$115,MATCH($B35,'Dec 14 - Dec 20'!$B$2:$B$115,0))-INDEX('Dec 7 - Dec 13'!K$2:K$113,MATCH($B35,'Dec 7 - Dec 13'!$B$2:$B$113,0))</f>
        <v>-5</v>
      </c>
    </row>
    <row r="36" spans="2:11" ht="12.75">
      <c r="B36" s="13" t="s">
        <v>28</v>
      </c>
      <c r="C36" s="14" t="str">
        <f t="array" aca="1" ref="C36" ca="1">INDEX('Rooms Master'!U:U,MATCH(B36,'Rooms Master'!D:D,0))</f>
        <v>Y</v>
      </c>
      <c r="D36" s="15">
        <f t="array" ref="D36">INDEX('Dec 14 - Dec 20'!D$2:D$115,MATCH($B36,'Dec 14 - Dec 20'!$B$2:$B$115,0))-INDEX('Dec 7 - Dec 13'!D$2:D$113,MATCH($B36,'Dec 7 - Dec 13'!$B$2:$B$113,0))</f>
        <v>0</v>
      </c>
      <c r="E36" s="15">
        <f t="array" ref="E36">INDEX('Dec 14 - Dec 20'!E$2:E$115,MATCH($B36,'Dec 14 - Dec 20'!$B$2:$B$115,0))-INDEX('Dec 7 - Dec 13'!E$2:E$113,MATCH($B36,'Dec 7 - Dec 13'!$B$2:$B$113,0))</f>
        <v>61</v>
      </c>
      <c r="F36" s="15">
        <f t="array" ref="F36">INDEX('Dec 14 - Dec 20'!F$2:F$115,MATCH($B36,'Dec 14 - Dec 20'!$B$2:$B$115,0))-INDEX('Dec 7 - Dec 13'!F$2:F$113,MATCH($B36,'Dec 7 - Dec 13'!$B$2:$B$113,0))</f>
        <v>31</v>
      </c>
      <c r="G36" s="15">
        <f t="array" ref="G36">INDEX('Dec 14 - Dec 20'!G$2:G$115,MATCH($B36,'Dec 14 - Dec 20'!$B$2:$B$115,0))-INDEX('Dec 7 - Dec 13'!G$2:G$113,MATCH($B36,'Dec 7 - Dec 13'!$B$2:$B$113,0))</f>
        <v>6</v>
      </c>
      <c r="H36" s="15">
        <f t="array" ref="H36">INDEX('Dec 14 - Dec 20'!H$2:H$115,MATCH($B36,'Dec 14 - Dec 20'!$B$2:$B$115,0))-INDEX('Dec 7 - Dec 13'!H$2:H$113,MATCH($B36,'Dec 7 - Dec 13'!$B$2:$B$113,0))</f>
        <v>6</v>
      </c>
      <c r="I36" s="15">
        <f t="array" ref="I36">INDEX('Dec 14 - Dec 20'!I$2:I$115,MATCH($B36,'Dec 14 - Dec 20'!$B$2:$B$115,0))-INDEX('Dec 7 - Dec 13'!I$2:I$113,MATCH($B36,'Dec 7 - Dec 13'!$B$2:$B$113,0))</f>
        <v>2</v>
      </c>
      <c r="J36" s="15">
        <f t="array" ref="J36">INDEX('Dec 14 - Dec 20'!J$2:J$115,MATCH($B36,'Dec 14 - Dec 20'!$B$2:$B$115,0))-INDEX('Dec 7 - Dec 13'!J$2:J$113,MATCH($B36,'Dec 7 - Dec 13'!$B$2:$B$113,0))</f>
        <v>0</v>
      </c>
      <c r="K36" s="15">
        <f t="array" ref="K36">INDEX('Dec 14 - Dec 20'!K$2:K$115,MATCH($B36,'Dec 14 - Dec 20'!$B$2:$B$115,0))-INDEX('Dec 7 - Dec 13'!K$2:K$113,MATCH($B36,'Dec 7 - Dec 13'!$B$2:$B$113,0))</f>
        <v>0</v>
      </c>
    </row>
    <row r="37" spans="2:11" ht="12.75">
      <c r="B37" s="13" t="s">
        <v>127</v>
      </c>
      <c r="C37" s="14" t="str">
        <f t="array" aca="1" ref="C37" ca="1">INDEX('Rooms Master'!U:U,MATCH(B37,'Rooms Master'!D:D,0))</f>
        <v>N</v>
      </c>
      <c r="D37" s="15">
        <f t="array" ref="D37">INDEX('Dec 14 - Dec 20'!D$2:D$115,MATCH($B37,'Dec 14 - Dec 20'!$B$2:$B$115,0))-INDEX('Dec 7 - Dec 13'!D$2:D$113,MATCH($B37,'Dec 7 - Dec 13'!$B$2:$B$113,0))</f>
        <v>0</v>
      </c>
      <c r="E37" s="15">
        <f t="array" ref="E37">INDEX('Dec 14 - Dec 20'!E$2:E$115,MATCH($B37,'Dec 14 - Dec 20'!$B$2:$B$115,0))-INDEX('Dec 7 - Dec 13'!E$2:E$113,MATCH($B37,'Dec 7 - Dec 13'!$B$2:$B$113,0))</f>
        <v>0</v>
      </c>
      <c r="F37" s="15">
        <f t="array" ref="F37">INDEX('Dec 14 - Dec 20'!F$2:F$115,MATCH($B37,'Dec 14 - Dec 20'!$B$2:$B$115,0))-INDEX('Dec 7 - Dec 13'!F$2:F$113,MATCH($B37,'Dec 7 - Dec 13'!$B$2:$B$113,0))</f>
        <v>0</v>
      </c>
      <c r="G37" s="15">
        <f t="array" ref="G37">INDEX('Dec 14 - Dec 20'!G$2:G$115,MATCH($B37,'Dec 14 - Dec 20'!$B$2:$B$115,0))-INDEX('Dec 7 - Dec 13'!G$2:G$113,MATCH($B37,'Dec 7 - Dec 13'!$B$2:$B$113,0))</f>
        <v>0</v>
      </c>
      <c r="H37" s="15">
        <f t="array" ref="H37">INDEX('Dec 14 - Dec 20'!H$2:H$115,MATCH($B37,'Dec 14 - Dec 20'!$B$2:$B$115,0))-INDEX('Dec 7 - Dec 13'!H$2:H$113,MATCH($B37,'Dec 7 - Dec 13'!$B$2:$B$113,0))</f>
        <v>0</v>
      </c>
      <c r="I37" s="15">
        <f t="array" ref="I37">INDEX('Dec 14 - Dec 20'!I$2:I$115,MATCH($B37,'Dec 14 - Dec 20'!$B$2:$B$115,0))-INDEX('Dec 7 - Dec 13'!I$2:I$113,MATCH($B37,'Dec 7 - Dec 13'!$B$2:$B$113,0))</f>
        <v>0</v>
      </c>
      <c r="J37" s="15">
        <f t="array" ref="J37">INDEX('Dec 14 - Dec 20'!J$2:J$115,MATCH($B37,'Dec 14 - Dec 20'!$B$2:$B$115,0))-INDEX('Dec 7 - Dec 13'!J$2:J$113,MATCH($B37,'Dec 7 - Dec 13'!$B$2:$B$113,0))</f>
        <v>0</v>
      </c>
      <c r="K37" s="15">
        <f t="array" ref="K37">INDEX('Dec 14 - Dec 20'!K$2:K$115,MATCH($B37,'Dec 14 - Dec 20'!$B$2:$B$115,0))-INDEX('Dec 7 - Dec 13'!K$2:K$113,MATCH($B37,'Dec 7 - Dec 13'!$B$2:$B$113,0))</f>
        <v>0</v>
      </c>
    </row>
    <row r="38" spans="2:11" ht="12.75">
      <c r="B38" s="13" t="s">
        <v>128</v>
      </c>
      <c r="C38" s="14" t="str">
        <f t="array" aca="1" ref="C38" ca="1">INDEX('Rooms Master'!U:U,MATCH(B38,'Rooms Master'!D:D,0))</f>
        <v>N</v>
      </c>
      <c r="D38" s="15">
        <f t="array" ref="D38">INDEX('Dec 14 - Dec 20'!D$2:D$115,MATCH($B38,'Dec 14 - Dec 20'!$B$2:$B$115,0))-INDEX('Dec 7 - Dec 13'!D$2:D$113,MATCH($B38,'Dec 7 - Dec 13'!$B$2:$B$113,0))</f>
        <v>0</v>
      </c>
      <c r="E38" s="15">
        <f t="array" ref="E38">INDEX('Dec 14 - Dec 20'!E$2:E$115,MATCH($B38,'Dec 14 - Dec 20'!$B$2:$B$115,0))-INDEX('Dec 7 - Dec 13'!E$2:E$113,MATCH($B38,'Dec 7 - Dec 13'!$B$2:$B$113,0))</f>
        <v>0</v>
      </c>
      <c r="F38" s="15">
        <f t="array" ref="F38">INDEX('Dec 14 - Dec 20'!F$2:F$115,MATCH($B38,'Dec 14 - Dec 20'!$B$2:$B$115,0))-INDEX('Dec 7 - Dec 13'!F$2:F$113,MATCH($B38,'Dec 7 - Dec 13'!$B$2:$B$113,0))</f>
        <v>0</v>
      </c>
      <c r="G38" s="15">
        <f t="array" ref="G38">INDEX('Dec 14 - Dec 20'!G$2:G$115,MATCH($B38,'Dec 14 - Dec 20'!$B$2:$B$115,0))-INDEX('Dec 7 - Dec 13'!G$2:G$113,MATCH($B38,'Dec 7 - Dec 13'!$B$2:$B$113,0))</f>
        <v>0</v>
      </c>
      <c r="H38" s="15">
        <f t="array" ref="H38">INDEX('Dec 14 - Dec 20'!H$2:H$115,MATCH($B38,'Dec 14 - Dec 20'!$B$2:$B$115,0))-INDEX('Dec 7 - Dec 13'!H$2:H$113,MATCH($B38,'Dec 7 - Dec 13'!$B$2:$B$113,0))</f>
        <v>0</v>
      </c>
      <c r="I38" s="15">
        <f t="array" ref="I38">INDEX('Dec 14 - Dec 20'!I$2:I$115,MATCH($B38,'Dec 14 - Dec 20'!$B$2:$B$115,0))-INDEX('Dec 7 - Dec 13'!I$2:I$113,MATCH($B38,'Dec 7 - Dec 13'!$B$2:$B$113,0))</f>
        <v>0</v>
      </c>
      <c r="J38" s="15">
        <f t="array" ref="J38">INDEX('Dec 14 - Dec 20'!J$2:J$115,MATCH($B38,'Dec 14 - Dec 20'!$B$2:$B$115,0))-INDEX('Dec 7 - Dec 13'!J$2:J$113,MATCH($B38,'Dec 7 - Dec 13'!$B$2:$B$113,0))</f>
        <v>0</v>
      </c>
      <c r="K38" s="15">
        <f t="array" ref="K38">INDEX('Dec 14 - Dec 20'!K$2:K$115,MATCH($B38,'Dec 14 - Dec 20'!$B$2:$B$115,0))-INDEX('Dec 7 - Dec 13'!K$2:K$113,MATCH($B38,'Dec 7 - Dec 13'!$B$2:$B$113,0))</f>
        <v>0</v>
      </c>
    </row>
    <row r="39" spans="2:11" ht="12.75">
      <c r="B39" s="13" t="s">
        <v>129</v>
      </c>
      <c r="C39" s="14" t="str">
        <f t="array" aca="1" ref="C39" ca="1">INDEX('Rooms Master'!U:U,MATCH(B39,'Rooms Master'!D:D,0))</f>
        <v>N</v>
      </c>
      <c r="D39" s="15">
        <f t="array" ref="D39">INDEX('Dec 14 - Dec 20'!D$2:D$115,MATCH($B39,'Dec 14 - Dec 20'!$B$2:$B$115,0))-INDEX('Dec 7 - Dec 13'!D$2:D$113,MATCH($B39,'Dec 7 - Dec 13'!$B$2:$B$113,0))</f>
        <v>-3</v>
      </c>
      <c r="E39" s="15">
        <f t="array" ref="E39">INDEX('Dec 14 - Dec 20'!E$2:E$115,MATCH($B39,'Dec 14 - Dec 20'!$B$2:$B$115,0))-INDEX('Dec 7 - Dec 13'!E$2:E$113,MATCH($B39,'Dec 7 - Dec 13'!$B$2:$B$113,0))</f>
        <v>2</v>
      </c>
      <c r="F39" s="15">
        <f t="array" ref="F39">INDEX('Dec 14 - Dec 20'!F$2:F$115,MATCH($B39,'Dec 14 - Dec 20'!$B$2:$B$115,0))-INDEX('Dec 7 - Dec 13'!F$2:F$113,MATCH($B39,'Dec 7 - Dec 13'!$B$2:$B$113,0))</f>
        <v>14</v>
      </c>
      <c r="G39" s="15">
        <f t="array" ref="G39">INDEX('Dec 14 - Dec 20'!G$2:G$115,MATCH($B39,'Dec 14 - Dec 20'!$B$2:$B$115,0))-INDEX('Dec 7 - Dec 13'!G$2:G$113,MATCH($B39,'Dec 7 - Dec 13'!$B$2:$B$113,0))</f>
        <v>-2</v>
      </c>
      <c r="H39" s="15">
        <f t="array" ref="H39">INDEX('Dec 14 - Dec 20'!H$2:H$115,MATCH($B39,'Dec 14 - Dec 20'!$B$2:$B$115,0))-INDEX('Dec 7 - Dec 13'!H$2:H$113,MATCH($B39,'Dec 7 - Dec 13'!$B$2:$B$113,0))</f>
        <v>2</v>
      </c>
      <c r="I39" s="15">
        <f t="array" ref="I39">INDEX('Dec 14 - Dec 20'!I$2:I$115,MATCH($B39,'Dec 14 - Dec 20'!$B$2:$B$115,0))-INDEX('Dec 7 - Dec 13'!I$2:I$113,MATCH($B39,'Dec 7 - Dec 13'!$B$2:$B$113,0))</f>
        <v>2</v>
      </c>
      <c r="J39" s="15">
        <f t="array" ref="J39">INDEX('Dec 14 - Dec 20'!J$2:J$115,MATCH($B39,'Dec 14 - Dec 20'!$B$2:$B$115,0))-INDEX('Dec 7 - Dec 13'!J$2:J$113,MATCH($B39,'Dec 7 - Dec 13'!$B$2:$B$113,0))</f>
        <v>0</v>
      </c>
      <c r="K39" s="15">
        <f t="array" ref="K39">INDEX('Dec 14 - Dec 20'!K$2:K$115,MATCH($B39,'Dec 14 - Dec 20'!$B$2:$B$115,0))-INDEX('Dec 7 - Dec 13'!K$2:K$113,MATCH($B39,'Dec 7 - Dec 13'!$B$2:$B$113,0))</f>
        <v>0</v>
      </c>
    </row>
    <row r="40" spans="2:11" ht="12.75">
      <c r="B40" s="13" t="s">
        <v>23</v>
      </c>
      <c r="C40" s="14" t="str">
        <f t="array" aca="1" ref="C40" ca="1">INDEX('Rooms Master'!U:U,MATCH(B40,'Rooms Master'!D:D,0))</f>
        <v>Y</v>
      </c>
      <c r="D40" s="15">
        <f t="array" ref="D40">INDEX('Dec 14 - Dec 20'!D$2:D$115,MATCH($B40,'Dec 14 - Dec 20'!$B$2:$B$115,0))-INDEX('Dec 7 - Dec 13'!D$2:D$113,MATCH($B40,'Dec 7 - Dec 13'!$B$2:$B$113,0))</f>
        <v>-14</v>
      </c>
      <c r="E40" s="15">
        <f t="array" ref="E40">INDEX('Dec 14 - Dec 20'!E$2:E$115,MATCH($B40,'Dec 14 - Dec 20'!$B$2:$B$115,0))-INDEX('Dec 7 - Dec 13'!E$2:E$113,MATCH($B40,'Dec 7 - Dec 13'!$B$2:$B$113,0))</f>
        <v>6</v>
      </c>
      <c r="F40" s="15">
        <f t="array" ref="F40">INDEX('Dec 14 - Dec 20'!F$2:F$115,MATCH($B40,'Dec 14 - Dec 20'!$B$2:$B$115,0))-INDEX('Dec 7 - Dec 13'!F$2:F$113,MATCH($B40,'Dec 7 - Dec 13'!$B$2:$B$113,0))</f>
        <v>6</v>
      </c>
      <c r="G40" s="15">
        <f t="array" ref="G40">INDEX('Dec 14 - Dec 20'!G$2:G$115,MATCH($B40,'Dec 14 - Dec 20'!$B$2:$B$115,0))-INDEX('Dec 7 - Dec 13'!G$2:G$113,MATCH($B40,'Dec 7 - Dec 13'!$B$2:$B$113,0))</f>
        <v>-1</v>
      </c>
      <c r="H40" s="15">
        <f t="array" ref="H40">INDEX('Dec 14 - Dec 20'!H$2:H$115,MATCH($B40,'Dec 14 - Dec 20'!$B$2:$B$115,0))-INDEX('Dec 7 - Dec 13'!H$2:H$113,MATCH($B40,'Dec 7 - Dec 13'!$B$2:$B$113,0))</f>
        <v>2</v>
      </c>
      <c r="I40" s="15">
        <f t="array" ref="I40">INDEX('Dec 14 - Dec 20'!I$2:I$115,MATCH($B40,'Dec 14 - Dec 20'!$B$2:$B$115,0))-INDEX('Dec 7 - Dec 13'!I$2:I$113,MATCH($B40,'Dec 7 - Dec 13'!$B$2:$B$113,0))</f>
        <v>0</v>
      </c>
      <c r="J40" s="15">
        <f t="array" ref="J40">INDEX('Dec 14 - Dec 20'!J$2:J$115,MATCH($B40,'Dec 14 - Dec 20'!$B$2:$B$115,0))-INDEX('Dec 7 - Dec 13'!J$2:J$113,MATCH($B40,'Dec 7 - Dec 13'!$B$2:$B$113,0))</f>
        <v>0</v>
      </c>
      <c r="K40" s="15">
        <f t="array" ref="K40">INDEX('Dec 14 - Dec 20'!K$2:K$115,MATCH($B40,'Dec 14 - Dec 20'!$B$2:$B$115,0))-INDEX('Dec 7 - Dec 13'!K$2:K$113,MATCH($B40,'Dec 7 - Dec 13'!$B$2:$B$113,0))</f>
        <v>0</v>
      </c>
    </row>
    <row r="41" spans="2:11" ht="12.75">
      <c r="B41" s="13" t="s">
        <v>130</v>
      </c>
      <c r="C41" s="14" t="str">
        <f t="array" aca="1" ref="C41" ca="1">INDEX('Rooms Master'!U:U,MATCH(B41,'Rooms Master'!D:D,0))</f>
        <v>N</v>
      </c>
      <c r="D41" s="15">
        <f t="array" ref="D41">INDEX('Dec 14 - Dec 20'!D$2:D$115,MATCH($B41,'Dec 14 - Dec 20'!$B$2:$B$115,0))-INDEX('Dec 7 - Dec 13'!D$2:D$113,MATCH($B41,'Dec 7 - Dec 13'!$B$2:$B$113,0))</f>
        <v>0</v>
      </c>
      <c r="E41" s="15">
        <f t="array" ref="E41">INDEX('Dec 14 - Dec 20'!E$2:E$115,MATCH($B41,'Dec 14 - Dec 20'!$B$2:$B$115,0))-INDEX('Dec 7 - Dec 13'!E$2:E$113,MATCH($B41,'Dec 7 - Dec 13'!$B$2:$B$113,0))</f>
        <v>0</v>
      </c>
      <c r="F41" s="15">
        <f t="array" ref="F41">INDEX('Dec 14 - Dec 20'!F$2:F$115,MATCH($B41,'Dec 14 - Dec 20'!$B$2:$B$115,0))-INDEX('Dec 7 - Dec 13'!F$2:F$113,MATCH($B41,'Dec 7 - Dec 13'!$B$2:$B$113,0))</f>
        <v>0</v>
      </c>
      <c r="G41" s="15">
        <f t="array" ref="G41">INDEX('Dec 14 - Dec 20'!G$2:G$115,MATCH($B41,'Dec 14 - Dec 20'!$B$2:$B$115,0))-INDEX('Dec 7 - Dec 13'!G$2:G$113,MATCH($B41,'Dec 7 - Dec 13'!$B$2:$B$113,0))</f>
        <v>0</v>
      </c>
      <c r="H41" s="15">
        <f t="array" ref="H41">INDEX('Dec 14 - Dec 20'!H$2:H$115,MATCH($B41,'Dec 14 - Dec 20'!$B$2:$B$115,0))-INDEX('Dec 7 - Dec 13'!H$2:H$113,MATCH($B41,'Dec 7 - Dec 13'!$B$2:$B$113,0))</f>
        <v>0</v>
      </c>
      <c r="I41" s="15">
        <f t="array" ref="I41">INDEX('Dec 14 - Dec 20'!I$2:I$115,MATCH($B41,'Dec 14 - Dec 20'!$B$2:$B$115,0))-INDEX('Dec 7 - Dec 13'!I$2:I$113,MATCH($B41,'Dec 7 - Dec 13'!$B$2:$B$113,0))</f>
        <v>0</v>
      </c>
      <c r="J41" s="15">
        <f t="array" ref="J41">INDEX('Dec 14 - Dec 20'!J$2:J$115,MATCH($B41,'Dec 14 - Dec 20'!$B$2:$B$115,0))-INDEX('Dec 7 - Dec 13'!J$2:J$113,MATCH($B41,'Dec 7 - Dec 13'!$B$2:$B$113,0))</f>
        <v>0</v>
      </c>
      <c r="K41" s="15">
        <f t="array" ref="K41">INDEX('Dec 14 - Dec 20'!K$2:K$115,MATCH($B41,'Dec 14 - Dec 20'!$B$2:$B$115,0))-INDEX('Dec 7 - Dec 13'!K$2:K$113,MATCH($B41,'Dec 7 - Dec 13'!$B$2:$B$113,0))</f>
        <v>0</v>
      </c>
    </row>
    <row r="42" spans="2:11" ht="12.75">
      <c r="B42" s="13" t="s">
        <v>131</v>
      </c>
      <c r="C42" s="14" t="str">
        <f t="array" aca="1" ref="C42" ca="1">INDEX('Rooms Master'!U:U,MATCH(B42,'Rooms Master'!D:D,0))</f>
        <v>N</v>
      </c>
      <c r="D42" s="15">
        <f t="array" ref="D42">INDEX('Dec 14 - Dec 20'!D$2:D$115,MATCH($B42,'Dec 14 - Dec 20'!$B$2:$B$115,0))-INDEX('Dec 7 - Dec 13'!D$2:D$113,MATCH($B42,'Dec 7 - Dec 13'!$B$2:$B$113,0))</f>
        <v>0</v>
      </c>
      <c r="E42" s="15">
        <f t="array" ref="E42">INDEX('Dec 14 - Dec 20'!E$2:E$115,MATCH($B42,'Dec 14 - Dec 20'!$B$2:$B$115,0))-INDEX('Dec 7 - Dec 13'!E$2:E$113,MATCH($B42,'Dec 7 - Dec 13'!$B$2:$B$113,0))</f>
        <v>0</v>
      </c>
      <c r="F42" s="15">
        <f t="array" ref="F42">INDEX('Dec 14 - Dec 20'!F$2:F$115,MATCH($B42,'Dec 14 - Dec 20'!$B$2:$B$115,0))-INDEX('Dec 7 - Dec 13'!F$2:F$113,MATCH($B42,'Dec 7 - Dec 13'!$B$2:$B$113,0))</f>
        <v>0</v>
      </c>
      <c r="G42" s="15">
        <f t="array" ref="G42">INDEX('Dec 14 - Dec 20'!G$2:G$115,MATCH($B42,'Dec 14 - Dec 20'!$B$2:$B$115,0))-INDEX('Dec 7 - Dec 13'!G$2:G$113,MATCH($B42,'Dec 7 - Dec 13'!$B$2:$B$113,0))</f>
        <v>0</v>
      </c>
      <c r="H42" s="15">
        <f t="array" ref="H42">INDEX('Dec 14 - Dec 20'!H$2:H$115,MATCH($B42,'Dec 14 - Dec 20'!$B$2:$B$115,0))-INDEX('Dec 7 - Dec 13'!H$2:H$113,MATCH($B42,'Dec 7 - Dec 13'!$B$2:$B$113,0))</f>
        <v>0</v>
      </c>
      <c r="I42" s="15">
        <f t="array" ref="I42">INDEX('Dec 14 - Dec 20'!I$2:I$115,MATCH($B42,'Dec 14 - Dec 20'!$B$2:$B$115,0))-INDEX('Dec 7 - Dec 13'!I$2:I$113,MATCH($B42,'Dec 7 - Dec 13'!$B$2:$B$113,0))</f>
        <v>0</v>
      </c>
      <c r="J42" s="15">
        <f t="array" ref="J42">INDEX('Dec 14 - Dec 20'!J$2:J$115,MATCH($B42,'Dec 14 - Dec 20'!$B$2:$B$115,0))-INDEX('Dec 7 - Dec 13'!J$2:J$113,MATCH($B42,'Dec 7 - Dec 13'!$B$2:$B$113,0))</f>
        <v>0</v>
      </c>
      <c r="K42" s="15">
        <f t="array" ref="K42">INDEX('Dec 14 - Dec 20'!K$2:K$115,MATCH($B42,'Dec 14 - Dec 20'!$B$2:$B$115,0))-INDEX('Dec 7 - Dec 13'!K$2:K$113,MATCH($B42,'Dec 7 - Dec 13'!$B$2:$B$113,0))</f>
        <v>0</v>
      </c>
    </row>
    <row r="43" spans="2:11" ht="12.75">
      <c r="B43" s="13" t="s">
        <v>49</v>
      </c>
      <c r="C43" s="14" t="str">
        <f t="array" aca="1" ref="C43" ca="1">INDEX('Rooms Master'!U:U,MATCH(B43,'Rooms Master'!D:D,0))</f>
        <v>Y</v>
      </c>
      <c r="D43" s="15">
        <f t="array" ref="D43">INDEX('Dec 14 - Dec 20'!D$2:D$115,MATCH($B43,'Dec 14 - Dec 20'!$B$2:$B$115,0))-INDEX('Dec 7 - Dec 13'!D$2:D$113,MATCH($B43,'Dec 7 - Dec 13'!$B$2:$B$113,0))</f>
        <v>-9</v>
      </c>
      <c r="E43" s="15">
        <f t="array" ref="E43">INDEX('Dec 14 - Dec 20'!E$2:E$115,MATCH($B43,'Dec 14 - Dec 20'!$B$2:$B$115,0))-INDEX('Dec 7 - Dec 13'!E$2:E$113,MATCH($B43,'Dec 7 - Dec 13'!$B$2:$B$113,0))</f>
        <v>-27</v>
      </c>
      <c r="F43" s="15">
        <f t="array" ref="F43">INDEX('Dec 14 - Dec 20'!F$2:F$115,MATCH($B43,'Dec 14 - Dec 20'!$B$2:$B$115,0))-INDEX('Dec 7 - Dec 13'!F$2:F$113,MATCH($B43,'Dec 7 - Dec 13'!$B$2:$B$113,0))</f>
        <v>-7</v>
      </c>
      <c r="G43" s="15">
        <f t="array" ref="G43">INDEX('Dec 14 - Dec 20'!G$2:G$115,MATCH($B43,'Dec 14 - Dec 20'!$B$2:$B$115,0))-INDEX('Dec 7 - Dec 13'!G$2:G$113,MATCH($B43,'Dec 7 - Dec 13'!$B$2:$B$113,0))</f>
        <v>2</v>
      </c>
      <c r="H43" s="15">
        <f t="array" ref="H43">INDEX('Dec 14 - Dec 20'!H$2:H$115,MATCH($B43,'Dec 14 - Dec 20'!$B$2:$B$115,0))-INDEX('Dec 7 - Dec 13'!H$2:H$113,MATCH($B43,'Dec 7 - Dec 13'!$B$2:$B$113,0))</f>
        <v>-1</v>
      </c>
      <c r="I43" s="15">
        <f t="array" ref="I43">INDEX('Dec 14 - Dec 20'!I$2:I$115,MATCH($B43,'Dec 14 - Dec 20'!$B$2:$B$115,0))-INDEX('Dec 7 - Dec 13'!I$2:I$113,MATCH($B43,'Dec 7 - Dec 13'!$B$2:$B$113,0))</f>
        <v>0</v>
      </c>
      <c r="J43" s="15">
        <f t="array" ref="J43">INDEX('Dec 14 - Dec 20'!J$2:J$115,MATCH($B43,'Dec 14 - Dec 20'!$B$2:$B$115,0))-INDEX('Dec 7 - Dec 13'!J$2:J$113,MATCH($B43,'Dec 7 - Dec 13'!$B$2:$B$113,0))</f>
        <v>0</v>
      </c>
      <c r="K43" s="15">
        <f t="array" ref="K43">INDEX('Dec 14 - Dec 20'!K$2:K$115,MATCH($B43,'Dec 14 - Dec 20'!$B$2:$B$115,0))-INDEX('Dec 7 - Dec 13'!K$2:K$113,MATCH($B43,'Dec 7 - Dec 13'!$B$2:$B$113,0))</f>
        <v>0</v>
      </c>
    </row>
    <row r="44" spans="2:11" ht="12.75">
      <c r="B44" s="13" t="s">
        <v>56</v>
      </c>
      <c r="C44" s="14" t="str">
        <f t="array" aca="1" ref="C44" ca="1">INDEX('Rooms Master'!U:U,MATCH(B44,'Rooms Master'!D:D,0))</f>
        <v>Y</v>
      </c>
      <c r="D44" s="15">
        <f t="array" ref="D44">INDEX('Dec 14 - Dec 20'!D$2:D$115,MATCH($B44,'Dec 14 - Dec 20'!$B$2:$B$115,0))-INDEX('Dec 7 - Dec 13'!D$2:D$113,MATCH($B44,'Dec 7 - Dec 13'!$B$2:$B$113,0))</f>
        <v>0</v>
      </c>
      <c r="E44" s="15">
        <f t="array" ref="E44">INDEX('Dec 14 - Dec 20'!E$2:E$115,MATCH($B44,'Dec 14 - Dec 20'!$B$2:$B$115,0))-INDEX('Dec 7 - Dec 13'!E$2:E$113,MATCH($B44,'Dec 7 - Dec 13'!$B$2:$B$113,0))</f>
        <v>0</v>
      </c>
      <c r="F44" s="15">
        <f t="array" ref="F44">INDEX('Dec 14 - Dec 20'!F$2:F$115,MATCH($B44,'Dec 14 - Dec 20'!$B$2:$B$115,0))-INDEX('Dec 7 - Dec 13'!F$2:F$113,MATCH($B44,'Dec 7 - Dec 13'!$B$2:$B$113,0))</f>
        <v>5</v>
      </c>
      <c r="G44" s="15">
        <f t="array" ref="G44">INDEX('Dec 14 - Dec 20'!G$2:G$115,MATCH($B44,'Dec 14 - Dec 20'!$B$2:$B$115,0))-INDEX('Dec 7 - Dec 13'!G$2:G$113,MATCH($B44,'Dec 7 - Dec 13'!$B$2:$B$113,0))</f>
        <v>5</v>
      </c>
      <c r="H44" s="15">
        <f t="array" ref="H44">INDEX('Dec 14 - Dec 20'!H$2:H$115,MATCH($B44,'Dec 14 - Dec 20'!$B$2:$B$115,0))-INDEX('Dec 7 - Dec 13'!H$2:H$113,MATCH($B44,'Dec 7 - Dec 13'!$B$2:$B$113,0))</f>
        <v>1</v>
      </c>
      <c r="I44" s="15">
        <f t="array" ref="I44">INDEX('Dec 14 - Dec 20'!I$2:I$115,MATCH($B44,'Dec 14 - Dec 20'!$B$2:$B$115,0))-INDEX('Dec 7 - Dec 13'!I$2:I$113,MATCH($B44,'Dec 7 - Dec 13'!$B$2:$B$113,0))</f>
        <v>0</v>
      </c>
      <c r="J44" s="15">
        <f t="array" ref="J44">INDEX('Dec 14 - Dec 20'!J$2:J$115,MATCH($B44,'Dec 14 - Dec 20'!$B$2:$B$115,0))-INDEX('Dec 7 - Dec 13'!J$2:J$113,MATCH($B44,'Dec 7 - Dec 13'!$B$2:$B$113,0))</f>
        <v>0</v>
      </c>
      <c r="K44" s="15">
        <f t="array" ref="K44">INDEX('Dec 14 - Dec 20'!K$2:K$115,MATCH($B44,'Dec 14 - Dec 20'!$B$2:$B$115,0))-INDEX('Dec 7 - Dec 13'!K$2:K$113,MATCH($B44,'Dec 7 - Dec 13'!$B$2:$B$113,0))</f>
        <v>0</v>
      </c>
    </row>
    <row r="45" spans="2:11" ht="12.75">
      <c r="B45" s="13" t="s">
        <v>132</v>
      </c>
      <c r="C45" s="14" t="str">
        <f t="array" aca="1" ref="C45" ca="1">INDEX('Rooms Master'!U:U,MATCH(B45,'Rooms Master'!D:D,0))</f>
        <v>N</v>
      </c>
      <c r="D45" s="15">
        <f t="array" ref="D45">INDEX('Dec 14 - Dec 20'!D$2:D$115,MATCH($B45,'Dec 14 - Dec 20'!$B$2:$B$115,0))-INDEX('Dec 7 - Dec 13'!D$2:D$113,MATCH($B45,'Dec 7 - Dec 13'!$B$2:$B$113,0))</f>
        <v>0</v>
      </c>
      <c r="E45" s="15">
        <f t="array" ref="E45">INDEX('Dec 14 - Dec 20'!E$2:E$115,MATCH($B45,'Dec 14 - Dec 20'!$B$2:$B$115,0))-INDEX('Dec 7 - Dec 13'!E$2:E$113,MATCH($B45,'Dec 7 - Dec 13'!$B$2:$B$113,0))</f>
        <v>-12</v>
      </c>
      <c r="F45" s="15">
        <f t="array" ref="F45">INDEX('Dec 14 - Dec 20'!F$2:F$115,MATCH($B45,'Dec 14 - Dec 20'!$B$2:$B$115,0))-INDEX('Dec 7 - Dec 13'!F$2:F$113,MATCH($B45,'Dec 7 - Dec 13'!$B$2:$B$113,0))</f>
        <v>0</v>
      </c>
      <c r="G45" s="15">
        <f t="array" ref="G45">INDEX('Dec 14 - Dec 20'!G$2:G$115,MATCH($B45,'Dec 14 - Dec 20'!$B$2:$B$115,0))-INDEX('Dec 7 - Dec 13'!G$2:G$113,MATCH($B45,'Dec 7 - Dec 13'!$B$2:$B$113,0))</f>
        <v>0</v>
      </c>
      <c r="H45" s="15">
        <f t="array" ref="H45">INDEX('Dec 14 - Dec 20'!H$2:H$115,MATCH($B45,'Dec 14 - Dec 20'!$B$2:$B$115,0))-INDEX('Dec 7 - Dec 13'!H$2:H$113,MATCH($B45,'Dec 7 - Dec 13'!$B$2:$B$113,0))</f>
        <v>0</v>
      </c>
      <c r="I45" s="15">
        <f t="array" ref="I45">INDEX('Dec 14 - Dec 20'!I$2:I$115,MATCH($B45,'Dec 14 - Dec 20'!$B$2:$B$115,0))-INDEX('Dec 7 - Dec 13'!I$2:I$113,MATCH($B45,'Dec 7 - Dec 13'!$B$2:$B$113,0))</f>
        <v>0</v>
      </c>
      <c r="J45" s="15">
        <f t="array" ref="J45">INDEX('Dec 14 - Dec 20'!J$2:J$115,MATCH($B45,'Dec 14 - Dec 20'!$B$2:$B$115,0))-INDEX('Dec 7 - Dec 13'!J$2:J$113,MATCH($B45,'Dec 7 - Dec 13'!$B$2:$B$113,0))</f>
        <v>0</v>
      </c>
      <c r="K45" s="15">
        <f t="array" ref="K45">INDEX('Dec 14 - Dec 20'!K$2:K$115,MATCH($B45,'Dec 14 - Dec 20'!$B$2:$B$115,0))-INDEX('Dec 7 - Dec 13'!K$2:K$113,MATCH($B45,'Dec 7 - Dec 13'!$B$2:$B$113,0))</f>
        <v>0</v>
      </c>
    </row>
    <row r="46" spans="2:11" ht="12.75">
      <c r="B46" s="13" t="s">
        <v>106</v>
      </c>
      <c r="C46" s="14" t="str">
        <f t="array" aca="1" ref="C46" ca="1">INDEX('Rooms Master'!U:U,MATCH(B46,'Rooms Master'!D:D,0))</f>
        <v>N</v>
      </c>
      <c r="D46" s="15">
        <f t="array" ref="D46">INDEX('Dec 14 - Dec 20'!D$2:D$115,MATCH($B46,'Dec 14 - Dec 20'!$B$2:$B$115,0))-INDEX('Dec 7 - Dec 13'!D$2:D$113,MATCH($B46,'Dec 7 - Dec 13'!$B$2:$B$113,0))</f>
        <v>-11</v>
      </c>
      <c r="E46" s="15">
        <f t="array" ref="E46">INDEX('Dec 14 - Dec 20'!E$2:E$115,MATCH($B46,'Dec 14 - Dec 20'!$B$2:$B$115,0))-INDEX('Dec 7 - Dec 13'!E$2:E$113,MATCH($B46,'Dec 7 - Dec 13'!$B$2:$B$113,0))</f>
        <v>-3</v>
      </c>
      <c r="F46" s="15">
        <f t="array" ref="F46">INDEX('Dec 14 - Dec 20'!F$2:F$115,MATCH($B46,'Dec 14 - Dec 20'!$B$2:$B$115,0))-INDEX('Dec 7 - Dec 13'!F$2:F$113,MATCH($B46,'Dec 7 - Dec 13'!$B$2:$B$113,0))</f>
        <v>1</v>
      </c>
      <c r="G46" s="15">
        <f t="array" ref="G46">INDEX('Dec 14 - Dec 20'!G$2:G$115,MATCH($B46,'Dec 14 - Dec 20'!$B$2:$B$115,0))-INDEX('Dec 7 - Dec 13'!G$2:G$113,MATCH($B46,'Dec 7 - Dec 13'!$B$2:$B$113,0))</f>
        <v>2</v>
      </c>
      <c r="H46" s="15">
        <f t="array" ref="H46">INDEX('Dec 14 - Dec 20'!H$2:H$115,MATCH($B46,'Dec 14 - Dec 20'!$B$2:$B$115,0))-INDEX('Dec 7 - Dec 13'!H$2:H$113,MATCH($B46,'Dec 7 - Dec 13'!$B$2:$B$113,0))</f>
        <v>0</v>
      </c>
      <c r="I46" s="15">
        <f t="array" ref="I46">INDEX('Dec 14 - Dec 20'!I$2:I$115,MATCH($B46,'Dec 14 - Dec 20'!$B$2:$B$115,0))-INDEX('Dec 7 - Dec 13'!I$2:I$113,MATCH($B46,'Dec 7 - Dec 13'!$B$2:$B$113,0))</f>
        <v>0</v>
      </c>
      <c r="J46" s="15">
        <f t="array" ref="J46">INDEX('Dec 14 - Dec 20'!J$2:J$115,MATCH($B46,'Dec 14 - Dec 20'!$B$2:$B$115,0))-INDEX('Dec 7 - Dec 13'!J$2:J$113,MATCH($B46,'Dec 7 - Dec 13'!$B$2:$B$113,0))</f>
        <v>0</v>
      </c>
      <c r="K46" s="15">
        <f t="array" ref="K46">INDEX('Dec 14 - Dec 20'!K$2:K$115,MATCH($B46,'Dec 14 - Dec 20'!$B$2:$B$115,0))-INDEX('Dec 7 - Dec 13'!K$2:K$113,MATCH($B46,'Dec 7 - Dec 13'!$B$2:$B$113,0))</f>
        <v>0</v>
      </c>
    </row>
    <row r="47" spans="2:11" ht="12.75">
      <c r="B47" s="13" t="s">
        <v>31</v>
      </c>
      <c r="C47" s="14" t="str">
        <f t="array" aca="1" ref="C47" ca="1">INDEX('Rooms Master'!U:U,MATCH(B47,'Rooms Master'!D:D,0))</f>
        <v>Y</v>
      </c>
      <c r="D47" s="15">
        <f t="array" ref="D47">INDEX('Dec 14 - Dec 20'!D$2:D$115,MATCH($B47,'Dec 14 - Dec 20'!$B$2:$B$115,0))-INDEX('Dec 7 - Dec 13'!D$2:D$113,MATCH($B47,'Dec 7 - Dec 13'!$B$2:$B$113,0))</f>
        <v>-5</v>
      </c>
      <c r="E47" s="15">
        <f t="array" ref="E47">INDEX('Dec 14 - Dec 20'!E$2:E$115,MATCH($B47,'Dec 14 - Dec 20'!$B$2:$B$115,0))-INDEX('Dec 7 - Dec 13'!E$2:E$113,MATCH($B47,'Dec 7 - Dec 13'!$B$2:$B$113,0))</f>
        <v>3</v>
      </c>
      <c r="F47" s="15">
        <f t="array" ref="F47">INDEX('Dec 14 - Dec 20'!F$2:F$115,MATCH($B47,'Dec 14 - Dec 20'!$B$2:$B$115,0))-INDEX('Dec 7 - Dec 13'!F$2:F$113,MATCH($B47,'Dec 7 - Dec 13'!$B$2:$B$113,0))</f>
        <v>2</v>
      </c>
      <c r="G47" s="15">
        <f t="array" ref="G47">INDEX('Dec 14 - Dec 20'!G$2:G$115,MATCH($B47,'Dec 14 - Dec 20'!$B$2:$B$115,0))-INDEX('Dec 7 - Dec 13'!G$2:G$113,MATCH($B47,'Dec 7 - Dec 13'!$B$2:$B$113,0))</f>
        <v>3</v>
      </c>
      <c r="H47" s="15">
        <f t="array" ref="H47">INDEX('Dec 14 - Dec 20'!H$2:H$115,MATCH($B47,'Dec 14 - Dec 20'!$B$2:$B$115,0))-INDEX('Dec 7 - Dec 13'!H$2:H$113,MATCH($B47,'Dec 7 - Dec 13'!$B$2:$B$113,0))</f>
        <v>0</v>
      </c>
      <c r="I47" s="15">
        <f t="array" ref="I47">INDEX('Dec 14 - Dec 20'!I$2:I$115,MATCH($B47,'Dec 14 - Dec 20'!$B$2:$B$115,0))-INDEX('Dec 7 - Dec 13'!I$2:I$113,MATCH($B47,'Dec 7 - Dec 13'!$B$2:$B$113,0))</f>
        <v>1</v>
      </c>
      <c r="J47" s="15">
        <f t="array" ref="J47">INDEX('Dec 14 - Dec 20'!J$2:J$115,MATCH($B47,'Dec 14 - Dec 20'!$B$2:$B$115,0))-INDEX('Dec 7 - Dec 13'!J$2:J$113,MATCH($B47,'Dec 7 - Dec 13'!$B$2:$B$113,0))</f>
        <v>0</v>
      </c>
      <c r="K47" s="15">
        <f t="array" ref="K47">INDEX('Dec 14 - Dec 20'!K$2:K$115,MATCH($B47,'Dec 14 - Dec 20'!$B$2:$B$115,0))-INDEX('Dec 7 - Dec 13'!K$2:K$113,MATCH($B47,'Dec 7 - Dec 13'!$B$2:$B$113,0))</f>
        <v>0</v>
      </c>
    </row>
    <row r="48" spans="2:11" ht="12.75">
      <c r="B48" s="13" t="s">
        <v>98</v>
      </c>
      <c r="C48" s="14" t="str">
        <f t="array" aca="1" ref="C48" ca="1">INDEX('Rooms Master'!U:U,MATCH(B48,'Rooms Master'!D:D,0))</f>
        <v>N</v>
      </c>
      <c r="D48" s="15">
        <f t="array" ref="D48">INDEX('Dec 14 - Dec 20'!D$2:D$115,MATCH($B48,'Dec 14 - Dec 20'!$B$2:$B$115,0))-INDEX('Dec 7 - Dec 13'!D$2:D$113,MATCH($B48,'Dec 7 - Dec 13'!$B$2:$B$113,0))</f>
        <v>-4</v>
      </c>
      <c r="E48" s="15">
        <f t="array" ref="E48">INDEX('Dec 14 - Dec 20'!E$2:E$115,MATCH($B48,'Dec 14 - Dec 20'!$B$2:$B$115,0))-INDEX('Dec 7 - Dec 13'!E$2:E$113,MATCH($B48,'Dec 7 - Dec 13'!$B$2:$B$113,0))</f>
        <v>9</v>
      </c>
      <c r="F48" s="15">
        <f t="array" ref="F48">INDEX('Dec 14 - Dec 20'!F$2:F$115,MATCH($B48,'Dec 14 - Dec 20'!$B$2:$B$115,0))-INDEX('Dec 7 - Dec 13'!F$2:F$113,MATCH($B48,'Dec 7 - Dec 13'!$B$2:$B$113,0))</f>
        <v>6</v>
      </c>
      <c r="G48" s="15">
        <f t="array" ref="G48">INDEX('Dec 14 - Dec 20'!G$2:G$115,MATCH($B48,'Dec 14 - Dec 20'!$B$2:$B$115,0))-INDEX('Dec 7 - Dec 13'!G$2:G$113,MATCH($B48,'Dec 7 - Dec 13'!$B$2:$B$113,0))</f>
        <v>4</v>
      </c>
      <c r="H48" s="15">
        <f t="array" ref="H48">INDEX('Dec 14 - Dec 20'!H$2:H$115,MATCH($B48,'Dec 14 - Dec 20'!$B$2:$B$115,0))-INDEX('Dec 7 - Dec 13'!H$2:H$113,MATCH($B48,'Dec 7 - Dec 13'!$B$2:$B$113,0))</f>
        <v>-1</v>
      </c>
      <c r="I48" s="15">
        <f t="array" ref="I48">INDEX('Dec 14 - Dec 20'!I$2:I$115,MATCH($B48,'Dec 14 - Dec 20'!$B$2:$B$115,0))-INDEX('Dec 7 - Dec 13'!I$2:I$113,MATCH($B48,'Dec 7 - Dec 13'!$B$2:$B$113,0))</f>
        <v>0</v>
      </c>
      <c r="J48" s="15">
        <f t="array" ref="J48">INDEX('Dec 14 - Dec 20'!J$2:J$115,MATCH($B48,'Dec 14 - Dec 20'!$B$2:$B$115,0))-INDEX('Dec 7 - Dec 13'!J$2:J$113,MATCH($B48,'Dec 7 - Dec 13'!$B$2:$B$113,0))</f>
        <v>0</v>
      </c>
      <c r="K48" s="15">
        <f t="array" ref="K48">INDEX('Dec 14 - Dec 20'!K$2:K$115,MATCH($B48,'Dec 14 - Dec 20'!$B$2:$B$115,0))-INDEX('Dec 7 - Dec 13'!K$2:K$113,MATCH($B48,'Dec 7 - Dec 13'!$B$2:$B$113,0))</f>
        <v>0</v>
      </c>
    </row>
    <row r="49" spans="2:11" ht="12.75">
      <c r="B49" s="13" t="s">
        <v>59</v>
      </c>
      <c r="C49" s="14" t="str">
        <f t="array" aca="1" ref="C49" ca="1">INDEX('Rooms Master'!U:U,MATCH(B49,'Rooms Master'!D:D,0))</f>
        <v>Y</v>
      </c>
      <c r="D49" s="15">
        <f t="array" ref="D49">INDEX('Dec 14 - Dec 20'!D$2:D$115,MATCH($B49,'Dec 14 - Dec 20'!$B$2:$B$115,0))-INDEX('Dec 7 - Dec 13'!D$2:D$113,MATCH($B49,'Dec 7 - Dec 13'!$B$2:$B$113,0))</f>
        <v>-12</v>
      </c>
      <c r="E49" s="15">
        <f t="array" ref="E49">INDEX('Dec 14 - Dec 20'!E$2:E$115,MATCH($B49,'Dec 14 - Dec 20'!$B$2:$B$115,0))-INDEX('Dec 7 - Dec 13'!E$2:E$113,MATCH($B49,'Dec 7 - Dec 13'!$B$2:$B$113,0))</f>
        <v>14</v>
      </c>
      <c r="F49" s="15">
        <f t="array" ref="F49">INDEX('Dec 14 - Dec 20'!F$2:F$115,MATCH($B49,'Dec 14 - Dec 20'!$B$2:$B$115,0))-INDEX('Dec 7 - Dec 13'!F$2:F$113,MATCH($B49,'Dec 7 - Dec 13'!$B$2:$B$113,0))</f>
        <v>8</v>
      </c>
      <c r="G49" s="15">
        <f t="array" ref="G49">INDEX('Dec 14 - Dec 20'!G$2:G$115,MATCH($B49,'Dec 14 - Dec 20'!$B$2:$B$115,0))-INDEX('Dec 7 - Dec 13'!G$2:G$113,MATCH($B49,'Dec 7 - Dec 13'!$B$2:$B$113,0))</f>
        <v>4</v>
      </c>
      <c r="H49" s="15">
        <f t="array" ref="H49">INDEX('Dec 14 - Dec 20'!H$2:H$115,MATCH($B49,'Dec 14 - Dec 20'!$B$2:$B$115,0))-INDEX('Dec 7 - Dec 13'!H$2:H$113,MATCH($B49,'Dec 7 - Dec 13'!$B$2:$B$113,0))</f>
        <v>-1</v>
      </c>
      <c r="I49" s="15">
        <f t="array" ref="I49">INDEX('Dec 14 - Dec 20'!I$2:I$115,MATCH($B49,'Dec 14 - Dec 20'!$B$2:$B$115,0))-INDEX('Dec 7 - Dec 13'!I$2:I$113,MATCH($B49,'Dec 7 - Dec 13'!$B$2:$B$113,0))</f>
        <v>0</v>
      </c>
      <c r="J49" s="15">
        <f t="array" ref="J49">INDEX('Dec 14 - Dec 20'!J$2:J$115,MATCH($B49,'Dec 14 - Dec 20'!$B$2:$B$115,0))-INDEX('Dec 7 - Dec 13'!J$2:J$113,MATCH($B49,'Dec 7 - Dec 13'!$B$2:$B$113,0))</f>
        <v>0</v>
      </c>
      <c r="K49" s="15">
        <f t="array" ref="K49">INDEX('Dec 14 - Dec 20'!K$2:K$115,MATCH($B49,'Dec 14 - Dec 20'!$B$2:$B$115,0))-INDEX('Dec 7 - Dec 13'!K$2:K$113,MATCH($B49,'Dec 7 - Dec 13'!$B$2:$B$113,0))</f>
        <v>0</v>
      </c>
    </row>
    <row r="50" spans="2:11" ht="12.75">
      <c r="B50" s="13" t="s">
        <v>41</v>
      </c>
      <c r="C50" s="14" t="str">
        <f t="array" aca="1" ref="C50" ca="1">INDEX('Rooms Master'!U:U,MATCH(B50,'Rooms Master'!D:D,0))</f>
        <v>Y</v>
      </c>
      <c r="D50" s="15">
        <f t="array" ref="D50">INDEX('Dec 14 - Dec 20'!D$2:D$115,MATCH($B50,'Dec 14 - Dec 20'!$B$2:$B$115,0))-INDEX('Dec 7 - Dec 13'!D$2:D$113,MATCH($B50,'Dec 7 - Dec 13'!$B$2:$B$113,0))</f>
        <v>-5</v>
      </c>
      <c r="E50" s="15">
        <f t="array" ref="E50">INDEX('Dec 14 - Dec 20'!E$2:E$115,MATCH($B50,'Dec 14 - Dec 20'!$B$2:$B$115,0))-INDEX('Dec 7 - Dec 13'!E$2:E$113,MATCH($B50,'Dec 7 - Dec 13'!$B$2:$B$113,0))</f>
        <v>-2</v>
      </c>
      <c r="F50" s="15">
        <f t="array" ref="F50">INDEX('Dec 14 - Dec 20'!F$2:F$115,MATCH($B50,'Dec 14 - Dec 20'!$B$2:$B$115,0))-INDEX('Dec 7 - Dec 13'!F$2:F$113,MATCH($B50,'Dec 7 - Dec 13'!$B$2:$B$113,0))</f>
        <v>5</v>
      </c>
      <c r="G50" s="15">
        <f t="array" ref="G50">INDEX('Dec 14 - Dec 20'!G$2:G$115,MATCH($B50,'Dec 14 - Dec 20'!$B$2:$B$115,0))-INDEX('Dec 7 - Dec 13'!G$2:G$113,MATCH($B50,'Dec 7 - Dec 13'!$B$2:$B$113,0))</f>
        <v>2</v>
      </c>
      <c r="H50" s="15">
        <f t="array" ref="H50">INDEX('Dec 14 - Dec 20'!H$2:H$115,MATCH($B50,'Dec 14 - Dec 20'!$B$2:$B$115,0))-INDEX('Dec 7 - Dec 13'!H$2:H$113,MATCH($B50,'Dec 7 - Dec 13'!$B$2:$B$113,0))</f>
        <v>-1</v>
      </c>
      <c r="I50" s="15">
        <f t="array" ref="I50">INDEX('Dec 14 - Dec 20'!I$2:I$115,MATCH($B50,'Dec 14 - Dec 20'!$B$2:$B$115,0))-INDEX('Dec 7 - Dec 13'!I$2:I$113,MATCH($B50,'Dec 7 - Dec 13'!$B$2:$B$113,0))</f>
        <v>0</v>
      </c>
      <c r="J50" s="15">
        <f t="array" ref="J50">INDEX('Dec 14 - Dec 20'!J$2:J$115,MATCH($B50,'Dec 14 - Dec 20'!$B$2:$B$115,0))-INDEX('Dec 7 - Dec 13'!J$2:J$113,MATCH($B50,'Dec 7 - Dec 13'!$B$2:$B$113,0))</f>
        <v>0</v>
      </c>
      <c r="K50" s="15">
        <f t="array" ref="K50">INDEX('Dec 14 - Dec 20'!K$2:K$115,MATCH($B50,'Dec 14 - Dec 20'!$B$2:$B$115,0))-INDEX('Dec 7 - Dec 13'!K$2:K$113,MATCH($B50,'Dec 7 - Dec 13'!$B$2:$B$113,0))</f>
        <v>0</v>
      </c>
    </row>
    <row r="51" spans="2:11" ht="12.75">
      <c r="B51" s="13" t="s">
        <v>70</v>
      </c>
      <c r="C51" s="14" t="str">
        <f t="array" aca="1" ref="C51" ca="1">INDEX('Rooms Master'!U:U,MATCH(B51,'Rooms Master'!D:D,0))</f>
        <v>N</v>
      </c>
      <c r="D51" s="15">
        <f t="array" ref="D51">INDEX('Dec 14 - Dec 20'!D$2:D$115,MATCH($B51,'Dec 14 - Dec 20'!$B$2:$B$115,0))-INDEX('Dec 7 - Dec 13'!D$2:D$113,MATCH($B51,'Dec 7 - Dec 13'!$B$2:$B$113,0))</f>
        <v>-5</v>
      </c>
      <c r="E51" s="15">
        <f t="array" ref="E51">INDEX('Dec 14 - Dec 20'!E$2:E$115,MATCH($B51,'Dec 14 - Dec 20'!$B$2:$B$115,0))-INDEX('Dec 7 - Dec 13'!E$2:E$113,MATCH($B51,'Dec 7 - Dec 13'!$B$2:$B$113,0))</f>
        <v>-2</v>
      </c>
      <c r="F51" s="15">
        <f t="array" ref="F51">INDEX('Dec 14 - Dec 20'!F$2:F$115,MATCH($B51,'Dec 14 - Dec 20'!$B$2:$B$115,0))-INDEX('Dec 7 - Dec 13'!F$2:F$113,MATCH($B51,'Dec 7 - Dec 13'!$B$2:$B$113,0))</f>
        <v>-1</v>
      </c>
      <c r="G51" s="15">
        <f t="array" ref="G51">INDEX('Dec 14 - Dec 20'!G$2:G$115,MATCH($B51,'Dec 14 - Dec 20'!$B$2:$B$115,0))-INDEX('Dec 7 - Dec 13'!G$2:G$113,MATCH($B51,'Dec 7 - Dec 13'!$B$2:$B$113,0))</f>
        <v>2</v>
      </c>
      <c r="H51" s="15">
        <f t="array" ref="H51">INDEX('Dec 14 - Dec 20'!H$2:H$115,MATCH($B51,'Dec 14 - Dec 20'!$B$2:$B$115,0))-INDEX('Dec 7 - Dec 13'!H$2:H$113,MATCH($B51,'Dec 7 - Dec 13'!$B$2:$B$113,0))</f>
        <v>0</v>
      </c>
      <c r="I51" s="15">
        <f t="array" ref="I51">INDEX('Dec 14 - Dec 20'!I$2:I$115,MATCH($B51,'Dec 14 - Dec 20'!$B$2:$B$115,0))-INDEX('Dec 7 - Dec 13'!I$2:I$113,MATCH($B51,'Dec 7 - Dec 13'!$B$2:$B$113,0))</f>
        <v>0</v>
      </c>
      <c r="J51" s="15">
        <f t="array" ref="J51">INDEX('Dec 14 - Dec 20'!J$2:J$115,MATCH($B51,'Dec 14 - Dec 20'!$B$2:$B$115,0))-INDEX('Dec 7 - Dec 13'!J$2:J$113,MATCH($B51,'Dec 7 - Dec 13'!$B$2:$B$113,0))</f>
        <v>0</v>
      </c>
      <c r="K51" s="15">
        <f t="array" ref="K51">INDEX('Dec 14 - Dec 20'!K$2:K$115,MATCH($B51,'Dec 14 - Dec 20'!$B$2:$B$115,0))-INDEX('Dec 7 - Dec 13'!K$2:K$113,MATCH($B51,'Dec 7 - Dec 13'!$B$2:$B$113,0))</f>
        <v>0</v>
      </c>
    </row>
    <row r="52" spans="2:11" ht="12.75">
      <c r="B52" s="13" t="s">
        <v>85</v>
      </c>
      <c r="C52" s="14" t="str">
        <f t="array" aca="1" ref="C52" ca="1">INDEX('Rooms Master'!U:U,MATCH(B52,'Rooms Master'!D:D,0))</f>
        <v>N</v>
      </c>
      <c r="D52" s="15">
        <f t="array" ref="D52">INDEX('Dec 14 - Dec 20'!D$2:D$115,MATCH($B52,'Dec 14 - Dec 20'!$B$2:$B$115,0))-INDEX('Dec 7 - Dec 13'!D$2:D$113,MATCH($B52,'Dec 7 - Dec 13'!$B$2:$B$113,0))</f>
        <v>0</v>
      </c>
      <c r="E52" s="15">
        <f t="array" ref="E52">INDEX('Dec 14 - Dec 20'!E$2:E$115,MATCH($B52,'Dec 14 - Dec 20'!$B$2:$B$115,0))-INDEX('Dec 7 - Dec 13'!E$2:E$113,MATCH($B52,'Dec 7 - Dec 13'!$B$2:$B$113,0))</f>
        <v>-4</v>
      </c>
      <c r="F52" s="15">
        <f t="array" ref="F52">INDEX('Dec 14 - Dec 20'!F$2:F$115,MATCH($B52,'Dec 14 - Dec 20'!$B$2:$B$115,0))-INDEX('Dec 7 - Dec 13'!F$2:F$113,MATCH($B52,'Dec 7 - Dec 13'!$B$2:$B$113,0))</f>
        <v>4</v>
      </c>
      <c r="G52" s="15">
        <f t="array" ref="G52">INDEX('Dec 14 - Dec 20'!G$2:G$115,MATCH($B52,'Dec 14 - Dec 20'!$B$2:$B$115,0))-INDEX('Dec 7 - Dec 13'!G$2:G$113,MATCH($B52,'Dec 7 - Dec 13'!$B$2:$B$113,0))</f>
        <v>1</v>
      </c>
      <c r="H52" s="15">
        <f t="array" ref="H52">INDEX('Dec 14 - Dec 20'!H$2:H$115,MATCH($B52,'Dec 14 - Dec 20'!$B$2:$B$115,0))-INDEX('Dec 7 - Dec 13'!H$2:H$113,MATCH($B52,'Dec 7 - Dec 13'!$B$2:$B$113,0))</f>
        <v>0</v>
      </c>
      <c r="I52" s="15">
        <f t="array" ref="I52">INDEX('Dec 14 - Dec 20'!I$2:I$115,MATCH($B52,'Dec 14 - Dec 20'!$B$2:$B$115,0))-INDEX('Dec 7 - Dec 13'!I$2:I$113,MATCH($B52,'Dec 7 - Dec 13'!$B$2:$B$113,0))</f>
        <v>0</v>
      </c>
      <c r="J52" s="15">
        <f t="array" ref="J52">INDEX('Dec 14 - Dec 20'!J$2:J$115,MATCH($B52,'Dec 14 - Dec 20'!$B$2:$B$115,0))-INDEX('Dec 7 - Dec 13'!J$2:J$113,MATCH($B52,'Dec 7 - Dec 13'!$B$2:$B$113,0))</f>
        <v>-1</v>
      </c>
      <c r="K52" s="15">
        <f t="array" ref="K52">INDEX('Dec 14 - Dec 20'!K$2:K$115,MATCH($B52,'Dec 14 - Dec 20'!$B$2:$B$115,0))-INDEX('Dec 7 - Dec 13'!K$2:K$113,MATCH($B52,'Dec 7 - Dec 13'!$B$2:$B$113,0))</f>
        <v>-1</v>
      </c>
    </row>
    <row r="53" spans="2:11" ht="12.75">
      <c r="B53" s="13" t="s">
        <v>119</v>
      </c>
      <c r="C53" s="14" t="str">
        <f t="array" aca="1" ref="C53" ca="1">INDEX('Rooms Master'!U:U,MATCH(B53,'Rooms Master'!D:D,0))</f>
        <v>N</v>
      </c>
      <c r="D53" s="15">
        <f t="array" ref="D53">INDEX('Dec 14 - Dec 20'!D$2:D$115,MATCH($B53,'Dec 14 - Dec 20'!$B$2:$B$115,0))-INDEX('Dec 7 - Dec 13'!D$2:D$113,MATCH($B53,'Dec 7 - Dec 13'!$B$2:$B$113,0))</f>
        <v>0</v>
      </c>
      <c r="E53" s="15">
        <f t="array" ref="E53">INDEX('Dec 14 - Dec 20'!E$2:E$115,MATCH($B53,'Dec 14 - Dec 20'!$B$2:$B$115,0))-INDEX('Dec 7 - Dec 13'!E$2:E$113,MATCH($B53,'Dec 7 - Dec 13'!$B$2:$B$113,0))</f>
        <v>-1</v>
      </c>
      <c r="F53" s="15">
        <f t="array" ref="F53">INDEX('Dec 14 - Dec 20'!F$2:F$115,MATCH($B53,'Dec 14 - Dec 20'!$B$2:$B$115,0))-INDEX('Dec 7 - Dec 13'!F$2:F$113,MATCH($B53,'Dec 7 - Dec 13'!$B$2:$B$113,0))</f>
        <v>-1</v>
      </c>
      <c r="G53" s="15">
        <f t="array" ref="G53">INDEX('Dec 14 - Dec 20'!G$2:G$115,MATCH($B53,'Dec 14 - Dec 20'!$B$2:$B$115,0))-INDEX('Dec 7 - Dec 13'!G$2:G$113,MATCH($B53,'Dec 7 - Dec 13'!$B$2:$B$113,0))</f>
        <v>0</v>
      </c>
      <c r="H53" s="15">
        <f t="array" ref="H53">INDEX('Dec 14 - Dec 20'!H$2:H$115,MATCH($B53,'Dec 14 - Dec 20'!$B$2:$B$115,0))-INDEX('Dec 7 - Dec 13'!H$2:H$113,MATCH($B53,'Dec 7 - Dec 13'!$B$2:$B$113,0))</f>
        <v>0</v>
      </c>
      <c r="I53" s="15">
        <f t="array" ref="I53">INDEX('Dec 14 - Dec 20'!I$2:I$115,MATCH($B53,'Dec 14 - Dec 20'!$B$2:$B$115,0))-INDEX('Dec 7 - Dec 13'!I$2:I$113,MATCH($B53,'Dec 7 - Dec 13'!$B$2:$B$113,0))</f>
        <v>0</v>
      </c>
      <c r="J53" s="15">
        <f t="array" ref="J53">INDEX('Dec 14 - Dec 20'!J$2:J$115,MATCH($B53,'Dec 14 - Dec 20'!$B$2:$B$115,0))-INDEX('Dec 7 - Dec 13'!J$2:J$113,MATCH($B53,'Dec 7 - Dec 13'!$B$2:$B$113,0))</f>
        <v>0</v>
      </c>
      <c r="K53" s="15">
        <f t="array" ref="K53">INDEX('Dec 14 - Dec 20'!K$2:K$115,MATCH($B53,'Dec 14 - Dec 20'!$B$2:$B$115,0))-INDEX('Dec 7 - Dec 13'!K$2:K$113,MATCH($B53,'Dec 7 - Dec 13'!$B$2:$B$113,0))</f>
        <v>0</v>
      </c>
    </row>
    <row r="54" spans="2:11" ht="12.75">
      <c r="B54" s="13" t="s">
        <v>101</v>
      </c>
      <c r="C54" s="14" t="str">
        <f t="array" aca="1" ref="C54" ca="1">INDEX('Rooms Master'!U:U,MATCH(B54,'Rooms Master'!D:D,0))</f>
        <v>N</v>
      </c>
      <c r="D54" s="15">
        <f t="array" ref="D54">INDEX('Dec 14 - Dec 20'!D$2:D$115,MATCH($B54,'Dec 14 - Dec 20'!$B$2:$B$115,0))-INDEX('Dec 7 - Dec 13'!D$2:D$113,MATCH($B54,'Dec 7 - Dec 13'!$B$2:$B$113,0))</f>
        <v>-6</v>
      </c>
      <c r="E54" s="15">
        <f t="array" ref="E54">INDEX('Dec 14 - Dec 20'!E$2:E$115,MATCH($B54,'Dec 14 - Dec 20'!$B$2:$B$115,0))-INDEX('Dec 7 - Dec 13'!E$2:E$113,MATCH($B54,'Dec 7 - Dec 13'!$B$2:$B$113,0))</f>
        <v>3</v>
      </c>
      <c r="F54" s="15">
        <f t="array" ref="F54">INDEX('Dec 14 - Dec 20'!F$2:F$115,MATCH($B54,'Dec 14 - Dec 20'!$B$2:$B$115,0))-INDEX('Dec 7 - Dec 13'!F$2:F$113,MATCH($B54,'Dec 7 - Dec 13'!$B$2:$B$113,0))</f>
        <v>6</v>
      </c>
      <c r="G54" s="15">
        <f t="array" ref="G54">INDEX('Dec 14 - Dec 20'!G$2:G$115,MATCH($B54,'Dec 14 - Dec 20'!$B$2:$B$115,0))-INDEX('Dec 7 - Dec 13'!G$2:G$113,MATCH($B54,'Dec 7 - Dec 13'!$B$2:$B$113,0))</f>
        <v>3</v>
      </c>
      <c r="H54" s="15">
        <f t="array" ref="H54">INDEX('Dec 14 - Dec 20'!H$2:H$115,MATCH($B54,'Dec 14 - Dec 20'!$B$2:$B$115,0))-INDEX('Dec 7 - Dec 13'!H$2:H$113,MATCH($B54,'Dec 7 - Dec 13'!$B$2:$B$113,0))</f>
        <v>0</v>
      </c>
      <c r="I54" s="15">
        <f t="array" ref="I54">INDEX('Dec 14 - Dec 20'!I$2:I$115,MATCH($B54,'Dec 14 - Dec 20'!$B$2:$B$115,0))-INDEX('Dec 7 - Dec 13'!I$2:I$113,MATCH($B54,'Dec 7 - Dec 13'!$B$2:$B$113,0))</f>
        <v>0</v>
      </c>
      <c r="J54" s="15">
        <f t="array" ref="J54">INDEX('Dec 14 - Dec 20'!J$2:J$115,MATCH($B54,'Dec 14 - Dec 20'!$B$2:$B$115,0))-INDEX('Dec 7 - Dec 13'!J$2:J$113,MATCH($B54,'Dec 7 - Dec 13'!$B$2:$B$113,0))</f>
        <v>1</v>
      </c>
      <c r="K54" s="15">
        <f t="array" ref="K54">INDEX('Dec 14 - Dec 20'!K$2:K$115,MATCH($B54,'Dec 14 - Dec 20'!$B$2:$B$115,0))-INDEX('Dec 7 - Dec 13'!K$2:K$113,MATCH($B54,'Dec 7 - Dec 13'!$B$2:$B$113,0))</f>
        <v>0</v>
      </c>
    </row>
    <row r="55" spans="2:11" ht="12.75">
      <c r="B55" s="13" t="s">
        <v>52</v>
      </c>
      <c r="C55" s="14" t="str">
        <f t="array" aca="1" ref="C55" ca="1">INDEX('Rooms Master'!U:U,MATCH(B55,'Rooms Master'!D:D,0))</f>
        <v>Y</v>
      </c>
      <c r="D55" s="15">
        <f t="array" ref="D55">INDEX('Dec 14 - Dec 20'!D$2:D$115,MATCH($B55,'Dec 14 - Dec 20'!$B$2:$B$115,0))-INDEX('Dec 7 - Dec 13'!D$2:D$113,MATCH($B55,'Dec 7 - Dec 13'!$B$2:$B$113,0))</f>
        <v>-8</v>
      </c>
      <c r="E55" s="15">
        <f t="array" ref="E55">INDEX('Dec 14 - Dec 20'!E$2:E$115,MATCH($B55,'Dec 14 - Dec 20'!$B$2:$B$115,0))-INDEX('Dec 7 - Dec 13'!E$2:E$113,MATCH($B55,'Dec 7 - Dec 13'!$B$2:$B$113,0))</f>
        <v>-1</v>
      </c>
      <c r="F55" s="15">
        <f t="array" ref="F55">INDEX('Dec 14 - Dec 20'!F$2:F$115,MATCH($B55,'Dec 14 - Dec 20'!$B$2:$B$115,0))-INDEX('Dec 7 - Dec 13'!F$2:F$113,MATCH($B55,'Dec 7 - Dec 13'!$B$2:$B$113,0))</f>
        <v>0</v>
      </c>
      <c r="G55" s="15">
        <f t="array" ref="G55">INDEX('Dec 14 - Dec 20'!G$2:G$115,MATCH($B55,'Dec 14 - Dec 20'!$B$2:$B$115,0))-INDEX('Dec 7 - Dec 13'!G$2:G$113,MATCH($B55,'Dec 7 - Dec 13'!$B$2:$B$113,0))</f>
        <v>2</v>
      </c>
      <c r="H55" s="15">
        <f t="array" ref="H55">INDEX('Dec 14 - Dec 20'!H$2:H$115,MATCH($B55,'Dec 14 - Dec 20'!$B$2:$B$115,0))-INDEX('Dec 7 - Dec 13'!H$2:H$113,MATCH($B55,'Dec 7 - Dec 13'!$B$2:$B$113,0))</f>
        <v>0</v>
      </c>
      <c r="I55" s="15">
        <f t="array" ref="I55">INDEX('Dec 14 - Dec 20'!I$2:I$115,MATCH($B55,'Dec 14 - Dec 20'!$B$2:$B$115,0))-INDEX('Dec 7 - Dec 13'!I$2:I$113,MATCH($B55,'Dec 7 - Dec 13'!$B$2:$B$113,0))</f>
        <v>0</v>
      </c>
      <c r="J55" s="15">
        <f t="array" ref="J55">INDEX('Dec 14 - Dec 20'!J$2:J$115,MATCH($B55,'Dec 14 - Dec 20'!$B$2:$B$115,0))-INDEX('Dec 7 - Dec 13'!J$2:J$113,MATCH($B55,'Dec 7 - Dec 13'!$B$2:$B$113,0))</f>
        <v>0</v>
      </c>
      <c r="K55" s="15">
        <f t="array" ref="K55">INDEX('Dec 14 - Dec 20'!K$2:K$115,MATCH($B55,'Dec 14 - Dec 20'!$B$2:$B$115,0))-INDEX('Dec 7 - Dec 13'!K$2:K$113,MATCH($B55,'Dec 7 - Dec 13'!$B$2:$B$113,0))</f>
        <v>0</v>
      </c>
    </row>
    <row r="56" spans="2:11" ht="12.75">
      <c r="B56" s="13" t="s">
        <v>61</v>
      </c>
      <c r="C56" s="14" t="str">
        <f t="array" aca="1" ref="C56" ca="1">INDEX('Rooms Master'!U:U,MATCH(B56,'Rooms Master'!D:D,0))</f>
        <v>Y</v>
      </c>
      <c r="D56" s="15">
        <f t="array" ref="D56">INDEX('Dec 14 - Dec 20'!D$2:D$115,MATCH($B56,'Dec 14 - Dec 20'!$B$2:$B$115,0))-INDEX('Dec 7 - Dec 13'!D$2:D$113,MATCH($B56,'Dec 7 - Dec 13'!$B$2:$B$113,0))</f>
        <v>-6</v>
      </c>
      <c r="E56" s="15">
        <f t="array" ref="E56">INDEX('Dec 14 - Dec 20'!E$2:E$115,MATCH($B56,'Dec 14 - Dec 20'!$B$2:$B$115,0))-INDEX('Dec 7 - Dec 13'!E$2:E$113,MATCH($B56,'Dec 7 - Dec 13'!$B$2:$B$113,0))</f>
        <v>-5</v>
      </c>
      <c r="F56" s="15">
        <f t="array" ref="F56">INDEX('Dec 14 - Dec 20'!F$2:F$115,MATCH($B56,'Dec 14 - Dec 20'!$B$2:$B$115,0))-INDEX('Dec 7 - Dec 13'!F$2:F$113,MATCH($B56,'Dec 7 - Dec 13'!$B$2:$B$113,0))</f>
        <v>-2</v>
      </c>
      <c r="G56" s="15">
        <f t="array" ref="G56">INDEX('Dec 14 - Dec 20'!G$2:G$115,MATCH($B56,'Dec 14 - Dec 20'!$B$2:$B$115,0))-INDEX('Dec 7 - Dec 13'!G$2:G$113,MATCH($B56,'Dec 7 - Dec 13'!$B$2:$B$113,0))</f>
        <v>3</v>
      </c>
      <c r="H56" s="15">
        <f t="array" ref="H56">INDEX('Dec 14 - Dec 20'!H$2:H$115,MATCH($B56,'Dec 14 - Dec 20'!$B$2:$B$115,0))-INDEX('Dec 7 - Dec 13'!H$2:H$113,MATCH($B56,'Dec 7 - Dec 13'!$B$2:$B$113,0))</f>
        <v>0</v>
      </c>
      <c r="I56" s="15">
        <f t="array" ref="I56">INDEX('Dec 14 - Dec 20'!I$2:I$115,MATCH($B56,'Dec 14 - Dec 20'!$B$2:$B$115,0))-INDEX('Dec 7 - Dec 13'!I$2:I$113,MATCH($B56,'Dec 7 - Dec 13'!$B$2:$B$113,0))</f>
        <v>-1</v>
      </c>
      <c r="J56" s="15">
        <f t="array" ref="J56">INDEX('Dec 14 - Dec 20'!J$2:J$115,MATCH($B56,'Dec 14 - Dec 20'!$B$2:$B$115,0))-INDEX('Dec 7 - Dec 13'!J$2:J$113,MATCH($B56,'Dec 7 - Dec 13'!$B$2:$B$113,0))</f>
        <v>0</v>
      </c>
      <c r="K56" s="15">
        <f t="array" ref="K56">INDEX('Dec 14 - Dec 20'!K$2:K$115,MATCH($B56,'Dec 14 - Dec 20'!$B$2:$B$115,0))-INDEX('Dec 7 - Dec 13'!K$2:K$113,MATCH($B56,'Dec 7 - Dec 13'!$B$2:$B$113,0))</f>
        <v>0</v>
      </c>
    </row>
    <row r="57" spans="2:11" ht="12.75">
      <c r="B57" s="13" t="s">
        <v>44</v>
      </c>
      <c r="C57" s="14" t="str">
        <f t="array" aca="1" ref="C57" ca="1">INDEX('Rooms Master'!U:U,MATCH(B57,'Rooms Master'!D:D,0))</f>
        <v>Y</v>
      </c>
      <c r="D57" s="15">
        <f t="array" ref="D57">INDEX('Dec 14 - Dec 20'!D$2:D$115,MATCH($B57,'Dec 14 - Dec 20'!$B$2:$B$115,0))-INDEX('Dec 7 - Dec 13'!D$2:D$113,MATCH($B57,'Dec 7 - Dec 13'!$B$2:$B$113,0))</f>
        <v>0</v>
      </c>
      <c r="E57" s="15">
        <f t="array" ref="E57">INDEX('Dec 14 - Dec 20'!E$2:E$115,MATCH($B57,'Dec 14 - Dec 20'!$B$2:$B$115,0))-INDEX('Dec 7 - Dec 13'!E$2:E$113,MATCH($B57,'Dec 7 - Dec 13'!$B$2:$B$113,0))</f>
        <v>-10</v>
      </c>
      <c r="F57" s="15">
        <f t="array" ref="F57">INDEX('Dec 14 - Dec 20'!F$2:F$115,MATCH($B57,'Dec 14 - Dec 20'!$B$2:$B$115,0))-INDEX('Dec 7 - Dec 13'!F$2:F$113,MATCH($B57,'Dec 7 - Dec 13'!$B$2:$B$113,0))</f>
        <v>-2</v>
      </c>
      <c r="G57" s="15">
        <f t="array" ref="G57">INDEX('Dec 14 - Dec 20'!G$2:G$115,MATCH($B57,'Dec 14 - Dec 20'!$B$2:$B$115,0))-INDEX('Dec 7 - Dec 13'!G$2:G$113,MATCH($B57,'Dec 7 - Dec 13'!$B$2:$B$113,0))</f>
        <v>2</v>
      </c>
      <c r="H57" s="15">
        <f t="array" ref="H57">INDEX('Dec 14 - Dec 20'!H$2:H$115,MATCH($B57,'Dec 14 - Dec 20'!$B$2:$B$115,0))-INDEX('Dec 7 - Dec 13'!H$2:H$113,MATCH($B57,'Dec 7 - Dec 13'!$B$2:$B$113,0))</f>
        <v>4</v>
      </c>
      <c r="I57" s="15">
        <f t="array" ref="I57">INDEX('Dec 14 - Dec 20'!I$2:I$115,MATCH($B57,'Dec 14 - Dec 20'!$B$2:$B$115,0))-INDEX('Dec 7 - Dec 13'!I$2:I$113,MATCH($B57,'Dec 7 - Dec 13'!$B$2:$B$113,0))</f>
        <v>1</v>
      </c>
      <c r="J57" s="15">
        <f t="array" ref="J57">INDEX('Dec 14 - Dec 20'!J$2:J$115,MATCH($B57,'Dec 14 - Dec 20'!$B$2:$B$115,0))-INDEX('Dec 7 - Dec 13'!J$2:J$113,MATCH($B57,'Dec 7 - Dec 13'!$B$2:$B$113,0))</f>
        <v>1</v>
      </c>
      <c r="K57" s="15">
        <f t="array" ref="K57">INDEX('Dec 14 - Dec 20'!K$2:K$115,MATCH($B57,'Dec 14 - Dec 20'!$B$2:$B$115,0))-INDEX('Dec 7 - Dec 13'!K$2:K$113,MATCH($B57,'Dec 7 - Dec 13'!$B$2:$B$113,0))</f>
        <v>1</v>
      </c>
    </row>
    <row r="58" spans="2:11" ht="12.75">
      <c r="B58" s="13" t="s">
        <v>108</v>
      </c>
      <c r="C58" s="14" t="str">
        <f t="array" aca="1" ref="C58" ca="1">INDEX('Rooms Master'!U:U,MATCH(B58,'Rooms Master'!D:D,0))</f>
        <v>Y</v>
      </c>
      <c r="D58" s="15">
        <f t="array" ref="D58">INDEX('Dec 14 - Dec 20'!D$2:D$115,MATCH($B58,'Dec 14 - Dec 20'!$B$2:$B$115,0))-INDEX('Dec 7 - Dec 13'!D$2:D$113,MATCH($B58,'Dec 7 - Dec 13'!$B$2:$B$113,0))</f>
        <v>-7</v>
      </c>
      <c r="E58" s="15">
        <f t="array" ref="E58">INDEX('Dec 14 - Dec 20'!E$2:E$115,MATCH($B58,'Dec 14 - Dec 20'!$B$2:$B$115,0))-INDEX('Dec 7 - Dec 13'!E$2:E$113,MATCH($B58,'Dec 7 - Dec 13'!$B$2:$B$113,0))</f>
        <v>-2</v>
      </c>
      <c r="F58" s="15">
        <f t="array" ref="F58">INDEX('Dec 14 - Dec 20'!F$2:F$115,MATCH($B58,'Dec 14 - Dec 20'!$B$2:$B$115,0))-INDEX('Dec 7 - Dec 13'!F$2:F$113,MATCH($B58,'Dec 7 - Dec 13'!$B$2:$B$113,0))</f>
        <v>-1</v>
      </c>
      <c r="G58" s="15">
        <f t="array" ref="G58">INDEX('Dec 14 - Dec 20'!G$2:G$115,MATCH($B58,'Dec 14 - Dec 20'!$B$2:$B$115,0))-INDEX('Dec 7 - Dec 13'!G$2:G$113,MATCH($B58,'Dec 7 - Dec 13'!$B$2:$B$113,0))</f>
        <v>1</v>
      </c>
      <c r="H58" s="15">
        <f t="array" ref="H58">INDEX('Dec 14 - Dec 20'!H$2:H$115,MATCH($B58,'Dec 14 - Dec 20'!$B$2:$B$115,0))-INDEX('Dec 7 - Dec 13'!H$2:H$113,MATCH($B58,'Dec 7 - Dec 13'!$B$2:$B$113,0))</f>
        <v>4</v>
      </c>
      <c r="I58" s="15">
        <f t="array" ref="I58">INDEX('Dec 14 - Dec 20'!I$2:I$115,MATCH($B58,'Dec 14 - Dec 20'!$B$2:$B$115,0))-INDEX('Dec 7 - Dec 13'!I$2:I$113,MATCH($B58,'Dec 7 - Dec 13'!$B$2:$B$113,0))</f>
        <v>0</v>
      </c>
      <c r="J58" s="15">
        <f t="array" ref="J58">INDEX('Dec 14 - Dec 20'!J$2:J$115,MATCH($B58,'Dec 14 - Dec 20'!$B$2:$B$115,0))-INDEX('Dec 7 - Dec 13'!J$2:J$113,MATCH($B58,'Dec 7 - Dec 13'!$B$2:$B$113,0))</f>
        <v>0</v>
      </c>
      <c r="K58" s="15">
        <f t="array" ref="K58">INDEX('Dec 14 - Dec 20'!K$2:K$115,MATCH($B58,'Dec 14 - Dec 20'!$B$2:$B$115,0))-INDEX('Dec 7 - Dec 13'!K$2:K$113,MATCH($B58,'Dec 7 - Dec 13'!$B$2:$B$113,0))</f>
        <v>0</v>
      </c>
    </row>
    <row r="59" spans="2:11" ht="12.75">
      <c r="B59" s="13" t="s">
        <v>88</v>
      </c>
      <c r="C59" s="14" t="str">
        <f t="array" aca="1" ref="C59" ca="1">INDEX('Rooms Master'!U:U,MATCH(B59,'Rooms Master'!D:D,0))</f>
        <v>N</v>
      </c>
      <c r="D59" s="15">
        <f t="array" ref="D59">INDEX('Dec 14 - Dec 20'!D$2:D$115,MATCH($B59,'Dec 14 - Dec 20'!$B$2:$B$115,0))-INDEX('Dec 7 - Dec 13'!D$2:D$113,MATCH($B59,'Dec 7 - Dec 13'!$B$2:$B$113,0))</f>
        <v>-7</v>
      </c>
      <c r="E59" s="15">
        <f t="array" ref="E59">INDEX('Dec 14 - Dec 20'!E$2:E$115,MATCH($B59,'Dec 14 - Dec 20'!$B$2:$B$115,0))-INDEX('Dec 7 - Dec 13'!E$2:E$113,MATCH($B59,'Dec 7 - Dec 13'!$B$2:$B$113,0))</f>
        <v>-3</v>
      </c>
      <c r="F59" s="15">
        <f t="array" ref="F59">INDEX('Dec 14 - Dec 20'!F$2:F$115,MATCH($B59,'Dec 14 - Dec 20'!$B$2:$B$115,0))-INDEX('Dec 7 - Dec 13'!F$2:F$113,MATCH($B59,'Dec 7 - Dec 13'!$B$2:$B$113,0))</f>
        <v>-9</v>
      </c>
      <c r="G59" s="15">
        <f t="array" ref="G59">INDEX('Dec 14 - Dec 20'!G$2:G$115,MATCH($B59,'Dec 14 - Dec 20'!$B$2:$B$115,0))-INDEX('Dec 7 - Dec 13'!G$2:G$113,MATCH($B59,'Dec 7 - Dec 13'!$B$2:$B$113,0))</f>
        <v>1</v>
      </c>
      <c r="H59" s="15">
        <f t="array" ref="H59">INDEX('Dec 14 - Dec 20'!H$2:H$115,MATCH($B59,'Dec 14 - Dec 20'!$B$2:$B$115,0))-INDEX('Dec 7 - Dec 13'!H$2:H$113,MATCH($B59,'Dec 7 - Dec 13'!$B$2:$B$113,0))</f>
        <v>0</v>
      </c>
      <c r="I59" s="15">
        <f t="array" ref="I59">INDEX('Dec 14 - Dec 20'!I$2:I$115,MATCH($B59,'Dec 14 - Dec 20'!$B$2:$B$115,0))-INDEX('Dec 7 - Dec 13'!I$2:I$113,MATCH($B59,'Dec 7 - Dec 13'!$B$2:$B$113,0))</f>
        <v>0</v>
      </c>
      <c r="J59" s="15">
        <f t="array" ref="J59">INDEX('Dec 14 - Dec 20'!J$2:J$115,MATCH($B59,'Dec 14 - Dec 20'!$B$2:$B$115,0))-INDEX('Dec 7 - Dec 13'!J$2:J$113,MATCH($B59,'Dec 7 - Dec 13'!$B$2:$B$113,0))</f>
        <v>0</v>
      </c>
      <c r="K59" s="15">
        <f t="array" ref="K59">INDEX('Dec 14 - Dec 20'!K$2:K$115,MATCH($B59,'Dec 14 - Dec 20'!$B$2:$B$115,0))-INDEX('Dec 7 - Dec 13'!K$2:K$113,MATCH($B59,'Dec 7 - Dec 13'!$B$2:$B$113,0))</f>
        <v>0</v>
      </c>
    </row>
    <row r="60" spans="2:11" ht="12.75">
      <c r="B60" s="13" t="s">
        <v>55</v>
      </c>
      <c r="C60" s="14" t="str">
        <f t="array" aca="1" ref="C60" ca="1">INDEX('Rooms Master'!U:U,MATCH(B60,'Rooms Master'!D:D,0))</f>
        <v>Y</v>
      </c>
      <c r="D60" s="15">
        <f t="array" ref="D60">INDEX('Dec 14 - Dec 20'!D$2:D$115,MATCH($B60,'Dec 14 - Dec 20'!$B$2:$B$115,0))-INDEX('Dec 7 - Dec 13'!D$2:D$113,MATCH($B60,'Dec 7 - Dec 13'!$B$2:$B$113,0))</f>
        <v>-7</v>
      </c>
      <c r="E60" s="15">
        <f t="array" ref="E60">INDEX('Dec 14 - Dec 20'!E$2:E$115,MATCH($B60,'Dec 14 - Dec 20'!$B$2:$B$115,0))-INDEX('Dec 7 - Dec 13'!E$2:E$113,MATCH($B60,'Dec 7 - Dec 13'!$B$2:$B$113,0))</f>
        <v>-16</v>
      </c>
      <c r="F60" s="15">
        <f t="array" ref="F60">INDEX('Dec 14 - Dec 20'!F$2:F$115,MATCH($B60,'Dec 14 - Dec 20'!$B$2:$B$115,0))-INDEX('Dec 7 - Dec 13'!F$2:F$113,MATCH($B60,'Dec 7 - Dec 13'!$B$2:$B$113,0))</f>
        <v>-8</v>
      </c>
      <c r="G60" s="15">
        <f t="array" ref="G60">INDEX('Dec 14 - Dec 20'!G$2:G$115,MATCH($B60,'Dec 14 - Dec 20'!$B$2:$B$115,0))-INDEX('Dec 7 - Dec 13'!G$2:G$113,MATCH($B60,'Dec 7 - Dec 13'!$B$2:$B$113,0))</f>
        <v>1</v>
      </c>
      <c r="H60" s="15">
        <f t="array" ref="H60">INDEX('Dec 14 - Dec 20'!H$2:H$115,MATCH($B60,'Dec 14 - Dec 20'!$B$2:$B$115,0))-INDEX('Dec 7 - Dec 13'!H$2:H$113,MATCH($B60,'Dec 7 - Dec 13'!$B$2:$B$113,0))</f>
        <v>0</v>
      </c>
      <c r="I60" s="15">
        <f t="array" ref="I60">INDEX('Dec 14 - Dec 20'!I$2:I$115,MATCH($B60,'Dec 14 - Dec 20'!$B$2:$B$115,0))-INDEX('Dec 7 - Dec 13'!I$2:I$113,MATCH($B60,'Dec 7 - Dec 13'!$B$2:$B$113,0))</f>
        <v>0</v>
      </c>
      <c r="J60" s="15">
        <f t="array" ref="J60">INDEX('Dec 14 - Dec 20'!J$2:J$115,MATCH($B60,'Dec 14 - Dec 20'!$B$2:$B$115,0))-INDEX('Dec 7 - Dec 13'!J$2:J$113,MATCH($B60,'Dec 7 - Dec 13'!$B$2:$B$113,0))</f>
        <v>0</v>
      </c>
      <c r="K60" s="15">
        <f t="array" ref="K60">INDEX('Dec 14 - Dec 20'!K$2:K$115,MATCH($B60,'Dec 14 - Dec 20'!$B$2:$B$115,0))-INDEX('Dec 7 - Dec 13'!K$2:K$113,MATCH($B60,'Dec 7 - Dec 13'!$B$2:$B$113,0))</f>
        <v>0</v>
      </c>
    </row>
    <row r="61" spans="2:11" ht="12.75">
      <c r="B61" s="13" t="s">
        <v>46</v>
      </c>
      <c r="C61" s="14" t="str">
        <f t="array" aca="1" ref="C61" ca="1">INDEX('Rooms Master'!U:U,MATCH(B61,'Rooms Master'!D:D,0))</f>
        <v>Y</v>
      </c>
      <c r="D61" s="15">
        <f t="array" ref="D61">INDEX('Dec 14 - Dec 20'!D$2:D$115,MATCH($B61,'Dec 14 - Dec 20'!$B$2:$B$115,0))-INDEX('Dec 7 - Dec 13'!D$2:D$113,MATCH($B61,'Dec 7 - Dec 13'!$B$2:$B$113,0))</f>
        <v>-6</v>
      </c>
      <c r="E61" s="15">
        <f t="array" ref="E61">INDEX('Dec 14 - Dec 20'!E$2:E$115,MATCH($B61,'Dec 14 - Dec 20'!$B$2:$B$115,0))-INDEX('Dec 7 - Dec 13'!E$2:E$113,MATCH($B61,'Dec 7 - Dec 13'!$B$2:$B$113,0))</f>
        <v>-6</v>
      </c>
      <c r="F61" s="15">
        <f t="array" ref="F61">INDEX('Dec 14 - Dec 20'!F$2:F$115,MATCH($B61,'Dec 14 - Dec 20'!$B$2:$B$115,0))-INDEX('Dec 7 - Dec 13'!F$2:F$113,MATCH($B61,'Dec 7 - Dec 13'!$B$2:$B$113,0))</f>
        <v>-3</v>
      </c>
      <c r="G61" s="15">
        <f t="array" ref="G61">INDEX('Dec 14 - Dec 20'!G$2:G$115,MATCH($B61,'Dec 14 - Dec 20'!$B$2:$B$115,0))-INDEX('Dec 7 - Dec 13'!G$2:G$113,MATCH($B61,'Dec 7 - Dec 13'!$B$2:$B$113,0))</f>
        <v>1</v>
      </c>
      <c r="H61" s="15">
        <f t="array" ref="H61">INDEX('Dec 14 - Dec 20'!H$2:H$115,MATCH($B61,'Dec 14 - Dec 20'!$B$2:$B$115,0))-INDEX('Dec 7 - Dec 13'!H$2:H$113,MATCH($B61,'Dec 7 - Dec 13'!$B$2:$B$113,0))</f>
        <v>0</v>
      </c>
      <c r="I61" s="15">
        <f t="array" ref="I61">INDEX('Dec 14 - Dec 20'!I$2:I$115,MATCH($B61,'Dec 14 - Dec 20'!$B$2:$B$115,0))-INDEX('Dec 7 - Dec 13'!I$2:I$113,MATCH($B61,'Dec 7 - Dec 13'!$B$2:$B$113,0))</f>
        <v>0</v>
      </c>
      <c r="J61" s="15">
        <f t="array" ref="J61">INDEX('Dec 14 - Dec 20'!J$2:J$115,MATCH($B61,'Dec 14 - Dec 20'!$B$2:$B$115,0))-INDEX('Dec 7 - Dec 13'!J$2:J$113,MATCH($B61,'Dec 7 - Dec 13'!$B$2:$B$113,0))</f>
        <v>0</v>
      </c>
      <c r="K61" s="15">
        <f t="array" ref="K61">INDEX('Dec 14 - Dec 20'!K$2:K$115,MATCH($B61,'Dec 14 - Dec 20'!$B$2:$B$115,0))-INDEX('Dec 7 - Dec 13'!K$2:K$113,MATCH($B61,'Dec 7 - Dec 13'!$B$2:$B$113,0))</f>
        <v>0</v>
      </c>
    </row>
    <row r="62" spans="2:11" ht="12.75">
      <c r="B62" s="13" t="s">
        <v>133</v>
      </c>
      <c r="C62" s="14" t="str">
        <f t="array" aca="1" ref="C62" ca="1">INDEX('Rooms Master'!U:U,MATCH(B62,'Rooms Master'!D:D,0))</f>
        <v>N</v>
      </c>
      <c r="D62" s="15">
        <f t="array" ref="D62">INDEX('Dec 14 - Dec 20'!D$2:D$115,MATCH($B62,'Dec 14 - Dec 20'!$B$2:$B$115,0))-INDEX('Dec 7 - Dec 13'!D$2:D$113,MATCH($B62,'Dec 7 - Dec 13'!$B$2:$B$113,0))</f>
        <v>0</v>
      </c>
      <c r="E62" s="15">
        <f t="array" ref="E62">INDEX('Dec 14 - Dec 20'!E$2:E$115,MATCH($B62,'Dec 14 - Dec 20'!$B$2:$B$115,0))-INDEX('Dec 7 - Dec 13'!E$2:E$113,MATCH($B62,'Dec 7 - Dec 13'!$B$2:$B$113,0))</f>
        <v>0</v>
      </c>
      <c r="F62" s="15">
        <f t="array" ref="F62">INDEX('Dec 14 - Dec 20'!F$2:F$115,MATCH($B62,'Dec 14 - Dec 20'!$B$2:$B$115,0))-INDEX('Dec 7 - Dec 13'!F$2:F$113,MATCH($B62,'Dec 7 - Dec 13'!$B$2:$B$113,0))</f>
        <v>0</v>
      </c>
      <c r="G62" s="15">
        <f t="array" ref="G62">INDEX('Dec 14 - Dec 20'!G$2:G$115,MATCH($B62,'Dec 14 - Dec 20'!$B$2:$B$115,0))-INDEX('Dec 7 - Dec 13'!G$2:G$113,MATCH($B62,'Dec 7 - Dec 13'!$B$2:$B$113,0))</f>
        <v>0</v>
      </c>
      <c r="H62" s="15">
        <f t="array" ref="H62">INDEX('Dec 14 - Dec 20'!H$2:H$115,MATCH($B62,'Dec 14 - Dec 20'!$B$2:$B$115,0))-INDEX('Dec 7 - Dec 13'!H$2:H$113,MATCH($B62,'Dec 7 - Dec 13'!$B$2:$B$113,0))</f>
        <v>0</v>
      </c>
      <c r="I62" s="15">
        <f t="array" ref="I62">INDEX('Dec 14 - Dec 20'!I$2:I$115,MATCH($B62,'Dec 14 - Dec 20'!$B$2:$B$115,0))-INDEX('Dec 7 - Dec 13'!I$2:I$113,MATCH($B62,'Dec 7 - Dec 13'!$B$2:$B$113,0))</f>
        <v>0</v>
      </c>
      <c r="J62" s="15">
        <f t="array" ref="J62">INDEX('Dec 14 - Dec 20'!J$2:J$115,MATCH($B62,'Dec 14 - Dec 20'!$B$2:$B$115,0))-INDEX('Dec 7 - Dec 13'!J$2:J$113,MATCH($B62,'Dec 7 - Dec 13'!$B$2:$B$113,0))</f>
        <v>0</v>
      </c>
      <c r="K62" s="15">
        <f t="array" ref="K62">INDEX('Dec 14 - Dec 20'!K$2:K$115,MATCH($B62,'Dec 14 - Dec 20'!$B$2:$B$115,0))-INDEX('Dec 7 - Dec 13'!K$2:K$113,MATCH($B62,'Dec 7 - Dec 13'!$B$2:$B$113,0))</f>
        <v>0</v>
      </c>
    </row>
    <row r="63" spans="2:11" ht="12.75">
      <c r="B63" s="13" t="s">
        <v>134</v>
      </c>
      <c r="C63" s="14" t="str">
        <f t="array" aca="1" ref="C63" ca="1">INDEX('Rooms Master'!U:U,MATCH(B63,'Rooms Master'!D:D,0))</f>
        <v>N</v>
      </c>
      <c r="D63" s="15">
        <f t="array" ref="D63">INDEX('Dec 14 - Dec 20'!D$2:D$115,MATCH($B63,'Dec 14 - Dec 20'!$B$2:$B$115,0))-INDEX('Dec 7 - Dec 13'!D$2:D$113,MATCH($B63,'Dec 7 - Dec 13'!$B$2:$B$113,0))</f>
        <v>0</v>
      </c>
      <c r="E63" s="15">
        <f t="array" ref="E63">INDEX('Dec 14 - Dec 20'!E$2:E$115,MATCH($B63,'Dec 14 - Dec 20'!$B$2:$B$115,0))-INDEX('Dec 7 - Dec 13'!E$2:E$113,MATCH($B63,'Dec 7 - Dec 13'!$B$2:$B$113,0))</f>
        <v>0</v>
      </c>
      <c r="F63" s="15">
        <f t="array" ref="F63">INDEX('Dec 14 - Dec 20'!F$2:F$115,MATCH($B63,'Dec 14 - Dec 20'!$B$2:$B$115,0))-INDEX('Dec 7 - Dec 13'!F$2:F$113,MATCH($B63,'Dec 7 - Dec 13'!$B$2:$B$113,0))</f>
        <v>0</v>
      </c>
      <c r="G63" s="15">
        <f t="array" ref="G63">INDEX('Dec 14 - Dec 20'!G$2:G$115,MATCH($B63,'Dec 14 - Dec 20'!$B$2:$B$115,0))-INDEX('Dec 7 - Dec 13'!G$2:G$113,MATCH($B63,'Dec 7 - Dec 13'!$B$2:$B$113,0))</f>
        <v>0</v>
      </c>
      <c r="H63" s="15">
        <f t="array" ref="H63">INDEX('Dec 14 - Dec 20'!H$2:H$115,MATCH($B63,'Dec 14 - Dec 20'!$B$2:$B$115,0))-INDEX('Dec 7 - Dec 13'!H$2:H$113,MATCH($B63,'Dec 7 - Dec 13'!$B$2:$B$113,0))</f>
        <v>0</v>
      </c>
      <c r="I63" s="15">
        <f t="array" ref="I63">INDEX('Dec 14 - Dec 20'!I$2:I$115,MATCH($B63,'Dec 14 - Dec 20'!$B$2:$B$115,0))-INDEX('Dec 7 - Dec 13'!I$2:I$113,MATCH($B63,'Dec 7 - Dec 13'!$B$2:$B$113,0))</f>
        <v>0</v>
      </c>
      <c r="J63" s="15">
        <f t="array" ref="J63">INDEX('Dec 14 - Dec 20'!J$2:J$115,MATCH($B63,'Dec 14 - Dec 20'!$B$2:$B$115,0))-INDEX('Dec 7 - Dec 13'!J$2:J$113,MATCH($B63,'Dec 7 - Dec 13'!$B$2:$B$113,0))</f>
        <v>0</v>
      </c>
      <c r="K63" s="15">
        <f t="array" ref="K63">INDEX('Dec 14 - Dec 20'!K$2:K$115,MATCH($B63,'Dec 14 - Dec 20'!$B$2:$B$115,0))-INDEX('Dec 7 - Dec 13'!K$2:K$113,MATCH($B63,'Dec 7 - Dec 13'!$B$2:$B$113,0))</f>
        <v>0</v>
      </c>
    </row>
    <row r="64" spans="2:11" ht="12.75">
      <c r="B64" s="13" t="s">
        <v>104</v>
      </c>
      <c r="C64" s="14" t="str">
        <f t="array" aca="1" ref="C64" ca="1">INDEX('Rooms Master'!U:U,MATCH(B64,'Rooms Master'!D:D,0))</f>
        <v>N</v>
      </c>
      <c r="D64" s="15">
        <f t="array" ref="D64">INDEX('Dec 14 - Dec 20'!D$2:D$115,MATCH($B64,'Dec 14 - Dec 20'!$B$2:$B$115,0))-INDEX('Dec 7 - Dec 13'!D$2:D$113,MATCH($B64,'Dec 7 - Dec 13'!$B$2:$B$113,0))</f>
        <v>-6</v>
      </c>
      <c r="E64" s="15">
        <f t="array" ref="E64">INDEX('Dec 14 - Dec 20'!E$2:E$115,MATCH($B64,'Dec 14 - Dec 20'!$B$2:$B$115,0))-INDEX('Dec 7 - Dec 13'!E$2:E$113,MATCH($B64,'Dec 7 - Dec 13'!$B$2:$B$113,0))</f>
        <v>-10</v>
      </c>
      <c r="F64" s="15">
        <f t="array" ref="F64">INDEX('Dec 14 - Dec 20'!F$2:F$115,MATCH($B64,'Dec 14 - Dec 20'!$B$2:$B$115,0))-INDEX('Dec 7 - Dec 13'!F$2:F$113,MATCH($B64,'Dec 7 - Dec 13'!$B$2:$B$113,0))</f>
        <v>2</v>
      </c>
      <c r="G64" s="15">
        <f t="array" ref="G64">INDEX('Dec 14 - Dec 20'!G$2:G$115,MATCH($B64,'Dec 14 - Dec 20'!$B$2:$B$115,0))-INDEX('Dec 7 - Dec 13'!G$2:G$113,MATCH($B64,'Dec 7 - Dec 13'!$B$2:$B$113,0))</f>
        <v>4</v>
      </c>
      <c r="H64" s="15">
        <f t="array" ref="H64">INDEX('Dec 14 - Dec 20'!H$2:H$115,MATCH($B64,'Dec 14 - Dec 20'!$B$2:$B$115,0))-INDEX('Dec 7 - Dec 13'!H$2:H$113,MATCH($B64,'Dec 7 - Dec 13'!$B$2:$B$113,0))</f>
        <v>0</v>
      </c>
      <c r="I64" s="15">
        <f t="array" ref="I64">INDEX('Dec 14 - Dec 20'!I$2:I$115,MATCH($B64,'Dec 14 - Dec 20'!$B$2:$B$115,0))-INDEX('Dec 7 - Dec 13'!I$2:I$113,MATCH($B64,'Dec 7 - Dec 13'!$B$2:$B$113,0))</f>
        <v>-1</v>
      </c>
      <c r="J64" s="15">
        <f t="array" ref="J64">INDEX('Dec 14 - Dec 20'!J$2:J$115,MATCH($B64,'Dec 14 - Dec 20'!$B$2:$B$115,0))-INDEX('Dec 7 - Dec 13'!J$2:J$113,MATCH($B64,'Dec 7 - Dec 13'!$B$2:$B$113,0))</f>
        <v>0</v>
      </c>
      <c r="K64" s="15">
        <f t="array" ref="K64">INDEX('Dec 14 - Dec 20'!K$2:K$115,MATCH($B64,'Dec 14 - Dec 20'!$B$2:$B$115,0))-INDEX('Dec 7 - Dec 13'!K$2:K$113,MATCH($B64,'Dec 7 - Dec 13'!$B$2:$B$113,0))</f>
        <v>0</v>
      </c>
    </row>
    <row r="65" spans="2:11" ht="12.75">
      <c r="B65" s="13" t="s">
        <v>87</v>
      </c>
      <c r="C65" s="14" t="str">
        <f t="array" aca="1" ref="C65" ca="1">INDEX('Rooms Master'!U:U,MATCH(B65,'Rooms Master'!D:D,0))</f>
        <v>Y</v>
      </c>
      <c r="D65" s="15">
        <f t="array" ref="D65">INDEX('Dec 14 - Dec 20'!D$2:D$115,MATCH($B65,'Dec 14 - Dec 20'!$B$2:$B$115,0))-INDEX('Dec 7 - Dec 13'!D$2:D$113,MATCH($B65,'Dec 7 - Dec 13'!$B$2:$B$113,0))</f>
        <v>-6</v>
      </c>
      <c r="E65" s="15">
        <f t="array" ref="E65">INDEX('Dec 14 - Dec 20'!E$2:E$115,MATCH($B65,'Dec 14 - Dec 20'!$B$2:$B$115,0))-INDEX('Dec 7 - Dec 13'!E$2:E$113,MATCH($B65,'Dec 7 - Dec 13'!$B$2:$B$113,0))</f>
        <v>-3</v>
      </c>
      <c r="F65" s="15">
        <f t="array" ref="F65">INDEX('Dec 14 - Dec 20'!F$2:F$115,MATCH($B65,'Dec 14 - Dec 20'!$B$2:$B$115,0))-INDEX('Dec 7 - Dec 13'!F$2:F$113,MATCH($B65,'Dec 7 - Dec 13'!$B$2:$B$113,0))</f>
        <v>1</v>
      </c>
      <c r="G65" s="15">
        <f t="array" ref="G65">INDEX('Dec 14 - Dec 20'!G$2:G$115,MATCH($B65,'Dec 14 - Dec 20'!$B$2:$B$115,0))-INDEX('Dec 7 - Dec 13'!G$2:G$113,MATCH($B65,'Dec 7 - Dec 13'!$B$2:$B$113,0))</f>
        <v>4</v>
      </c>
      <c r="H65" s="15">
        <f t="array" ref="H65">INDEX('Dec 14 - Dec 20'!H$2:H$115,MATCH($B65,'Dec 14 - Dec 20'!$B$2:$B$115,0))-INDEX('Dec 7 - Dec 13'!H$2:H$113,MATCH($B65,'Dec 7 - Dec 13'!$B$2:$B$113,0))</f>
        <v>0</v>
      </c>
      <c r="I65" s="15">
        <f t="array" ref="I65">INDEX('Dec 14 - Dec 20'!I$2:I$115,MATCH($B65,'Dec 14 - Dec 20'!$B$2:$B$115,0))-INDEX('Dec 7 - Dec 13'!I$2:I$113,MATCH($B65,'Dec 7 - Dec 13'!$B$2:$B$113,0))</f>
        <v>0</v>
      </c>
      <c r="J65" s="15">
        <f t="array" ref="J65">INDEX('Dec 14 - Dec 20'!J$2:J$115,MATCH($B65,'Dec 14 - Dec 20'!$B$2:$B$115,0))-INDEX('Dec 7 - Dec 13'!J$2:J$113,MATCH($B65,'Dec 7 - Dec 13'!$B$2:$B$113,0))</f>
        <v>0</v>
      </c>
      <c r="K65" s="15">
        <f t="array" ref="K65">INDEX('Dec 14 - Dec 20'!K$2:K$115,MATCH($B65,'Dec 14 - Dec 20'!$B$2:$B$115,0))-INDEX('Dec 7 - Dec 13'!K$2:K$113,MATCH($B65,'Dec 7 - Dec 13'!$B$2:$B$113,0))</f>
        <v>0</v>
      </c>
    </row>
    <row r="66" spans="2:11" ht="12.75">
      <c r="B66" s="13" t="s">
        <v>135</v>
      </c>
      <c r="C66" s="14" t="str">
        <f t="array" aca="1" ref="C66" ca="1">INDEX('Rooms Master'!U:U,MATCH(B66,'Rooms Master'!D:D,0))</f>
        <v>N</v>
      </c>
      <c r="D66" s="15">
        <f t="array" ref="D66">INDEX('Dec 14 - Dec 20'!D$2:D$115,MATCH($B66,'Dec 14 - Dec 20'!$B$2:$B$115,0))-INDEX('Dec 7 - Dec 13'!D$2:D$113,MATCH($B66,'Dec 7 - Dec 13'!$B$2:$B$113,0))</f>
        <v>-3</v>
      </c>
      <c r="E66" s="15">
        <f t="array" ref="E66">INDEX('Dec 14 - Dec 20'!E$2:E$115,MATCH($B66,'Dec 14 - Dec 20'!$B$2:$B$115,0))-INDEX('Dec 7 - Dec 13'!E$2:E$113,MATCH($B66,'Dec 7 - Dec 13'!$B$2:$B$113,0))</f>
        <v>-25</v>
      </c>
      <c r="F66" s="15">
        <f t="array" ref="F66">INDEX('Dec 14 - Dec 20'!F$2:F$115,MATCH($B66,'Dec 14 - Dec 20'!$B$2:$B$115,0))-INDEX('Dec 7 - Dec 13'!F$2:F$113,MATCH($B66,'Dec 7 - Dec 13'!$B$2:$B$113,0))</f>
        <v>-23</v>
      </c>
      <c r="G66" s="15">
        <f t="array" ref="G66">INDEX('Dec 14 - Dec 20'!G$2:G$115,MATCH($B66,'Dec 14 - Dec 20'!$B$2:$B$115,0))-INDEX('Dec 7 - Dec 13'!G$2:G$113,MATCH($B66,'Dec 7 - Dec 13'!$B$2:$B$113,0))</f>
        <v>2</v>
      </c>
      <c r="H66" s="15">
        <f t="array" ref="H66">INDEX('Dec 14 - Dec 20'!H$2:H$115,MATCH($B66,'Dec 14 - Dec 20'!$B$2:$B$115,0))-INDEX('Dec 7 - Dec 13'!H$2:H$113,MATCH($B66,'Dec 7 - Dec 13'!$B$2:$B$113,0))</f>
        <v>-2</v>
      </c>
      <c r="I66" s="15">
        <f t="array" ref="I66">INDEX('Dec 14 - Dec 20'!I$2:I$115,MATCH($B66,'Dec 14 - Dec 20'!$B$2:$B$115,0))-INDEX('Dec 7 - Dec 13'!I$2:I$113,MATCH($B66,'Dec 7 - Dec 13'!$B$2:$B$113,0))</f>
        <v>0</v>
      </c>
      <c r="J66" s="15">
        <f t="array" ref="J66">INDEX('Dec 14 - Dec 20'!J$2:J$115,MATCH($B66,'Dec 14 - Dec 20'!$B$2:$B$115,0))-INDEX('Dec 7 - Dec 13'!J$2:J$113,MATCH($B66,'Dec 7 - Dec 13'!$B$2:$B$113,0))</f>
        <v>0</v>
      </c>
      <c r="K66" s="15">
        <f t="array" ref="K66">INDEX('Dec 14 - Dec 20'!K$2:K$115,MATCH($B66,'Dec 14 - Dec 20'!$B$2:$B$115,0))-INDEX('Dec 7 - Dec 13'!K$2:K$113,MATCH($B66,'Dec 7 - Dec 13'!$B$2:$B$113,0))</f>
        <v>0</v>
      </c>
    </row>
    <row r="67" spans="2:11" ht="12.75">
      <c r="B67" s="13" t="s">
        <v>136</v>
      </c>
      <c r="C67" s="14" t="str">
        <f t="array" aca="1" ref="C67" ca="1">INDEX('Rooms Master'!U:U,MATCH(B67,'Rooms Master'!D:D,0))</f>
        <v>N</v>
      </c>
      <c r="D67" s="15">
        <f t="array" ref="D67">INDEX('Dec 14 - Dec 20'!D$2:D$115,MATCH($B67,'Dec 14 - Dec 20'!$B$2:$B$115,0))-INDEX('Dec 7 - Dec 13'!D$2:D$113,MATCH($B67,'Dec 7 - Dec 13'!$B$2:$B$113,0))</f>
        <v>0</v>
      </c>
      <c r="E67" s="15">
        <f t="array" ref="E67">INDEX('Dec 14 - Dec 20'!E$2:E$115,MATCH($B67,'Dec 14 - Dec 20'!$B$2:$B$115,0))-INDEX('Dec 7 - Dec 13'!E$2:E$113,MATCH($B67,'Dec 7 - Dec 13'!$B$2:$B$113,0))</f>
        <v>-66</v>
      </c>
      <c r="F67" s="15">
        <f t="array" ref="F67">INDEX('Dec 14 - Dec 20'!F$2:F$115,MATCH($B67,'Dec 14 - Dec 20'!$B$2:$B$115,0))-INDEX('Dec 7 - Dec 13'!F$2:F$113,MATCH($B67,'Dec 7 - Dec 13'!$B$2:$B$113,0))</f>
        <v>-42</v>
      </c>
      <c r="G67" s="15">
        <f t="array" ref="G67">INDEX('Dec 14 - Dec 20'!G$2:G$115,MATCH($B67,'Dec 14 - Dec 20'!$B$2:$B$115,0))-INDEX('Dec 7 - Dec 13'!G$2:G$113,MATCH($B67,'Dec 7 - Dec 13'!$B$2:$B$113,0))</f>
        <v>-1</v>
      </c>
      <c r="H67" s="15">
        <f t="array" ref="H67">INDEX('Dec 14 - Dec 20'!H$2:H$115,MATCH($B67,'Dec 14 - Dec 20'!$B$2:$B$115,0))-INDEX('Dec 7 - Dec 13'!H$2:H$113,MATCH($B67,'Dec 7 - Dec 13'!$B$2:$B$113,0))</f>
        <v>-2</v>
      </c>
      <c r="I67" s="15">
        <f t="array" ref="I67">INDEX('Dec 14 - Dec 20'!I$2:I$115,MATCH($B67,'Dec 14 - Dec 20'!$B$2:$B$115,0))-INDEX('Dec 7 - Dec 13'!I$2:I$113,MATCH($B67,'Dec 7 - Dec 13'!$B$2:$B$113,0))</f>
        <v>0</v>
      </c>
      <c r="J67" s="15">
        <f t="array" ref="J67">INDEX('Dec 14 - Dec 20'!J$2:J$115,MATCH($B67,'Dec 14 - Dec 20'!$B$2:$B$115,0))-INDEX('Dec 7 - Dec 13'!J$2:J$113,MATCH($B67,'Dec 7 - Dec 13'!$B$2:$B$113,0))</f>
        <v>-6</v>
      </c>
      <c r="K67" s="15">
        <f t="array" ref="K67">INDEX('Dec 14 - Dec 20'!K$2:K$115,MATCH($B67,'Dec 14 - Dec 20'!$B$2:$B$115,0))-INDEX('Dec 7 - Dec 13'!K$2:K$113,MATCH($B67,'Dec 7 - Dec 13'!$B$2:$B$113,0))</f>
        <v>2</v>
      </c>
    </row>
    <row r="68" spans="2:11" ht="12.75">
      <c r="B68" s="13" t="s">
        <v>137</v>
      </c>
      <c r="C68" s="14" t="str">
        <f t="array" aca="1" ref="C68" ca="1">INDEX('Rooms Master'!U:U,MATCH(B68,'Rooms Master'!D:D,0))</f>
        <v>N</v>
      </c>
      <c r="D68" s="15">
        <f t="array" ref="D68">INDEX('Dec 14 - Dec 20'!D$2:D$115,MATCH($B68,'Dec 14 - Dec 20'!$B$2:$B$115,0))-INDEX('Dec 7 - Dec 13'!D$2:D$113,MATCH($B68,'Dec 7 - Dec 13'!$B$2:$B$113,0))</f>
        <v>0</v>
      </c>
      <c r="E68" s="15">
        <f t="array" ref="E68">INDEX('Dec 14 - Dec 20'!E$2:E$115,MATCH($B68,'Dec 14 - Dec 20'!$B$2:$B$115,0))-INDEX('Dec 7 - Dec 13'!E$2:E$113,MATCH($B68,'Dec 7 - Dec 13'!$B$2:$B$113,0))</f>
        <v>-2</v>
      </c>
      <c r="F68" s="15">
        <f t="array" ref="F68">INDEX('Dec 14 - Dec 20'!F$2:F$115,MATCH($B68,'Dec 14 - Dec 20'!$B$2:$B$115,0))-INDEX('Dec 7 - Dec 13'!F$2:F$113,MATCH($B68,'Dec 7 - Dec 13'!$B$2:$B$113,0))</f>
        <v>-1</v>
      </c>
      <c r="G68" s="15">
        <f t="array" ref="G68">INDEX('Dec 14 - Dec 20'!G$2:G$115,MATCH($B68,'Dec 14 - Dec 20'!$B$2:$B$115,0))-INDEX('Dec 7 - Dec 13'!G$2:G$113,MATCH($B68,'Dec 7 - Dec 13'!$B$2:$B$113,0))</f>
        <v>2</v>
      </c>
      <c r="H68" s="15">
        <f t="array" ref="H68">INDEX('Dec 14 - Dec 20'!H$2:H$115,MATCH($B68,'Dec 14 - Dec 20'!$B$2:$B$115,0))-INDEX('Dec 7 - Dec 13'!H$2:H$113,MATCH($B68,'Dec 7 - Dec 13'!$B$2:$B$113,0))</f>
        <v>0</v>
      </c>
      <c r="I68" s="15">
        <f t="array" ref="I68">INDEX('Dec 14 - Dec 20'!I$2:I$115,MATCH($B68,'Dec 14 - Dec 20'!$B$2:$B$115,0))-INDEX('Dec 7 - Dec 13'!I$2:I$113,MATCH($B68,'Dec 7 - Dec 13'!$B$2:$B$113,0))</f>
        <v>0</v>
      </c>
      <c r="J68" s="15">
        <f t="array" ref="J68">INDEX('Dec 14 - Dec 20'!J$2:J$115,MATCH($B68,'Dec 14 - Dec 20'!$B$2:$B$115,0))-INDEX('Dec 7 - Dec 13'!J$2:J$113,MATCH($B68,'Dec 7 - Dec 13'!$B$2:$B$113,0))</f>
        <v>0</v>
      </c>
      <c r="K68" s="15">
        <f t="array" ref="K68">INDEX('Dec 14 - Dec 20'!K$2:K$115,MATCH($B68,'Dec 14 - Dec 20'!$B$2:$B$115,0))-INDEX('Dec 7 - Dec 13'!K$2:K$113,MATCH($B68,'Dec 7 - Dec 13'!$B$2:$B$113,0))</f>
        <v>0</v>
      </c>
    </row>
    <row r="69" spans="2:11" ht="12.75">
      <c r="B69" s="13" t="s">
        <v>40</v>
      </c>
      <c r="C69" s="14" t="str">
        <f t="array" aca="1" ref="C69" ca="1">INDEX('Rooms Master'!U:U,MATCH(B69,'Rooms Master'!D:D,0))</f>
        <v>Y</v>
      </c>
      <c r="D69" s="15">
        <f t="array" ref="D69">INDEX('Dec 14 - Dec 20'!D$2:D$115,MATCH($B69,'Dec 14 - Dec 20'!$B$2:$B$115,0))-INDEX('Dec 7 - Dec 13'!D$2:D$113,MATCH($B69,'Dec 7 - Dec 13'!$B$2:$B$113,0))</f>
        <v>-6</v>
      </c>
      <c r="E69" s="15">
        <f t="array" ref="E69">INDEX('Dec 14 - Dec 20'!E$2:E$115,MATCH($B69,'Dec 14 - Dec 20'!$B$2:$B$115,0))-INDEX('Dec 7 - Dec 13'!E$2:E$113,MATCH($B69,'Dec 7 - Dec 13'!$B$2:$B$113,0))</f>
        <v>3</v>
      </c>
      <c r="F69" s="15">
        <f t="array" ref="F69">INDEX('Dec 14 - Dec 20'!F$2:F$115,MATCH($B69,'Dec 14 - Dec 20'!$B$2:$B$115,0))-INDEX('Dec 7 - Dec 13'!F$2:F$113,MATCH($B69,'Dec 7 - Dec 13'!$B$2:$B$113,0))</f>
        <v>-2</v>
      </c>
      <c r="G69" s="15">
        <f t="array" ref="G69">INDEX('Dec 14 - Dec 20'!G$2:G$115,MATCH($B69,'Dec 14 - Dec 20'!$B$2:$B$115,0))-INDEX('Dec 7 - Dec 13'!G$2:G$113,MATCH($B69,'Dec 7 - Dec 13'!$B$2:$B$113,0))</f>
        <v>2</v>
      </c>
      <c r="H69" s="15">
        <f t="array" ref="H69">INDEX('Dec 14 - Dec 20'!H$2:H$115,MATCH($B69,'Dec 14 - Dec 20'!$B$2:$B$115,0))-INDEX('Dec 7 - Dec 13'!H$2:H$113,MATCH($B69,'Dec 7 - Dec 13'!$B$2:$B$113,0))</f>
        <v>0</v>
      </c>
      <c r="I69" s="15">
        <f t="array" ref="I69">INDEX('Dec 14 - Dec 20'!I$2:I$115,MATCH($B69,'Dec 14 - Dec 20'!$B$2:$B$115,0))-INDEX('Dec 7 - Dec 13'!I$2:I$113,MATCH($B69,'Dec 7 - Dec 13'!$B$2:$B$113,0))</f>
        <v>0</v>
      </c>
      <c r="J69" s="15">
        <f t="array" ref="J69">INDEX('Dec 14 - Dec 20'!J$2:J$115,MATCH($B69,'Dec 14 - Dec 20'!$B$2:$B$115,0))-INDEX('Dec 7 - Dec 13'!J$2:J$113,MATCH($B69,'Dec 7 - Dec 13'!$B$2:$B$113,0))</f>
        <v>0</v>
      </c>
      <c r="K69" s="15">
        <f t="array" ref="K69">INDEX('Dec 14 - Dec 20'!K$2:K$115,MATCH($B69,'Dec 14 - Dec 20'!$B$2:$B$115,0))-INDEX('Dec 7 - Dec 13'!K$2:K$113,MATCH($B69,'Dec 7 - Dec 13'!$B$2:$B$113,0))</f>
        <v>0</v>
      </c>
    </row>
    <row r="70" spans="2:11" ht="12.75">
      <c r="B70" s="13" t="s">
        <v>32</v>
      </c>
      <c r="C70" s="14" t="str">
        <f t="array" aca="1" ref="C70" ca="1">INDEX('Rooms Master'!U:U,MATCH(B70,'Rooms Master'!D:D,0))</f>
        <v>Y</v>
      </c>
      <c r="D70" s="15">
        <f t="array" ref="D70">INDEX('Dec 14 - Dec 20'!D$2:D$115,MATCH($B70,'Dec 14 - Dec 20'!$B$2:$B$115,0))-INDEX('Dec 7 - Dec 13'!D$2:D$113,MATCH($B70,'Dec 7 - Dec 13'!$B$2:$B$113,0))</f>
        <v>-6</v>
      </c>
      <c r="E70" s="15">
        <f t="array" ref="E70">INDEX('Dec 14 - Dec 20'!E$2:E$115,MATCH($B70,'Dec 14 - Dec 20'!$B$2:$B$115,0))-INDEX('Dec 7 - Dec 13'!E$2:E$113,MATCH($B70,'Dec 7 - Dec 13'!$B$2:$B$113,0))</f>
        <v>-23</v>
      </c>
      <c r="F70" s="15">
        <f t="array" ref="F70">INDEX('Dec 14 - Dec 20'!F$2:F$115,MATCH($B70,'Dec 14 - Dec 20'!$B$2:$B$115,0))-INDEX('Dec 7 - Dec 13'!F$2:F$113,MATCH($B70,'Dec 7 - Dec 13'!$B$2:$B$113,0))</f>
        <v>-10</v>
      </c>
      <c r="G70" s="15">
        <f t="array" ref="G70">INDEX('Dec 14 - Dec 20'!G$2:G$115,MATCH($B70,'Dec 14 - Dec 20'!$B$2:$B$115,0))-INDEX('Dec 7 - Dec 13'!G$2:G$113,MATCH($B70,'Dec 7 - Dec 13'!$B$2:$B$113,0))</f>
        <v>2</v>
      </c>
      <c r="H70" s="15">
        <f t="array" ref="H70">INDEX('Dec 14 - Dec 20'!H$2:H$115,MATCH($B70,'Dec 14 - Dec 20'!$B$2:$B$115,0))-INDEX('Dec 7 - Dec 13'!H$2:H$113,MATCH($B70,'Dec 7 - Dec 13'!$B$2:$B$113,0))</f>
        <v>0</v>
      </c>
      <c r="I70" s="15">
        <f t="array" ref="I70">INDEX('Dec 14 - Dec 20'!I$2:I$115,MATCH($B70,'Dec 14 - Dec 20'!$B$2:$B$115,0))-INDEX('Dec 7 - Dec 13'!I$2:I$113,MATCH($B70,'Dec 7 - Dec 13'!$B$2:$B$113,0))</f>
        <v>0</v>
      </c>
      <c r="J70" s="15">
        <f t="array" ref="J70">INDEX('Dec 14 - Dec 20'!J$2:J$115,MATCH($B70,'Dec 14 - Dec 20'!$B$2:$B$115,0))-INDEX('Dec 7 - Dec 13'!J$2:J$113,MATCH($B70,'Dec 7 - Dec 13'!$B$2:$B$113,0))</f>
        <v>0</v>
      </c>
      <c r="K70" s="15">
        <f t="array" ref="K70">INDEX('Dec 14 - Dec 20'!K$2:K$115,MATCH($B70,'Dec 14 - Dec 20'!$B$2:$B$115,0))-INDEX('Dec 7 - Dec 13'!K$2:K$113,MATCH($B70,'Dec 7 - Dec 13'!$B$2:$B$113,0))</f>
        <v>0</v>
      </c>
    </row>
    <row r="71" spans="2:11" ht="12.75">
      <c r="B71" s="13" t="s">
        <v>45</v>
      </c>
      <c r="C71" s="14" t="str">
        <f t="array" aca="1" ref="C71" ca="1">INDEX('Rooms Master'!U:U,MATCH(B71,'Rooms Master'!D:D,0))</f>
        <v>Y</v>
      </c>
      <c r="D71" s="15">
        <f t="array" ref="D71">INDEX('Dec 14 - Dec 20'!D$2:D$115,MATCH($B71,'Dec 14 - Dec 20'!$B$2:$B$115,0))-INDEX('Dec 7 - Dec 13'!D$2:D$113,MATCH($B71,'Dec 7 - Dec 13'!$B$2:$B$113,0))</f>
        <v>-6</v>
      </c>
      <c r="E71" s="15">
        <f t="array" ref="E71">INDEX('Dec 14 - Dec 20'!E$2:E$115,MATCH($B71,'Dec 14 - Dec 20'!$B$2:$B$115,0))-INDEX('Dec 7 - Dec 13'!E$2:E$113,MATCH($B71,'Dec 7 - Dec 13'!$B$2:$B$113,0))</f>
        <v>-12</v>
      </c>
      <c r="F71" s="15">
        <f t="array" ref="F71">INDEX('Dec 14 - Dec 20'!F$2:F$115,MATCH($B71,'Dec 14 - Dec 20'!$B$2:$B$115,0))-INDEX('Dec 7 - Dec 13'!F$2:F$113,MATCH($B71,'Dec 7 - Dec 13'!$B$2:$B$113,0))</f>
        <v>1</v>
      </c>
      <c r="G71" s="15">
        <f t="array" ref="G71">INDEX('Dec 14 - Dec 20'!G$2:G$115,MATCH($B71,'Dec 14 - Dec 20'!$B$2:$B$115,0))-INDEX('Dec 7 - Dec 13'!G$2:G$113,MATCH($B71,'Dec 7 - Dec 13'!$B$2:$B$113,0))</f>
        <v>0</v>
      </c>
      <c r="H71" s="15">
        <f t="array" ref="H71">INDEX('Dec 14 - Dec 20'!H$2:H$115,MATCH($B71,'Dec 14 - Dec 20'!$B$2:$B$115,0))-INDEX('Dec 7 - Dec 13'!H$2:H$113,MATCH($B71,'Dec 7 - Dec 13'!$B$2:$B$113,0))</f>
        <v>1</v>
      </c>
      <c r="I71" s="15">
        <f t="array" ref="I71">INDEX('Dec 14 - Dec 20'!I$2:I$115,MATCH($B71,'Dec 14 - Dec 20'!$B$2:$B$115,0))-INDEX('Dec 7 - Dec 13'!I$2:I$113,MATCH($B71,'Dec 7 - Dec 13'!$B$2:$B$113,0))</f>
        <v>0</v>
      </c>
      <c r="J71" s="15">
        <f t="array" ref="J71">INDEX('Dec 14 - Dec 20'!J$2:J$115,MATCH($B71,'Dec 14 - Dec 20'!$B$2:$B$115,0))-INDEX('Dec 7 - Dec 13'!J$2:J$113,MATCH($B71,'Dec 7 - Dec 13'!$B$2:$B$113,0))</f>
        <v>0</v>
      </c>
      <c r="K71" s="15">
        <f t="array" ref="K71">INDEX('Dec 14 - Dec 20'!K$2:K$115,MATCH($B71,'Dec 14 - Dec 20'!$B$2:$B$115,0))-INDEX('Dec 7 - Dec 13'!K$2:K$113,MATCH($B71,'Dec 7 - Dec 13'!$B$2:$B$113,0))</f>
        <v>0</v>
      </c>
    </row>
    <row r="72" spans="2:11" ht="12.75">
      <c r="B72" s="13" t="s">
        <v>26</v>
      </c>
      <c r="C72" s="14" t="str">
        <f t="array" aca="1" ref="C72" ca="1">INDEX('Rooms Master'!U:U,MATCH(B72,'Rooms Master'!D:D,0))</f>
        <v>Y</v>
      </c>
      <c r="D72" s="15">
        <f t="array" ref="D72">INDEX('Dec 14 - Dec 20'!D$2:D$115,MATCH($B72,'Dec 14 - Dec 20'!$B$2:$B$115,0))-INDEX('Dec 7 - Dec 13'!D$2:D$113,MATCH($B72,'Dec 7 - Dec 13'!$B$2:$B$113,0))</f>
        <v>-6</v>
      </c>
      <c r="E72" s="15">
        <f t="array" ref="E72">INDEX('Dec 14 - Dec 20'!E$2:E$115,MATCH($B72,'Dec 14 - Dec 20'!$B$2:$B$115,0))-INDEX('Dec 7 - Dec 13'!E$2:E$113,MATCH($B72,'Dec 7 - Dec 13'!$B$2:$B$113,0))</f>
        <v>-3</v>
      </c>
      <c r="F72" s="15">
        <f t="array" ref="F72">INDEX('Dec 14 - Dec 20'!F$2:F$115,MATCH($B72,'Dec 14 - Dec 20'!$B$2:$B$115,0))-INDEX('Dec 7 - Dec 13'!F$2:F$113,MATCH($B72,'Dec 7 - Dec 13'!$B$2:$B$113,0))</f>
        <v>-2</v>
      </c>
      <c r="G72" s="15">
        <f t="array" ref="G72">INDEX('Dec 14 - Dec 20'!G$2:G$115,MATCH($B72,'Dec 14 - Dec 20'!$B$2:$B$115,0))-INDEX('Dec 7 - Dec 13'!G$2:G$113,MATCH($B72,'Dec 7 - Dec 13'!$B$2:$B$113,0))</f>
        <v>0</v>
      </c>
      <c r="H72" s="15">
        <f t="array" ref="H72">INDEX('Dec 14 - Dec 20'!H$2:H$115,MATCH($B72,'Dec 14 - Dec 20'!$B$2:$B$115,0))-INDEX('Dec 7 - Dec 13'!H$2:H$113,MATCH($B72,'Dec 7 - Dec 13'!$B$2:$B$113,0))</f>
        <v>0</v>
      </c>
      <c r="I72" s="15">
        <f t="array" ref="I72">INDEX('Dec 14 - Dec 20'!I$2:I$115,MATCH($B72,'Dec 14 - Dec 20'!$B$2:$B$115,0))-INDEX('Dec 7 - Dec 13'!I$2:I$113,MATCH($B72,'Dec 7 - Dec 13'!$B$2:$B$113,0))</f>
        <v>0</v>
      </c>
      <c r="J72" s="15">
        <f t="array" ref="J72">INDEX('Dec 14 - Dec 20'!J$2:J$115,MATCH($B72,'Dec 14 - Dec 20'!$B$2:$B$115,0))-INDEX('Dec 7 - Dec 13'!J$2:J$113,MATCH($B72,'Dec 7 - Dec 13'!$B$2:$B$113,0))</f>
        <v>-1</v>
      </c>
      <c r="K72" s="15">
        <f t="array" ref="K72">INDEX('Dec 14 - Dec 20'!K$2:K$115,MATCH($B72,'Dec 14 - Dec 20'!$B$2:$B$115,0))-INDEX('Dec 7 - Dec 13'!K$2:K$113,MATCH($B72,'Dec 7 - Dec 13'!$B$2:$B$113,0))</f>
        <v>0</v>
      </c>
    </row>
    <row r="73" spans="2:11" ht="12.75">
      <c r="B73" s="13" t="s">
        <v>84</v>
      </c>
      <c r="C73" s="14" t="str">
        <f t="array" aca="1" ref="C73" ca="1">INDEX('Rooms Master'!U:U,MATCH(B73,'Rooms Master'!D:D,0))</f>
        <v>Y</v>
      </c>
      <c r="D73" s="15">
        <f t="array" ref="D73">INDEX('Dec 14 - Dec 20'!D$2:D$115,MATCH($B73,'Dec 14 - Dec 20'!$B$2:$B$115,0))-INDEX('Dec 7 - Dec 13'!D$2:D$113,MATCH($B73,'Dec 7 - Dec 13'!$B$2:$B$113,0))</f>
        <v>0</v>
      </c>
      <c r="E73" s="15">
        <f t="array" ref="E73">INDEX('Dec 14 - Dec 20'!E$2:E$115,MATCH($B73,'Dec 14 - Dec 20'!$B$2:$B$115,0))-INDEX('Dec 7 - Dec 13'!E$2:E$113,MATCH($B73,'Dec 7 - Dec 13'!$B$2:$B$113,0))</f>
        <v>-9</v>
      </c>
      <c r="F73" s="15">
        <f t="array" ref="F73">INDEX('Dec 14 - Dec 20'!F$2:F$115,MATCH($B73,'Dec 14 - Dec 20'!$B$2:$B$115,0))-INDEX('Dec 7 - Dec 13'!F$2:F$113,MATCH($B73,'Dec 7 - Dec 13'!$B$2:$B$113,0))</f>
        <v>3</v>
      </c>
      <c r="G73" s="15">
        <f t="array" ref="G73">INDEX('Dec 14 - Dec 20'!G$2:G$115,MATCH($B73,'Dec 14 - Dec 20'!$B$2:$B$115,0))-INDEX('Dec 7 - Dec 13'!G$2:G$113,MATCH($B73,'Dec 7 - Dec 13'!$B$2:$B$113,0))</f>
        <v>2</v>
      </c>
      <c r="H73" s="15">
        <f t="array" ref="H73">INDEX('Dec 14 - Dec 20'!H$2:H$115,MATCH($B73,'Dec 14 - Dec 20'!$B$2:$B$115,0))-INDEX('Dec 7 - Dec 13'!H$2:H$113,MATCH($B73,'Dec 7 - Dec 13'!$B$2:$B$113,0))</f>
        <v>0</v>
      </c>
      <c r="I73" s="15">
        <f t="array" ref="I73">INDEX('Dec 14 - Dec 20'!I$2:I$115,MATCH($B73,'Dec 14 - Dec 20'!$B$2:$B$115,0))-INDEX('Dec 7 - Dec 13'!I$2:I$113,MATCH($B73,'Dec 7 - Dec 13'!$B$2:$B$113,0))</f>
        <v>-1</v>
      </c>
      <c r="J73" s="15">
        <f t="array" ref="J73">INDEX('Dec 14 - Dec 20'!J$2:J$115,MATCH($B73,'Dec 14 - Dec 20'!$B$2:$B$115,0))-INDEX('Dec 7 - Dec 13'!J$2:J$113,MATCH($B73,'Dec 7 - Dec 13'!$B$2:$B$113,0))</f>
        <v>0</v>
      </c>
      <c r="K73" s="15">
        <f t="array" ref="K73">INDEX('Dec 14 - Dec 20'!K$2:K$115,MATCH($B73,'Dec 14 - Dec 20'!$B$2:$B$115,0))-INDEX('Dec 7 - Dec 13'!K$2:K$113,MATCH($B73,'Dec 7 - Dec 13'!$B$2:$B$113,0))</f>
        <v>0</v>
      </c>
    </row>
    <row r="74" spans="2:11" ht="12.75">
      <c r="B74" s="13" t="s">
        <v>73</v>
      </c>
      <c r="C74" s="14" t="str">
        <f t="array" aca="1" ref="C74" ca="1">INDEX('Rooms Master'!U:U,MATCH(B74,'Rooms Master'!D:D,0))</f>
        <v>Y</v>
      </c>
      <c r="D74" s="15">
        <f t="array" ref="D74">INDEX('Dec 14 - Dec 20'!D$2:D$115,MATCH($B74,'Dec 14 - Dec 20'!$B$2:$B$115,0))-INDEX('Dec 7 - Dec 13'!D$2:D$113,MATCH($B74,'Dec 7 - Dec 13'!$B$2:$B$113,0))</f>
        <v>-2</v>
      </c>
      <c r="E74" s="15">
        <f t="array" ref="E74">INDEX('Dec 14 - Dec 20'!E$2:E$115,MATCH($B74,'Dec 14 - Dec 20'!$B$2:$B$115,0))-INDEX('Dec 7 - Dec 13'!E$2:E$113,MATCH($B74,'Dec 7 - Dec 13'!$B$2:$B$113,0))</f>
        <v>15</v>
      </c>
      <c r="F74" s="15">
        <f t="array" ref="F74">INDEX('Dec 14 - Dec 20'!F$2:F$115,MATCH($B74,'Dec 14 - Dec 20'!$B$2:$B$115,0))-INDEX('Dec 7 - Dec 13'!F$2:F$113,MATCH($B74,'Dec 7 - Dec 13'!$B$2:$B$113,0))</f>
        <v>2</v>
      </c>
      <c r="G74" s="15">
        <f t="array" ref="G74">INDEX('Dec 14 - Dec 20'!G$2:G$115,MATCH($B74,'Dec 14 - Dec 20'!$B$2:$B$115,0))-INDEX('Dec 7 - Dec 13'!G$2:G$113,MATCH($B74,'Dec 7 - Dec 13'!$B$2:$B$113,0))</f>
        <v>2</v>
      </c>
      <c r="H74" s="15">
        <f t="array" ref="H74">INDEX('Dec 14 - Dec 20'!H$2:H$115,MATCH($B74,'Dec 14 - Dec 20'!$B$2:$B$115,0))-INDEX('Dec 7 - Dec 13'!H$2:H$113,MATCH($B74,'Dec 7 - Dec 13'!$B$2:$B$113,0))</f>
        <v>0</v>
      </c>
      <c r="I74" s="15">
        <f t="array" ref="I74">INDEX('Dec 14 - Dec 20'!I$2:I$115,MATCH($B74,'Dec 14 - Dec 20'!$B$2:$B$115,0))-INDEX('Dec 7 - Dec 13'!I$2:I$113,MATCH($B74,'Dec 7 - Dec 13'!$B$2:$B$113,0))</f>
        <v>0</v>
      </c>
      <c r="J74" s="15">
        <f t="array" ref="J74">INDEX('Dec 14 - Dec 20'!J$2:J$115,MATCH($B74,'Dec 14 - Dec 20'!$B$2:$B$115,0))-INDEX('Dec 7 - Dec 13'!J$2:J$113,MATCH($B74,'Dec 7 - Dec 13'!$B$2:$B$113,0))</f>
        <v>0</v>
      </c>
      <c r="K74" s="15">
        <f t="array" ref="K74">INDEX('Dec 14 - Dec 20'!K$2:K$115,MATCH($B74,'Dec 14 - Dec 20'!$B$2:$B$115,0))-INDEX('Dec 7 - Dec 13'!K$2:K$113,MATCH($B74,'Dec 7 - Dec 13'!$B$2:$B$113,0))</f>
        <v>0</v>
      </c>
    </row>
    <row r="75" spans="2:11" ht="12.75">
      <c r="B75" s="13" t="s">
        <v>102</v>
      </c>
      <c r="C75" s="14" t="str">
        <f t="array" aca="1" ref="C75" ca="1">INDEX('Rooms Master'!U:U,MATCH(B75,'Rooms Master'!D:D,0))</f>
        <v>N</v>
      </c>
      <c r="D75" s="15">
        <f t="array" ref="D75">INDEX('Dec 14 - Dec 20'!D$2:D$115,MATCH($B75,'Dec 14 - Dec 20'!$B$2:$B$115,0))-INDEX('Dec 7 - Dec 13'!D$2:D$113,MATCH($B75,'Dec 7 - Dec 13'!$B$2:$B$113,0))</f>
        <v>1</v>
      </c>
      <c r="E75" s="15">
        <f t="array" ref="E75">INDEX('Dec 14 - Dec 20'!E$2:E$115,MATCH($B75,'Dec 14 - Dec 20'!$B$2:$B$115,0))-INDEX('Dec 7 - Dec 13'!E$2:E$113,MATCH($B75,'Dec 7 - Dec 13'!$B$2:$B$113,0))</f>
        <v>2</v>
      </c>
      <c r="F75" s="15">
        <f t="array" ref="F75">INDEX('Dec 14 - Dec 20'!F$2:F$115,MATCH($B75,'Dec 14 - Dec 20'!$B$2:$B$115,0))-INDEX('Dec 7 - Dec 13'!F$2:F$113,MATCH($B75,'Dec 7 - Dec 13'!$B$2:$B$113,0))</f>
        <v>4</v>
      </c>
      <c r="G75" s="15">
        <f t="array" ref="G75">INDEX('Dec 14 - Dec 20'!G$2:G$115,MATCH($B75,'Dec 14 - Dec 20'!$B$2:$B$115,0))-INDEX('Dec 7 - Dec 13'!G$2:G$113,MATCH($B75,'Dec 7 - Dec 13'!$B$2:$B$113,0))</f>
        <v>3</v>
      </c>
      <c r="H75" s="15">
        <f t="array" ref="H75">INDEX('Dec 14 - Dec 20'!H$2:H$115,MATCH($B75,'Dec 14 - Dec 20'!$B$2:$B$115,0))-INDEX('Dec 7 - Dec 13'!H$2:H$113,MATCH($B75,'Dec 7 - Dec 13'!$B$2:$B$113,0))</f>
        <v>1</v>
      </c>
      <c r="I75" s="15">
        <f t="array" ref="I75">INDEX('Dec 14 - Dec 20'!I$2:I$115,MATCH($B75,'Dec 14 - Dec 20'!$B$2:$B$115,0))-INDEX('Dec 7 - Dec 13'!I$2:I$113,MATCH($B75,'Dec 7 - Dec 13'!$B$2:$B$113,0))</f>
        <v>1</v>
      </c>
      <c r="J75" s="15">
        <f t="array" ref="J75">INDEX('Dec 14 - Dec 20'!J$2:J$115,MATCH($B75,'Dec 14 - Dec 20'!$B$2:$B$115,0))-INDEX('Dec 7 - Dec 13'!J$2:J$113,MATCH($B75,'Dec 7 - Dec 13'!$B$2:$B$113,0))</f>
        <v>1</v>
      </c>
      <c r="K75" s="15">
        <f t="array" ref="K75">INDEX('Dec 14 - Dec 20'!K$2:K$115,MATCH($B75,'Dec 14 - Dec 20'!$B$2:$B$115,0))-INDEX('Dec 7 - Dec 13'!K$2:K$113,MATCH($B75,'Dec 7 - Dec 13'!$B$2:$B$113,0))</f>
        <v>1</v>
      </c>
    </row>
    <row r="76" spans="2:11" ht="12.75">
      <c r="B76" s="13" t="s">
        <v>76</v>
      </c>
      <c r="C76" s="14" t="str">
        <f t="array" aca="1" ref="C76" ca="1">INDEX('Rooms Master'!U:U,MATCH(B76,'Rooms Master'!D:D,0))</f>
        <v>N</v>
      </c>
      <c r="D76" s="15">
        <f t="array" ref="D76">INDEX('Dec 14 - Dec 20'!D$2:D$115,MATCH($B76,'Dec 14 - Dec 20'!$B$2:$B$115,0))-INDEX('Dec 7 - Dec 13'!D$2:D$113,MATCH($B76,'Dec 7 - Dec 13'!$B$2:$B$113,0))</f>
        <v>0</v>
      </c>
      <c r="E76" s="15">
        <f t="array" ref="E76">INDEX('Dec 14 - Dec 20'!E$2:E$115,MATCH($B76,'Dec 14 - Dec 20'!$B$2:$B$115,0))-INDEX('Dec 7 - Dec 13'!E$2:E$113,MATCH($B76,'Dec 7 - Dec 13'!$B$2:$B$113,0))</f>
        <v>-161</v>
      </c>
      <c r="F76" s="15">
        <f t="array" ref="F76">INDEX('Dec 14 - Dec 20'!F$2:F$115,MATCH($B76,'Dec 14 - Dec 20'!$B$2:$B$115,0))-INDEX('Dec 7 - Dec 13'!F$2:F$113,MATCH($B76,'Dec 7 - Dec 13'!$B$2:$B$113,0))</f>
        <v>-62</v>
      </c>
      <c r="G76" s="15">
        <f t="array" ref="G76">INDEX('Dec 14 - Dec 20'!G$2:G$115,MATCH($B76,'Dec 14 - Dec 20'!$B$2:$B$115,0))-INDEX('Dec 7 - Dec 13'!G$2:G$113,MATCH($B76,'Dec 7 - Dec 13'!$B$2:$B$113,0))</f>
        <v>-9</v>
      </c>
      <c r="H76" s="15">
        <f t="array" ref="H76">INDEX('Dec 14 - Dec 20'!H$2:H$115,MATCH($B76,'Dec 14 - Dec 20'!$B$2:$B$115,0))-INDEX('Dec 7 - Dec 13'!H$2:H$113,MATCH($B76,'Dec 7 - Dec 13'!$B$2:$B$113,0))</f>
        <v>-2</v>
      </c>
      <c r="I76" s="15">
        <f t="array" ref="I76">INDEX('Dec 14 - Dec 20'!I$2:I$115,MATCH($B76,'Dec 14 - Dec 20'!$B$2:$B$115,0))-INDEX('Dec 7 - Dec 13'!I$2:I$113,MATCH($B76,'Dec 7 - Dec 13'!$B$2:$B$113,0))</f>
        <v>0</v>
      </c>
      <c r="J76" s="15">
        <f t="array" ref="J76">INDEX('Dec 14 - Dec 20'!J$2:J$115,MATCH($B76,'Dec 14 - Dec 20'!$B$2:$B$115,0))-INDEX('Dec 7 - Dec 13'!J$2:J$113,MATCH($B76,'Dec 7 - Dec 13'!$B$2:$B$113,0))</f>
        <v>-6</v>
      </c>
      <c r="K76" s="15">
        <f t="array" ref="K76">INDEX('Dec 14 - Dec 20'!K$2:K$115,MATCH($B76,'Dec 14 - Dec 20'!$B$2:$B$115,0))-INDEX('Dec 7 - Dec 13'!K$2:K$113,MATCH($B76,'Dec 7 - Dec 13'!$B$2:$B$113,0))</f>
        <v>-6</v>
      </c>
    </row>
    <row r="77" spans="2:11" ht="12.75">
      <c r="B77" s="13" t="s">
        <v>63</v>
      </c>
      <c r="C77" s="14" t="str">
        <f t="array" aca="1" ref="C77" ca="1">INDEX('Rooms Master'!U:U,MATCH(B77,'Rooms Master'!D:D,0))</f>
        <v>Y</v>
      </c>
      <c r="D77" s="15">
        <f t="array" ref="D77">INDEX('Dec 14 - Dec 20'!D$2:D$115,MATCH($B77,'Dec 14 - Dec 20'!$B$2:$B$115,0))-INDEX('Dec 7 - Dec 13'!D$2:D$113,MATCH($B77,'Dec 7 - Dec 13'!$B$2:$B$113,0))</f>
        <v>36</v>
      </c>
      <c r="E77" s="15">
        <f t="array" ref="E77">INDEX('Dec 14 - Dec 20'!E$2:E$115,MATCH($B77,'Dec 14 - Dec 20'!$B$2:$B$115,0))-INDEX('Dec 7 - Dec 13'!E$2:E$113,MATCH($B77,'Dec 7 - Dec 13'!$B$2:$B$113,0))</f>
        <v>-9</v>
      </c>
      <c r="F77" s="15">
        <f t="array" ref="F77">INDEX('Dec 14 - Dec 20'!F$2:F$115,MATCH($B77,'Dec 14 - Dec 20'!$B$2:$B$115,0))-INDEX('Dec 7 - Dec 13'!F$2:F$113,MATCH($B77,'Dec 7 - Dec 13'!$B$2:$B$113,0))</f>
        <v>-1</v>
      </c>
      <c r="G77" s="15">
        <f t="array" ref="G77">INDEX('Dec 14 - Dec 20'!G$2:G$115,MATCH($B77,'Dec 14 - Dec 20'!$B$2:$B$115,0))-INDEX('Dec 7 - Dec 13'!G$2:G$113,MATCH($B77,'Dec 7 - Dec 13'!$B$2:$B$113,0))</f>
        <v>1</v>
      </c>
      <c r="H77" s="15">
        <f t="array" ref="H77">INDEX('Dec 14 - Dec 20'!H$2:H$115,MATCH($B77,'Dec 14 - Dec 20'!$B$2:$B$115,0))-INDEX('Dec 7 - Dec 13'!H$2:H$113,MATCH($B77,'Dec 7 - Dec 13'!$B$2:$B$113,0))</f>
        <v>4</v>
      </c>
      <c r="I77" s="15">
        <f t="array" ref="I77">INDEX('Dec 14 - Dec 20'!I$2:I$115,MATCH($B77,'Dec 14 - Dec 20'!$B$2:$B$115,0))-INDEX('Dec 7 - Dec 13'!I$2:I$113,MATCH($B77,'Dec 7 - Dec 13'!$B$2:$B$113,0))</f>
        <v>0</v>
      </c>
      <c r="J77" s="15">
        <f t="array" ref="J77">INDEX('Dec 14 - Dec 20'!J$2:J$115,MATCH($B77,'Dec 14 - Dec 20'!$B$2:$B$115,0))-INDEX('Dec 7 - Dec 13'!J$2:J$113,MATCH($B77,'Dec 7 - Dec 13'!$B$2:$B$113,0))</f>
        <v>0</v>
      </c>
      <c r="K77" s="15">
        <f t="array" ref="K77">INDEX('Dec 14 - Dec 20'!K$2:K$115,MATCH($B77,'Dec 14 - Dec 20'!$B$2:$B$115,0))-INDEX('Dec 7 - Dec 13'!K$2:K$113,MATCH($B77,'Dec 7 - Dec 13'!$B$2:$B$113,0))</f>
        <v>0</v>
      </c>
    </row>
    <row r="78" spans="2:11" ht="12.75">
      <c r="B78" s="13" t="s">
        <v>60</v>
      </c>
      <c r="C78" s="14" t="str">
        <f t="array" aca="1" ref="C78" ca="1">INDEX('Rooms Master'!U:U,MATCH(B78,'Rooms Master'!D:D,0))</f>
        <v>Y</v>
      </c>
      <c r="D78" s="15">
        <f t="array" ref="D78">INDEX('Dec 14 - Dec 20'!D$2:D$115,MATCH($B78,'Dec 14 - Dec 20'!$B$2:$B$115,0))-INDEX('Dec 7 - Dec 13'!D$2:D$113,MATCH($B78,'Dec 7 - Dec 13'!$B$2:$B$113,0))</f>
        <v>-48</v>
      </c>
      <c r="E78" s="15">
        <f t="array" ref="E78">INDEX('Dec 14 - Dec 20'!E$2:E$115,MATCH($B78,'Dec 14 - Dec 20'!$B$2:$B$115,0))-INDEX('Dec 7 - Dec 13'!E$2:E$113,MATCH($B78,'Dec 7 - Dec 13'!$B$2:$B$113,0))</f>
        <v>-3</v>
      </c>
      <c r="F78" s="15">
        <f t="array" ref="F78">INDEX('Dec 14 - Dec 20'!F$2:F$115,MATCH($B78,'Dec 14 - Dec 20'!$B$2:$B$115,0))-INDEX('Dec 7 - Dec 13'!F$2:F$113,MATCH($B78,'Dec 7 - Dec 13'!$B$2:$B$113,0))</f>
        <v>0</v>
      </c>
      <c r="G78" s="15">
        <f t="array" ref="G78">INDEX('Dec 14 - Dec 20'!G$2:G$115,MATCH($B78,'Dec 14 - Dec 20'!$B$2:$B$115,0))-INDEX('Dec 7 - Dec 13'!G$2:G$113,MATCH($B78,'Dec 7 - Dec 13'!$B$2:$B$113,0))</f>
        <v>2</v>
      </c>
      <c r="H78" s="15">
        <f t="array" ref="H78">INDEX('Dec 14 - Dec 20'!H$2:H$115,MATCH($B78,'Dec 14 - Dec 20'!$B$2:$B$115,0))-INDEX('Dec 7 - Dec 13'!H$2:H$113,MATCH($B78,'Dec 7 - Dec 13'!$B$2:$B$113,0))</f>
        <v>4</v>
      </c>
      <c r="I78" s="15">
        <f t="array" ref="I78">INDEX('Dec 14 - Dec 20'!I$2:I$115,MATCH($B78,'Dec 14 - Dec 20'!$B$2:$B$115,0))-INDEX('Dec 7 - Dec 13'!I$2:I$113,MATCH($B78,'Dec 7 - Dec 13'!$B$2:$B$113,0))</f>
        <v>0</v>
      </c>
      <c r="J78" s="15">
        <f t="array" ref="J78">INDEX('Dec 14 - Dec 20'!J$2:J$115,MATCH($B78,'Dec 14 - Dec 20'!$B$2:$B$115,0))-INDEX('Dec 7 - Dec 13'!J$2:J$113,MATCH($B78,'Dec 7 - Dec 13'!$B$2:$B$113,0))</f>
        <v>0</v>
      </c>
      <c r="K78" s="15">
        <f t="array" ref="K78">INDEX('Dec 14 - Dec 20'!K$2:K$115,MATCH($B78,'Dec 14 - Dec 20'!$B$2:$B$115,0))-INDEX('Dec 7 - Dec 13'!K$2:K$113,MATCH($B78,'Dec 7 - Dec 13'!$B$2:$B$113,0))</f>
        <v>0</v>
      </c>
    </row>
    <row r="79" spans="2:11" ht="12.75">
      <c r="B79" s="13" t="s">
        <v>54</v>
      </c>
      <c r="C79" s="14" t="str">
        <f t="array" aca="1" ref="C79" ca="1">INDEX('Rooms Master'!U:U,MATCH(B79,'Rooms Master'!D:D,0))</f>
        <v>N</v>
      </c>
      <c r="D79" s="15">
        <f t="array" ref="D79">INDEX('Dec 14 - Dec 20'!D$2:D$115,MATCH($B79,'Dec 14 - Dec 20'!$B$2:$B$115,0))-INDEX('Dec 7 - Dec 13'!D$2:D$113,MATCH($B79,'Dec 7 - Dec 13'!$B$2:$B$113,0))</f>
        <v>-5</v>
      </c>
      <c r="E79" s="15">
        <f t="array" ref="E79">INDEX('Dec 14 - Dec 20'!E$2:E$115,MATCH($B79,'Dec 14 - Dec 20'!$B$2:$B$115,0))-INDEX('Dec 7 - Dec 13'!E$2:E$113,MATCH($B79,'Dec 7 - Dec 13'!$B$2:$B$113,0))</f>
        <v>9</v>
      </c>
      <c r="F79" s="15">
        <f t="array" ref="F79">INDEX('Dec 14 - Dec 20'!F$2:F$115,MATCH($B79,'Dec 14 - Dec 20'!$B$2:$B$115,0))-INDEX('Dec 7 - Dec 13'!F$2:F$113,MATCH($B79,'Dec 7 - Dec 13'!$B$2:$B$113,0))</f>
        <v>10</v>
      </c>
      <c r="G79" s="15">
        <f t="array" ref="G79">INDEX('Dec 14 - Dec 20'!G$2:G$115,MATCH($B79,'Dec 14 - Dec 20'!$B$2:$B$115,0))-INDEX('Dec 7 - Dec 13'!G$2:G$113,MATCH($B79,'Dec 7 - Dec 13'!$B$2:$B$113,0))</f>
        <v>3</v>
      </c>
      <c r="H79" s="15">
        <f t="array" ref="H79">INDEX('Dec 14 - Dec 20'!H$2:H$115,MATCH($B79,'Dec 14 - Dec 20'!$B$2:$B$115,0))-INDEX('Dec 7 - Dec 13'!H$2:H$113,MATCH($B79,'Dec 7 - Dec 13'!$B$2:$B$113,0))</f>
        <v>1</v>
      </c>
      <c r="I79" s="15">
        <f t="array" ref="I79">INDEX('Dec 14 - Dec 20'!I$2:I$115,MATCH($B79,'Dec 14 - Dec 20'!$B$2:$B$115,0))-INDEX('Dec 7 - Dec 13'!I$2:I$113,MATCH($B79,'Dec 7 - Dec 13'!$B$2:$B$113,0))</f>
        <v>0</v>
      </c>
      <c r="J79" s="15">
        <f t="array" ref="J79">INDEX('Dec 14 - Dec 20'!J$2:J$115,MATCH($B79,'Dec 14 - Dec 20'!$B$2:$B$115,0))-INDEX('Dec 7 - Dec 13'!J$2:J$113,MATCH($B79,'Dec 7 - Dec 13'!$B$2:$B$113,0))</f>
        <v>0</v>
      </c>
      <c r="K79" s="15">
        <f t="array" ref="K79">INDEX('Dec 14 - Dec 20'!K$2:K$115,MATCH($B79,'Dec 14 - Dec 20'!$B$2:$B$115,0))-INDEX('Dec 7 - Dec 13'!K$2:K$113,MATCH($B79,'Dec 7 - Dec 13'!$B$2:$B$113,0))</f>
        <v>0</v>
      </c>
    </row>
    <row r="80" spans="2:11" ht="12.75">
      <c r="B80" s="13" t="s">
        <v>71</v>
      </c>
      <c r="C80" s="14" t="str">
        <f t="array" aca="1" ref="C80" ca="1">INDEX('Rooms Master'!U:U,MATCH(B80,'Rooms Master'!D:D,0))</f>
        <v>Y</v>
      </c>
      <c r="D80" s="15">
        <f t="array" ref="D80">INDEX('Dec 14 - Dec 20'!D$2:D$115,MATCH($B80,'Dec 14 - Dec 20'!$B$2:$B$115,0))-INDEX('Dec 7 - Dec 13'!D$2:D$113,MATCH($B80,'Dec 7 - Dec 13'!$B$2:$B$113,0))</f>
        <v>-2</v>
      </c>
      <c r="E80" s="15">
        <f t="array" ref="E80">INDEX('Dec 14 - Dec 20'!E$2:E$115,MATCH($B80,'Dec 14 - Dec 20'!$B$2:$B$115,0))-INDEX('Dec 7 - Dec 13'!E$2:E$113,MATCH($B80,'Dec 7 - Dec 13'!$B$2:$B$113,0))</f>
        <v>18</v>
      </c>
      <c r="F80" s="15">
        <f t="array" ref="F80">INDEX('Dec 14 - Dec 20'!F$2:F$115,MATCH($B80,'Dec 14 - Dec 20'!$B$2:$B$115,0))-INDEX('Dec 7 - Dec 13'!F$2:F$113,MATCH($B80,'Dec 7 - Dec 13'!$B$2:$B$113,0))</f>
        <v>13</v>
      </c>
      <c r="G80" s="15">
        <f t="array" ref="G80">INDEX('Dec 14 - Dec 20'!G$2:G$115,MATCH($B80,'Dec 14 - Dec 20'!$B$2:$B$115,0))-INDEX('Dec 7 - Dec 13'!G$2:G$113,MATCH($B80,'Dec 7 - Dec 13'!$B$2:$B$113,0))</f>
        <v>-1</v>
      </c>
      <c r="H80" s="15">
        <f t="array" ref="H80">INDEX('Dec 14 - Dec 20'!H$2:H$115,MATCH($B80,'Dec 14 - Dec 20'!$B$2:$B$115,0))-INDEX('Dec 7 - Dec 13'!H$2:H$113,MATCH($B80,'Dec 7 - Dec 13'!$B$2:$B$113,0))</f>
        <v>4</v>
      </c>
      <c r="I80" s="15">
        <f t="array" ref="I80">INDEX('Dec 14 - Dec 20'!I$2:I$115,MATCH($B80,'Dec 14 - Dec 20'!$B$2:$B$115,0))-INDEX('Dec 7 - Dec 13'!I$2:I$113,MATCH($B80,'Dec 7 - Dec 13'!$B$2:$B$113,0))</f>
        <v>0</v>
      </c>
      <c r="J80" s="15">
        <f t="array" ref="J80">INDEX('Dec 14 - Dec 20'!J$2:J$115,MATCH($B80,'Dec 14 - Dec 20'!$B$2:$B$115,0))-INDEX('Dec 7 - Dec 13'!J$2:J$113,MATCH($B80,'Dec 7 - Dec 13'!$B$2:$B$113,0))</f>
        <v>0</v>
      </c>
      <c r="K80" s="15">
        <f t="array" ref="K80">INDEX('Dec 14 - Dec 20'!K$2:K$115,MATCH($B80,'Dec 14 - Dec 20'!$B$2:$B$115,0))-INDEX('Dec 7 - Dec 13'!K$2:K$113,MATCH($B80,'Dec 7 - Dec 13'!$B$2:$B$113,0))</f>
        <v>0</v>
      </c>
    </row>
    <row r="81" spans="2:11" ht="12.75">
      <c r="B81" s="13" t="s">
        <v>66</v>
      </c>
      <c r="C81" s="14" t="str">
        <f t="array" aca="1" ref="C81" ca="1">INDEX('Rooms Master'!U:U,MATCH(B81,'Rooms Master'!D:D,0))</f>
        <v>Y</v>
      </c>
      <c r="D81" s="15">
        <f t="array" ref="D81">INDEX('Dec 14 - Dec 20'!D$2:D$115,MATCH($B81,'Dec 14 - Dec 20'!$B$2:$B$115,0))-INDEX('Dec 7 - Dec 13'!D$2:D$113,MATCH($B81,'Dec 7 - Dec 13'!$B$2:$B$113,0))</f>
        <v>0</v>
      </c>
      <c r="E81" s="15">
        <f t="array" ref="E81">INDEX('Dec 14 - Dec 20'!E$2:E$115,MATCH($B81,'Dec 14 - Dec 20'!$B$2:$B$115,0))-INDEX('Dec 7 - Dec 13'!E$2:E$113,MATCH($B81,'Dec 7 - Dec 13'!$B$2:$B$113,0))</f>
        <v>-5</v>
      </c>
      <c r="F81" s="15">
        <f t="array" ref="F81">INDEX('Dec 14 - Dec 20'!F$2:F$115,MATCH($B81,'Dec 14 - Dec 20'!$B$2:$B$115,0))-INDEX('Dec 7 - Dec 13'!F$2:F$113,MATCH($B81,'Dec 7 - Dec 13'!$B$2:$B$113,0))</f>
        <v>-5</v>
      </c>
      <c r="G81" s="15">
        <f t="array" ref="G81">INDEX('Dec 14 - Dec 20'!G$2:G$115,MATCH($B81,'Dec 14 - Dec 20'!$B$2:$B$115,0))-INDEX('Dec 7 - Dec 13'!G$2:G$113,MATCH($B81,'Dec 7 - Dec 13'!$B$2:$B$113,0))</f>
        <v>0</v>
      </c>
      <c r="H81" s="15">
        <f t="array" ref="H81">INDEX('Dec 14 - Dec 20'!H$2:H$115,MATCH($B81,'Dec 14 - Dec 20'!$B$2:$B$115,0))-INDEX('Dec 7 - Dec 13'!H$2:H$113,MATCH($B81,'Dec 7 - Dec 13'!$B$2:$B$113,0))</f>
        <v>0</v>
      </c>
      <c r="I81" s="15">
        <f t="array" ref="I81">INDEX('Dec 14 - Dec 20'!I$2:I$115,MATCH($B81,'Dec 14 - Dec 20'!$B$2:$B$115,0))-INDEX('Dec 7 - Dec 13'!I$2:I$113,MATCH($B81,'Dec 7 - Dec 13'!$B$2:$B$113,0))</f>
        <v>0</v>
      </c>
      <c r="J81" s="15">
        <f t="array" ref="J81">INDEX('Dec 14 - Dec 20'!J$2:J$115,MATCH($B81,'Dec 14 - Dec 20'!$B$2:$B$115,0))-INDEX('Dec 7 - Dec 13'!J$2:J$113,MATCH($B81,'Dec 7 - Dec 13'!$B$2:$B$113,0))</f>
        <v>0</v>
      </c>
      <c r="K81" s="15">
        <f t="array" ref="K81">INDEX('Dec 14 - Dec 20'!K$2:K$115,MATCH($B81,'Dec 14 - Dec 20'!$B$2:$B$115,0))-INDEX('Dec 7 - Dec 13'!K$2:K$113,MATCH($B81,'Dec 7 - Dec 13'!$B$2:$B$113,0))</f>
        <v>0</v>
      </c>
    </row>
    <row r="82" spans="2:11" ht="12.75">
      <c r="B82" s="13" t="s">
        <v>139</v>
      </c>
      <c r="C82" s="14" t="str">
        <f t="array" aca="1" ref="C82" ca="1">INDEX('Rooms Master'!U:U,MATCH(B82,'Rooms Master'!D:D,0))</f>
        <v>N</v>
      </c>
      <c r="D82" s="15">
        <f t="array" ref="D82">INDEX('Dec 14 - Dec 20'!D$2:D$115,MATCH($B82,'Dec 14 - Dec 20'!$B$2:$B$115,0))-INDEX('Dec 7 - Dec 13'!D$2:D$113,MATCH($B82,'Dec 7 - Dec 13'!$B$2:$B$113,0))</f>
        <v>0</v>
      </c>
      <c r="E82" s="15">
        <f t="array" ref="E82">INDEX('Dec 14 - Dec 20'!E$2:E$115,MATCH($B82,'Dec 14 - Dec 20'!$B$2:$B$115,0))-INDEX('Dec 7 - Dec 13'!E$2:E$113,MATCH($B82,'Dec 7 - Dec 13'!$B$2:$B$113,0))</f>
        <v>-1</v>
      </c>
      <c r="F82" s="15">
        <f t="array" ref="F82">INDEX('Dec 14 - Dec 20'!F$2:F$115,MATCH($B82,'Dec 14 - Dec 20'!$B$2:$B$115,0))-INDEX('Dec 7 - Dec 13'!F$2:F$113,MATCH($B82,'Dec 7 - Dec 13'!$B$2:$B$113,0))</f>
        <v>0</v>
      </c>
      <c r="G82" s="15">
        <f t="array" ref="G82">INDEX('Dec 14 - Dec 20'!G$2:G$115,MATCH($B82,'Dec 14 - Dec 20'!$B$2:$B$115,0))-INDEX('Dec 7 - Dec 13'!G$2:G$113,MATCH($B82,'Dec 7 - Dec 13'!$B$2:$B$113,0))</f>
        <v>0</v>
      </c>
      <c r="H82" s="15">
        <f t="array" ref="H82">INDEX('Dec 14 - Dec 20'!H$2:H$115,MATCH($B82,'Dec 14 - Dec 20'!$B$2:$B$115,0))-INDEX('Dec 7 - Dec 13'!H$2:H$113,MATCH($B82,'Dec 7 - Dec 13'!$B$2:$B$113,0))</f>
        <v>0</v>
      </c>
      <c r="I82" s="15">
        <f t="array" ref="I82">INDEX('Dec 14 - Dec 20'!I$2:I$115,MATCH($B82,'Dec 14 - Dec 20'!$B$2:$B$115,0))-INDEX('Dec 7 - Dec 13'!I$2:I$113,MATCH($B82,'Dec 7 - Dec 13'!$B$2:$B$113,0))</f>
        <v>0</v>
      </c>
      <c r="J82" s="15">
        <f t="array" ref="J82">INDEX('Dec 14 - Dec 20'!J$2:J$115,MATCH($B82,'Dec 14 - Dec 20'!$B$2:$B$115,0))-INDEX('Dec 7 - Dec 13'!J$2:J$113,MATCH($B82,'Dec 7 - Dec 13'!$B$2:$B$113,0))</f>
        <v>0</v>
      </c>
      <c r="K82" s="15">
        <f t="array" ref="K82">INDEX('Dec 14 - Dec 20'!K$2:K$115,MATCH($B82,'Dec 14 - Dec 20'!$B$2:$B$115,0))-INDEX('Dec 7 - Dec 13'!K$2:K$113,MATCH($B82,'Dec 7 - Dec 13'!$B$2:$B$113,0))</f>
        <v>0</v>
      </c>
    </row>
    <row r="83" spans="2:11" ht="12.75">
      <c r="B83" s="13" t="s">
        <v>79</v>
      </c>
      <c r="C83" s="14" t="str">
        <f t="array" aca="1" ref="C83" ca="1">INDEX('Rooms Master'!U:U,MATCH(B83,'Rooms Master'!D:D,0))</f>
        <v>Y</v>
      </c>
      <c r="D83" s="15">
        <f t="array" ref="D83">INDEX('Dec 14 - Dec 20'!D$2:D$115,MATCH($B83,'Dec 14 - Dec 20'!$B$2:$B$115,0))-INDEX('Dec 7 - Dec 13'!D$2:D$113,MATCH($B83,'Dec 7 - Dec 13'!$B$2:$B$113,0))</f>
        <v>-6</v>
      </c>
      <c r="E83" s="15">
        <f t="array" ref="E83">INDEX('Dec 14 - Dec 20'!E$2:E$115,MATCH($B83,'Dec 14 - Dec 20'!$B$2:$B$115,0))-INDEX('Dec 7 - Dec 13'!E$2:E$113,MATCH($B83,'Dec 7 - Dec 13'!$B$2:$B$113,0))</f>
        <v>-3</v>
      </c>
      <c r="F83" s="15">
        <f t="array" ref="F83">INDEX('Dec 14 - Dec 20'!F$2:F$115,MATCH($B83,'Dec 14 - Dec 20'!$B$2:$B$115,0))-INDEX('Dec 7 - Dec 13'!F$2:F$113,MATCH($B83,'Dec 7 - Dec 13'!$B$2:$B$113,0))</f>
        <v>-2</v>
      </c>
      <c r="G83" s="15">
        <f t="array" ref="G83">INDEX('Dec 14 - Dec 20'!G$2:G$115,MATCH($B83,'Dec 14 - Dec 20'!$B$2:$B$115,0))-INDEX('Dec 7 - Dec 13'!G$2:G$113,MATCH($B83,'Dec 7 - Dec 13'!$B$2:$B$113,0))</f>
        <v>0</v>
      </c>
      <c r="H83" s="15">
        <f t="array" ref="H83">INDEX('Dec 14 - Dec 20'!H$2:H$115,MATCH($B83,'Dec 14 - Dec 20'!$B$2:$B$115,0))-INDEX('Dec 7 - Dec 13'!H$2:H$113,MATCH($B83,'Dec 7 - Dec 13'!$B$2:$B$113,0))</f>
        <v>0</v>
      </c>
      <c r="I83" s="15">
        <f t="array" ref="I83">INDEX('Dec 14 - Dec 20'!I$2:I$115,MATCH($B83,'Dec 14 - Dec 20'!$B$2:$B$115,0))-INDEX('Dec 7 - Dec 13'!I$2:I$113,MATCH($B83,'Dec 7 - Dec 13'!$B$2:$B$113,0))</f>
        <v>0</v>
      </c>
      <c r="J83" s="15">
        <f t="array" ref="J83">INDEX('Dec 14 - Dec 20'!J$2:J$115,MATCH($B83,'Dec 14 - Dec 20'!$B$2:$B$115,0))-INDEX('Dec 7 - Dec 13'!J$2:J$113,MATCH($B83,'Dec 7 - Dec 13'!$B$2:$B$113,0))</f>
        <v>0</v>
      </c>
      <c r="K83" s="15">
        <f t="array" ref="K83">INDEX('Dec 14 - Dec 20'!K$2:K$115,MATCH($B83,'Dec 14 - Dec 20'!$B$2:$B$115,0))-INDEX('Dec 7 - Dec 13'!K$2:K$113,MATCH($B83,'Dec 7 - Dec 13'!$B$2:$B$113,0))</f>
        <v>0</v>
      </c>
    </row>
    <row r="84" spans="2:11" ht="12.75">
      <c r="B84" s="13" t="s">
        <v>50</v>
      </c>
      <c r="C84" s="14" t="str">
        <f t="array" aca="1" ref="C84" ca="1">INDEX('Rooms Master'!U:U,MATCH(B84,'Rooms Master'!D:D,0))</f>
        <v>Y</v>
      </c>
      <c r="D84" s="15">
        <f t="array" ref="D84">INDEX('Dec 14 - Dec 20'!D$2:D$115,MATCH($B84,'Dec 14 - Dec 20'!$B$2:$B$115,0))-INDEX('Dec 7 - Dec 13'!D$2:D$113,MATCH($B84,'Dec 7 - Dec 13'!$B$2:$B$113,0))</f>
        <v>-3</v>
      </c>
      <c r="E84" s="15">
        <f t="array" ref="E84">INDEX('Dec 14 - Dec 20'!E$2:E$115,MATCH($B84,'Dec 14 - Dec 20'!$B$2:$B$115,0))-INDEX('Dec 7 - Dec 13'!E$2:E$113,MATCH($B84,'Dec 7 - Dec 13'!$B$2:$B$113,0))</f>
        <v>17</v>
      </c>
      <c r="F84" s="15">
        <f t="array" ref="F84">INDEX('Dec 14 - Dec 20'!F$2:F$115,MATCH($B84,'Dec 14 - Dec 20'!$B$2:$B$115,0))-INDEX('Dec 7 - Dec 13'!F$2:F$113,MATCH($B84,'Dec 7 - Dec 13'!$B$2:$B$113,0))</f>
        <v>11</v>
      </c>
      <c r="G84" s="15">
        <f t="array" ref="G84">INDEX('Dec 14 - Dec 20'!G$2:G$115,MATCH($B84,'Dec 14 - Dec 20'!$B$2:$B$115,0))-INDEX('Dec 7 - Dec 13'!G$2:G$113,MATCH($B84,'Dec 7 - Dec 13'!$B$2:$B$113,0))</f>
        <v>-2</v>
      </c>
      <c r="H84" s="15">
        <f t="array" ref="H84">INDEX('Dec 14 - Dec 20'!H$2:H$115,MATCH($B84,'Dec 14 - Dec 20'!$B$2:$B$115,0))-INDEX('Dec 7 - Dec 13'!H$2:H$113,MATCH($B84,'Dec 7 - Dec 13'!$B$2:$B$113,0))</f>
        <v>-1</v>
      </c>
      <c r="I84" s="15">
        <f t="array" ref="I84">INDEX('Dec 14 - Dec 20'!I$2:I$115,MATCH($B84,'Dec 14 - Dec 20'!$B$2:$B$115,0))-INDEX('Dec 7 - Dec 13'!I$2:I$113,MATCH($B84,'Dec 7 - Dec 13'!$B$2:$B$113,0))</f>
        <v>-1</v>
      </c>
      <c r="J84" s="15">
        <f t="array" ref="J84">INDEX('Dec 14 - Dec 20'!J$2:J$115,MATCH($B84,'Dec 14 - Dec 20'!$B$2:$B$115,0))-INDEX('Dec 7 - Dec 13'!J$2:J$113,MATCH($B84,'Dec 7 - Dec 13'!$B$2:$B$113,0))</f>
        <v>1</v>
      </c>
      <c r="K84" s="15">
        <f t="array" ref="K84">INDEX('Dec 14 - Dec 20'!K$2:K$115,MATCH($B84,'Dec 14 - Dec 20'!$B$2:$B$115,0))-INDEX('Dec 7 - Dec 13'!K$2:K$113,MATCH($B84,'Dec 7 - Dec 13'!$B$2:$B$113,0))</f>
        <v>1</v>
      </c>
    </row>
    <row r="85" spans="2:11" ht="12.75">
      <c r="B85" s="13" t="s">
        <v>36</v>
      </c>
      <c r="C85" s="14" t="str">
        <f t="array" aca="1" ref="C85" ca="1">INDEX('Rooms Master'!U:U,MATCH(B85,'Rooms Master'!D:D,0))</f>
        <v>Y</v>
      </c>
      <c r="D85" s="15">
        <f t="array" ref="D85">INDEX('Dec 14 - Dec 20'!D$2:D$115,MATCH($B85,'Dec 14 - Dec 20'!$B$2:$B$115,0))-INDEX('Dec 7 - Dec 13'!D$2:D$113,MATCH($B85,'Dec 7 - Dec 13'!$B$2:$B$113,0))</f>
        <v>-6</v>
      </c>
      <c r="E85" s="15">
        <f t="array" ref="E85">INDEX('Dec 14 - Dec 20'!E$2:E$115,MATCH($B85,'Dec 14 - Dec 20'!$B$2:$B$115,0))-INDEX('Dec 7 - Dec 13'!E$2:E$113,MATCH($B85,'Dec 7 - Dec 13'!$B$2:$B$113,0))</f>
        <v>23</v>
      </c>
      <c r="F85" s="15">
        <f t="array" ref="F85">INDEX('Dec 14 - Dec 20'!F$2:F$115,MATCH($B85,'Dec 14 - Dec 20'!$B$2:$B$115,0))-INDEX('Dec 7 - Dec 13'!F$2:F$113,MATCH($B85,'Dec 7 - Dec 13'!$B$2:$B$113,0))</f>
        <v>11</v>
      </c>
      <c r="G85" s="15">
        <f t="array" ref="G85">INDEX('Dec 14 - Dec 20'!G$2:G$115,MATCH($B85,'Dec 14 - Dec 20'!$B$2:$B$115,0))-INDEX('Dec 7 - Dec 13'!G$2:G$113,MATCH($B85,'Dec 7 - Dec 13'!$B$2:$B$113,0))</f>
        <v>3</v>
      </c>
      <c r="H85" s="15">
        <f t="array" ref="H85">INDEX('Dec 14 - Dec 20'!H$2:H$115,MATCH($B85,'Dec 14 - Dec 20'!$B$2:$B$115,0))-INDEX('Dec 7 - Dec 13'!H$2:H$113,MATCH($B85,'Dec 7 - Dec 13'!$B$2:$B$113,0))</f>
        <v>2</v>
      </c>
      <c r="I85" s="15">
        <f t="array" ref="I85">INDEX('Dec 14 - Dec 20'!I$2:I$115,MATCH($B85,'Dec 14 - Dec 20'!$B$2:$B$115,0))-INDEX('Dec 7 - Dec 13'!I$2:I$113,MATCH($B85,'Dec 7 - Dec 13'!$B$2:$B$113,0))</f>
        <v>1</v>
      </c>
      <c r="J85" s="15">
        <f t="array" ref="J85">INDEX('Dec 14 - Dec 20'!J$2:J$115,MATCH($B85,'Dec 14 - Dec 20'!$B$2:$B$115,0))-INDEX('Dec 7 - Dec 13'!J$2:J$113,MATCH($B85,'Dec 7 - Dec 13'!$B$2:$B$113,0))</f>
        <v>0</v>
      </c>
      <c r="K85" s="15">
        <f t="array" ref="K85">INDEX('Dec 14 - Dec 20'!K$2:K$115,MATCH($B85,'Dec 14 - Dec 20'!$B$2:$B$115,0))-INDEX('Dec 7 - Dec 13'!K$2:K$113,MATCH($B85,'Dec 7 - Dec 13'!$B$2:$B$113,0))</f>
        <v>0</v>
      </c>
    </row>
    <row r="86" spans="2:11" ht="12.75">
      <c r="B86" s="13" t="s">
        <v>48</v>
      </c>
      <c r="C86" s="14" t="str">
        <f t="array" aca="1" ref="C86" ca="1">INDEX('Rooms Master'!U:U,MATCH(B86,'Rooms Master'!D:D,0))</f>
        <v>Y</v>
      </c>
      <c r="D86" s="15">
        <f t="array" ref="D86">INDEX('Dec 14 - Dec 20'!D$2:D$115,MATCH($B86,'Dec 14 - Dec 20'!$B$2:$B$115,0))-INDEX('Dec 7 - Dec 13'!D$2:D$113,MATCH($B86,'Dec 7 - Dec 13'!$B$2:$B$113,0))</f>
        <v>-6</v>
      </c>
      <c r="E86" s="15">
        <f t="array" ref="E86">INDEX('Dec 14 - Dec 20'!E$2:E$115,MATCH($B86,'Dec 14 - Dec 20'!$B$2:$B$115,0))-INDEX('Dec 7 - Dec 13'!E$2:E$113,MATCH($B86,'Dec 7 - Dec 13'!$B$2:$B$113,0))</f>
        <v>-7</v>
      </c>
      <c r="F86" s="15">
        <f t="array" ref="F86">INDEX('Dec 14 - Dec 20'!F$2:F$115,MATCH($B86,'Dec 14 - Dec 20'!$B$2:$B$115,0))-INDEX('Dec 7 - Dec 13'!F$2:F$113,MATCH($B86,'Dec 7 - Dec 13'!$B$2:$B$113,0))</f>
        <v>-3</v>
      </c>
      <c r="G86" s="15">
        <f t="array" ref="G86">INDEX('Dec 14 - Dec 20'!G$2:G$115,MATCH($B86,'Dec 14 - Dec 20'!$B$2:$B$115,0))-INDEX('Dec 7 - Dec 13'!G$2:G$113,MATCH($B86,'Dec 7 - Dec 13'!$B$2:$B$113,0))</f>
        <v>0</v>
      </c>
      <c r="H86" s="15">
        <f t="array" ref="H86">INDEX('Dec 14 - Dec 20'!H$2:H$115,MATCH($B86,'Dec 14 - Dec 20'!$B$2:$B$115,0))-INDEX('Dec 7 - Dec 13'!H$2:H$113,MATCH($B86,'Dec 7 - Dec 13'!$B$2:$B$113,0))</f>
        <v>2</v>
      </c>
      <c r="I86" s="15">
        <f t="array" ref="I86">INDEX('Dec 14 - Dec 20'!I$2:I$115,MATCH($B86,'Dec 14 - Dec 20'!$B$2:$B$115,0))-INDEX('Dec 7 - Dec 13'!I$2:I$113,MATCH($B86,'Dec 7 - Dec 13'!$B$2:$B$113,0))</f>
        <v>0</v>
      </c>
      <c r="J86" s="15">
        <f t="array" ref="J86">INDEX('Dec 14 - Dec 20'!J$2:J$115,MATCH($B86,'Dec 14 - Dec 20'!$B$2:$B$115,0))-INDEX('Dec 7 - Dec 13'!J$2:J$113,MATCH($B86,'Dec 7 - Dec 13'!$B$2:$B$113,0))</f>
        <v>0</v>
      </c>
      <c r="K86" s="15">
        <f t="array" ref="K86">INDEX('Dec 14 - Dec 20'!K$2:K$115,MATCH($B86,'Dec 14 - Dec 20'!$B$2:$B$115,0))-INDEX('Dec 7 - Dec 13'!K$2:K$113,MATCH($B86,'Dec 7 - Dec 13'!$B$2:$B$113,0))</f>
        <v>0</v>
      </c>
    </row>
    <row r="87" spans="2:11" ht="12.75">
      <c r="B87" s="1" t="s">
        <v>43</v>
      </c>
      <c r="C87" s="14" t="str">
        <f t="array" aca="1" ref="C87" ca="1">INDEX('Rooms Master'!U:U,MATCH(B87,'Rooms Master'!D:D,0))</f>
        <v>Y</v>
      </c>
      <c r="D87" s="15">
        <f t="array" ref="D87">INDEX('Dec 14 - Dec 20'!D$2:D$115,MATCH($B87,'Dec 14 - Dec 20'!$B$2:$B$115,0))-INDEX('Dec 7 - Dec 13'!D$2:D$113,MATCH($B87,'Dec 7 - Dec 13'!$B$2:$B$113,0))</f>
        <v>1</v>
      </c>
      <c r="E87" s="15">
        <f t="array" ref="E87">INDEX('Dec 14 - Dec 20'!E$2:E$115,MATCH($B87,'Dec 14 - Dec 20'!$B$2:$B$115,0))-INDEX('Dec 7 - Dec 13'!E$2:E$113,MATCH($B87,'Dec 7 - Dec 13'!$B$2:$B$113,0))</f>
        <v>-7</v>
      </c>
      <c r="F87" s="15">
        <f t="array" ref="F87">INDEX('Dec 14 - Dec 20'!F$2:F$115,MATCH($B87,'Dec 14 - Dec 20'!$B$2:$B$115,0))-INDEX('Dec 7 - Dec 13'!F$2:F$113,MATCH($B87,'Dec 7 - Dec 13'!$B$2:$B$113,0))</f>
        <v>0</v>
      </c>
      <c r="G87" s="15">
        <f t="array" ref="G87">INDEX('Dec 14 - Dec 20'!G$2:G$115,MATCH($B87,'Dec 14 - Dec 20'!$B$2:$B$115,0))-INDEX('Dec 7 - Dec 13'!G$2:G$113,MATCH($B87,'Dec 7 - Dec 13'!$B$2:$B$113,0))</f>
        <v>2</v>
      </c>
      <c r="H87" s="15">
        <f t="array" ref="H87">INDEX('Dec 14 - Dec 20'!H$2:H$115,MATCH($B87,'Dec 14 - Dec 20'!$B$2:$B$115,0))-INDEX('Dec 7 - Dec 13'!H$2:H$113,MATCH($B87,'Dec 7 - Dec 13'!$B$2:$B$113,0))</f>
        <v>1</v>
      </c>
      <c r="I87" s="15">
        <f t="array" ref="I87">INDEX('Dec 14 - Dec 20'!I$2:I$115,MATCH($B87,'Dec 14 - Dec 20'!$B$2:$B$115,0))-INDEX('Dec 7 - Dec 13'!I$2:I$113,MATCH($B87,'Dec 7 - Dec 13'!$B$2:$B$113,0))</f>
        <v>0</v>
      </c>
      <c r="J87" s="15">
        <f t="array" ref="J87">INDEX('Dec 14 - Dec 20'!J$2:J$115,MATCH($B87,'Dec 14 - Dec 20'!$B$2:$B$115,0))-INDEX('Dec 7 - Dec 13'!J$2:J$113,MATCH($B87,'Dec 7 - Dec 13'!$B$2:$B$113,0))</f>
        <v>0</v>
      </c>
      <c r="K87" s="15">
        <f t="array" ref="K87">INDEX('Dec 14 - Dec 20'!K$2:K$115,MATCH($B87,'Dec 14 - Dec 20'!$B$2:$B$115,0))-INDEX('Dec 7 - Dec 13'!K$2:K$113,MATCH($B87,'Dec 7 - Dec 13'!$B$2:$B$113,0))</f>
        <v>0</v>
      </c>
    </row>
    <row r="88" spans="2:11" ht="12.75">
      <c r="B88" s="13" t="s">
        <v>33</v>
      </c>
      <c r="C88" s="14" t="str">
        <f t="array" aca="1" ref="C88" ca="1">INDEX('Rooms Master'!U:U,MATCH(B88,'Rooms Master'!D:D,0))</f>
        <v>Y</v>
      </c>
      <c r="D88" s="15">
        <f t="array" ref="D88">INDEX('Dec 14 - Dec 20'!D$2:D$115,MATCH($B88,'Dec 14 - Dec 20'!$B$2:$B$115,0))-INDEX('Dec 7 - Dec 13'!D$2:D$113,MATCH($B88,'Dec 7 - Dec 13'!$B$2:$B$113,0))</f>
        <v>-4</v>
      </c>
      <c r="E88" s="15">
        <f t="array" ref="E88">INDEX('Dec 14 - Dec 20'!E$2:E$115,MATCH($B88,'Dec 14 - Dec 20'!$B$2:$B$115,0))-INDEX('Dec 7 - Dec 13'!E$2:E$113,MATCH($B88,'Dec 7 - Dec 13'!$B$2:$B$113,0))</f>
        <v>-8</v>
      </c>
      <c r="F88" s="15">
        <f t="array" ref="F88">INDEX('Dec 14 - Dec 20'!F$2:F$115,MATCH($B88,'Dec 14 - Dec 20'!$B$2:$B$115,0))-INDEX('Dec 7 - Dec 13'!F$2:F$113,MATCH($B88,'Dec 7 - Dec 13'!$B$2:$B$113,0))</f>
        <v>5</v>
      </c>
      <c r="G88" s="15">
        <f t="array" ref="G88">INDEX('Dec 14 - Dec 20'!G$2:G$115,MATCH($B88,'Dec 14 - Dec 20'!$B$2:$B$115,0))-INDEX('Dec 7 - Dec 13'!G$2:G$113,MATCH($B88,'Dec 7 - Dec 13'!$B$2:$B$113,0))</f>
        <v>5</v>
      </c>
      <c r="H88" s="15">
        <f t="array" ref="H88">INDEX('Dec 14 - Dec 20'!H$2:H$115,MATCH($B88,'Dec 14 - Dec 20'!$B$2:$B$115,0))-INDEX('Dec 7 - Dec 13'!H$2:H$113,MATCH($B88,'Dec 7 - Dec 13'!$B$2:$B$113,0))</f>
        <v>-1</v>
      </c>
      <c r="I88" s="15">
        <f t="array" ref="I88">INDEX('Dec 14 - Dec 20'!I$2:I$115,MATCH($B88,'Dec 14 - Dec 20'!$B$2:$B$115,0))-INDEX('Dec 7 - Dec 13'!I$2:I$113,MATCH($B88,'Dec 7 - Dec 13'!$B$2:$B$113,0))</f>
        <v>0</v>
      </c>
      <c r="J88" s="15">
        <f t="array" ref="J88">INDEX('Dec 14 - Dec 20'!J$2:J$115,MATCH($B88,'Dec 14 - Dec 20'!$B$2:$B$115,0))-INDEX('Dec 7 - Dec 13'!J$2:J$113,MATCH($B88,'Dec 7 - Dec 13'!$B$2:$B$113,0))</f>
        <v>0</v>
      </c>
      <c r="K88" s="15">
        <f t="array" ref="K88">INDEX('Dec 14 - Dec 20'!K$2:K$115,MATCH($B88,'Dec 14 - Dec 20'!$B$2:$B$115,0))-INDEX('Dec 7 - Dec 13'!K$2:K$113,MATCH($B88,'Dec 7 - Dec 13'!$B$2:$B$113,0))</f>
        <v>0</v>
      </c>
    </row>
    <row r="89" spans="2:11" ht="12.75">
      <c r="B89" s="13" t="s">
        <v>140</v>
      </c>
      <c r="C89" s="14" t="str">
        <f t="array" aca="1" ref="C89" ca="1">INDEX('Rooms Master'!U:U,MATCH(B89,'Rooms Master'!D:D,0))</f>
        <v>N</v>
      </c>
      <c r="D89" s="15">
        <f t="array" ref="D89">INDEX('Dec 14 - Dec 20'!D$2:D$115,MATCH($B89,'Dec 14 - Dec 20'!$B$2:$B$115,0))-INDEX('Dec 7 - Dec 13'!D$2:D$113,MATCH($B89,'Dec 7 - Dec 13'!$B$2:$B$113,0))</f>
        <v>0</v>
      </c>
      <c r="E89" s="15">
        <f t="array" ref="E89">INDEX('Dec 14 - Dec 20'!E$2:E$115,MATCH($B89,'Dec 14 - Dec 20'!$B$2:$B$115,0))-INDEX('Dec 7 - Dec 13'!E$2:E$113,MATCH($B89,'Dec 7 - Dec 13'!$B$2:$B$113,0))</f>
        <v>0</v>
      </c>
      <c r="F89" s="15">
        <f t="array" ref="F89">INDEX('Dec 14 - Dec 20'!F$2:F$115,MATCH($B89,'Dec 14 - Dec 20'!$B$2:$B$115,0))-INDEX('Dec 7 - Dec 13'!F$2:F$113,MATCH($B89,'Dec 7 - Dec 13'!$B$2:$B$113,0))</f>
        <v>0</v>
      </c>
      <c r="G89" s="15">
        <f t="array" ref="G89">INDEX('Dec 14 - Dec 20'!G$2:G$115,MATCH($B89,'Dec 14 - Dec 20'!$B$2:$B$115,0))-INDEX('Dec 7 - Dec 13'!G$2:G$113,MATCH($B89,'Dec 7 - Dec 13'!$B$2:$B$113,0))</f>
        <v>0</v>
      </c>
      <c r="H89" s="15">
        <f t="array" ref="H89">INDEX('Dec 14 - Dec 20'!H$2:H$115,MATCH($B89,'Dec 14 - Dec 20'!$B$2:$B$115,0))-INDEX('Dec 7 - Dec 13'!H$2:H$113,MATCH($B89,'Dec 7 - Dec 13'!$B$2:$B$113,0))</f>
        <v>0</v>
      </c>
      <c r="I89" s="15">
        <f t="array" ref="I89">INDEX('Dec 14 - Dec 20'!I$2:I$115,MATCH($B89,'Dec 14 - Dec 20'!$B$2:$B$115,0))-INDEX('Dec 7 - Dec 13'!I$2:I$113,MATCH($B89,'Dec 7 - Dec 13'!$B$2:$B$113,0))</f>
        <v>0</v>
      </c>
      <c r="J89" s="15">
        <f t="array" ref="J89">INDEX('Dec 14 - Dec 20'!J$2:J$115,MATCH($B89,'Dec 14 - Dec 20'!$B$2:$B$115,0))-INDEX('Dec 7 - Dec 13'!J$2:J$113,MATCH($B89,'Dec 7 - Dec 13'!$B$2:$B$113,0))</f>
        <v>0</v>
      </c>
      <c r="K89" s="15">
        <f t="array" ref="K89">INDEX('Dec 14 - Dec 20'!K$2:K$115,MATCH($B89,'Dec 14 - Dec 20'!$B$2:$B$115,0))-INDEX('Dec 7 - Dec 13'!K$2:K$113,MATCH($B89,'Dec 7 - Dec 13'!$B$2:$B$113,0))</f>
        <v>0</v>
      </c>
    </row>
    <row r="90" spans="2:11" ht="12.75">
      <c r="B90" s="13" t="s">
        <v>116</v>
      </c>
      <c r="C90" s="14" t="str">
        <f t="array" aca="1" ref="C90" ca="1">INDEX('Rooms Master'!U:U,MATCH(B90,'Rooms Master'!D:D,0))</f>
        <v>Y</v>
      </c>
      <c r="D90" s="15">
        <f t="array" ref="D90">INDEX('Dec 14 - Dec 20'!D$2:D$115,MATCH($B90,'Dec 14 - Dec 20'!$B$2:$B$115,0))-INDEX('Dec 7 - Dec 13'!D$2:D$113,MATCH($B90,'Dec 7 - Dec 13'!$B$2:$B$113,0))</f>
        <v>2</v>
      </c>
      <c r="E90" s="15">
        <f t="array" ref="E90">INDEX('Dec 14 - Dec 20'!E$2:E$115,MATCH($B90,'Dec 14 - Dec 20'!$B$2:$B$115,0))-INDEX('Dec 7 - Dec 13'!E$2:E$113,MATCH($B90,'Dec 7 - Dec 13'!$B$2:$B$113,0))</f>
        <v>2</v>
      </c>
      <c r="F90" s="15">
        <f t="array" ref="F90">INDEX('Dec 14 - Dec 20'!F$2:F$115,MATCH($B90,'Dec 14 - Dec 20'!$B$2:$B$115,0))-INDEX('Dec 7 - Dec 13'!F$2:F$113,MATCH($B90,'Dec 7 - Dec 13'!$B$2:$B$113,0))</f>
        <v>-4</v>
      </c>
      <c r="G90" s="15">
        <f t="array" ref="G90">INDEX('Dec 14 - Dec 20'!G$2:G$115,MATCH($B90,'Dec 14 - Dec 20'!$B$2:$B$115,0))-INDEX('Dec 7 - Dec 13'!G$2:G$113,MATCH($B90,'Dec 7 - Dec 13'!$B$2:$B$113,0))</f>
        <v>1</v>
      </c>
      <c r="H90" s="15">
        <f t="array" ref="H90">INDEX('Dec 14 - Dec 20'!H$2:H$115,MATCH($B90,'Dec 14 - Dec 20'!$B$2:$B$115,0))-INDEX('Dec 7 - Dec 13'!H$2:H$113,MATCH($B90,'Dec 7 - Dec 13'!$B$2:$B$113,0))</f>
        <v>-2</v>
      </c>
      <c r="I90" s="15">
        <f t="array" ref="I90">INDEX('Dec 14 - Dec 20'!I$2:I$115,MATCH($B90,'Dec 14 - Dec 20'!$B$2:$B$115,0))-INDEX('Dec 7 - Dec 13'!I$2:I$113,MATCH($B90,'Dec 7 - Dec 13'!$B$2:$B$113,0))</f>
        <v>0</v>
      </c>
      <c r="J90" s="15">
        <f t="array" ref="J90">INDEX('Dec 14 - Dec 20'!J$2:J$115,MATCH($B90,'Dec 14 - Dec 20'!$B$2:$B$115,0))-INDEX('Dec 7 - Dec 13'!J$2:J$113,MATCH($B90,'Dec 7 - Dec 13'!$B$2:$B$113,0))</f>
        <v>0</v>
      </c>
      <c r="K90" s="15">
        <f t="array" ref="K90">INDEX('Dec 14 - Dec 20'!K$2:K$115,MATCH($B90,'Dec 14 - Dec 20'!$B$2:$B$115,0))-INDEX('Dec 7 - Dec 13'!K$2:K$113,MATCH($B90,'Dec 7 - Dec 13'!$B$2:$B$113,0))</f>
        <v>0</v>
      </c>
    </row>
    <row r="91" spans="2:11" ht="12.75">
      <c r="B91" s="13" t="s">
        <v>107</v>
      </c>
      <c r="C91" s="14" t="str">
        <f t="array" aca="1" ref="C91" ca="1">INDEX('Rooms Master'!U:U,MATCH(B91,'Rooms Master'!D:D,0))</f>
        <v>Y</v>
      </c>
      <c r="D91" s="15">
        <f t="array" ref="D91">INDEX('Dec 14 - Dec 20'!D$2:D$115,MATCH($B91,'Dec 14 - Dec 20'!$B$2:$B$115,0))-INDEX('Dec 7 - Dec 13'!D$2:D$113,MATCH($B91,'Dec 7 - Dec 13'!$B$2:$B$113,0))</f>
        <v>0</v>
      </c>
      <c r="E91" s="15">
        <f t="array" ref="E91">INDEX('Dec 14 - Dec 20'!E$2:E$115,MATCH($B91,'Dec 14 - Dec 20'!$B$2:$B$115,0))-INDEX('Dec 7 - Dec 13'!E$2:E$113,MATCH($B91,'Dec 7 - Dec 13'!$B$2:$B$113,0))</f>
        <v>-4</v>
      </c>
      <c r="F91" s="15">
        <f t="array" ref="F91">INDEX('Dec 14 - Dec 20'!F$2:F$115,MATCH($B91,'Dec 14 - Dec 20'!$B$2:$B$115,0))-INDEX('Dec 7 - Dec 13'!F$2:F$113,MATCH($B91,'Dec 7 - Dec 13'!$B$2:$B$113,0))</f>
        <v>-4</v>
      </c>
      <c r="G91" s="15">
        <f t="array" ref="G91">INDEX('Dec 14 - Dec 20'!G$2:G$115,MATCH($B91,'Dec 14 - Dec 20'!$B$2:$B$115,0))-INDEX('Dec 7 - Dec 13'!G$2:G$113,MATCH($B91,'Dec 7 - Dec 13'!$B$2:$B$113,0))</f>
        <v>0</v>
      </c>
      <c r="H91" s="15">
        <f t="array" ref="H91">INDEX('Dec 14 - Dec 20'!H$2:H$115,MATCH($B91,'Dec 14 - Dec 20'!$B$2:$B$115,0))-INDEX('Dec 7 - Dec 13'!H$2:H$113,MATCH($B91,'Dec 7 - Dec 13'!$B$2:$B$113,0))</f>
        <v>0</v>
      </c>
      <c r="I91" s="15">
        <f t="array" ref="I91">INDEX('Dec 14 - Dec 20'!I$2:I$115,MATCH($B91,'Dec 14 - Dec 20'!$B$2:$B$115,0))-INDEX('Dec 7 - Dec 13'!I$2:I$113,MATCH($B91,'Dec 7 - Dec 13'!$B$2:$B$113,0))</f>
        <v>0</v>
      </c>
      <c r="J91" s="15">
        <f t="array" ref="J91">INDEX('Dec 14 - Dec 20'!J$2:J$115,MATCH($B91,'Dec 14 - Dec 20'!$B$2:$B$115,0))-INDEX('Dec 7 - Dec 13'!J$2:J$113,MATCH($B91,'Dec 7 - Dec 13'!$B$2:$B$113,0))</f>
        <v>0</v>
      </c>
      <c r="K91" s="15">
        <f t="array" ref="K91">INDEX('Dec 14 - Dec 20'!K$2:K$115,MATCH($B91,'Dec 14 - Dec 20'!$B$2:$B$115,0))-INDEX('Dec 7 - Dec 13'!K$2:K$113,MATCH($B91,'Dec 7 - Dec 13'!$B$2:$B$113,0))</f>
        <v>0</v>
      </c>
    </row>
    <row r="92" spans="2:11" ht="12.75">
      <c r="B92" s="13" t="s">
        <v>93</v>
      </c>
      <c r="C92" s="14" t="str">
        <f t="array" aca="1" ref="C92" ca="1">INDEX('Rooms Master'!U:U,MATCH(B92,'Rooms Master'!D:D,0))</f>
        <v>Y</v>
      </c>
      <c r="D92" s="15">
        <f t="array" ref="D92">INDEX('Dec 14 - Dec 20'!D$2:D$115,MATCH($B92,'Dec 14 - Dec 20'!$B$2:$B$115,0))-INDEX('Dec 7 - Dec 13'!D$2:D$113,MATCH($B92,'Dec 7 - Dec 13'!$B$2:$B$113,0))</f>
        <v>3</v>
      </c>
      <c r="E92" s="15">
        <f t="array" ref="E92">INDEX('Dec 14 - Dec 20'!E$2:E$115,MATCH($B92,'Dec 14 - Dec 20'!$B$2:$B$115,0))-INDEX('Dec 7 - Dec 13'!E$2:E$113,MATCH($B92,'Dec 7 - Dec 13'!$B$2:$B$113,0))</f>
        <v>12</v>
      </c>
      <c r="F92" s="15">
        <f t="array" ref="F92">INDEX('Dec 14 - Dec 20'!F$2:F$115,MATCH($B92,'Dec 14 - Dec 20'!$B$2:$B$115,0))-INDEX('Dec 7 - Dec 13'!F$2:F$113,MATCH($B92,'Dec 7 - Dec 13'!$B$2:$B$113,0))</f>
        <v>1</v>
      </c>
      <c r="G92" s="15">
        <f t="array" ref="G92">INDEX('Dec 14 - Dec 20'!G$2:G$115,MATCH($B92,'Dec 14 - Dec 20'!$B$2:$B$115,0))-INDEX('Dec 7 - Dec 13'!G$2:G$113,MATCH($B92,'Dec 7 - Dec 13'!$B$2:$B$113,0))</f>
        <v>5</v>
      </c>
      <c r="H92" s="15">
        <f t="array" ref="H92">INDEX('Dec 14 - Dec 20'!H$2:H$115,MATCH($B92,'Dec 14 - Dec 20'!$B$2:$B$115,0))-INDEX('Dec 7 - Dec 13'!H$2:H$113,MATCH($B92,'Dec 7 - Dec 13'!$B$2:$B$113,0))</f>
        <v>-1</v>
      </c>
      <c r="I92" s="15">
        <f t="array" ref="I92">INDEX('Dec 14 - Dec 20'!I$2:I$115,MATCH($B92,'Dec 14 - Dec 20'!$B$2:$B$115,0))-INDEX('Dec 7 - Dec 13'!I$2:I$113,MATCH($B92,'Dec 7 - Dec 13'!$B$2:$B$113,0))</f>
        <v>0</v>
      </c>
      <c r="J92" s="15">
        <f t="array" ref="J92">INDEX('Dec 14 - Dec 20'!J$2:J$115,MATCH($B92,'Dec 14 - Dec 20'!$B$2:$B$115,0))-INDEX('Dec 7 - Dec 13'!J$2:J$113,MATCH($B92,'Dec 7 - Dec 13'!$B$2:$B$113,0))</f>
        <v>1</v>
      </c>
      <c r="K92" s="15">
        <f t="array" ref="K92">INDEX('Dec 14 - Dec 20'!K$2:K$115,MATCH($B92,'Dec 14 - Dec 20'!$B$2:$B$115,0))-INDEX('Dec 7 - Dec 13'!K$2:K$113,MATCH($B92,'Dec 7 - Dec 13'!$B$2:$B$113,0))</f>
        <v>1</v>
      </c>
    </row>
    <row r="93" spans="2:11" ht="12.75">
      <c r="B93" s="13" t="s">
        <v>90</v>
      </c>
      <c r="C93" s="14" t="str">
        <f t="array" aca="1" ref="C93" ca="1">INDEX('Rooms Master'!U:U,MATCH(B93,'Rooms Master'!D:D,0))</f>
        <v>N</v>
      </c>
      <c r="D93" s="15">
        <f t="array" ref="D93">INDEX('Dec 14 - Dec 20'!D$2:D$115,MATCH($B93,'Dec 14 - Dec 20'!$B$2:$B$115,0))-INDEX('Dec 7 - Dec 13'!D$2:D$113,MATCH($B93,'Dec 7 - Dec 13'!$B$2:$B$113,0))</f>
        <v>0</v>
      </c>
      <c r="E93" s="15">
        <f t="array" ref="E93">INDEX('Dec 14 - Dec 20'!E$2:E$115,MATCH($B93,'Dec 14 - Dec 20'!$B$2:$B$115,0))-INDEX('Dec 7 - Dec 13'!E$2:E$113,MATCH($B93,'Dec 7 - Dec 13'!$B$2:$B$113,0))</f>
        <v>-25</v>
      </c>
      <c r="F93" s="15">
        <f t="array" ref="F93">INDEX('Dec 14 - Dec 20'!F$2:F$115,MATCH($B93,'Dec 14 - Dec 20'!$B$2:$B$115,0))-INDEX('Dec 7 - Dec 13'!F$2:F$113,MATCH($B93,'Dec 7 - Dec 13'!$B$2:$B$113,0))</f>
        <v>-3</v>
      </c>
      <c r="G93" s="15">
        <f t="array" ref="G93">INDEX('Dec 14 - Dec 20'!G$2:G$115,MATCH($B93,'Dec 14 - Dec 20'!$B$2:$B$115,0))-INDEX('Dec 7 - Dec 13'!G$2:G$113,MATCH($B93,'Dec 7 - Dec 13'!$B$2:$B$113,0))</f>
        <v>1</v>
      </c>
      <c r="H93" s="15">
        <f t="array" ref="H93">INDEX('Dec 14 - Dec 20'!H$2:H$115,MATCH($B93,'Dec 14 - Dec 20'!$B$2:$B$115,0))-INDEX('Dec 7 - Dec 13'!H$2:H$113,MATCH($B93,'Dec 7 - Dec 13'!$B$2:$B$113,0))</f>
        <v>-2</v>
      </c>
      <c r="I93" s="15">
        <f t="array" ref="I93">INDEX('Dec 14 - Dec 20'!I$2:I$115,MATCH($B93,'Dec 14 - Dec 20'!$B$2:$B$115,0))-INDEX('Dec 7 - Dec 13'!I$2:I$113,MATCH($B93,'Dec 7 - Dec 13'!$B$2:$B$113,0))</f>
        <v>-1</v>
      </c>
      <c r="J93" s="15">
        <f t="array" ref="J93">INDEX('Dec 14 - Dec 20'!J$2:J$115,MATCH($B93,'Dec 14 - Dec 20'!$B$2:$B$115,0))-INDEX('Dec 7 - Dec 13'!J$2:J$113,MATCH($B93,'Dec 7 - Dec 13'!$B$2:$B$113,0))</f>
        <v>-1</v>
      </c>
      <c r="K93" s="15">
        <f t="array" ref="K93">INDEX('Dec 14 - Dec 20'!K$2:K$115,MATCH($B93,'Dec 14 - Dec 20'!$B$2:$B$115,0))-INDEX('Dec 7 - Dec 13'!K$2:K$113,MATCH($B93,'Dec 7 - Dec 13'!$B$2:$B$113,0))</f>
        <v>-1</v>
      </c>
    </row>
    <row r="94" spans="2:11" ht="12.75">
      <c r="B94" s="13" t="s">
        <v>72</v>
      </c>
      <c r="C94" s="14" t="str">
        <f t="array" aca="1" ref="C94" ca="1">INDEX('Rooms Master'!U:U,MATCH(B94,'Rooms Master'!D:D,0))</f>
        <v>N</v>
      </c>
      <c r="D94" s="15">
        <f t="array" ref="D94">INDEX('Dec 14 - Dec 20'!D$2:D$115,MATCH($B94,'Dec 14 - Dec 20'!$B$2:$B$115,0))-INDEX('Dec 7 - Dec 13'!D$2:D$113,MATCH($B94,'Dec 7 - Dec 13'!$B$2:$B$113,0))</f>
        <v>0</v>
      </c>
      <c r="E94" s="15">
        <f t="array" ref="E94">INDEX('Dec 14 - Dec 20'!E$2:E$115,MATCH($B94,'Dec 14 - Dec 20'!$B$2:$B$115,0))-INDEX('Dec 7 - Dec 13'!E$2:E$113,MATCH($B94,'Dec 7 - Dec 13'!$B$2:$B$113,0))</f>
        <v>15</v>
      </c>
      <c r="F94" s="15">
        <f t="array" ref="F94">INDEX('Dec 14 - Dec 20'!F$2:F$115,MATCH($B94,'Dec 14 - Dec 20'!$B$2:$B$115,0))-INDEX('Dec 7 - Dec 13'!F$2:F$113,MATCH($B94,'Dec 7 - Dec 13'!$B$2:$B$113,0))</f>
        <v>9</v>
      </c>
      <c r="G94" s="15">
        <f t="array" ref="G94">INDEX('Dec 14 - Dec 20'!G$2:G$115,MATCH($B94,'Dec 14 - Dec 20'!$B$2:$B$115,0))-INDEX('Dec 7 - Dec 13'!G$2:G$113,MATCH($B94,'Dec 7 - Dec 13'!$B$2:$B$113,0))</f>
        <v>0</v>
      </c>
      <c r="H94" s="15">
        <f t="array" ref="H94">INDEX('Dec 14 - Dec 20'!H$2:H$115,MATCH($B94,'Dec 14 - Dec 20'!$B$2:$B$115,0))-INDEX('Dec 7 - Dec 13'!H$2:H$113,MATCH($B94,'Dec 7 - Dec 13'!$B$2:$B$113,0))</f>
        <v>0</v>
      </c>
      <c r="I94" s="15">
        <f t="array" ref="I94">INDEX('Dec 14 - Dec 20'!I$2:I$115,MATCH($B94,'Dec 14 - Dec 20'!$B$2:$B$115,0))-INDEX('Dec 7 - Dec 13'!I$2:I$113,MATCH($B94,'Dec 7 - Dec 13'!$B$2:$B$113,0))</f>
        <v>0</v>
      </c>
      <c r="J94" s="15">
        <f t="array" ref="J94">INDEX('Dec 14 - Dec 20'!J$2:J$115,MATCH($B94,'Dec 14 - Dec 20'!$B$2:$B$115,0))-INDEX('Dec 7 - Dec 13'!J$2:J$113,MATCH($B94,'Dec 7 - Dec 13'!$B$2:$B$113,0))</f>
        <v>0</v>
      </c>
      <c r="K94" s="15">
        <f t="array" ref="K94">INDEX('Dec 14 - Dec 20'!K$2:K$115,MATCH($B94,'Dec 14 - Dec 20'!$B$2:$B$115,0))-INDEX('Dec 7 - Dec 13'!K$2:K$113,MATCH($B94,'Dec 7 - Dec 13'!$B$2:$B$113,0))</f>
        <v>0</v>
      </c>
    </row>
    <row r="95" spans="2:11" ht="12.75">
      <c r="B95" s="13" t="s">
        <v>113</v>
      </c>
      <c r="C95" s="14" t="str">
        <f t="array" aca="1" ref="C95" ca="1">INDEX('Rooms Master'!U:U,MATCH(B95,'Rooms Master'!D:D,0))</f>
        <v>Y</v>
      </c>
      <c r="D95" s="15">
        <f t="array" ref="D95">INDEX('Dec 14 - Dec 20'!D$2:D$115,MATCH($B95,'Dec 14 - Dec 20'!$B$2:$B$115,0))-INDEX('Dec 7 - Dec 13'!D$2:D$113,MATCH($B95,'Dec 7 - Dec 13'!$B$2:$B$113,0))</f>
        <v>-3</v>
      </c>
      <c r="E95" s="15">
        <f t="array" ref="E95">INDEX('Dec 14 - Dec 20'!E$2:E$115,MATCH($B95,'Dec 14 - Dec 20'!$B$2:$B$115,0))-INDEX('Dec 7 - Dec 13'!E$2:E$113,MATCH($B95,'Dec 7 - Dec 13'!$B$2:$B$113,0))</f>
        <v>4</v>
      </c>
      <c r="F95" s="15">
        <f t="array" ref="F95">INDEX('Dec 14 - Dec 20'!F$2:F$115,MATCH($B95,'Dec 14 - Dec 20'!$B$2:$B$115,0))-INDEX('Dec 7 - Dec 13'!F$2:F$113,MATCH($B95,'Dec 7 - Dec 13'!$B$2:$B$113,0))</f>
        <v>0</v>
      </c>
      <c r="G95" s="15">
        <f t="array" ref="G95">INDEX('Dec 14 - Dec 20'!G$2:G$115,MATCH($B95,'Dec 14 - Dec 20'!$B$2:$B$115,0))-INDEX('Dec 7 - Dec 13'!G$2:G$113,MATCH($B95,'Dec 7 - Dec 13'!$B$2:$B$113,0))</f>
        <v>2</v>
      </c>
      <c r="H95" s="15">
        <f t="array" ref="H95">INDEX('Dec 14 - Dec 20'!H$2:H$115,MATCH($B95,'Dec 14 - Dec 20'!$B$2:$B$115,0))-INDEX('Dec 7 - Dec 13'!H$2:H$113,MATCH($B95,'Dec 7 - Dec 13'!$B$2:$B$113,0))</f>
        <v>0</v>
      </c>
      <c r="I95" s="15">
        <f t="array" ref="I95">INDEX('Dec 14 - Dec 20'!I$2:I$115,MATCH($B95,'Dec 14 - Dec 20'!$B$2:$B$115,0))-INDEX('Dec 7 - Dec 13'!I$2:I$113,MATCH($B95,'Dec 7 - Dec 13'!$B$2:$B$113,0))</f>
        <v>0</v>
      </c>
      <c r="J95" s="15">
        <f t="array" ref="J95">INDEX('Dec 14 - Dec 20'!J$2:J$115,MATCH($B95,'Dec 14 - Dec 20'!$B$2:$B$115,0))-INDEX('Dec 7 - Dec 13'!J$2:J$113,MATCH($B95,'Dec 7 - Dec 13'!$B$2:$B$113,0))</f>
        <v>0</v>
      </c>
      <c r="K95" s="15">
        <f t="array" ref="K95">INDEX('Dec 14 - Dec 20'!K$2:K$115,MATCH($B95,'Dec 14 - Dec 20'!$B$2:$B$115,0))-INDEX('Dec 7 - Dec 13'!K$2:K$113,MATCH($B95,'Dec 7 - Dec 13'!$B$2:$B$113,0))</f>
        <v>0</v>
      </c>
    </row>
    <row r="96" spans="2:11" ht="12.75">
      <c r="B96" s="13" t="s">
        <v>141</v>
      </c>
      <c r="C96" s="15" t="s">
        <v>142</v>
      </c>
      <c r="D96" s="15">
        <f t="array" ref="D96">INDEX('Dec 14 - Dec 20'!D$2:D$115,MATCH($B96,'Dec 14 - Dec 20'!$B$2:$B$115,0))-INDEX('Dec 7 - Dec 13'!D$2:D$113,MATCH($B96,'Dec 7 - Dec 13'!$B$2:$B$113,0))</f>
        <v>0</v>
      </c>
      <c r="E96" s="15">
        <f t="array" ref="E96">INDEX('Dec 14 - Dec 20'!E$2:E$115,MATCH($B96,'Dec 14 - Dec 20'!$B$2:$B$115,0))-INDEX('Dec 7 - Dec 13'!E$2:E$113,MATCH($B96,'Dec 7 - Dec 13'!$B$2:$B$113,0))</f>
        <v>0</v>
      </c>
      <c r="F96" s="15">
        <f t="array" ref="F96">INDEX('Dec 14 - Dec 20'!F$2:F$115,MATCH($B96,'Dec 14 - Dec 20'!$B$2:$B$115,0))-INDEX('Dec 7 - Dec 13'!F$2:F$113,MATCH($B96,'Dec 7 - Dec 13'!$B$2:$B$113,0))</f>
        <v>0</v>
      </c>
      <c r="G96" s="15">
        <f t="array" ref="G96">INDEX('Dec 14 - Dec 20'!G$2:G$115,MATCH($B96,'Dec 14 - Dec 20'!$B$2:$B$115,0))-INDEX('Dec 7 - Dec 13'!G$2:G$113,MATCH($B96,'Dec 7 - Dec 13'!$B$2:$B$113,0))</f>
        <v>2</v>
      </c>
      <c r="H96" s="15">
        <f t="array" ref="H96">INDEX('Dec 14 - Dec 20'!H$2:H$115,MATCH($B96,'Dec 14 - Dec 20'!$B$2:$B$115,0))-INDEX('Dec 7 - Dec 13'!H$2:H$113,MATCH($B96,'Dec 7 - Dec 13'!$B$2:$B$113,0))</f>
        <v>0</v>
      </c>
      <c r="I96" s="15">
        <f t="array" ref="I96">INDEX('Dec 14 - Dec 20'!I$2:I$115,MATCH($B96,'Dec 14 - Dec 20'!$B$2:$B$115,0))-INDEX('Dec 7 - Dec 13'!I$2:I$113,MATCH($B96,'Dec 7 - Dec 13'!$B$2:$B$113,0))</f>
        <v>0</v>
      </c>
      <c r="J96" s="15">
        <f t="array" ref="J96">INDEX('Dec 14 - Dec 20'!J$2:J$115,MATCH($B96,'Dec 14 - Dec 20'!$B$2:$B$115,0))-INDEX('Dec 7 - Dec 13'!J$2:J$113,MATCH($B96,'Dec 7 - Dec 13'!$B$2:$B$113,0))</f>
        <v>0</v>
      </c>
      <c r="K96" s="15">
        <f t="array" ref="K96">INDEX('Dec 14 - Dec 20'!K$2:K$115,MATCH($B96,'Dec 14 - Dec 20'!$B$2:$B$115,0))-INDEX('Dec 7 - Dec 13'!K$2:K$113,MATCH($B96,'Dec 7 - Dec 13'!$B$2:$B$113,0))</f>
        <v>0</v>
      </c>
    </row>
    <row r="97" spans="2:11" ht="12.75">
      <c r="B97" s="13" t="s">
        <v>83</v>
      </c>
      <c r="C97" s="14" t="str">
        <f t="array" aca="1" ref="C97" ca="1">INDEX('Rooms Master'!U:U,MATCH(B97,'Rooms Master'!D:D,0))</f>
        <v>Y</v>
      </c>
      <c r="D97" s="15">
        <f t="array" ref="D97">INDEX('Dec 14 - Dec 20'!D$2:D$115,MATCH($B97,'Dec 14 - Dec 20'!$B$2:$B$115,0))-INDEX('Dec 7 - Dec 13'!D$2:D$113,MATCH($B97,'Dec 7 - Dec 13'!$B$2:$B$113,0))</f>
        <v>-7</v>
      </c>
      <c r="E97" s="15">
        <f t="array" ref="E97">INDEX('Dec 14 - Dec 20'!E$2:E$115,MATCH($B97,'Dec 14 - Dec 20'!$B$2:$B$115,0))-INDEX('Dec 7 - Dec 13'!E$2:E$113,MATCH($B97,'Dec 7 - Dec 13'!$B$2:$B$113,0))</f>
        <v>-35</v>
      </c>
      <c r="F97" s="15">
        <f t="array" ref="F97">INDEX('Dec 14 - Dec 20'!F$2:F$115,MATCH($B97,'Dec 14 - Dec 20'!$B$2:$B$115,0))-INDEX('Dec 7 - Dec 13'!F$2:F$113,MATCH($B97,'Dec 7 - Dec 13'!$B$2:$B$113,0))</f>
        <v>5</v>
      </c>
      <c r="G97" s="15">
        <f t="array" ref="G97">INDEX('Dec 14 - Dec 20'!G$2:G$115,MATCH($B97,'Dec 14 - Dec 20'!$B$2:$B$115,0))-INDEX('Dec 7 - Dec 13'!G$2:G$113,MATCH($B97,'Dec 7 - Dec 13'!$B$2:$B$113,0))</f>
        <v>1</v>
      </c>
      <c r="H97" s="15">
        <f t="array" ref="H97">INDEX('Dec 14 - Dec 20'!H$2:H$115,MATCH($B97,'Dec 14 - Dec 20'!$B$2:$B$115,0))-INDEX('Dec 7 - Dec 13'!H$2:H$113,MATCH($B97,'Dec 7 - Dec 13'!$B$2:$B$113,0))</f>
        <v>1</v>
      </c>
      <c r="I97" s="15">
        <f t="array" ref="I97">INDEX('Dec 14 - Dec 20'!I$2:I$115,MATCH($B97,'Dec 14 - Dec 20'!$B$2:$B$115,0))-INDEX('Dec 7 - Dec 13'!I$2:I$113,MATCH($B97,'Dec 7 - Dec 13'!$B$2:$B$113,0))</f>
        <v>0</v>
      </c>
      <c r="J97" s="15">
        <f t="array" ref="J97">INDEX('Dec 14 - Dec 20'!J$2:J$115,MATCH($B97,'Dec 14 - Dec 20'!$B$2:$B$115,0))-INDEX('Dec 7 - Dec 13'!J$2:J$113,MATCH($B97,'Dec 7 - Dec 13'!$B$2:$B$113,0))</f>
        <v>1</v>
      </c>
      <c r="K97" s="15">
        <f t="array" ref="K97">INDEX('Dec 14 - Dec 20'!K$2:K$115,MATCH($B97,'Dec 14 - Dec 20'!$B$2:$B$115,0))-INDEX('Dec 7 - Dec 13'!K$2:K$113,MATCH($B97,'Dec 7 - Dec 13'!$B$2:$B$113,0))</f>
        <v>1</v>
      </c>
    </row>
    <row r="98" spans="2:11" ht="12.75">
      <c r="B98" s="13" t="s">
        <v>109</v>
      </c>
      <c r="C98" s="14" t="str">
        <f t="array" aca="1" ref="C98" ca="1">INDEX('Rooms Master'!U:U,MATCH(B98,'Rooms Master'!D:D,0))</f>
        <v>Y</v>
      </c>
      <c r="D98" s="15">
        <f t="array" ref="D98">INDEX('Dec 14 - Dec 20'!D$2:D$115,MATCH($B98,'Dec 14 - Dec 20'!$B$2:$B$115,0))-INDEX('Dec 7 - Dec 13'!D$2:D$113,MATCH($B98,'Dec 7 - Dec 13'!$B$2:$B$113,0))</f>
        <v>-6</v>
      </c>
      <c r="E98" s="15">
        <f t="array" ref="E98">INDEX('Dec 14 - Dec 20'!E$2:E$115,MATCH($B98,'Dec 14 - Dec 20'!$B$2:$B$115,0))-INDEX('Dec 7 - Dec 13'!E$2:E$113,MATCH($B98,'Dec 7 - Dec 13'!$B$2:$B$113,0))</f>
        <v>5</v>
      </c>
      <c r="F98" s="15">
        <f t="array" ref="F98">INDEX('Dec 14 - Dec 20'!F$2:F$115,MATCH($B98,'Dec 14 - Dec 20'!$B$2:$B$115,0))-INDEX('Dec 7 - Dec 13'!F$2:F$113,MATCH($B98,'Dec 7 - Dec 13'!$B$2:$B$113,0))</f>
        <v>3</v>
      </c>
      <c r="G98" s="15">
        <f t="array" ref="G98">INDEX('Dec 14 - Dec 20'!G$2:G$115,MATCH($B98,'Dec 14 - Dec 20'!$B$2:$B$115,0))-INDEX('Dec 7 - Dec 13'!G$2:G$113,MATCH($B98,'Dec 7 - Dec 13'!$B$2:$B$113,0))</f>
        <v>3</v>
      </c>
      <c r="H98" s="15">
        <f t="array" ref="H98">INDEX('Dec 14 - Dec 20'!H$2:H$115,MATCH($B98,'Dec 14 - Dec 20'!$B$2:$B$115,0))-INDEX('Dec 7 - Dec 13'!H$2:H$113,MATCH($B98,'Dec 7 - Dec 13'!$B$2:$B$113,0))</f>
        <v>0</v>
      </c>
      <c r="I98" s="15">
        <f t="array" ref="I98">INDEX('Dec 14 - Dec 20'!I$2:I$115,MATCH($B98,'Dec 14 - Dec 20'!$B$2:$B$115,0))-INDEX('Dec 7 - Dec 13'!I$2:I$113,MATCH($B98,'Dec 7 - Dec 13'!$B$2:$B$113,0))</f>
        <v>0</v>
      </c>
      <c r="J98" s="15">
        <f t="array" ref="J98">INDEX('Dec 14 - Dec 20'!J$2:J$115,MATCH($B98,'Dec 14 - Dec 20'!$B$2:$B$115,0))-INDEX('Dec 7 - Dec 13'!J$2:J$113,MATCH($B98,'Dec 7 - Dec 13'!$B$2:$B$113,0))</f>
        <v>0</v>
      </c>
      <c r="K98" s="15">
        <f t="array" ref="K98">INDEX('Dec 14 - Dec 20'!K$2:K$115,MATCH($B98,'Dec 14 - Dec 20'!$B$2:$B$115,0))-INDEX('Dec 7 - Dec 13'!K$2:K$113,MATCH($B98,'Dec 7 - Dec 13'!$B$2:$B$113,0))</f>
        <v>0</v>
      </c>
    </row>
    <row r="99" spans="2:11" ht="12.75">
      <c r="B99" s="13" t="s">
        <v>94</v>
      </c>
      <c r="C99" s="14" t="str">
        <f t="array" aca="1" ref="C99" ca="1">INDEX('Rooms Master'!U:U,MATCH(B99,'Rooms Master'!D:D,0))</f>
        <v>Y</v>
      </c>
      <c r="D99" s="15">
        <f t="array" ref="D99">INDEX('Dec 14 - Dec 20'!D$2:D$115,MATCH($B99,'Dec 14 - Dec 20'!$B$2:$B$115,0))-INDEX('Dec 7 - Dec 13'!D$2:D$113,MATCH($B99,'Dec 7 - Dec 13'!$B$2:$B$113,0))</f>
        <v>-6</v>
      </c>
      <c r="E99" s="15">
        <f t="array" ref="E99">INDEX('Dec 14 - Dec 20'!E$2:E$115,MATCH($B99,'Dec 14 - Dec 20'!$B$2:$B$115,0))-INDEX('Dec 7 - Dec 13'!E$2:E$113,MATCH($B99,'Dec 7 - Dec 13'!$B$2:$B$113,0))</f>
        <v>-10</v>
      </c>
      <c r="F99" s="15">
        <f t="array" ref="F99">INDEX('Dec 14 - Dec 20'!F$2:F$115,MATCH($B99,'Dec 14 - Dec 20'!$B$2:$B$115,0))-INDEX('Dec 7 - Dec 13'!F$2:F$113,MATCH($B99,'Dec 7 - Dec 13'!$B$2:$B$113,0))</f>
        <v>-10</v>
      </c>
      <c r="G99" s="15">
        <f t="array" ref="G99">INDEX('Dec 14 - Dec 20'!G$2:G$115,MATCH($B99,'Dec 14 - Dec 20'!$B$2:$B$115,0))-INDEX('Dec 7 - Dec 13'!G$2:G$113,MATCH($B99,'Dec 7 - Dec 13'!$B$2:$B$113,0))</f>
        <v>1</v>
      </c>
      <c r="H99" s="15">
        <f t="array" ref="H99">INDEX('Dec 14 - Dec 20'!H$2:H$115,MATCH($B99,'Dec 14 - Dec 20'!$B$2:$B$115,0))-INDEX('Dec 7 - Dec 13'!H$2:H$113,MATCH($B99,'Dec 7 - Dec 13'!$B$2:$B$113,0))</f>
        <v>0</v>
      </c>
      <c r="I99" s="15">
        <f t="array" ref="I99">INDEX('Dec 14 - Dec 20'!I$2:I$115,MATCH($B99,'Dec 14 - Dec 20'!$B$2:$B$115,0))-INDEX('Dec 7 - Dec 13'!I$2:I$113,MATCH($B99,'Dec 7 - Dec 13'!$B$2:$B$113,0))</f>
        <v>-1</v>
      </c>
      <c r="J99" s="15">
        <f t="array" ref="J99">INDEX('Dec 14 - Dec 20'!J$2:J$115,MATCH($B99,'Dec 14 - Dec 20'!$B$2:$B$115,0))-INDEX('Dec 7 - Dec 13'!J$2:J$113,MATCH($B99,'Dec 7 - Dec 13'!$B$2:$B$113,0))</f>
        <v>-1</v>
      </c>
      <c r="K99" s="15">
        <f t="array" ref="K99">INDEX('Dec 14 - Dec 20'!K$2:K$115,MATCH($B99,'Dec 14 - Dec 20'!$B$2:$B$115,0))-INDEX('Dec 7 - Dec 13'!K$2:K$113,MATCH($B99,'Dec 7 - Dec 13'!$B$2:$B$113,0))</f>
        <v>-1</v>
      </c>
    </row>
    <row r="100" spans="2:11" ht="12.75">
      <c r="B100" s="13" t="s">
        <v>115</v>
      </c>
      <c r="C100" s="14" t="str">
        <f t="array" aca="1" ref="C100" ca="1">INDEX('Rooms Master'!U:U,MATCH(B100,'Rooms Master'!D:D,0))</f>
        <v>Y</v>
      </c>
      <c r="D100" s="15">
        <f t="array" ref="D100">INDEX('Dec 14 - Dec 20'!D$2:D$115,MATCH($B100,'Dec 14 - Dec 20'!$B$2:$B$115,0))-INDEX('Dec 7 - Dec 13'!D$2:D$113,MATCH($B100,'Dec 7 - Dec 13'!$B$2:$B$113,0))</f>
        <v>6</v>
      </c>
      <c r="E100" s="15">
        <f t="array" ref="E100">INDEX('Dec 14 - Dec 20'!E$2:E$115,MATCH($B100,'Dec 14 - Dec 20'!$B$2:$B$115,0))-INDEX('Dec 7 - Dec 13'!E$2:E$113,MATCH($B100,'Dec 7 - Dec 13'!$B$2:$B$113,0))</f>
        <v>14</v>
      </c>
      <c r="F100" s="15">
        <f t="array" ref="F100">INDEX('Dec 14 - Dec 20'!F$2:F$115,MATCH($B100,'Dec 14 - Dec 20'!$B$2:$B$115,0))-INDEX('Dec 7 - Dec 13'!F$2:F$113,MATCH($B100,'Dec 7 - Dec 13'!$B$2:$B$113,0))</f>
        <v>-3</v>
      </c>
      <c r="G100" s="15">
        <f t="array" ref="G100">INDEX('Dec 14 - Dec 20'!G$2:G$115,MATCH($B100,'Dec 14 - Dec 20'!$B$2:$B$115,0))-INDEX('Dec 7 - Dec 13'!G$2:G$113,MATCH($B100,'Dec 7 - Dec 13'!$B$2:$B$113,0))</f>
        <v>4</v>
      </c>
      <c r="H100" s="15">
        <f t="array" ref="H100">INDEX('Dec 14 - Dec 20'!H$2:H$115,MATCH($B100,'Dec 14 - Dec 20'!$B$2:$B$115,0))-INDEX('Dec 7 - Dec 13'!H$2:H$113,MATCH($B100,'Dec 7 - Dec 13'!$B$2:$B$113,0))</f>
        <v>0</v>
      </c>
      <c r="I100" s="15">
        <f t="array" ref="I100">INDEX('Dec 14 - Dec 20'!I$2:I$115,MATCH($B100,'Dec 14 - Dec 20'!$B$2:$B$115,0))-INDEX('Dec 7 - Dec 13'!I$2:I$113,MATCH($B100,'Dec 7 - Dec 13'!$B$2:$B$113,0))</f>
        <v>1</v>
      </c>
      <c r="J100" s="15">
        <f t="array" ref="J100">INDEX('Dec 14 - Dec 20'!J$2:J$115,MATCH($B100,'Dec 14 - Dec 20'!$B$2:$B$115,0))-INDEX('Dec 7 - Dec 13'!J$2:J$113,MATCH($B100,'Dec 7 - Dec 13'!$B$2:$B$113,0))</f>
        <v>0</v>
      </c>
      <c r="K100" s="15">
        <f t="array" ref="K100">INDEX('Dec 14 - Dec 20'!K$2:K$115,MATCH($B100,'Dec 14 - Dec 20'!$B$2:$B$115,0))-INDEX('Dec 7 - Dec 13'!K$2:K$113,MATCH($B100,'Dec 7 - Dec 13'!$B$2:$B$113,0))</f>
        <v>0</v>
      </c>
    </row>
    <row r="101" spans="2:11" ht="12.75">
      <c r="B101" s="13" t="s">
        <v>103</v>
      </c>
      <c r="C101" s="14" t="str">
        <f t="array" aca="1" ref="C101" ca="1">INDEX('Rooms Master'!U:U,MATCH(B101,'Rooms Master'!D:D,0))</f>
        <v>N</v>
      </c>
      <c r="D101" s="15">
        <f t="array" ref="D101">INDEX('Dec 14 - Dec 20'!D$2:D$115,MATCH($B101,'Dec 14 - Dec 20'!$B$2:$B$115,0))-INDEX('Dec 7 - Dec 13'!D$2:D$113,MATCH($B101,'Dec 7 - Dec 13'!$B$2:$B$113,0))</f>
        <v>-4</v>
      </c>
      <c r="E101" s="15">
        <f t="array" ref="E101">INDEX('Dec 14 - Dec 20'!E$2:E$115,MATCH($B101,'Dec 14 - Dec 20'!$B$2:$B$115,0))-INDEX('Dec 7 - Dec 13'!E$2:E$113,MATCH($B101,'Dec 7 - Dec 13'!$B$2:$B$113,0))</f>
        <v>23</v>
      </c>
      <c r="F101" s="15">
        <f t="array" ref="F101">INDEX('Dec 14 - Dec 20'!F$2:F$115,MATCH($B101,'Dec 14 - Dec 20'!$B$2:$B$115,0))-INDEX('Dec 7 - Dec 13'!F$2:F$113,MATCH($B101,'Dec 7 - Dec 13'!$B$2:$B$113,0))</f>
        <v>13</v>
      </c>
      <c r="G101" s="15">
        <f t="array" ref="G101">INDEX('Dec 14 - Dec 20'!G$2:G$115,MATCH($B101,'Dec 14 - Dec 20'!$B$2:$B$115,0))-INDEX('Dec 7 - Dec 13'!G$2:G$113,MATCH($B101,'Dec 7 - Dec 13'!$B$2:$B$113,0))</f>
        <v>3</v>
      </c>
      <c r="H101" s="15">
        <f t="array" ref="H101">INDEX('Dec 14 - Dec 20'!H$2:H$115,MATCH($B101,'Dec 14 - Dec 20'!$B$2:$B$115,0))-INDEX('Dec 7 - Dec 13'!H$2:H$113,MATCH($B101,'Dec 7 - Dec 13'!$B$2:$B$113,0))</f>
        <v>1</v>
      </c>
      <c r="I101" s="15">
        <f t="array" ref="I101">INDEX('Dec 14 - Dec 20'!I$2:I$115,MATCH($B101,'Dec 14 - Dec 20'!$B$2:$B$115,0))-INDEX('Dec 7 - Dec 13'!I$2:I$113,MATCH($B101,'Dec 7 - Dec 13'!$B$2:$B$113,0))</f>
        <v>0</v>
      </c>
      <c r="J101" s="15">
        <f t="array" ref="J101">INDEX('Dec 14 - Dec 20'!J$2:J$115,MATCH($B101,'Dec 14 - Dec 20'!$B$2:$B$115,0))-INDEX('Dec 7 - Dec 13'!J$2:J$113,MATCH($B101,'Dec 7 - Dec 13'!$B$2:$B$113,0))</f>
        <v>1</v>
      </c>
      <c r="K101" s="15">
        <f t="array" ref="K101">INDEX('Dec 14 - Dec 20'!K$2:K$115,MATCH($B101,'Dec 14 - Dec 20'!$B$2:$B$115,0))-INDEX('Dec 7 - Dec 13'!K$2:K$113,MATCH($B101,'Dec 7 - Dec 13'!$B$2:$B$113,0))</f>
        <v>1</v>
      </c>
    </row>
    <row r="102" spans="2:11" ht="12.75">
      <c r="B102" s="13" t="s">
        <v>120</v>
      </c>
      <c r="C102" s="14" t="str">
        <f t="array" aca="1" ref="C102" ca="1">INDEX('Rooms Master'!U:U,MATCH(B102,'Rooms Master'!D:D,0))</f>
        <v>N</v>
      </c>
      <c r="D102" s="15">
        <f t="array" ref="D102">INDEX('Dec 14 - Dec 20'!D$2:D$115,MATCH($B102,'Dec 14 - Dec 20'!$B$2:$B$115,0))-INDEX('Dec 7 - Dec 13'!D$2:D$113,MATCH($B102,'Dec 7 - Dec 13'!$B$2:$B$113,0))</f>
        <v>0</v>
      </c>
      <c r="E102" s="15">
        <f t="array" ref="E102">INDEX('Dec 14 - Dec 20'!E$2:E$115,MATCH($B102,'Dec 14 - Dec 20'!$B$2:$B$115,0))-INDEX('Dec 7 - Dec 13'!E$2:E$113,MATCH($B102,'Dec 7 - Dec 13'!$B$2:$B$113,0))</f>
        <v>-2</v>
      </c>
      <c r="F102" s="15">
        <f t="array" ref="F102">INDEX('Dec 14 - Dec 20'!F$2:F$115,MATCH($B102,'Dec 14 - Dec 20'!$B$2:$B$115,0))-INDEX('Dec 7 - Dec 13'!F$2:F$113,MATCH($B102,'Dec 7 - Dec 13'!$B$2:$B$113,0))</f>
        <v>-1</v>
      </c>
      <c r="G102" s="15">
        <f t="array" ref="G102">INDEX('Dec 14 - Dec 20'!G$2:G$115,MATCH($B102,'Dec 14 - Dec 20'!$B$2:$B$115,0))-INDEX('Dec 7 - Dec 13'!G$2:G$113,MATCH($B102,'Dec 7 - Dec 13'!$B$2:$B$113,0))</f>
        <v>0</v>
      </c>
      <c r="H102" s="15">
        <f t="array" ref="H102">INDEX('Dec 14 - Dec 20'!H$2:H$115,MATCH($B102,'Dec 14 - Dec 20'!$B$2:$B$115,0))-INDEX('Dec 7 - Dec 13'!H$2:H$113,MATCH($B102,'Dec 7 - Dec 13'!$B$2:$B$113,0))</f>
        <v>0</v>
      </c>
      <c r="I102" s="15">
        <f t="array" ref="I102">INDEX('Dec 14 - Dec 20'!I$2:I$115,MATCH($B102,'Dec 14 - Dec 20'!$B$2:$B$115,0))-INDEX('Dec 7 - Dec 13'!I$2:I$113,MATCH($B102,'Dec 7 - Dec 13'!$B$2:$B$113,0))</f>
        <v>0</v>
      </c>
      <c r="J102" s="15">
        <f t="array" ref="J102">INDEX('Dec 14 - Dec 20'!J$2:J$115,MATCH($B102,'Dec 14 - Dec 20'!$B$2:$B$115,0))-INDEX('Dec 7 - Dec 13'!J$2:J$113,MATCH($B102,'Dec 7 - Dec 13'!$B$2:$B$113,0))</f>
        <v>0</v>
      </c>
      <c r="K102" s="15">
        <f t="array" ref="K102">INDEX('Dec 14 - Dec 20'!K$2:K$115,MATCH($B102,'Dec 14 - Dec 20'!$B$2:$B$115,0))-INDEX('Dec 7 - Dec 13'!K$2:K$113,MATCH($B102,'Dec 7 - Dec 13'!$B$2:$B$113,0))</f>
        <v>0</v>
      </c>
    </row>
    <row r="103" spans="2:11" ht="12.75">
      <c r="B103" s="13" t="s">
        <v>121</v>
      </c>
      <c r="C103" s="14" t="str">
        <f t="array" aca="1" ref="C103" ca="1">INDEX('Rooms Master'!U:U,MATCH(B103,'Rooms Master'!D:D,0))</f>
        <v>N</v>
      </c>
      <c r="D103" s="15">
        <f t="array" ref="D103">INDEX('Dec 14 - Dec 20'!D$2:D$115,MATCH($B103,'Dec 14 - Dec 20'!$B$2:$B$115,0))-INDEX('Dec 7 - Dec 13'!D$2:D$113,MATCH($B103,'Dec 7 - Dec 13'!$B$2:$B$113,0))</f>
        <v>0</v>
      </c>
      <c r="E103" s="15">
        <f t="array" ref="E103">INDEX('Dec 14 - Dec 20'!E$2:E$115,MATCH($B103,'Dec 14 - Dec 20'!$B$2:$B$115,0))-INDEX('Dec 7 - Dec 13'!E$2:E$113,MATCH($B103,'Dec 7 - Dec 13'!$B$2:$B$113,0))</f>
        <v>0</v>
      </c>
      <c r="F103" s="15">
        <f t="array" ref="F103">INDEX('Dec 14 - Dec 20'!F$2:F$115,MATCH($B103,'Dec 14 - Dec 20'!$B$2:$B$115,0))-INDEX('Dec 7 - Dec 13'!F$2:F$113,MATCH($B103,'Dec 7 - Dec 13'!$B$2:$B$113,0))</f>
        <v>0</v>
      </c>
      <c r="G103" s="15">
        <f t="array" ref="G103">INDEX('Dec 14 - Dec 20'!G$2:G$115,MATCH($B103,'Dec 14 - Dec 20'!$B$2:$B$115,0))-INDEX('Dec 7 - Dec 13'!G$2:G$113,MATCH($B103,'Dec 7 - Dec 13'!$B$2:$B$113,0))</f>
        <v>0</v>
      </c>
      <c r="H103" s="15">
        <f t="array" ref="H103">INDEX('Dec 14 - Dec 20'!H$2:H$115,MATCH($B103,'Dec 14 - Dec 20'!$B$2:$B$115,0))-INDEX('Dec 7 - Dec 13'!H$2:H$113,MATCH($B103,'Dec 7 - Dec 13'!$B$2:$B$113,0))</f>
        <v>0</v>
      </c>
      <c r="I103" s="15">
        <f t="array" ref="I103">INDEX('Dec 14 - Dec 20'!I$2:I$115,MATCH($B103,'Dec 14 - Dec 20'!$B$2:$B$115,0))-INDEX('Dec 7 - Dec 13'!I$2:I$113,MATCH($B103,'Dec 7 - Dec 13'!$B$2:$B$113,0))</f>
        <v>0</v>
      </c>
      <c r="J103" s="15">
        <f t="array" ref="J103">INDEX('Dec 14 - Dec 20'!J$2:J$115,MATCH($B103,'Dec 14 - Dec 20'!$B$2:$B$115,0))-INDEX('Dec 7 - Dec 13'!J$2:J$113,MATCH($B103,'Dec 7 - Dec 13'!$B$2:$B$113,0))</f>
        <v>0</v>
      </c>
      <c r="K103" s="15">
        <f t="array" ref="K103">INDEX('Dec 14 - Dec 20'!K$2:K$115,MATCH($B103,'Dec 14 - Dec 20'!$B$2:$B$115,0))-INDEX('Dec 7 - Dec 13'!K$2:K$113,MATCH($B103,'Dec 7 - Dec 13'!$B$2:$B$113,0))</f>
        <v>0</v>
      </c>
    </row>
    <row r="104" spans="2:11" ht="12.75">
      <c r="B104" s="13" t="s">
        <v>21</v>
      </c>
      <c r="C104" s="14" t="str">
        <f t="array" aca="1" ref="C104" ca="1">INDEX('Rooms Master'!U:U,MATCH(B104,'Rooms Master'!D:D,0))</f>
        <v>Y</v>
      </c>
      <c r="D104" s="15">
        <f t="array" ref="D104">INDEX('Dec 14 - Dec 20'!D$2:D$115,MATCH($B104,'Dec 14 - Dec 20'!$B$2:$B$115,0))-INDEX('Dec 7 - Dec 13'!D$2:D$113,MATCH($B104,'Dec 7 - Dec 13'!$B$2:$B$113,0))</f>
        <v>4</v>
      </c>
      <c r="E104" s="15">
        <f t="array" ref="E104">INDEX('Dec 14 - Dec 20'!E$2:E$115,MATCH($B104,'Dec 14 - Dec 20'!$B$2:$B$115,0))-INDEX('Dec 7 - Dec 13'!E$2:E$113,MATCH($B104,'Dec 7 - Dec 13'!$B$2:$B$113,0))</f>
        <v>32</v>
      </c>
      <c r="F104" s="15">
        <f t="array" ref="F104">INDEX('Dec 14 - Dec 20'!F$2:F$115,MATCH($B104,'Dec 14 - Dec 20'!$B$2:$B$115,0))-INDEX('Dec 7 - Dec 13'!F$2:F$113,MATCH($B104,'Dec 7 - Dec 13'!$B$2:$B$113,0))</f>
        <v>16</v>
      </c>
      <c r="G104" s="15">
        <f t="array" ref="G104">INDEX('Dec 14 - Dec 20'!G$2:G$115,MATCH($B104,'Dec 14 - Dec 20'!$B$2:$B$115,0))-INDEX('Dec 7 - Dec 13'!G$2:G$113,MATCH($B104,'Dec 7 - Dec 13'!$B$2:$B$113,0))</f>
        <v>5</v>
      </c>
      <c r="H104" s="15">
        <f t="array" ref="H104">INDEX('Dec 14 - Dec 20'!H$2:H$115,MATCH($B104,'Dec 14 - Dec 20'!$B$2:$B$115,0))-INDEX('Dec 7 - Dec 13'!H$2:H$113,MATCH($B104,'Dec 7 - Dec 13'!$B$2:$B$113,0))</f>
        <v>4</v>
      </c>
      <c r="I104" s="15">
        <f t="array" ref="I104">INDEX('Dec 14 - Dec 20'!I$2:I$115,MATCH($B104,'Dec 14 - Dec 20'!$B$2:$B$115,0))-INDEX('Dec 7 - Dec 13'!I$2:I$113,MATCH($B104,'Dec 7 - Dec 13'!$B$2:$B$113,0))</f>
        <v>0</v>
      </c>
      <c r="J104" s="15">
        <f t="array" ref="J104">INDEX('Dec 14 - Dec 20'!J$2:J$115,MATCH($B104,'Dec 14 - Dec 20'!$B$2:$B$115,0))-INDEX('Dec 7 - Dec 13'!J$2:J$113,MATCH($B104,'Dec 7 - Dec 13'!$B$2:$B$113,0))</f>
        <v>0</v>
      </c>
      <c r="K104" s="15">
        <f t="array" ref="K104">INDEX('Dec 14 - Dec 20'!K$2:K$115,MATCH($B104,'Dec 14 - Dec 20'!$B$2:$B$115,0))-INDEX('Dec 7 - Dec 13'!K$2:K$113,MATCH($B104,'Dec 7 - Dec 13'!$B$2:$B$113,0))</f>
        <v>0</v>
      </c>
    </row>
    <row r="105" spans="2:11" ht="12.75">
      <c r="B105" s="13" t="s">
        <v>99</v>
      </c>
      <c r="C105" s="14" t="str">
        <f t="array" aca="1" ref="C105" ca="1">INDEX('Rooms Master'!U:U,MATCH(B105,'Rooms Master'!D:D,0))</f>
        <v>N</v>
      </c>
      <c r="D105" s="15">
        <f t="array" ref="D105">INDEX('Dec 14 - Dec 20'!D$2:D$115,MATCH($B105,'Dec 14 - Dec 20'!$B$2:$B$115,0))-INDEX('Dec 7 - Dec 13'!D$2:D$113,MATCH($B105,'Dec 7 - Dec 13'!$B$2:$B$113,0))</f>
        <v>3</v>
      </c>
      <c r="E105" s="15">
        <f t="array" ref="E105">INDEX('Dec 14 - Dec 20'!E$2:E$115,MATCH($B105,'Dec 14 - Dec 20'!$B$2:$B$115,0))-INDEX('Dec 7 - Dec 13'!E$2:E$113,MATCH($B105,'Dec 7 - Dec 13'!$B$2:$B$113,0))</f>
        <v>65</v>
      </c>
      <c r="F105" s="15">
        <f t="array" ref="F105">INDEX('Dec 14 - Dec 20'!F$2:F$115,MATCH($B105,'Dec 14 - Dec 20'!$B$2:$B$115,0))-INDEX('Dec 7 - Dec 13'!F$2:F$113,MATCH($B105,'Dec 7 - Dec 13'!$B$2:$B$113,0))</f>
        <v>23</v>
      </c>
      <c r="G105" s="15">
        <f t="array" ref="G105">INDEX('Dec 14 - Dec 20'!G$2:G$115,MATCH($B105,'Dec 14 - Dec 20'!$B$2:$B$115,0))-INDEX('Dec 7 - Dec 13'!G$2:G$113,MATCH($B105,'Dec 7 - Dec 13'!$B$2:$B$113,0))</f>
        <v>12</v>
      </c>
      <c r="H105" s="15">
        <f t="array" ref="H105">INDEX('Dec 14 - Dec 20'!H$2:H$115,MATCH($B105,'Dec 14 - Dec 20'!$B$2:$B$115,0))-INDEX('Dec 7 - Dec 13'!H$2:H$113,MATCH($B105,'Dec 7 - Dec 13'!$B$2:$B$113,0))</f>
        <v>4</v>
      </c>
      <c r="I105" s="15">
        <f t="array" ref="I105">INDEX('Dec 14 - Dec 20'!I$2:I$115,MATCH($B105,'Dec 14 - Dec 20'!$B$2:$B$115,0))-INDEX('Dec 7 - Dec 13'!I$2:I$113,MATCH($B105,'Dec 7 - Dec 13'!$B$2:$B$113,0))</f>
        <v>1</v>
      </c>
      <c r="J105" s="15">
        <f t="array" ref="J105">INDEX('Dec 14 - Dec 20'!J$2:J$115,MATCH($B105,'Dec 14 - Dec 20'!$B$2:$B$115,0))-INDEX('Dec 7 - Dec 13'!J$2:J$113,MATCH($B105,'Dec 7 - Dec 13'!$B$2:$B$113,0))</f>
        <v>0</v>
      </c>
      <c r="K105" s="15">
        <f t="array" ref="K105">INDEX('Dec 14 - Dec 20'!K$2:K$115,MATCH($B105,'Dec 14 - Dec 20'!$B$2:$B$115,0))-INDEX('Dec 7 - Dec 13'!K$2:K$113,MATCH($B105,'Dec 7 - Dec 13'!$B$2:$B$113,0))</f>
        <v>0</v>
      </c>
    </row>
    <row r="106" spans="2:11" ht="12.75">
      <c r="B106" s="13" t="s">
        <v>91</v>
      </c>
      <c r="C106" s="14" t="str">
        <f t="array" aca="1" ref="C106" ca="1">INDEX('Rooms Master'!U:U,MATCH(B106,'Rooms Master'!D:D,0))</f>
        <v>N</v>
      </c>
      <c r="D106" s="15">
        <f t="array" ref="D106">INDEX('Dec 14 - Dec 20'!D$2:D$115,MATCH($B106,'Dec 14 - Dec 20'!$B$2:$B$115,0))-INDEX('Dec 7 - Dec 13'!D$2:D$113,MATCH($B106,'Dec 7 - Dec 13'!$B$2:$B$113,0))</f>
        <v>0</v>
      </c>
      <c r="E106" s="15">
        <f t="array" ref="E106">INDEX('Dec 14 - Dec 20'!E$2:E$115,MATCH($B106,'Dec 14 - Dec 20'!$B$2:$B$115,0))-INDEX('Dec 7 - Dec 13'!E$2:E$113,MATCH($B106,'Dec 7 - Dec 13'!$B$2:$B$113,0))</f>
        <v>2</v>
      </c>
      <c r="F106" s="15">
        <f t="array" ref="F106">INDEX('Dec 14 - Dec 20'!F$2:F$115,MATCH($B106,'Dec 14 - Dec 20'!$B$2:$B$115,0))-INDEX('Dec 7 - Dec 13'!F$2:F$113,MATCH($B106,'Dec 7 - Dec 13'!$B$2:$B$113,0))</f>
        <v>1</v>
      </c>
      <c r="G106" s="15">
        <f t="array" ref="G106">INDEX('Dec 14 - Dec 20'!G$2:G$115,MATCH($B106,'Dec 14 - Dec 20'!$B$2:$B$115,0))-INDEX('Dec 7 - Dec 13'!G$2:G$113,MATCH($B106,'Dec 7 - Dec 13'!$B$2:$B$113,0))</f>
        <v>0</v>
      </c>
      <c r="H106" s="15">
        <f t="array" ref="H106">INDEX('Dec 14 - Dec 20'!H$2:H$115,MATCH($B106,'Dec 14 - Dec 20'!$B$2:$B$115,0))-INDEX('Dec 7 - Dec 13'!H$2:H$113,MATCH($B106,'Dec 7 - Dec 13'!$B$2:$B$113,0))</f>
        <v>0</v>
      </c>
      <c r="I106" s="15">
        <f t="array" ref="I106">INDEX('Dec 14 - Dec 20'!I$2:I$115,MATCH($B106,'Dec 14 - Dec 20'!$B$2:$B$115,0))-INDEX('Dec 7 - Dec 13'!I$2:I$113,MATCH($B106,'Dec 7 - Dec 13'!$B$2:$B$113,0))</f>
        <v>0</v>
      </c>
      <c r="J106" s="15">
        <f t="array" ref="J106">INDEX('Dec 14 - Dec 20'!J$2:J$115,MATCH($B106,'Dec 14 - Dec 20'!$B$2:$B$115,0))-INDEX('Dec 7 - Dec 13'!J$2:J$113,MATCH($B106,'Dec 7 - Dec 13'!$B$2:$B$113,0))</f>
        <v>0</v>
      </c>
      <c r="K106" s="15">
        <f t="array" ref="K106">INDEX('Dec 14 - Dec 20'!K$2:K$115,MATCH($B106,'Dec 14 - Dec 20'!$B$2:$B$115,0))-INDEX('Dec 7 - Dec 13'!K$2:K$113,MATCH($B106,'Dec 7 - Dec 13'!$B$2:$B$113,0))</f>
        <v>-1</v>
      </c>
    </row>
    <row r="107" spans="2:11" ht="12.75">
      <c r="B107" s="1" t="s">
        <v>53</v>
      </c>
      <c r="C107" s="14" t="str">
        <f t="array" aca="1" ref="C107" ca="1">INDEX('Rooms Master'!U:U,MATCH(B107,'Rooms Master'!D:D,0))</f>
        <v>Y</v>
      </c>
      <c r="D107" s="15">
        <f t="array" ref="D107">INDEX('Dec 14 - Dec 20'!D$2:D$115,MATCH($B107,'Dec 14 - Dec 20'!$B$2:$B$115,0))-INDEX('Dec 7 - Dec 13'!D$2:D$113,MATCH($B107,'Dec 7 - Dec 13'!$B$2:$B$113,0))</f>
        <v>2</v>
      </c>
      <c r="E107" s="15">
        <f t="array" ref="E107">INDEX('Dec 14 - Dec 20'!E$2:E$115,MATCH($B107,'Dec 14 - Dec 20'!$B$2:$B$115,0))-INDEX('Dec 7 - Dec 13'!E$2:E$113,MATCH($B107,'Dec 7 - Dec 13'!$B$2:$B$113,0))</f>
        <v>61</v>
      </c>
      <c r="F107" s="15">
        <f t="array" ref="F107">INDEX('Dec 14 - Dec 20'!F$2:F$115,MATCH($B107,'Dec 14 - Dec 20'!$B$2:$B$115,0))-INDEX('Dec 7 - Dec 13'!F$2:F$113,MATCH($B107,'Dec 7 - Dec 13'!$B$2:$B$113,0))</f>
        <v>11</v>
      </c>
      <c r="G107" s="15">
        <f t="array" ref="G107">INDEX('Dec 14 - Dec 20'!G$2:G$115,MATCH($B107,'Dec 14 - Dec 20'!$B$2:$B$115,0))-INDEX('Dec 7 - Dec 13'!G$2:G$113,MATCH($B107,'Dec 7 - Dec 13'!$B$2:$B$113,0))</f>
        <v>6</v>
      </c>
      <c r="H107" s="15">
        <f t="array" ref="H107">INDEX('Dec 14 - Dec 20'!H$2:H$115,MATCH($B107,'Dec 14 - Dec 20'!$B$2:$B$115,0))-INDEX('Dec 7 - Dec 13'!H$2:H$113,MATCH($B107,'Dec 7 - Dec 13'!$B$2:$B$113,0))</f>
        <v>6</v>
      </c>
      <c r="I107" s="15">
        <f t="array" ref="I107">INDEX('Dec 14 - Dec 20'!I$2:I$115,MATCH($B107,'Dec 14 - Dec 20'!$B$2:$B$115,0))-INDEX('Dec 7 - Dec 13'!I$2:I$113,MATCH($B107,'Dec 7 - Dec 13'!$B$2:$B$113,0))</f>
        <v>0</v>
      </c>
      <c r="J107" s="15">
        <f t="array" ref="J107">INDEX('Dec 14 - Dec 20'!J$2:J$115,MATCH($B107,'Dec 14 - Dec 20'!$B$2:$B$115,0))-INDEX('Dec 7 - Dec 13'!J$2:J$113,MATCH($B107,'Dec 7 - Dec 13'!$B$2:$B$113,0))</f>
        <v>2</v>
      </c>
      <c r="K107" s="15">
        <f t="array" ref="K107">INDEX('Dec 14 - Dec 20'!K$2:K$115,MATCH($B107,'Dec 14 - Dec 20'!$B$2:$B$115,0))-INDEX('Dec 7 - Dec 13'!K$2:K$113,MATCH($B107,'Dec 7 - Dec 13'!$B$2:$B$113,0))</f>
        <v>2</v>
      </c>
    </row>
    <row r="108" spans="2:11" ht="12.75">
      <c r="B108" s="13" t="s">
        <v>81</v>
      </c>
      <c r="C108" s="14" t="str">
        <f t="array" aca="1" ref="C108" ca="1">INDEX('Rooms Master'!U:U,MATCH(B108,'Rooms Master'!D:D,0))</f>
        <v>Y</v>
      </c>
      <c r="D108" s="15">
        <f t="array" ref="D108">INDEX('Dec 14 - Dec 20'!D$2:D$115,MATCH($B108,'Dec 14 - Dec 20'!$B$2:$B$115,0))-INDEX('Dec 7 - Dec 13'!D$2:D$113,MATCH($B108,'Dec 7 - Dec 13'!$B$2:$B$113,0))</f>
        <v>-6</v>
      </c>
      <c r="E108" s="15">
        <f t="array" ref="E108">INDEX('Dec 14 - Dec 20'!E$2:E$115,MATCH($B108,'Dec 14 - Dec 20'!$B$2:$B$115,0))-INDEX('Dec 7 - Dec 13'!E$2:E$113,MATCH($B108,'Dec 7 - Dec 13'!$B$2:$B$113,0))</f>
        <v>1</v>
      </c>
      <c r="F108" s="15">
        <f t="array" ref="F108">INDEX('Dec 14 - Dec 20'!F$2:F$115,MATCH($B108,'Dec 14 - Dec 20'!$B$2:$B$115,0))-INDEX('Dec 7 - Dec 13'!F$2:F$113,MATCH($B108,'Dec 7 - Dec 13'!$B$2:$B$113,0))</f>
        <v>-1</v>
      </c>
      <c r="G108" s="15">
        <f t="array" ref="G108">INDEX('Dec 14 - Dec 20'!G$2:G$115,MATCH($B108,'Dec 14 - Dec 20'!$B$2:$B$115,0))-INDEX('Dec 7 - Dec 13'!G$2:G$113,MATCH($B108,'Dec 7 - Dec 13'!$B$2:$B$113,0))</f>
        <v>2</v>
      </c>
      <c r="H108" s="15">
        <f t="array" ref="H108">INDEX('Dec 14 - Dec 20'!H$2:H$115,MATCH($B108,'Dec 14 - Dec 20'!$B$2:$B$115,0))-INDEX('Dec 7 - Dec 13'!H$2:H$113,MATCH($B108,'Dec 7 - Dec 13'!$B$2:$B$113,0))</f>
        <v>0</v>
      </c>
      <c r="I108" s="15">
        <f t="array" ref="I108">INDEX('Dec 14 - Dec 20'!I$2:I$115,MATCH($B108,'Dec 14 - Dec 20'!$B$2:$B$115,0))-INDEX('Dec 7 - Dec 13'!I$2:I$113,MATCH($B108,'Dec 7 - Dec 13'!$B$2:$B$113,0))</f>
        <v>0</v>
      </c>
      <c r="J108" s="15">
        <f t="array" ref="J108">INDEX('Dec 14 - Dec 20'!J$2:J$115,MATCH($B108,'Dec 14 - Dec 20'!$B$2:$B$115,0))-INDEX('Dec 7 - Dec 13'!J$2:J$113,MATCH($B108,'Dec 7 - Dec 13'!$B$2:$B$113,0))</f>
        <v>0</v>
      </c>
      <c r="K108" s="15">
        <f t="array" ref="K108">INDEX('Dec 14 - Dec 20'!K$2:K$115,MATCH($B108,'Dec 14 - Dec 20'!$B$2:$B$115,0))-INDEX('Dec 7 - Dec 13'!K$2:K$113,MATCH($B108,'Dec 7 - Dec 13'!$B$2:$B$113,0))</f>
        <v>0</v>
      </c>
    </row>
    <row r="109" spans="2:11" ht="12.75">
      <c r="B109" s="13" t="s">
        <v>92</v>
      </c>
      <c r="C109" s="14" t="str">
        <f t="array" aca="1" ref="C109" ca="1">INDEX('Rooms Master'!U:U,MATCH(B109,'Rooms Master'!D:D,0))</f>
        <v>Y</v>
      </c>
      <c r="D109" s="15">
        <f t="array" ref="D109">INDEX('Dec 14 - Dec 20'!D$2:D$115,MATCH($B109,'Dec 14 - Dec 20'!$B$2:$B$115,0))-INDEX('Dec 7 - Dec 13'!D$2:D$113,MATCH($B109,'Dec 7 - Dec 13'!$B$2:$B$113,0))</f>
        <v>-4</v>
      </c>
      <c r="E109" s="15">
        <f t="array" ref="E109">INDEX('Dec 14 - Dec 20'!E$2:E$115,MATCH($B109,'Dec 14 - Dec 20'!$B$2:$B$115,0))-INDEX('Dec 7 - Dec 13'!E$2:E$113,MATCH($B109,'Dec 7 - Dec 13'!$B$2:$B$113,0))</f>
        <v>19</v>
      </c>
      <c r="F109" s="15">
        <f t="array" ref="F109">INDEX('Dec 14 - Dec 20'!F$2:F$115,MATCH($B109,'Dec 14 - Dec 20'!$B$2:$B$115,0))-INDEX('Dec 7 - Dec 13'!F$2:F$113,MATCH($B109,'Dec 7 - Dec 13'!$B$2:$B$113,0))</f>
        <v>1</v>
      </c>
      <c r="G109" s="15">
        <f t="array" ref="G109">INDEX('Dec 14 - Dec 20'!G$2:G$115,MATCH($B109,'Dec 14 - Dec 20'!$B$2:$B$115,0))-INDEX('Dec 7 - Dec 13'!G$2:G$113,MATCH($B109,'Dec 7 - Dec 13'!$B$2:$B$113,0))</f>
        <v>2</v>
      </c>
      <c r="H109" s="15">
        <f t="array" ref="H109">INDEX('Dec 14 - Dec 20'!H$2:H$115,MATCH($B109,'Dec 14 - Dec 20'!$B$2:$B$115,0))-INDEX('Dec 7 - Dec 13'!H$2:H$113,MATCH($B109,'Dec 7 - Dec 13'!$B$2:$B$113,0))</f>
        <v>0</v>
      </c>
      <c r="I109" s="15">
        <f t="array" ref="I109">INDEX('Dec 14 - Dec 20'!I$2:I$115,MATCH($B109,'Dec 14 - Dec 20'!$B$2:$B$115,0))-INDEX('Dec 7 - Dec 13'!I$2:I$113,MATCH($B109,'Dec 7 - Dec 13'!$B$2:$B$113,0))</f>
        <v>0</v>
      </c>
      <c r="J109" s="15">
        <f t="array" ref="J109">INDEX('Dec 14 - Dec 20'!J$2:J$115,MATCH($B109,'Dec 14 - Dec 20'!$B$2:$B$115,0))-INDEX('Dec 7 - Dec 13'!J$2:J$113,MATCH($B109,'Dec 7 - Dec 13'!$B$2:$B$113,0))</f>
        <v>0</v>
      </c>
      <c r="K109" s="15">
        <f t="array" ref="K109">INDEX('Dec 14 - Dec 20'!K$2:K$115,MATCH($B109,'Dec 14 - Dec 20'!$B$2:$B$115,0))-INDEX('Dec 7 - Dec 13'!K$2:K$113,MATCH($B109,'Dec 7 - Dec 13'!$B$2:$B$113,0))</f>
        <v>0</v>
      </c>
    </row>
    <row r="110" spans="2:11" ht="12.75">
      <c r="B110" s="13" t="s">
        <v>62</v>
      </c>
      <c r="C110" s="14" t="str">
        <f t="array" aca="1" ref="C110" ca="1">INDEX('Rooms Master'!U:U,MATCH(B110,'Rooms Master'!D:D,0))</f>
        <v>N</v>
      </c>
      <c r="D110" s="15">
        <f t="array" ref="D110">INDEX('Dec 14 - Dec 20'!D$2:D$115,MATCH($B110,'Dec 14 - Dec 20'!$B$2:$B$115,0))-INDEX('Dec 7 - Dec 13'!D$2:D$113,MATCH($B110,'Dec 7 - Dec 13'!$B$2:$B$113,0))</f>
        <v>-6</v>
      </c>
      <c r="E110" s="15">
        <f t="array" ref="E110">INDEX('Dec 14 - Dec 20'!E$2:E$115,MATCH($B110,'Dec 14 - Dec 20'!$B$2:$B$115,0))-INDEX('Dec 7 - Dec 13'!E$2:E$113,MATCH($B110,'Dec 7 - Dec 13'!$B$2:$B$113,0))</f>
        <v>-4</v>
      </c>
      <c r="F110" s="15">
        <f t="array" ref="F110">INDEX('Dec 14 - Dec 20'!F$2:F$115,MATCH($B110,'Dec 14 - Dec 20'!$B$2:$B$115,0))-INDEX('Dec 7 - Dec 13'!F$2:F$113,MATCH($B110,'Dec 7 - Dec 13'!$B$2:$B$113,0))</f>
        <v>-4</v>
      </c>
      <c r="G110" s="15">
        <f t="array" ref="G110">INDEX('Dec 14 - Dec 20'!G$2:G$115,MATCH($B110,'Dec 14 - Dec 20'!$B$2:$B$115,0))-INDEX('Dec 7 - Dec 13'!G$2:G$113,MATCH($B110,'Dec 7 - Dec 13'!$B$2:$B$113,0))</f>
        <v>1</v>
      </c>
      <c r="H110" s="15">
        <f t="array" ref="H110">INDEX('Dec 14 - Dec 20'!H$2:H$115,MATCH($B110,'Dec 14 - Dec 20'!$B$2:$B$115,0))-INDEX('Dec 7 - Dec 13'!H$2:H$113,MATCH($B110,'Dec 7 - Dec 13'!$B$2:$B$113,0))</f>
        <v>-1</v>
      </c>
      <c r="I110" s="15">
        <f t="array" ref="I110">INDEX('Dec 14 - Dec 20'!I$2:I$115,MATCH($B110,'Dec 14 - Dec 20'!$B$2:$B$115,0))-INDEX('Dec 7 - Dec 13'!I$2:I$113,MATCH($B110,'Dec 7 - Dec 13'!$B$2:$B$113,0))</f>
        <v>0</v>
      </c>
      <c r="J110" s="15">
        <f t="array" ref="J110">INDEX('Dec 14 - Dec 20'!J$2:J$115,MATCH($B110,'Dec 14 - Dec 20'!$B$2:$B$115,0))-INDEX('Dec 7 - Dec 13'!J$2:J$113,MATCH($B110,'Dec 7 - Dec 13'!$B$2:$B$113,0))</f>
        <v>0</v>
      </c>
      <c r="K110" s="15">
        <f t="array" ref="K110">INDEX('Dec 14 - Dec 20'!K$2:K$115,MATCH($B110,'Dec 14 - Dec 20'!$B$2:$B$115,0))-INDEX('Dec 7 - Dec 13'!K$2:K$113,MATCH($B110,'Dec 7 - Dec 13'!$B$2:$B$113,0))</f>
        <v>0</v>
      </c>
    </row>
    <row r="111" spans="2:11" ht="12.75">
      <c r="B111" s="13" t="s">
        <v>111</v>
      </c>
      <c r="C111" s="14" t="str">
        <f t="array" aca="1" ref="C111" ca="1">INDEX('Rooms Master'!U:U,MATCH(B111,'Rooms Master'!D:D,0))</f>
        <v>N</v>
      </c>
      <c r="D111" s="15">
        <f t="array" ref="D111">INDEX('Dec 14 - Dec 20'!D$2:D$115,MATCH($B111,'Dec 14 - Dec 20'!$B$2:$B$115,0))-INDEX('Dec 7 - Dec 13'!D$2:D$113,MATCH($B111,'Dec 7 - Dec 13'!$B$2:$B$113,0))</f>
        <v>0</v>
      </c>
      <c r="E111" s="15">
        <f t="array" ref="E111">INDEX('Dec 14 - Dec 20'!E$2:E$115,MATCH($B111,'Dec 14 - Dec 20'!$B$2:$B$115,0))-INDEX('Dec 7 - Dec 13'!E$2:E$113,MATCH($B111,'Dec 7 - Dec 13'!$B$2:$B$113,0))</f>
        <v>-5</v>
      </c>
      <c r="F111" s="15">
        <f t="array" ref="F111">INDEX('Dec 14 - Dec 20'!F$2:F$115,MATCH($B111,'Dec 14 - Dec 20'!$B$2:$B$115,0))-INDEX('Dec 7 - Dec 13'!F$2:F$113,MATCH($B111,'Dec 7 - Dec 13'!$B$2:$B$113,0))</f>
        <v>-3</v>
      </c>
      <c r="G111" s="15">
        <f t="array" ref="G111">INDEX('Dec 14 - Dec 20'!G$2:G$115,MATCH($B111,'Dec 14 - Dec 20'!$B$2:$B$115,0))-INDEX('Dec 7 - Dec 13'!G$2:G$113,MATCH($B111,'Dec 7 - Dec 13'!$B$2:$B$113,0))</f>
        <v>0</v>
      </c>
      <c r="H111" s="15">
        <f t="array" ref="H111">INDEX('Dec 14 - Dec 20'!H$2:H$115,MATCH($B111,'Dec 14 - Dec 20'!$B$2:$B$115,0))-INDEX('Dec 7 - Dec 13'!H$2:H$113,MATCH($B111,'Dec 7 - Dec 13'!$B$2:$B$113,0))</f>
        <v>0</v>
      </c>
      <c r="I111" s="15">
        <f t="array" ref="I111">INDEX('Dec 14 - Dec 20'!I$2:I$115,MATCH($B111,'Dec 14 - Dec 20'!$B$2:$B$115,0))-INDEX('Dec 7 - Dec 13'!I$2:I$113,MATCH($B111,'Dec 7 - Dec 13'!$B$2:$B$113,0))</f>
        <v>0</v>
      </c>
      <c r="J111" s="15">
        <f t="array" ref="J111">INDEX('Dec 14 - Dec 20'!J$2:J$115,MATCH($B111,'Dec 14 - Dec 20'!$B$2:$B$115,0))-INDEX('Dec 7 - Dec 13'!J$2:J$113,MATCH($B111,'Dec 7 - Dec 13'!$B$2:$B$113,0))</f>
        <v>0</v>
      </c>
      <c r="K111" s="15">
        <f t="array" ref="K111">INDEX('Dec 14 - Dec 20'!K$2:K$115,MATCH($B111,'Dec 14 - Dec 20'!$B$2:$B$115,0))-INDEX('Dec 7 - Dec 13'!K$2:K$113,MATCH($B111,'Dec 7 - Dec 13'!$B$2:$B$113,0))</f>
        <v>0</v>
      </c>
    </row>
    <row r="112" spans="2:11" ht="12.75">
      <c r="B112" s="13" t="s">
        <v>77</v>
      </c>
      <c r="C112" s="14" t="str">
        <f t="array" aca="1" ref="C112" ca="1">INDEX('Rooms Master'!U:U,MATCH(B112,'Rooms Master'!D:D,0))</f>
        <v>N</v>
      </c>
      <c r="D112" s="15">
        <f t="array" ref="D112">INDEX('Dec 14 - Dec 20'!D$2:D$115,MATCH($B112,'Dec 14 - Dec 20'!$B$2:$B$115,0))-INDEX('Dec 7 - Dec 13'!D$2:D$113,MATCH($B112,'Dec 7 - Dec 13'!$B$2:$B$113,0))</f>
        <v>-2</v>
      </c>
      <c r="E112" s="15">
        <f t="array" ref="E112">INDEX('Dec 14 - Dec 20'!E$2:E$115,MATCH($B112,'Dec 14 - Dec 20'!$B$2:$B$115,0))-INDEX('Dec 7 - Dec 13'!E$2:E$113,MATCH($B112,'Dec 7 - Dec 13'!$B$2:$B$113,0))</f>
        <v>2</v>
      </c>
      <c r="F112" s="15">
        <f t="array" ref="F112">INDEX('Dec 14 - Dec 20'!F$2:F$115,MATCH($B112,'Dec 14 - Dec 20'!$B$2:$B$115,0))-INDEX('Dec 7 - Dec 13'!F$2:F$113,MATCH($B112,'Dec 7 - Dec 13'!$B$2:$B$113,0))</f>
        <v>12</v>
      </c>
      <c r="G112" s="15">
        <f t="array" ref="G112">INDEX('Dec 14 - Dec 20'!G$2:G$115,MATCH($B112,'Dec 14 - Dec 20'!$B$2:$B$115,0))-INDEX('Dec 7 - Dec 13'!G$2:G$113,MATCH($B112,'Dec 7 - Dec 13'!$B$2:$B$113,0))</f>
        <v>5</v>
      </c>
      <c r="H112" s="15">
        <f t="array" ref="H112">INDEX('Dec 14 - Dec 20'!H$2:H$115,MATCH($B112,'Dec 14 - Dec 20'!$B$2:$B$115,0))-INDEX('Dec 7 - Dec 13'!H$2:H$113,MATCH($B112,'Dec 7 - Dec 13'!$B$2:$B$113,0))</f>
        <v>-5</v>
      </c>
      <c r="I112" s="15">
        <f t="array" ref="I112">INDEX('Dec 14 - Dec 20'!I$2:I$115,MATCH($B112,'Dec 14 - Dec 20'!$B$2:$B$115,0))-INDEX('Dec 7 - Dec 13'!I$2:I$113,MATCH($B112,'Dec 7 - Dec 13'!$B$2:$B$113,0))</f>
        <v>-1</v>
      </c>
      <c r="J112" s="15">
        <f t="array" ref="J112">INDEX('Dec 14 - Dec 20'!J$2:J$115,MATCH($B112,'Dec 14 - Dec 20'!$B$2:$B$115,0))-INDEX('Dec 7 - Dec 13'!J$2:J$113,MATCH($B112,'Dec 7 - Dec 13'!$B$2:$B$113,0))</f>
        <v>0</v>
      </c>
      <c r="K112" s="15">
        <f t="array" ref="K112">INDEX('Dec 14 - Dec 20'!K$2:K$115,MATCH($B112,'Dec 14 - Dec 20'!$B$2:$B$115,0))-INDEX('Dec 7 - Dec 13'!K$2:K$113,MATCH($B112,'Dec 7 - Dec 13'!$B$2:$B$113,0))</f>
        <v>0</v>
      </c>
    </row>
    <row r="113" spans="2:11" ht="12.75">
      <c r="B113" s="13" t="s">
        <v>65</v>
      </c>
      <c r="C113" s="14" t="str">
        <f t="array" aca="1" ref="C113" ca="1">INDEX('Rooms Master'!U:U,MATCH(B113,'Rooms Master'!D:D,0))</f>
        <v>Y</v>
      </c>
      <c r="D113" s="15">
        <f t="array" ref="D113">INDEX('Dec 14 - Dec 20'!D$2:D$115,MATCH($B113,'Dec 14 - Dec 20'!$B$2:$B$115,0))-INDEX('Dec 7 - Dec 13'!D$2:D$113,MATCH($B113,'Dec 7 - Dec 13'!$B$2:$B$113,0))</f>
        <v>-4</v>
      </c>
      <c r="E113" s="15">
        <f t="array" ref="E113">INDEX('Dec 14 - Dec 20'!E$2:E$115,MATCH($B113,'Dec 14 - Dec 20'!$B$2:$B$115,0))-INDEX('Dec 7 - Dec 13'!E$2:E$113,MATCH($B113,'Dec 7 - Dec 13'!$B$2:$B$113,0))</f>
        <v>-26</v>
      </c>
      <c r="F113" s="15">
        <f t="array" ref="F113">INDEX('Dec 14 - Dec 20'!F$2:F$115,MATCH($B113,'Dec 14 - Dec 20'!$B$2:$B$115,0))-INDEX('Dec 7 - Dec 13'!F$2:F$113,MATCH($B113,'Dec 7 - Dec 13'!$B$2:$B$113,0))</f>
        <v>-10</v>
      </c>
      <c r="G113" s="15">
        <f t="array" ref="G113">INDEX('Dec 14 - Dec 20'!G$2:G$115,MATCH($B113,'Dec 14 - Dec 20'!$B$2:$B$115,0))-INDEX('Dec 7 - Dec 13'!G$2:G$113,MATCH($B113,'Dec 7 - Dec 13'!$B$2:$B$113,0))</f>
        <v>1</v>
      </c>
      <c r="H113" s="15">
        <f t="array" ref="H113">INDEX('Dec 14 - Dec 20'!H$2:H$115,MATCH($B113,'Dec 14 - Dec 20'!$B$2:$B$115,0))-INDEX('Dec 7 - Dec 13'!H$2:H$113,MATCH($B113,'Dec 7 - Dec 13'!$B$2:$B$113,0))</f>
        <v>3</v>
      </c>
      <c r="I113" s="15">
        <f t="array" ref="I113">INDEX('Dec 14 - Dec 20'!I$2:I$115,MATCH($B113,'Dec 14 - Dec 20'!$B$2:$B$115,0))-INDEX('Dec 7 - Dec 13'!I$2:I$113,MATCH($B113,'Dec 7 - Dec 13'!$B$2:$B$113,0))</f>
        <v>-1</v>
      </c>
      <c r="J113" s="15">
        <f t="array" ref="J113">INDEX('Dec 14 - Dec 20'!J$2:J$115,MATCH($B113,'Dec 14 - Dec 20'!$B$2:$B$115,0))-INDEX('Dec 7 - Dec 13'!J$2:J$113,MATCH($B113,'Dec 7 - Dec 13'!$B$2:$B$113,0))</f>
        <v>0</v>
      </c>
      <c r="K113" s="15">
        <f t="array" ref="K113">INDEX('Dec 14 - Dec 20'!K$2:K$115,MATCH($B113,'Dec 14 - Dec 20'!$B$2:$B$115,0))-INDEX('Dec 7 - Dec 13'!K$2:K$113,MATCH($B113,'Dec 7 - Dec 13'!$B$2:$B$113,0))</f>
        <v>1</v>
      </c>
    </row>
    <row r="116" spans="2:11" ht="13.15">
      <c r="B116" s="31" t="s">
        <v>146</v>
      </c>
      <c r="C116" s="30"/>
      <c r="D116" s="30"/>
      <c r="E116" s="30">
        <f>'Dec 14 - Dec 20'!E117-'Dec 7 - Dec 13'!E115</f>
        <v>-268</v>
      </c>
      <c r="F116" s="30">
        <f>'Dec 14 - Dec 20'!F117-'Dec 7 - Dec 13'!F115</f>
        <v>-88</v>
      </c>
      <c r="G116" s="30">
        <f>'Dec 14 - Dec 20'!G117-'Dec 7 - Dec 13'!G115</f>
        <v>180</v>
      </c>
      <c r="H116" s="30">
        <f>'Dec 14 - Dec 20'!H117-'Dec 7 - Dec 13'!H115</f>
        <v>44</v>
      </c>
      <c r="I116" s="30">
        <f>'Dec 14 - Dec 20'!I117-'Dec 7 - Dec 13'!I115</f>
        <v>4</v>
      </c>
      <c r="J116" s="30">
        <f>'Dec 14 - Dec 20'!J117-'Dec 7 - Dec 13'!J115</f>
        <v>-7</v>
      </c>
      <c r="K116" s="30">
        <f>'Dec 14 - Dec 20'!K117-'Dec 7 - Dec 13'!K115</f>
        <v>-2</v>
      </c>
    </row>
  </sheetData>
  <autoFilter ref="B1:K113" xr:uid="{00000000-0009-0000-0000-000006000000}"/>
  <conditionalFormatting sqref="B2:K116">
    <cfRule type="expression" dxfId="23" priority="1">
      <formula>$C2="N"</formula>
    </cfRule>
  </conditionalFormatting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K116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.75" customHeight="1"/>
  <cols>
    <col min="1" max="1" width="3.3984375" customWidth="1"/>
    <col min="2" max="2" width="29.86328125" customWidth="1"/>
  </cols>
  <sheetData>
    <row r="1" spans="2:11" ht="15.75" customHeight="1">
      <c r="B1" s="6" t="s">
        <v>0</v>
      </c>
      <c r="C1" s="7" t="s">
        <v>1</v>
      </c>
      <c r="D1" s="7" t="s">
        <v>145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</row>
    <row r="2" spans="2:11">
      <c r="B2" s="1" t="s">
        <v>43</v>
      </c>
      <c r="C2" s="14" t="str">
        <f t="array" aca="1" ref="C2" ca="1">INDEX('Rooms Master'!U:U,MATCH(B2,'Rooms Master'!D:D,0))</f>
        <v>Y</v>
      </c>
      <c r="D2" s="15" t="e">
        <f t="array" ref="D2">INDEX('Dec 7 - Dec 13'!D$2:D$113,MATCH($B2,'Dec 7 - Dec 13'!$B$2:$B$113,0))-INDEX('Nov 30 - Dec 6'!D$2:D$111,MATCH($B2,'Nov 30 - Dec 6'!$B$2:$B$111,0))</f>
        <v>#N/A</v>
      </c>
      <c r="E2" s="15" t="e">
        <f t="array" ref="E2">INDEX('Dec 7 - Dec 13'!E$2:E$113,MATCH($B2,'Dec 7 - Dec 13'!$B$2:$B$113,0))-INDEX('Nov 30 - Dec 6'!E$2:E$111,MATCH($B2,'Nov 30 - Dec 6'!$B$2:$B$111,0))</f>
        <v>#N/A</v>
      </c>
      <c r="F2" s="15" t="e">
        <f t="array" ref="F2">INDEX('Dec 7 - Dec 13'!F$2:F$113,MATCH($B2,'Dec 7 - Dec 13'!$B$2:$B$113,0))-INDEX('Nov 30 - Dec 6'!F$2:F$111,MATCH($B2,'Nov 30 - Dec 6'!$B$2:$B$111,0))</f>
        <v>#N/A</v>
      </c>
      <c r="G2" s="15" t="e">
        <f t="array" ref="G2">INDEX('Dec 7 - Dec 13'!G$2:G$113,MATCH($B2,'Dec 7 - Dec 13'!$B$2:$B$113,0))-INDEX('Nov 30 - Dec 6'!G$2:G$111,MATCH($B2,'Nov 30 - Dec 6'!$B$2:$B$111,0))</f>
        <v>#N/A</v>
      </c>
      <c r="H2" s="15" t="e">
        <f t="array" ref="H2">INDEX('Dec 7 - Dec 13'!H$2:H$113,MATCH($B2,'Dec 7 - Dec 13'!$B$2:$B$113,0))-INDEX('Nov 30 - Dec 6'!H$2:H$111,MATCH($B2,'Nov 30 - Dec 6'!$B$2:$B$111,0))</f>
        <v>#N/A</v>
      </c>
      <c r="I2" s="15" t="e">
        <f t="array" ref="I2">INDEX('Dec 7 - Dec 13'!I$2:I$113,MATCH($B2,'Dec 7 - Dec 13'!$B$2:$B$113,0))-INDEX('Nov 30 - Dec 6'!I$2:I$111,MATCH($B2,'Nov 30 - Dec 6'!$B$2:$B$111,0))</f>
        <v>#N/A</v>
      </c>
      <c r="J2" s="15" t="e">
        <f t="array" ref="J2">INDEX('Dec 7 - Dec 13'!J$2:J$113,MATCH($B2,'Dec 7 - Dec 13'!$B$2:$B$113,0))-INDEX('Nov 30 - Dec 6'!J$2:J$111,MATCH($B2,'Nov 30 - Dec 6'!$B$2:$B$111,0))</f>
        <v>#N/A</v>
      </c>
      <c r="K2" s="15" t="e">
        <f t="array" ref="K2">INDEX('Dec 7 - Dec 13'!K$2:K$113,MATCH($B2,'Dec 7 - Dec 13'!$B$2:$B$113,0))-INDEX('Nov 30 - Dec 6'!K$2:K$111,MATCH($B2,'Nov 30 - Dec 6'!$B$2:$B$111,0))</f>
        <v>#N/A</v>
      </c>
    </row>
    <row r="3" spans="2:11">
      <c r="B3" s="13" t="s">
        <v>83</v>
      </c>
      <c r="C3" s="14" t="str">
        <f t="array" aca="1" ref="C3" ca="1">INDEX('Rooms Master'!U:U,MATCH(B3,'Rooms Master'!D:D,0))</f>
        <v>Y</v>
      </c>
      <c r="D3" s="15" t="e">
        <f t="array" ref="D3">INDEX('Dec 7 - Dec 13'!D$2:D$113,MATCH($B3,'Dec 7 - Dec 13'!$B$2:$B$113,0))-INDEX('Nov 30 - Dec 6'!D$2:D$111,MATCH($B3,'Nov 30 - Dec 6'!$B$2:$B$111,0))</f>
        <v>#N/A</v>
      </c>
      <c r="E3" s="15" t="e">
        <f t="array" ref="E3">INDEX('Dec 7 - Dec 13'!E$2:E$113,MATCH($B3,'Dec 7 - Dec 13'!$B$2:$B$113,0))-INDEX('Nov 30 - Dec 6'!E$2:E$111,MATCH($B3,'Nov 30 - Dec 6'!$B$2:$B$111,0))</f>
        <v>#N/A</v>
      </c>
      <c r="F3" s="15" t="e">
        <f t="array" ref="F3">INDEX('Dec 7 - Dec 13'!F$2:F$113,MATCH($B3,'Dec 7 - Dec 13'!$B$2:$B$113,0))-INDEX('Nov 30 - Dec 6'!F$2:F$111,MATCH($B3,'Nov 30 - Dec 6'!$B$2:$B$111,0))</f>
        <v>#N/A</v>
      </c>
      <c r="G3" s="15" t="e">
        <f t="array" ref="G3">INDEX('Dec 7 - Dec 13'!G$2:G$113,MATCH($B3,'Dec 7 - Dec 13'!$B$2:$B$113,0))-INDEX('Nov 30 - Dec 6'!G$2:G$111,MATCH($B3,'Nov 30 - Dec 6'!$B$2:$B$111,0))</f>
        <v>#N/A</v>
      </c>
      <c r="H3" s="15" t="e">
        <f t="array" ref="H3">INDEX('Dec 7 - Dec 13'!H$2:H$113,MATCH($B3,'Dec 7 - Dec 13'!$B$2:$B$113,0))-INDEX('Nov 30 - Dec 6'!H$2:H$111,MATCH($B3,'Nov 30 - Dec 6'!$B$2:$B$111,0))</f>
        <v>#N/A</v>
      </c>
      <c r="I3" s="15" t="e">
        <f t="array" ref="I3">INDEX('Dec 7 - Dec 13'!I$2:I$113,MATCH($B3,'Dec 7 - Dec 13'!$B$2:$B$113,0))-INDEX('Nov 30 - Dec 6'!I$2:I$111,MATCH($B3,'Nov 30 - Dec 6'!$B$2:$B$111,0))</f>
        <v>#N/A</v>
      </c>
      <c r="J3" s="15" t="e">
        <f t="array" ref="J3">INDEX('Dec 7 - Dec 13'!J$2:J$113,MATCH($B3,'Dec 7 - Dec 13'!$B$2:$B$113,0))-INDEX('Nov 30 - Dec 6'!J$2:J$111,MATCH($B3,'Nov 30 - Dec 6'!$B$2:$B$111,0))</f>
        <v>#N/A</v>
      </c>
      <c r="K3" s="15" t="e">
        <f t="array" ref="K3">INDEX('Dec 7 - Dec 13'!K$2:K$113,MATCH($B3,'Dec 7 - Dec 13'!$B$2:$B$113,0))-INDEX('Nov 30 - Dec 6'!K$2:K$111,MATCH($B3,'Nov 30 - Dec 6'!$B$2:$B$111,0))</f>
        <v>#N/A</v>
      </c>
    </row>
    <row r="4" spans="2:11">
      <c r="B4" s="1" t="s">
        <v>53</v>
      </c>
      <c r="C4" s="14" t="str">
        <f t="array" aca="1" ref="C4" ca="1">INDEX('Rooms Master'!U:U,MATCH(B4,'Rooms Master'!D:D,0))</f>
        <v>Y</v>
      </c>
      <c r="D4" s="15" t="e">
        <f t="array" ref="D4">INDEX('Dec 7 - Dec 13'!D$2:D$113,MATCH($B4,'Dec 7 - Dec 13'!$B$2:$B$113,0))-INDEX('Nov 30 - Dec 6'!D$2:D$111,MATCH($B4,'Nov 30 - Dec 6'!$B$2:$B$111,0))</f>
        <v>#N/A</v>
      </c>
      <c r="E4" s="15" t="e">
        <f t="array" ref="E4">INDEX('Dec 7 - Dec 13'!E$2:E$113,MATCH($B4,'Dec 7 - Dec 13'!$B$2:$B$113,0))-INDEX('Nov 30 - Dec 6'!E$2:E$111,MATCH($B4,'Nov 30 - Dec 6'!$B$2:$B$111,0))</f>
        <v>#N/A</v>
      </c>
      <c r="F4" s="15" t="e">
        <f t="array" ref="F4">INDEX('Dec 7 - Dec 13'!F$2:F$113,MATCH($B4,'Dec 7 - Dec 13'!$B$2:$B$113,0))-INDEX('Nov 30 - Dec 6'!F$2:F$111,MATCH($B4,'Nov 30 - Dec 6'!$B$2:$B$111,0))</f>
        <v>#N/A</v>
      </c>
      <c r="G4" s="15" t="e">
        <f t="array" ref="G4">INDEX('Dec 7 - Dec 13'!G$2:G$113,MATCH($B4,'Dec 7 - Dec 13'!$B$2:$B$113,0))-INDEX('Nov 30 - Dec 6'!G$2:G$111,MATCH($B4,'Nov 30 - Dec 6'!$B$2:$B$111,0))</f>
        <v>#N/A</v>
      </c>
      <c r="H4" s="15" t="e">
        <f t="array" ref="H4">INDEX('Dec 7 - Dec 13'!H$2:H$113,MATCH($B4,'Dec 7 - Dec 13'!$B$2:$B$113,0))-INDEX('Nov 30 - Dec 6'!H$2:H$111,MATCH($B4,'Nov 30 - Dec 6'!$B$2:$B$111,0))</f>
        <v>#N/A</v>
      </c>
      <c r="I4" s="15" t="e">
        <f t="array" ref="I4">INDEX('Dec 7 - Dec 13'!I$2:I$113,MATCH($B4,'Dec 7 - Dec 13'!$B$2:$B$113,0))-INDEX('Nov 30 - Dec 6'!I$2:I$111,MATCH($B4,'Nov 30 - Dec 6'!$B$2:$B$111,0))</f>
        <v>#N/A</v>
      </c>
      <c r="J4" s="15" t="e">
        <f t="array" ref="J4">INDEX('Dec 7 - Dec 13'!J$2:J$113,MATCH($B4,'Dec 7 - Dec 13'!$B$2:$B$113,0))-INDEX('Nov 30 - Dec 6'!J$2:J$111,MATCH($B4,'Nov 30 - Dec 6'!$B$2:$B$111,0))</f>
        <v>#N/A</v>
      </c>
      <c r="K4" s="15" t="e">
        <f t="array" ref="K4">INDEX('Dec 7 - Dec 13'!K$2:K$113,MATCH($B4,'Dec 7 - Dec 13'!$B$2:$B$113,0))-INDEX('Nov 30 - Dec 6'!K$2:K$111,MATCH($B4,'Nov 30 - Dec 6'!$B$2:$B$111,0))</f>
        <v>#N/A</v>
      </c>
    </row>
    <row r="5" spans="2:11">
      <c r="B5" s="13" t="s">
        <v>99</v>
      </c>
      <c r="C5" s="14" t="str">
        <f t="array" aca="1" ref="C5" ca="1">INDEX('Rooms Master'!U:U,MATCH(B5,'Rooms Master'!D:D,0))</f>
        <v>N</v>
      </c>
      <c r="D5" s="15">
        <f t="array" ref="D5">INDEX('Dec 7 - Dec 13'!D$2:D$113,MATCH($B5,'Dec 7 - Dec 13'!$B$2:$B$113,0))-INDEX('Nov 30 - Dec 6'!D$2:D$111,MATCH($B5,'Nov 30 - Dec 6'!$B$2:$B$111,0))</f>
        <v>-41</v>
      </c>
      <c r="E5" s="15">
        <f t="array" ref="E5">INDEX('Dec 7 - Dec 13'!E$2:E$113,MATCH($B5,'Dec 7 - Dec 13'!$B$2:$B$113,0))-INDEX('Nov 30 - Dec 6'!E$2:E$111,MATCH($B5,'Nov 30 - Dec 6'!$B$2:$B$111,0))</f>
        <v>91</v>
      </c>
      <c r="F5" s="15">
        <f t="array" ref="F5">INDEX('Dec 7 - Dec 13'!F$2:F$113,MATCH($B5,'Dec 7 - Dec 13'!$B$2:$B$113,0))-INDEX('Nov 30 - Dec 6'!F$2:F$111,MATCH($B5,'Nov 30 - Dec 6'!$B$2:$B$111,0))</f>
        <v>12</v>
      </c>
      <c r="G5" s="15">
        <f t="array" ref="G5">INDEX('Dec 7 - Dec 13'!G$2:G$113,MATCH($B5,'Dec 7 - Dec 13'!$B$2:$B$113,0))-INDEX('Nov 30 - Dec 6'!G$2:G$111,MATCH($B5,'Nov 30 - Dec 6'!$B$2:$B$111,0))</f>
        <v>0</v>
      </c>
      <c r="H5" s="15">
        <f t="array" ref="H5">INDEX('Dec 7 - Dec 13'!H$2:H$113,MATCH($B5,'Dec 7 - Dec 13'!$B$2:$B$113,0))-INDEX('Nov 30 - Dec 6'!H$2:H$111,MATCH($B5,'Nov 30 - Dec 6'!$B$2:$B$111,0))</f>
        <v>4</v>
      </c>
      <c r="I5" s="15">
        <f t="array" ref="I5">INDEX('Dec 7 - Dec 13'!I$2:I$113,MATCH($B5,'Dec 7 - Dec 13'!$B$2:$B$113,0))-INDEX('Nov 30 - Dec 6'!I$2:I$111,MATCH($B5,'Nov 30 - Dec 6'!$B$2:$B$111,0))</f>
        <v>0</v>
      </c>
      <c r="J5" s="15">
        <f t="array" ref="J5">INDEX('Dec 7 - Dec 13'!J$2:J$113,MATCH($B5,'Dec 7 - Dec 13'!$B$2:$B$113,0))-INDEX('Nov 30 - Dec 6'!J$2:J$111,MATCH($B5,'Nov 30 - Dec 6'!$B$2:$B$111,0))</f>
        <v>0</v>
      </c>
      <c r="K5" s="15">
        <f t="array" ref="K5">INDEX('Dec 7 - Dec 13'!K$2:K$113,MATCH($B5,'Dec 7 - Dec 13'!$B$2:$B$113,0))-INDEX('Nov 30 - Dec 6'!K$2:K$111,MATCH($B5,'Nov 30 - Dec 6'!$B$2:$B$111,0))</f>
        <v>0</v>
      </c>
    </row>
    <row r="6" spans="2:11">
      <c r="B6" s="13" t="s">
        <v>76</v>
      </c>
      <c r="C6" s="14" t="str">
        <f t="array" aca="1" ref="C6" ca="1">INDEX('Rooms Master'!U:U,MATCH(B6,'Rooms Master'!D:D,0))</f>
        <v>N</v>
      </c>
      <c r="D6" s="15">
        <f t="array" ref="D6">INDEX('Dec 7 - Dec 13'!D$2:D$113,MATCH($B6,'Dec 7 - Dec 13'!$B$2:$B$113,0))-INDEX('Nov 30 - Dec 6'!D$2:D$111,MATCH($B6,'Nov 30 - Dec 6'!$B$2:$B$111,0))</f>
        <v>-63</v>
      </c>
      <c r="E6" s="15">
        <f t="array" ref="E6">INDEX('Dec 7 - Dec 13'!E$2:E$113,MATCH($B6,'Dec 7 - Dec 13'!$B$2:$B$113,0))-INDEX('Nov 30 - Dec 6'!E$2:E$111,MATCH($B6,'Nov 30 - Dec 6'!$B$2:$B$111,0))</f>
        <v>76</v>
      </c>
      <c r="F6" s="15">
        <f t="array" ref="F6">INDEX('Dec 7 - Dec 13'!F$2:F$113,MATCH($B6,'Dec 7 - Dec 13'!$B$2:$B$113,0))-INDEX('Nov 30 - Dec 6'!F$2:F$111,MATCH($B6,'Nov 30 - Dec 6'!$B$2:$B$111,0))</f>
        <v>36</v>
      </c>
      <c r="G6" s="15">
        <f t="array" ref="G6">INDEX('Dec 7 - Dec 13'!G$2:G$113,MATCH($B6,'Dec 7 - Dec 13'!$B$2:$B$113,0))-INDEX('Nov 30 - Dec 6'!G$2:G$111,MATCH($B6,'Nov 30 - Dec 6'!$B$2:$B$111,0))</f>
        <v>7</v>
      </c>
      <c r="H6" s="15">
        <f t="array" ref="H6">INDEX('Dec 7 - Dec 13'!H$2:H$113,MATCH($B6,'Dec 7 - Dec 13'!$B$2:$B$113,0))-INDEX('Nov 30 - Dec 6'!H$2:H$111,MATCH($B6,'Nov 30 - Dec 6'!$B$2:$B$111,0))</f>
        <v>0</v>
      </c>
      <c r="I6" s="15">
        <f t="array" ref="I6">INDEX('Dec 7 - Dec 13'!I$2:I$113,MATCH($B6,'Dec 7 - Dec 13'!$B$2:$B$113,0))-INDEX('Nov 30 - Dec 6'!I$2:I$111,MATCH($B6,'Nov 30 - Dec 6'!$B$2:$B$111,0))</f>
        <v>0</v>
      </c>
      <c r="J6" s="15">
        <f t="array" ref="J6">INDEX('Dec 7 - Dec 13'!J$2:J$113,MATCH($B6,'Dec 7 - Dec 13'!$B$2:$B$113,0))-INDEX('Nov 30 - Dec 6'!J$2:J$111,MATCH($B6,'Nov 30 - Dec 6'!$B$2:$B$111,0))</f>
        <v>6</v>
      </c>
      <c r="K6" s="15">
        <f t="array" ref="K6">INDEX('Dec 7 - Dec 13'!K$2:K$113,MATCH($B6,'Dec 7 - Dec 13'!$B$2:$B$113,0))-INDEX('Nov 30 - Dec 6'!K$2:K$111,MATCH($B6,'Nov 30 - Dec 6'!$B$2:$B$111,0))</f>
        <v>6</v>
      </c>
    </row>
    <row r="7" spans="2:11">
      <c r="B7" s="13" t="s">
        <v>30</v>
      </c>
      <c r="C7" s="14" t="str">
        <f t="array" aca="1" ref="C7" ca="1">INDEX('Rooms Master'!U:U,MATCH(B7,'Rooms Master'!D:D,0))</f>
        <v>Y</v>
      </c>
      <c r="D7" s="15">
        <f t="array" ref="D7">INDEX('Dec 7 - Dec 13'!D$2:D$113,MATCH($B7,'Dec 7 - Dec 13'!$B$2:$B$113,0))-INDEX('Nov 30 - Dec 6'!D$2:D$111,MATCH($B7,'Nov 30 - Dec 6'!$B$2:$B$111,0))</f>
        <v>-40</v>
      </c>
      <c r="E7" s="15">
        <f t="array" ref="E7">INDEX('Dec 7 - Dec 13'!E$2:E$113,MATCH($B7,'Dec 7 - Dec 13'!$B$2:$B$113,0))-INDEX('Nov 30 - Dec 6'!E$2:E$111,MATCH($B7,'Nov 30 - Dec 6'!$B$2:$B$111,0))</f>
        <v>48</v>
      </c>
      <c r="F7" s="15">
        <f t="array" ref="F7">INDEX('Dec 7 - Dec 13'!F$2:F$113,MATCH($B7,'Dec 7 - Dec 13'!$B$2:$B$113,0))-INDEX('Nov 30 - Dec 6'!F$2:F$111,MATCH($B7,'Nov 30 - Dec 6'!$B$2:$B$111,0))</f>
        <v>-1</v>
      </c>
      <c r="G7" s="15">
        <f t="array" ref="G7">INDEX('Dec 7 - Dec 13'!G$2:G$113,MATCH($B7,'Dec 7 - Dec 13'!$B$2:$B$113,0))-INDEX('Nov 30 - Dec 6'!G$2:G$111,MATCH($B7,'Nov 30 - Dec 6'!$B$2:$B$111,0))</f>
        <v>2</v>
      </c>
      <c r="H7" s="15">
        <f t="array" ref="H7">INDEX('Dec 7 - Dec 13'!H$2:H$113,MATCH($B7,'Dec 7 - Dec 13'!$B$2:$B$113,0))-INDEX('Nov 30 - Dec 6'!H$2:H$111,MATCH($B7,'Nov 30 - Dec 6'!$B$2:$B$111,0))</f>
        <v>-1</v>
      </c>
      <c r="I7" s="15">
        <f t="array" ref="I7">INDEX('Dec 7 - Dec 13'!I$2:I$113,MATCH($B7,'Dec 7 - Dec 13'!$B$2:$B$113,0))-INDEX('Nov 30 - Dec 6'!I$2:I$111,MATCH($B7,'Nov 30 - Dec 6'!$B$2:$B$111,0))</f>
        <v>-1</v>
      </c>
      <c r="J7" s="15">
        <f t="array" ref="J7">INDEX('Dec 7 - Dec 13'!J$2:J$113,MATCH($B7,'Dec 7 - Dec 13'!$B$2:$B$113,0))-INDEX('Nov 30 - Dec 6'!J$2:J$111,MATCH($B7,'Nov 30 - Dec 6'!$B$2:$B$111,0))</f>
        <v>1</v>
      </c>
      <c r="K7" s="15">
        <f t="array" ref="K7">INDEX('Dec 7 - Dec 13'!K$2:K$113,MATCH($B7,'Dec 7 - Dec 13'!$B$2:$B$113,0))-INDEX('Nov 30 - Dec 6'!K$2:K$111,MATCH($B7,'Nov 30 - Dec 6'!$B$2:$B$111,0))</f>
        <v>0</v>
      </c>
    </row>
    <row r="8" spans="2:11">
      <c r="B8" s="13" t="s">
        <v>28</v>
      </c>
      <c r="C8" s="14" t="str">
        <f t="array" aca="1" ref="C8" ca="1">INDEX('Rooms Master'!U:U,MATCH(B8,'Rooms Master'!D:D,0))</f>
        <v>Y</v>
      </c>
      <c r="D8" s="15">
        <f t="array" ref="D8">INDEX('Dec 7 - Dec 13'!D$2:D$113,MATCH($B8,'Dec 7 - Dec 13'!$B$2:$B$113,0))-INDEX('Nov 30 - Dec 6'!D$2:D$111,MATCH($B8,'Nov 30 - Dec 6'!$B$2:$B$111,0))</f>
        <v>-39</v>
      </c>
      <c r="E8" s="15">
        <f t="array" ref="E8">INDEX('Dec 7 - Dec 13'!E$2:E$113,MATCH($B8,'Dec 7 - Dec 13'!$B$2:$B$113,0))-INDEX('Nov 30 - Dec 6'!E$2:E$111,MATCH($B8,'Nov 30 - Dec 6'!$B$2:$B$111,0))</f>
        <v>44</v>
      </c>
      <c r="F8" s="15">
        <f t="array" ref="F8">INDEX('Dec 7 - Dec 13'!F$2:F$113,MATCH($B8,'Dec 7 - Dec 13'!$B$2:$B$113,0))-INDEX('Nov 30 - Dec 6'!F$2:F$111,MATCH($B8,'Nov 30 - Dec 6'!$B$2:$B$111,0))</f>
        <v>1</v>
      </c>
      <c r="G8" s="15">
        <f t="array" ref="G8">INDEX('Dec 7 - Dec 13'!G$2:G$113,MATCH($B8,'Dec 7 - Dec 13'!$B$2:$B$113,0))-INDEX('Nov 30 - Dec 6'!G$2:G$111,MATCH($B8,'Nov 30 - Dec 6'!$B$2:$B$111,0))</f>
        <v>1</v>
      </c>
      <c r="H8" s="15">
        <f t="array" ref="H8">INDEX('Dec 7 - Dec 13'!H$2:H$113,MATCH($B8,'Dec 7 - Dec 13'!$B$2:$B$113,0))-INDEX('Nov 30 - Dec 6'!H$2:H$111,MATCH($B8,'Nov 30 - Dec 6'!$B$2:$B$111,0))</f>
        <v>0</v>
      </c>
      <c r="I8" s="15">
        <f t="array" ref="I8">INDEX('Dec 7 - Dec 13'!I$2:I$113,MATCH($B8,'Dec 7 - Dec 13'!$B$2:$B$113,0))-INDEX('Nov 30 - Dec 6'!I$2:I$111,MATCH($B8,'Nov 30 - Dec 6'!$B$2:$B$111,0))</f>
        <v>0</v>
      </c>
      <c r="J8" s="15">
        <f t="array" ref="J8">INDEX('Dec 7 - Dec 13'!J$2:J$113,MATCH($B8,'Dec 7 - Dec 13'!$B$2:$B$113,0))-INDEX('Nov 30 - Dec 6'!J$2:J$111,MATCH($B8,'Nov 30 - Dec 6'!$B$2:$B$111,0))</f>
        <v>0</v>
      </c>
      <c r="K8" s="15">
        <f t="array" ref="K8">INDEX('Dec 7 - Dec 13'!K$2:K$113,MATCH($B8,'Dec 7 - Dec 13'!$B$2:$B$113,0))-INDEX('Nov 30 - Dec 6'!K$2:K$111,MATCH($B8,'Nov 30 - Dec 6'!$B$2:$B$111,0))</f>
        <v>0</v>
      </c>
    </row>
    <row r="9" spans="2:11">
      <c r="B9" s="13" t="s">
        <v>101</v>
      </c>
      <c r="C9" s="14" t="str">
        <f t="array" aca="1" ref="C9" ca="1">INDEX('Rooms Master'!U:U,MATCH(B9,'Rooms Master'!D:D,0))</f>
        <v>N</v>
      </c>
      <c r="D9" s="15">
        <f t="array" ref="D9">INDEX('Dec 7 - Dec 13'!D$2:D$113,MATCH($B9,'Dec 7 - Dec 13'!$B$2:$B$113,0))-INDEX('Nov 30 - Dec 6'!D$2:D$111,MATCH($B9,'Nov 30 - Dec 6'!$B$2:$B$111,0))</f>
        <v>3</v>
      </c>
      <c r="E9" s="15">
        <f t="array" ref="E9">INDEX('Dec 7 - Dec 13'!E$2:E$113,MATCH($B9,'Dec 7 - Dec 13'!$B$2:$B$113,0))-INDEX('Nov 30 - Dec 6'!E$2:E$111,MATCH($B9,'Nov 30 - Dec 6'!$B$2:$B$111,0))</f>
        <v>25</v>
      </c>
      <c r="F9" s="15">
        <f t="array" ref="F9">INDEX('Dec 7 - Dec 13'!F$2:F$113,MATCH($B9,'Dec 7 - Dec 13'!$B$2:$B$113,0))-INDEX('Nov 30 - Dec 6'!F$2:F$111,MATCH($B9,'Nov 30 - Dec 6'!$B$2:$B$111,0))</f>
        <v>14</v>
      </c>
      <c r="G9" s="15">
        <f t="array" ref="G9">INDEX('Dec 7 - Dec 13'!G$2:G$113,MATCH($B9,'Dec 7 - Dec 13'!$B$2:$B$113,0))-INDEX('Nov 30 - Dec 6'!G$2:G$111,MATCH($B9,'Nov 30 - Dec 6'!$B$2:$B$111,0))</f>
        <v>-1</v>
      </c>
      <c r="H9" s="15">
        <f t="array" ref="H9">INDEX('Dec 7 - Dec 13'!H$2:H$113,MATCH($B9,'Dec 7 - Dec 13'!$B$2:$B$113,0))-INDEX('Nov 30 - Dec 6'!H$2:H$111,MATCH($B9,'Nov 30 - Dec 6'!$B$2:$B$111,0))</f>
        <v>0</v>
      </c>
      <c r="I9" s="15">
        <f t="array" ref="I9">INDEX('Dec 7 - Dec 13'!I$2:I$113,MATCH($B9,'Dec 7 - Dec 13'!$B$2:$B$113,0))-INDEX('Nov 30 - Dec 6'!I$2:I$111,MATCH($B9,'Nov 30 - Dec 6'!$B$2:$B$111,0))</f>
        <v>0</v>
      </c>
      <c r="J9" s="15">
        <f t="array" ref="J9">INDEX('Dec 7 - Dec 13'!J$2:J$113,MATCH($B9,'Dec 7 - Dec 13'!$B$2:$B$113,0))-INDEX('Nov 30 - Dec 6'!J$2:J$111,MATCH($B9,'Nov 30 - Dec 6'!$B$2:$B$111,0))</f>
        <v>0</v>
      </c>
      <c r="K9" s="15">
        <f t="array" ref="K9">INDEX('Dec 7 - Dec 13'!K$2:K$113,MATCH($B9,'Dec 7 - Dec 13'!$B$2:$B$113,0))-INDEX('Nov 30 - Dec 6'!K$2:K$111,MATCH($B9,'Nov 30 - Dec 6'!$B$2:$B$111,0))</f>
        <v>0</v>
      </c>
    </row>
    <row r="10" spans="2:11">
      <c r="B10" s="13" t="s">
        <v>57</v>
      </c>
      <c r="C10" s="14" t="str">
        <f t="array" aca="1" ref="C10" ca="1">INDEX('Rooms Master'!U:U,MATCH(B10,'Rooms Master'!D:D,0))</f>
        <v>Y</v>
      </c>
      <c r="D10" s="15">
        <f t="array" ref="D10">INDEX('Dec 7 - Dec 13'!D$2:D$113,MATCH($B10,'Dec 7 - Dec 13'!$B$2:$B$113,0))-INDEX('Nov 30 - Dec 6'!D$2:D$111,MATCH($B10,'Nov 30 - Dec 6'!$B$2:$B$111,0))</f>
        <v>77</v>
      </c>
      <c r="E10" s="15">
        <f t="array" ref="E10">INDEX('Dec 7 - Dec 13'!E$2:E$113,MATCH($B10,'Dec 7 - Dec 13'!$B$2:$B$113,0))-INDEX('Nov 30 - Dec 6'!E$2:E$111,MATCH($B10,'Nov 30 - Dec 6'!$B$2:$B$111,0))</f>
        <v>23</v>
      </c>
      <c r="F10" s="15">
        <f t="array" ref="F10">INDEX('Dec 7 - Dec 13'!F$2:F$113,MATCH($B10,'Dec 7 - Dec 13'!$B$2:$B$113,0))-INDEX('Nov 30 - Dec 6'!F$2:F$111,MATCH($B10,'Nov 30 - Dec 6'!$B$2:$B$111,0))</f>
        <v>3</v>
      </c>
      <c r="G10" s="15">
        <f t="array" ref="G10">INDEX('Dec 7 - Dec 13'!G$2:G$113,MATCH($B10,'Dec 7 - Dec 13'!$B$2:$B$113,0))-INDEX('Nov 30 - Dec 6'!G$2:G$111,MATCH($B10,'Nov 30 - Dec 6'!$B$2:$B$111,0))</f>
        <v>0</v>
      </c>
      <c r="H10" s="15">
        <f t="array" ref="H10">INDEX('Dec 7 - Dec 13'!H$2:H$113,MATCH($B10,'Dec 7 - Dec 13'!$B$2:$B$113,0))-INDEX('Nov 30 - Dec 6'!H$2:H$111,MATCH($B10,'Nov 30 - Dec 6'!$B$2:$B$111,0))</f>
        <v>0</v>
      </c>
      <c r="I10" s="15">
        <f t="array" ref="I10">INDEX('Dec 7 - Dec 13'!I$2:I$113,MATCH($B10,'Dec 7 - Dec 13'!$B$2:$B$113,0))-INDEX('Nov 30 - Dec 6'!I$2:I$111,MATCH($B10,'Nov 30 - Dec 6'!$B$2:$B$111,0))</f>
        <v>0</v>
      </c>
      <c r="J10" s="15">
        <f t="array" ref="J10">INDEX('Dec 7 - Dec 13'!J$2:J$113,MATCH($B10,'Dec 7 - Dec 13'!$B$2:$B$113,0))-INDEX('Nov 30 - Dec 6'!J$2:J$111,MATCH($B10,'Nov 30 - Dec 6'!$B$2:$B$111,0))</f>
        <v>0</v>
      </c>
      <c r="K10" s="15">
        <f t="array" ref="K10">INDEX('Dec 7 - Dec 13'!K$2:K$113,MATCH($B10,'Dec 7 - Dec 13'!$B$2:$B$113,0))-INDEX('Nov 30 - Dec 6'!K$2:K$111,MATCH($B10,'Nov 30 - Dec 6'!$B$2:$B$111,0))</f>
        <v>0</v>
      </c>
    </row>
    <row r="11" spans="2:11">
      <c r="B11" s="13" t="s">
        <v>47</v>
      </c>
      <c r="C11" s="14" t="str">
        <f t="array" aca="1" ref="C11" ca="1">INDEX('Rooms Master'!U:U,MATCH(B11,'Rooms Master'!D:D,0))</f>
        <v>Y</v>
      </c>
      <c r="D11" s="15">
        <f t="array" ref="D11">INDEX('Dec 7 - Dec 13'!D$2:D$113,MATCH($B11,'Dec 7 - Dec 13'!$B$2:$B$113,0))-INDEX('Nov 30 - Dec 6'!D$2:D$111,MATCH($B11,'Nov 30 - Dec 6'!$B$2:$B$111,0))</f>
        <v>26</v>
      </c>
      <c r="E11" s="15">
        <f t="array" ref="E11">INDEX('Dec 7 - Dec 13'!E$2:E$113,MATCH($B11,'Dec 7 - Dec 13'!$B$2:$B$113,0))-INDEX('Nov 30 - Dec 6'!E$2:E$111,MATCH($B11,'Nov 30 - Dec 6'!$B$2:$B$111,0))</f>
        <v>23</v>
      </c>
      <c r="F11" s="15">
        <f t="array" ref="F11">INDEX('Dec 7 - Dec 13'!F$2:F$113,MATCH($B11,'Dec 7 - Dec 13'!$B$2:$B$113,0))-INDEX('Nov 30 - Dec 6'!F$2:F$111,MATCH($B11,'Nov 30 - Dec 6'!$B$2:$B$111,0))</f>
        <v>1</v>
      </c>
      <c r="G11" s="15">
        <f t="array" ref="G11">INDEX('Dec 7 - Dec 13'!G$2:G$113,MATCH($B11,'Dec 7 - Dec 13'!$B$2:$B$113,0))-INDEX('Nov 30 - Dec 6'!G$2:G$111,MATCH($B11,'Nov 30 - Dec 6'!$B$2:$B$111,0))</f>
        <v>0</v>
      </c>
      <c r="H11" s="15">
        <f t="array" ref="H11">INDEX('Dec 7 - Dec 13'!H$2:H$113,MATCH($B11,'Dec 7 - Dec 13'!$B$2:$B$113,0))-INDEX('Nov 30 - Dec 6'!H$2:H$111,MATCH($B11,'Nov 30 - Dec 6'!$B$2:$B$111,0))</f>
        <v>-1</v>
      </c>
      <c r="I11" s="15">
        <f t="array" ref="I11">INDEX('Dec 7 - Dec 13'!I$2:I$113,MATCH($B11,'Dec 7 - Dec 13'!$B$2:$B$113,0))-INDEX('Nov 30 - Dec 6'!I$2:I$111,MATCH($B11,'Nov 30 - Dec 6'!$B$2:$B$111,0))</f>
        <v>-1</v>
      </c>
      <c r="J11" s="15">
        <f t="array" ref="J11">INDEX('Dec 7 - Dec 13'!J$2:J$113,MATCH($B11,'Dec 7 - Dec 13'!$B$2:$B$113,0))-INDEX('Nov 30 - Dec 6'!J$2:J$111,MATCH($B11,'Nov 30 - Dec 6'!$B$2:$B$111,0))</f>
        <v>0</v>
      </c>
      <c r="K11" s="15">
        <f t="array" ref="K11">INDEX('Dec 7 - Dec 13'!K$2:K$113,MATCH($B11,'Dec 7 - Dec 13'!$B$2:$B$113,0))-INDEX('Nov 30 - Dec 6'!K$2:K$111,MATCH($B11,'Nov 30 - Dec 6'!$B$2:$B$111,0))</f>
        <v>0</v>
      </c>
    </row>
    <row r="12" spans="2:11">
      <c r="B12" s="13" t="s">
        <v>58</v>
      </c>
      <c r="C12" s="14" t="str">
        <f t="array" aca="1" ref="C12" ca="1">INDEX('Rooms Master'!U:U,MATCH(B12,'Rooms Master'!D:D,0))</f>
        <v>Y</v>
      </c>
      <c r="D12" s="15">
        <f t="array" ref="D12">INDEX('Dec 7 - Dec 13'!D$2:D$113,MATCH($B12,'Dec 7 - Dec 13'!$B$2:$B$113,0))-INDEX('Nov 30 - Dec 6'!D$2:D$111,MATCH($B12,'Nov 30 - Dec 6'!$B$2:$B$111,0))</f>
        <v>35</v>
      </c>
      <c r="E12" s="15">
        <f t="array" ref="E12">INDEX('Dec 7 - Dec 13'!E$2:E$113,MATCH($B12,'Dec 7 - Dec 13'!$B$2:$B$113,0))-INDEX('Nov 30 - Dec 6'!E$2:E$111,MATCH($B12,'Nov 30 - Dec 6'!$B$2:$B$111,0))</f>
        <v>21</v>
      </c>
      <c r="F12" s="15">
        <f t="array" ref="F12">INDEX('Dec 7 - Dec 13'!F$2:F$113,MATCH($B12,'Dec 7 - Dec 13'!$B$2:$B$113,0))-INDEX('Nov 30 - Dec 6'!F$2:F$111,MATCH($B12,'Nov 30 - Dec 6'!$B$2:$B$111,0))</f>
        <v>9</v>
      </c>
      <c r="G12" s="15">
        <f t="array" ref="G12">INDEX('Dec 7 - Dec 13'!G$2:G$113,MATCH($B12,'Dec 7 - Dec 13'!$B$2:$B$113,0))-INDEX('Nov 30 - Dec 6'!G$2:G$111,MATCH($B12,'Nov 30 - Dec 6'!$B$2:$B$111,0))</f>
        <v>-2</v>
      </c>
      <c r="H12" s="15">
        <f t="array" ref="H12">INDEX('Dec 7 - Dec 13'!H$2:H$113,MATCH($B12,'Dec 7 - Dec 13'!$B$2:$B$113,0))-INDEX('Nov 30 - Dec 6'!H$2:H$111,MATCH($B12,'Nov 30 - Dec 6'!$B$2:$B$111,0))</f>
        <v>4</v>
      </c>
      <c r="I12" s="15">
        <f t="array" ref="I12">INDEX('Dec 7 - Dec 13'!I$2:I$113,MATCH($B12,'Dec 7 - Dec 13'!$B$2:$B$113,0))-INDEX('Nov 30 - Dec 6'!I$2:I$111,MATCH($B12,'Nov 30 - Dec 6'!$B$2:$B$111,0))</f>
        <v>0</v>
      </c>
      <c r="J12" s="15">
        <f t="array" ref="J12">INDEX('Dec 7 - Dec 13'!J$2:J$113,MATCH($B12,'Dec 7 - Dec 13'!$B$2:$B$113,0))-INDEX('Nov 30 - Dec 6'!J$2:J$111,MATCH($B12,'Nov 30 - Dec 6'!$B$2:$B$111,0))</f>
        <v>0</v>
      </c>
      <c r="K12" s="15">
        <f t="array" ref="K12">INDEX('Dec 7 - Dec 13'!K$2:K$113,MATCH($B12,'Dec 7 - Dec 13'!$B$2:$B$113,0))-INDEX('Nov 30 - Dec 6'!K$2:K$111,MATCH($B12,'Nov 30 - Dec 6'!$B$2:$B$111,0))</f>
        <v>-1</v>
      </c>
    </row>
    <row r="13" spans="2:11">
      <c r="B13" s="13" t="s">
        <v>49</v>
      </c>
      <c r="C13" s="14" t="str">
        <f t="array" aca="1" ref="C13" ca="1">INDEX('Rooms Master'!U:U,MATCH(B13,'Rooms Master'!D:D,0))</f>
        <v>Y</v>
      </c>
      <c r="D13" s="15">
        <f t="array" ref="D13">INDEX('Dec 7 - Dec 13'!D$2:D$113,MATCH($B13,'Dec 7 - Dec 13'!$B$2:$B$113,0))-INDEX('Nov 30 - Dec 6'!D$2:D$111,MATCH($B13,'Nov 30 - Dec 6'!$B$2:$B$111,0))</f>
        <v>10</v>
      </c>
      <c r="E13" s="15">
        <f t="array" ref="E13">INDEX('Dec 7 - Dec 13'!E$2:E$113,MATCH($B13,'Dec 7 - Dec 13'!$B$2:$B$113,0))-INDEX('Nov 30 - Dec 6'!E$2:E$111,MATCH($B13,'Nov 30 - Dec 6'!$B$2:$B$111,0))</f>
        <v>20</v>
      </c>
      <c r="F13" s="15">
        <f t="array" ref="F13">INDEX('Dec 7 - Dec 13'!F$2:F$113,MATCH($B13,'Dec 7 - Dec 13'!$B$2:$B$113,0))-INDEX('Nov 30 - Dec 6'!F$2:F$111,MATCH($B13,'Nov 30 - Dec 6'!$B$2:$B$111,0))</f>
        <v>7</v>
      </c>
      <c r="G13" s="15">
        <f t="array" ref="G13">INDEX('Dec 7 - Dec 13'!G$2:G$113,MATCH($B13,'Dec 7 - Dec 13'!$B$2:$B$113,0))-INDEX('Nov 30 - Dec 6'!G$2:G$111,MATCH($B13,'Nov 30 - Dec 6'!$B$2:$B$111,0))</f>
        <v>0</v>
      </c>
      <c r="H13" s="15">
        <f t="array" ref="H13">INDEX('Dec 7 - Dec 13'!H$2:H$113,MATCH($B13,'Dec 7 - Dec 13'!$B$2:$B$113,0))-INDEX('Nov 30 - Dec 6'!H$2:H$111,MATCH($B13,'Nov 30 - Dec 6'!$B$2:$B$111,0))</f>
        <v>1</v>
      </c>
      <c r="I13" s="15">
        <f t="array" ref="I13">INDEX('Dec 7 - Dec 13'!I$2:I$113,MATCH($B13,'Dec 7 - Dec 13'!$B$2:$B$113,0))-INDEX('Nov 30 - Dec 6'!I$2:I$111,MATCH($B13,'Nov 30 - Dec 6'!$B$2:$B$111,0))</f>
        <v>0</v>
      </c>
      <c r="J13" s="15">
        <f t="array" ref="J13">INDEX('Dec 7 - Dec 13'!J$2:J$113,MATCH($B13,'Dec 7 - Dec 13'!$B$2:$B$113,0))-INDEX('Nov 30 - Dec 6'!J$2:J$111,MATCH($B13,'Nov 30 - Dec 6'!$B$2:$B$111,0))</f>
        <v>0</v>
      </c>
      <c r="K13" s="15">
        <f t="array" ref="K13">INDEX('Dec 7 - Dec 13'!K$2:K$113,MATCH($B13,'Dec 7 - Dec 13'!$B$2:$B$113,0))-INDEX('Nov 30 - Dec 6'!K$2:K$111,MATCH($B13,'Nov 30 - Dec 6'!$B$2:$B$111,0))</f>
        <v>0</v>
      </c>
    </row>
    <row r="14" spans="2:11">
      <c r="B14" s="13" t="s">
        <v>23</v>
      </c>
      <c r="C14" s="14" t="str">
        <f t="array" aca="1" ref="C14" ca="1">INDEX('Rooms Master'!U:U,MATCH(B14,'Rooms Master'!D:D,0))</f>
        <v>Y</v>
      </c>
      <c r="D14" s="15">
        <f t="array" ref="D14">INDEX('Dec 7 - Dec 13'!D$2:D$113,MATCH($B14,'Dec 7 - Dec 13'!$B$2:$B$113,0))-INDEX('Nov 30 - Dec 6'!D$2:D$111,MATCH($B14,'Nov 30 - Dec 6'!$B$2:$B$111,0))</f>
        <v>31</v>
      </c>
      <c r="E14" s="15">
        <f t="array" ref="E14">INDEX('Dec 7 - Dec 13'!E$2:E$113,MATCH($B14,'Dec 7 - Dec 13'!$B$2:$B$113,0))-INDEX('Nov 30 - Dec 6'!E$2:E$111,MATCH($B14,'Nov 30 - Dec 6'!$B$2:$B$111,0))</f>
        <v>20</v>
      </c>
      <c r="F14" s="15">
        <f t="array" ref="F14">INDEX('Dec 7 - Dec 13'!F$2:F$113,MATCH($B14,'Dec 7 - Dec 13'!$B$2:$B$113,0))-INDEX('Nov 30 - Dec 6'!F$2:F$111,MATCH($B14,'Nov 30 - Dec 6'!$B$2:$B$111,0))</f>
        <v>2</v>
      </c>
      <c r="G14" s="15">
        <f t="array" ref="G14">INDEX('Dec 7 - Dec 13'!G$2:G$113,MATCH($B14,'Dec 7 - Dec 13'!$B$2:$B$113,0))-INDEX('Nov 30 - Dec 6'!G$2:G$111,MATCH($B14,'Nov 30 - Dec 6'!$B$2:$B$111,0))</f>
        <v>5</v>
      </c>
      <c r="H14" s="15">
        <f t="array" ref="H14">INDEX('Dec 7 - Dec 13'!H$2:H$113,MATCH($B14,'Dec 7 - Dec 13'!$B$2:$B$113,0))-INDEX('Nov 30 - Dec 6'!H$2:H$111,MATCH($B14,'Nov 30 - Dec 6'!$B$2:$B$111,0))</f>
        <v>0</v>
      </c>
      <c r="I14" s="15">
        <f t="array" ref="I14">INDEX('Dec 7 - Dec 13'!I$2:I$113,MATCH($B14,'Dec 7 - Dec 13'!$B$2:$B$113,0))-INDEX('Nov 30 - Dec 6'!I$2:I$111,MATCH($B14,'Nov 30 - Dec 6'!$B$2:$B$111,0))</f>
        <v>0</v>
      </c>
      <c r="J14" s="15">
        <f t="array" ref="J14">INDEX('Dec 7 - Dec 13'!J$2:J$113,MATCH($B14,'Dec 7 - Dec 13'!$B$2:$B$113,0))-INDEX('Nov 30 - Dec 6'!J$2:J$111,MATCH($B14,'Nov 30 - Dec 6'!$B$2:$B$111,0))</f>
        <v>0</v>
      </c>
      <c r="K14" s="15">
        <f t="array" ref="K14">INDEX('Dec 7 - Dec 13'!K$2:K$113,MATCH($B14,'Dec 7 - Dec 13'!$B$2:$B$113,0))-INDEX('Nov 30 - Dec 6'!K$2:K$111,MATCH($B14,'Nov 30 - Dec 6'!$B$2:$B$111,0))</f>
        <v>0</v>
      </c>
    </row>
    <row r="15" spans="2:11">
      <c r="B15" s="13" t="s">
        <v>44</v>
      </c>
      <c r="C15" s="14" t="str">
        <f t="array" aca="1" ref="C15" ca="1">INDEX('Rooms Master'!U:U,MATCH(B15,'Rooms Master'!D:D,0))</f>
        <v>Y</v>
      </c>
      <c r="D15" s="15">
        <f t="array" ref="D15">INDEX('Dec 7 - Dec 13'!D$2:D$113,MATCH($B15,'Dec 7 - Dec 13'!$B$2:$B$113,0))-INDEX('Nov 30 - Dec 6'!D$2:D$111,MATCH($B15,'Nov 30 - Dec 6'!$B$2:$B$111,0))</f>
        <v>32</v>
      </c>
      <c r="E15" s="15">
        <f t="array" ref="E15">INDEX('Dec 7 - Dec 13'!E$2:E$113,MATCH($B15,'Dec 7 - Dec 13'!$B$2:$B$113,0))-INDEX('Nov 30 - Dec 6'!E$2:E$111,MATCH($B15,'Nov 30 - Dec 6'!$B$2:$B$111,0))</f>
        <v>16</v>
      </c>
      <c r="F15" s="15">
        <f t="array" ref="F15">INDEX('Dec 7 - Dec 13'!F$2:F$113,MATCH($B15,'Dec 7 - Dec 13'!$B$2:$B$113,0))-INDEX('Nov 30 - Dec 6'!F$2:F$111,MATCH($B15,'Nov 30 - Dec 6'!$B$2:$B$111,0))</f>
        <v>16</v>
      </c>
      <c r="G15" s="15">
        <f t="array" ref="G15">INDEX('Dec 7 - Dec 13'!G$2:G$113,MATCH($B15,'Dec 7 - Dec 13'!$B$2:$B$113,0))-INDEX('Nov 30 - Dec 6'!G$2:G$111,MATCH($B15,'Nov 30 - Dec 6'!$B$2:$B$111,0))</f>
        <v>-1</v>
      </c>
      <c r="H15" s="15">
        <f t="array" ref="H15">INDEX('Dec 7 - Dec 13'!H$2:H$113,MATCH($B15,'Dec 7 - Dec 13'!$B$2:$B$113,0))-INDEX('Nov 30 - Dec 6'!H$2:H$111,MATCH($B15,'Nov 30 - Dec 6'!$B$2:$B$111,0))</f>
        <v>0</v>
      </c>
      <c r="I15" s="15">
        <f t="array" ref="I15">INDEX('Dec 7 - Dec 13'!I$2:I$113,MATCH($B15,'Dec 7 - Dec 13'!$B$2:$B$113,0))-INDEX('Nov 30 - Dec 6'!I$2:I$111,MATCH($B15,'Nov 30 - Dec 6'!$B$2:$B$111,0))</f>
        <v>0</v>
      </c>
      <c r="J15" s="15">
        <f t="array" ref="J15">INDEX('Dec 7 - Dec 13'!J$2:J$113,MATCH($B15,'Dec 7 - Dec 13'!$B$2:$B$113,0))-INDEX('Nov 30 - Dec 6'!J$2:J$111,MATCH($B15,'Nov 30 - Dec 6'!$B$2:$B$111,0))</f>
        <v>0</v>
      </c>
      <c r="K15" s="15">
        <f t="array" ref="K15">INDEX('Dec 7 - Dec 13'!K$2:K$113,MATCH($B15,'Dec 7 - Dec 13'!$B$2:$B$113,0))-INDEX('Nov 30 - Dec 6'!K$2:K$111,MATCH($B15,'Nov 30 - Dec 6'!$B$2:$B$111,0))</f>
        <v>0</v>
      </c>
    </row>
    <row r="16" spans="2:11">
      <c r="B16" s="13" t="s">
        <v>60</v>
      </c>
      <c r="C16" s="14" t="str">
        <f t="array" aca="1" ref="C16" ca="1">INDEX('Rooms Master'!U:U,MATCH(B16,'Rooms Master'!D:D,0))</f>
        <v>Y</v>
      </c>
      <c r="D16" s="15">
        <f t="array" ref="D16">INDEX('Dec 7 - Dec 13'!D$2:D$113,MATCH($B16,'Dec 7 - Dec 13'!$B$2:$B$113,0))-INDEX('Nov 30 - Dec 6'!D$2:D$111,MATCH($B16,'Nov 30 - Dec 6'!$B$2:$B$111,0))</f>
        <v>39</v>
      </c>
      <c r="E16" s="15">
        <f t="array" ref="E16">INDEX('Dec 7 - Dec 13'!E$2:E$113,MATCH($B16,'Dec 7 - Dec 13'!$B$2:$B$113,0))-INDEX('Nov 30 - Dec 6'!E$2:E$111,MATCH($B16,'Nov 30 - Dec 6'!$B$2:$B$111,0))</f>
        <v>16</v>
      </c>
      <c r="F16" s="15">
        <f t="array" ref="F16">INDEX('Dec 7 - Dec 13'!F$2:F$113,MATCH($B16,'Dec 7 - Dec 13'!$B$2:$B$113,0))-INDEX('Nov 30 - Dec 6'!F$2:F$111,MATCH($B16,'Nov 30 - Dec 6'!$B$2:$B$111,0))</f>
        <v>4</v>
      </c>
      <c r="G16" s="15">
        <f t="array" ref="G16">INDEX('Dec 7 - Dec 13'!G$2:G$113,MATCH($B16,'Dec 7 - Dec 13'!$B$2:$B$113,0))-INDEX('Nov 30 - Dec 6'!G$2:G$111,MATCH($B16,'Nov 30 - Dec 6'!$B$2:$B$111,0))</f>
        <v>0</v>
      </c>
      <c r="H16" s="15">
        <f t="array" ref="H16">INDEX('Dec 7 - Dec 13'!H$2:H$113,MATCH($B16,'Dec 7 - Dec 13'!$B$2:$B$113,0))-INDEX('Nov 30 - Dec 6'!H$2:H$111,MATCH($B16,'Nov 30 - Dec 6'!$B$2:$B$111,0))</f>
        <v>-1</v>
      </c>
      <c r="I16" s="15">
        <f t="array" ref="I16">INDEX('Dec 7 - Dec 13'!I$2:I$113,MATCH($B16,'Dec 7 - Dec 13'!$B$2:$B$113,0))-INDEX('Nov 30 - Dec 6'!I$2:I$111,MATCH($B16,'Nov 30 - Dec 6'!$B$2:$B$111,0))</f>
        <v>0</v>
      </c>
      <c r="J16" s="15">
        <f t="array" ref="J16">INDEX('Dec 7 - Dec 13'!J$2:J$113,MATCH($B16,'Dec 7 - Dec 13'!$B$2:$B$113,0))-INDEX('Nov 30 - Dec 6'!J$2:J$111,MATCH($B16,'Nov 30 - Dec 6'!$B$2:$B$111,0))</f>
        <v>0</v>
      </c>
      <c r="K16" s="15">
        <f t="array" ref="K16">INDEX('Dec 7 - Dec 13'!K$2:K$113,MATCH($B16,'Dec 7 - Dec 13'!$B$2:$B$113,0))-INDEX('Nov 30 - Dec 6'!K$2:K$111,MATCH($B16,'Nov 30 - Dec 6'!$B$2:$B$111,0))</f>
        <v>0</v>
      </c>
    </row>
    <row r="17" spans="2:11">
      <c r="B17" s="13" t="s">
        <v>50</v>
      </c>
      <c r="C17" s="14" t="str">
        <f t="array" aca="1" ref="C17" ca="1">INDEX('Rooms Master'!U:U,MATCH(B17,'Rooms Master'!D:D,0))</f>
        <v>Y</v>
      </c>
      <c r="D17" s="15">
        <f t="array" ref="D17">INDEX('Dec 7 - Dec 13'!D$2:D$113,MATCH($B17,'Dec 7 - Dec 13'!$B$2:$B$113,0))-INDEX('Nov 30 - Dec 6'!D$2:D$111,MATCH($B17,'Nov 30 - Dec 6'!$B$2:$B$111,0))</f>
        <v>-33</v>
      </c>
      <c r="E17" s="15">
        <f t="array" ref="E17">INDEX('Dec 7 - Dec 13'!E$2:E$113,MATCH($B17,'Dec 7 - Dec 13'!$B$2:$B$113,0))-INDEX('Nov 30 - Dec 6'!E$2:E$111,MATCH($B17,'Nov 30 - Dec 6'!$B$2:$B$111,0))</f>
        <v>15</v>
      </c>
      <c r="F17" s="15">
        <f t="array" ref="F17">INDEX('Dec 7 - Dec 13'!F$2:F$113,MATCH($B17,'Dec 7 - Dec 13'!$B$2:$B$113,0))-INDEX('Nov 30 - Dec 6'!F$2:F$111,MATCH($B17,'Nov 30 - Dec 6'!$B$2:$B$111,0))</f>
        <v>0</v>
      </c>
      <c r="G17" s="15">
        <f t="array" ref="G17">INDEX('Dec 7 - Dec 13'!G$2:G$113,MATCH($B17,'Dec 7 - Dec 13'!$B$2:$B$113,0))-INDEX('Nov 30 - Dec 6'!G$2:G$111,MATCH($B17,'Nov 30 - Dec 6'!$B$2:$B$111,0))</f>
        <v>4</v>
      </c>
      <c r="H17" s="15">
        <f t="array" ref="H17">INDEX('Dec 7 - Dec 13'!H$2:H$113,MATCH($B17,'Dec 7 - Dec 13'!$B$2:$B$113,0))-INDEX('Nov 30 - Dec 6'!H$2:H$111,MATCH($B17,'Nov 30 - Dec 6'!$B$2:$B$111,0))</f>
        <v>1</v>
      </c>
      <c r="I17" s="15">
        <f t="array" ref="I17">INDEX('Dec 7 - Dec 13'!I$2:I$113,MATCH($B17,'Dec 7 - Dec 13'!$B$2:$B$113,0))-INDEX('Nov 30 - Dec 6'!I$2:I$111,MATCH($B17,'Nov 30 - Dec 6'!$B$2:$B$111,0))</f>
        <v>1</v>
      </c>
      <c r="J17" s="15">
        <f t="array" ref="J17">INDEX('Dec 7 - Dec 13'!J$2:J$113,MATCH($B17,'Dec 7 - Dec 13'!$B$2:$B$113,0))-INDEX('Nov 30 - Dec 6'!J$2:J$111,MATCH($B17,'Nov 30 - Dec 6'!$B$2:$B$111,0))</f>
        <v>0</v>
      </c>
      <c r="K17" s="15">
        <f t="array" ref="K17">INDEX('Dec 7 - Dec 13'!K$2:K$113,MATCH($B17,'Dec 7 - Dec 13'!$B$2:$B$113,0))-INDEX('Nov 30 - Dec 6'!K$2:K$111,MATCH($B17,'Nov 30 - Dec 6'!$B$2:$B$111,0))</f>
        <v>0</v>
      </c>
    </row>
    <row r="18" spans="2:11">
      <c r="B18" s="13" t="s">
        <v>85</v>
      </c>
      <c r="C18" s="14" t="str">
        <f t="array" aca="1" ref="C18" ca="1">INDEX('Rooms Master'!U:U,MATCH(B18,'Rooms Master'!D:D,0))</f>
        <v>N</v>
      </c>
      <c r="D18" s="15">
        <f t="array" ref="D18">INDEX('Dec 7 - Dec 13'!D$2:D$113,MATCH($B18,'Dec 7 - Dec 13'!$B$2:$B$113,0))-INDEX('Nov 30 - Dec 6'!D$2:D$111,MATCH($B18,'Nov 30 - Dec 6'!$B$2:$B$111,0))</f>
        <v>4</v>
      </c>
      <c r="E18" s="15">
        <f t="array" ref="E18">INDEX('Dec 7 - Dec 13'!E$2:E$113,MATCH($B18,'Dec 7 - Dec 13'!$B$2:$B$113,0))-INDEX('Nov 30 - Dec 6'!E$2:E$111,MATCH($B18,'Nov 30 - Dec 6'!$B$2:$B$111,0))</f>
        <v>15</v>
      </c>
      <c r="F18" s="15">
        <f t="array" ref="F18">INDEX('Dec 7 - Dec 13'!F$2:F$113,MATCH($B18,'Dec 7 - Dec 13'!$B$2:$B$113,0))-INDEX('Nov 30 - Dec 6'!F$2:F$111,MATCH($B18,'Nov 30 - Dec 6'!$B$2:$B$111,0))</f>
        <v>6</v>
      </c>
      <c r="G18" s="15">
        <f t="array" ref="G18">INDEX('Dec 7 - Dec 13'!G$2:G$113,MATCH($B18,'Dec 7 - Dec 13'!$B$2:$B$113,0))-INDEX('Nov 30 - Dec 6'!G$2:G$111,MATCH($B18,'Nov 30 - Dec 6'!$B$2:$B$111,0))</f>
        <v>2</v>
      </c>
      <c r="H18" s="15">
        <f t="array" ref="H18">INDEX('Dec 7 - Dec 13'!H$2:H$113,MATCH($B18,'Dec 7 - Dec 13'!$B$2:$B$113,0))-INDEX('Nov 30 - Dec 6'!H$2:H$111,MATCH($B18,'Nov 30 - Dec 6'!$B$2:$B$111,0))</f>
        <v>0</v>
      </c>
      <c r="I18" s="15">
        <f t="array" ref="I18">INDEX('Dec 7 - Dec 13'!I$2:I$113,MATCH($B18,'Dec 7 - Dec 13'!$B$2:$B$113,0))-INDEX('Nov 30 - Dec 6'!I$2:I$111,MATCH($B18,'Nov 30 - Dec 6'!$B$2:$B$111,0))</f>
        <v>0</v>
      </c>
      <c r="J18" s="15">
        <f t="array" ref="J18">INDEX('Dec 7 - Dec 13'!J$2:J$113,MATCH($B18,'Dec 7 - Dec 13'!$B$2:$B$113,0))-INDEX('Nov 30 - Dec 6'!J$2:J$111,MATCH($B18,'Nov 30 - Dec 6'!$B$2:$B$111,0))</f>
        <v>1</v>
      </c>
      <c r="K18" s="15">
        <f t="array" ref="K18">INDEX('Dec 7 - Dec 13'!K$2:K$113,MATCH($B18,'Dec 7 - Dec 13'!$B$2:$B$113,0))-INDEX('Nov 30 - Dec 6'!K$2:K$111,MATCH($B18,'Nov 30 - Dec 6'!$B$2:$B$111,0))</f>
        <v>1</v>
      </c>
    </row>
    <row r="19" spans="2:11">
      <c r="B19" s="13" t="s">
        <v>26</v>
      </c>
      <c r="C19" s="14" t="str">
        <f t="array" aca="1" ref="C19" ca="1">INDEX('Rooms Master'!U:U,MATCH(B19,'Rooms Master'!D:D,0))</f>
        <v>Y</v>
      </c>
      <c r="D19" s="15">
        <f t="array" ref="D19">INDEX('Dec 7 - Dec 13'!D$2:D$113,MATCH($B19,'Dec 7 - Dec 13'!$B$2:$B$113,0))-INDEX('Nov 30 - Dec 6'!D$2:D$111,MATCH($B19,'Nov 30 - Dec 6'!$B$2:$B$111,0))</f>
        <v>31</v>
      </c>
      <c r="E19" s="15">
        <f t="array" ref="E19">INDEX('Dec 7 - Dec 13'!E$2:E$113,MATCH($B19,'Dec 7 - Dec 13'!$B$2:$B$113,0))-INDEX('Nov 30 - Dec 6'!E$2:E$111,MATCH($B19,'Nov 30 - Dec 6'!$B$2:$B$111,0))</f>
        <v>15</v>
      </c>
      <c r="F19" s="15">
        <f t="array" ref="F19">INDEX('Dec 7 - Dec 13'!F$2:F$113,MATCH($B19,'Dec 7 - Dec 13'!$B$2:$B$113,0))-INDEX('Nov 30 - Dec 6'!F$2:F$111,MATCH($B19,'Nov 30 - Dec 6'!$B$2:$B$111,0))</f>
        <v>6</v>
      </c>
      <c r="G19" s="15">
        <f t="array" ref="G19">INDEX('Dec 7 - Dec 13'!G$2:G$113,MATCH($B19,'Dec 7 - Dec 13'!$B$2:$B$113,0))-INDEX('Nov 30 - Dec 6'!G$2:G$111,MATCH($B19,'Nov 30 - Dec 6'!$B$2:$B$111,0))</f>
        <v>1</v>
      </c>
      <c r="H19" s="15">
        <f t="array" ref="H19">INDEX('Dec 7 - Dec 13'!H$2:H$113,MATCH($B19,'Dec 7 - Dec 13'!$B$2:$B$113,0))-INDEX('Nov 30 - Dec 6'!H$2:H$111,MATCH($B19,'Nov 30 - Dec 6'!$B$2:$B$111,0))</f>
        <v>0</v>
      </c>
      <c r="I19" s="15">
        <f t="array" ref="I19">INDEX('Dec 7 - Dec 13'!I$2:I$113,MATCH($B19,'Dec 7 - Dec 13'!$B$2:$B$113,0))-INDEX('Nov 30 - Dec 6'!I$2:I$111,MATCH($B19,'Nov 30 - Dec 6'!$B$2:$B$111,0))</f>
        <v>0</v>
      </c>
      <c r="J19" s="15">
        <f t="array" ref="J19">INDEX('Dec 7 - Dec 13'!J$2:J$113,MATCH($B19,'Dec 7 - Dec 13'!$B$2:$B$113,0))-INDEX('Nov 30 - Dec 6'!J$2:J$111,MATCH($B19,'Nov 30 - Dec 6'!$B$2:$B$111,0))</f>
        <v>1</v>
      </c>
      <c r="K19" s="15">
        <f t="array" ref="K19">INDEX('Dec 7 - Dec 13'!K$2:K$113,MATCH($B19,'Dec 7 - Dec 13'!$B$2:$B$113,0))-INDEX('Nov 30 - Dec 6'!K$2:K$111,MATCH($B19,'Nov 30 - Dec 6'!$B$2:$B$111,0))</f>
        <v>0</v>
      </c>
    </row>
    <row r="20" spans="2:11">
      <c r="B20" s="13" t="s">
        <v>124</v>
      </c>
      <c r="C20" s="14" t="str">
        <f t="array" aca="1" ref="C20" ca="1">INDEX('Rooms Master'!U:U,MATCH(B20,'Rooms Master'!D:D,0))</f>
        <v>N</v>
      </c>
      <c r="D20" s="15">
        <f t="array" ref="D20">INDEX('Dec 7 - Dec 13'!D$2:D$113,MATCH($B20,'Dec 7 - Dec 13'!$B$2:$B$113,0))-INDEX('Nov 30 - Dec 6'!D$2:D$111,MATCH($B20,'Nov 30 - Dec 6'!$B$2:$B$111,0))</f>
        <v>-40</v>
      </c>
      <c r="E20" s="15">
        <f t="array" ref="E20">INDEX('Dec 7 - Dec 13'!E$2:E$113,MATCH($B20,'Dec 7 - Dec 13'!$B$2:$B$113,0))-INDEX('Nov 30 - Dec 6'!E$2:E$111,MATCH($B20,'Nov 30 - Dec 6'!$B$2:$B$111,0))</f>
        <v>15</v>
      </c>
      <c r="F20" s="15">
        <f t="array" ref="F20">INDEX('Dec 7 - Dec 13'!F$2:F$113,MATCH($B20,'Dec 7 - Dec 13'!$B$2:$B$113,0))-INDEX('Nov 30 - Dec 6'!F$2:F$111,MATCH($B20,'Nov 30 - Dec 6'!$B$2:$B$111,0))</f>
        <v>1</v>
      </c>
      <c r="G20" s="15">
        <f t="array" ref="G20">INDEX('Dec 7 - Dec 13'!G$2:G$113,MATCH($B20,'Dec 7 - Dec 13'!$B$2:$B$113,0))-INDEX('Nov 30 - Dec 6'!G$2:G$111,MATCH($B20,'Nov 30 - Dec 6'!$B$2:$B$111,0))</f>
        <v>-2</v>
      </c>
      <c r="H20" s="15">
        <f t="array" ref="H20">INDEX('Dec 7 - Dec 13'!H$2:H$113,MATCH($B20,'Dec 7 - Dec 13'!$B$2:$B$113,0))-INDEX('Nov 30 - Dec 6'!H$2:H$111,MATCH($B20,'Nov 30 - Dec 6'!$B$2:$B$111,0))</f>
        <v>-2</v>
      </c>
      <c r="I20" s="15">
        <f t="array" ref="I20">INDEX('Dec 7 - Dec 13'!I$2:I$113,MATCH($B20,'Dec 7 - Dec 13'!$B$2:$B$113,0))-INDEX('Nov 30 - Dec 6'!I$2:I$111,MATCH($B20,'Nov 30 - Dec 6'!$B$2:$B$111,0))</f>
        <v>0</v>
      </c>
      <c r="J20" s="15">
        <f t="array" ref="J20">INDEX('Dec 7 - Dec 13'!J$2:J$113,MATCH($B20,'Dec 7 - Dec 13'!$B$2:$B$113,0))-INDEX('Nov 30 - Dec 6'!J$2:J$111,MATCH($B20,'Nov 30 - Dec 6'!$B$2:$B$111,0))</f>
        <v>0</v>
      </c>
      <c r="K20" s="15">
        <f t="array" ref="K20">INDEX('Dec 7 - Dec 13'!K$2:K$113,MATCH($B20,'Dec 7 - Dec 13'!$B$2:$B$113,0))-INDEX('Nov 30 - Dec 6'!K$2:K$111,MATCH($B20,'Nov 30 - Dec 6'!$B$2:$B$111,0))</f>
        <v>0</v>
      </c>
    </row>
    <row r="21" spans="2:11">
      <c r="B21" s="13" t="s">
        <v>93</v>
      </c>
      <c r="C21" s="14" t="str">
        <f t="array" aca="1" ref="C21" ca="1">INDEX('Rooms Master'!U:U,MATCH(B21,'Rooms Master'!D:D,0))</f>
        <v>Y</v>
      </c>
      <c r="D21" s="15">
        <f t="array" ref="D21">INDEX('Dec 7 - Dec 13'!D$2:D$113,MATCH($B21,'Dec 7 - Dec 13'!$B$2:$B$113,0))-INDEX('Nov 30 - Dec 6'!D$2:D$111,MATCH($B21,'Nov 30 - Dec 6'!$B$2:$B$111,0))</f>
        <v>-41</v>
      </c>
      <c r="E21" s="15">
        <f t="array" ref="E21">INDEX('Dec 7 - Dec 13'!E$2:E$113,MATCH($B21,'Dec 7 - Dec 13'!$B$2:$B$113,0))-INDEX('Nov 30 - Dec 6'!E$2:E$111,MATCH($B21,'Nov 30 - Dec 6'!$B$2:$B$111,0))</f>
        <v>15</v>
      </c>
      <c r="F21" s="15">
        <f t="array" ref="F21">INDEX('Dec 7 - Dec 13'!F$2:F$113,MATCH($B21,'Dec 7 - Dec 13'!$B$2:$B$113,0))-INDEX('Nov 30 - Dec 6'!F$2:F$111,MATCH($B21,'Nov 30 - Dec 6'!$B$2:$B$111,0))</f>
        <v>4</v>
      </c>
      <c r="G21" s="15">
        <f t="array" ref="G21">INDEX('Dec 7 - Dec 13'!G$2:G$113,MATCH($B21,'Dec 7 - Dec 13'!$B$2:$B$113,0))-INDEX('Nov 30 - Dec 6'!G$2:G$111,MATCH($B21,'Nov 30 - Dec 6'!$B$2:$B$111,0))</f>
        <v>-2</v>
      </c>
      <c r="H21" s="15">
        <f t="array" ref="H21">INDEX('Dec 7 - Dec 13'!H$2:H$113,MATCH($B21,'Dec 7 - Dec 13'!$B$2:$B$113,0))-INDEX('Nov 30 - Dec 6'!H$2:H$111,MATCH($B21,'Nov 30 - Dec 6'!$B$2:$B$111,0))</f>
        <v>-3</v>
      </c>
      <c r="I21" s="15">
        <f t="array" ref="I21">INDEX('Dec 7 - Dec 13'!I$2:I$113,MATCH($B21,'Dec 7 - Dec 13'!$B$2:$B$113,0))-INDEX('Nov 30 - Dec 6'!I$2:I$111,MATCH($B21,'Nov 30 - Dec 6'!$B$2:$B$111,0))</f>
        <v>0</v>
      </c>
      <c r="J21" s="15">
        <f t="array" ref="J21">INDEX('Dec 7 - Dec 13'!J$2:J$113,MATCH($B21,'Dec 7 - Dec 13'!$B$2:$B$113,0))-INDEX('Nov 30 - Dec 6'!J$2:J$111,MATCH($B21,'Nov 30 - Dec 6'!$B$2:$B$111,0))</f>
        <v>0</v>
      </c>
      <c r="K21" s="15">
        <f t="array" ref="K21">INDEX('Dec 7 - Dec 13'!K$2:K$113,MATCH($B21,'Dec 7 - Dec 13'!$B$2:$B$113,0))-INDEX('Nov 30 - Dec 6'!K$2:K$111,MATCH($B21,'Nov 30 - Dec 6'!$B$2:$B$111,0))</f>
        <v>0</v>
      </c>
    </row>
    <row r="22" spans="2:11" ht="12.75">
      <c r="B22" s="13" t="s">
        <v>74</v>
      </c>
      <c r="C22" s="14" t="str">
        <f t="array" aca="1" ref="C22" ca="1">INDEX('Rooms Master'!U:U,MATCH(B22,'Rooms Master'!D:D,0))</f>
        <v>Y</v>
      </c>
      <c r="D22" s="15">
        <f t="array" ref="D22">INDEX('Dec 7 - Dec 13'!D$2:D$113,MATCH($B22,'Dec 7 - Dec 13'!$B$2:$B$113,0))-INDEX('Nov 30 - Dec 6'!D$2:D$111,MATCH($B22,'Nov 30 - Dec 6'!$B$2:$B$111,0))</f>
        <v>38</v>
      </c>
      <c r="E22" s="15">
        <f t="array" ref="E22">INDEX('Dec 7 - Dec 13'!E$2:E$113,MATCH($B22,'Dec 7 - Dec 13'!$B$2:$B$113,0))-INDEX('Nov 30 - Dec 6'!E$2:E$111,MATCH($B22,'Nov 30 - Dec 6'!$B$2:$B$111,0))</f>
        <v>14</v>
      </c>
      <c r="F22" s="15">
        <f t="array" ref="F22">INDEX('Dec 7 - Dec 13'!F$2:F$113,MATCH($B22,'Dec 7 - Dec 13'!$B$2:$B$113,0))-INDEX('Nov 30 - Dec 6'!F$2:F$111,MATCH($B22,'Nov 30 - Dec 6'!$B$2:$B$111,0))</f>
        <v>18</v>
      </c>
      <c r="G22" s="15">
        <f t="array" ref="G22">INDEX('Dec 7 - Dec 13'!G$2:G$113,MATCH($B22,'Dec 7 - Dec 13'!$B$2:$B$113,0))-INDEX('Nov 30 - Dec 6'!G$2:G$111,MATCH($B22,'Nov 30 - Dec 6'!$B$2:$B$111,0))</f>
        <v>-2</v>
      </c>
      <c r="H22" s="15">
        <f t="array" ref="H22">INDEX('Dec 7 - Dec 13'!H$2:H$113,MATCH($B22,'Dec 7 - Dec 13'!$B$2:$B$113,0))-INDEX('Nov 30 - Dec 6'!H$2:H$111,MATCH($B22,'Nov 30 - Dec 6'!$B$2:$B$111,0))</f>
        <v>2</v>
      </c>
      <c r="I22" s="15">
        <f t="array" ref="I22">INDEX('Dec 7 - Dec 13'!I$2:I$113,MATCH($B22,'Dec 7 - Dec 13'!$B$2:$B$113,0))-INDEX('Nov 30 - Dec 6'!I$2:I$111,MATCH($B22,'Nov 30 - Dec 6'!$B$2:$B$111,0))</f>
        <v>0</v>
      </c>
      <c r="J22" s="15">
        <f t="array" ref="J22">INDEX('Dec 7 - Dec 13'!J$2:J$113,MATCH($B22,'Dec 7 - Dec 13'!$B$2:$B$113,0))-INDEX('Nov 30 - Dec 6'!J$2:J$111,MATCH($B22,'Nov 30 - Dec 6'!$B$2:$B$111,0))</f>
        <v>0</v>
      </c>
      <c r="K22" s="15">
        <f t="array" ref="K22">INDEX('Dec 7 - Dec 13'!K$2:K$113,MATCH($B22,'Dec 7 - Dec 13'!$B$2:$B$113,0))-INDEX('Nov 30 - Dec 6'!K$2:K$111,MATCH($B22,'Nov 30 - Dec 6'!$B$2:$B$111,0))</f>
        <v>0</v>
      </c>
    </row>
    <row r="23" spans="2:11" ht="12.75">
      <c r="B23" s="13" t="s">
        <v>21</v>
      </c>
      <c r="C23" s="14" t="str">
        <f t="array" aca="1" ref="C23" ca="1">INDEX('Rooms Master'!U:U,MATCH(B23,'Rooms Master'!D:D,0))</f>
        <v>Y</v>
      </c>
      <c r="D23" s="15">
        <f t="array" ref="D23">INDEX('Dec 7 - Dec 13'!D$2:D$113,MATCH($B23,'Dec 7 - Dec 13'!$B$2:$B$113,0))-INDEX('Nov 30 - Dec 6'!D$2:D$111,MATCH($B23,'Nov 30 - Dec 6'!$B$2:$B$111,0))</f>
        <v>-42</v>
      </c>
      <c r="E23" s="15">
        <f t="array" ref="E23">INDEX('Dec 7 - Dec 13'!E$2:E$113,MATCH($B23,'Dec 7 - Dec 13'!$B$2:$B$113,0))-INDEX('Nov 30 - Dec 6'!E$2:E$111,MATCH($B23,'Nov 30 - Dec 6'!$B$2:$B$111,0))</f>
        <v>13</v>
      </c>
      <c r="F23" s="15">
        <f t="array" ref="F23">INDEX('Dec 7 - Dec 13'!F$2:F$113,MATCH($B23,'Dec 7 - Dec 13'!$B$2:$B$113,0))-INDEX('Nov 30 - Dec 6'!F$2:F$111,MATCH($B23,'Nov 30 - Dec 6'!$B$2:$B$111,0))</f>
        <v>1</v>
      </c>
      <c r="G23" s="15">
        <f t="array" ref="G23">INDEX('Dec 7 - Dec 13'!G$2:G$113,MATCH($B23,'Dec 7 - Dec 13'!$B$2:$B$113,0))-INDEX('Nov 30 - Dec 6'!G$2:G$111,MATCH($B23,'Nov 30 - Dec 6'!$B$2:$B$111,0))</f>
        <v>-1</v>
      </c>
      <c r="H23" s="15">
        <f t="array" ref="H23">INDEX('Dec 7 - Dec 13'!H$2:H$113,MATCH($B23,'Dec 7 - Dec 13'!$B$2:$B$113,0))-INDEX('Nov 30 - Dec 6'!H$2:H$111,MATCH($B23,'Nov 30 - Dec 6'!$B$2:$B$111,0))</f>
        <v>4</v>
      </c>
      <c r="I23" s="15">
        <f t="array" ref="I23">INDEX('Dec 7 - Dec 13'!I$2:I$113,MATCH($B23,'Dec 7 - Dec 13'!$B$2:$B$113,0))-INDEX('Nov 30 - Dec 6'!I$2:I$111,MATCH($B23,'Nov 30 - Dec 6'!$B$2:$B$111,0))</f>
        <v>0</v>
      </c>
      <c r="J23" s="15">
        <f t="array" ref="J23">INDEX('Dec 7 - Dec 13'!J$2:J$113,MATCH($B23,'Dec 7 - Dec 13'!$B$2:$B$113,0))-INDEX('Nov 30 - Dec 6'!J$2:J$111,MATCH($B23,'Nov 30 - Dec 6'!$B$2:$B$111,0))</f>
        <v>0</v>
      </c>
      <c r="K23" s="15">
        <f t="array" ref="K23">INDEX('Dec 7 - Dec 13'!K$2:K$113,MATCH($B23,'Dec 7 - Dec 13'!$B$2:$B$113,0))-INDEX('Nov 30 - Dec 6'!K$2:K$111,MATCH($B23,'Nov 30 - Dec 6'!$B$2:$B$111,0))</f>
        <v>0</v>
      </c>
    </row>
    <row r="24" spans="2:11" ht="12.75">
      <c r="B24" s="13" t="s">
        <v>73</v>
      </c>
      <c r="C24" s="14" t="str">
        <f t="array" aca="1" ref="C24" ca="1">INDEX('Rooms Master'!U:U,MATCH(B24,'Rooms Master'!D:D,0))</f>
        <v>Y</v>
      </c>
      <c r="D24" s="15">
        <f t="array" ref="D24">INDEX('Dec 7 - Dec 13'!D$2:D$113,MATCH($B24,'Dec 7 - Dec 13'!$B$2:$B$113,0))-INDEX('Nov 30 - Dec 6'!D$2:D$111,MATCH($B24,'Nov 30 - Dec 6'!$B$2:$B$111,0))</f>
        <v>-35</v>
      </c>
      <c r="E24" s="15">
        <f t="array" ref="E24">INDEX('Dec 7 - Dec 13'!E$2:E$113,MATCH($B24,'Dec 7 - Dec 13'!$B$2:$B$113,0))-INDEX('Nov 30 - Dec 6'!E$2:E$111,MATCH($B24,'Nov 30 - Dec 6'!$B$2:$B$111,0))</f>
        <v>13</v>
      </c>
      <c r="F24" s="15">
        <f t="array" ref="F24">INDEX('Dec 7 - Dec 13'!F$2:F$113,MATCH($B24,'Dec 7 - Dec 13'!$B$2:$B$113,0))-INDEX('Nov 30 - Dec 6'!F$2:F$111,MATCH($B24,'Nov 30 - Dec 6'!$B$2:$B$111,0))</f>
        <v>-2</v>
      </c>
      <c r="G24" s="15">
        <f t="array" ref="G24">INDEX('Dec 7 - Dec 13'!G$2:G$113,MATCH($B24,'Dec 7 - Dec 13'!$B$2:$B$113,0))-INDEX('Nov 30 - Dec 6'!G$2:G$111,MATCH($B24,'Nov 30 - Dec 6'!$B$2:$B$111,0))</f>
        <v>-1</v>
      </c>
      <c r="H24" s="15">
        <f t="array" ref="H24">INDEX('Dec 7 - Dec 13'!H$2:H$113,MATCH($B24,'Dec 7 - Dec 13'!$B$2:$B$113,0))-INDEX('Nov 30 - Dec 6'!H$2:H$111,MATCH($B24,'Nov 30 - Dec 6'!$B$2:$B$111,0))</f>
        <v>0</v>
      </c>
      <c r="I24" s="15">
        <f t="array" ref="I24">INDEX('Dec 7 - Dec 13'!I$2:I$113,MATCH($B24,'Dec 7 - Dec 13'!$B$2:$B$113,0))-INDEX('Nov 30 - Dec 6'!I$2:I$111,MATCH($B24,'Nov 30 - Dec 6'!$B$2:$B$111,0))</f>
        <v>0</v>
      </c>
      <c r="J24" s="15">
        <f t="array" ref="J24">INDEX('Dec 7 - Dec 13'!J$2:J$113,MATCH($B24,'Dec 7 - Dec 13'!$B$2:$B$113,0))-INDEX('Nov 30 - Dec 6'!J$2:J$111,MATCH($B24,'Nov 30 - Dec 6'!$B$2:$B$111,0))</f>
        <v>0</v>
      </c>
      <c r="K24" s="15">
        <f t="array" ref="K24">INDEX('Dec 7 - Dec 13'!K$2:K$113,MATCH($B24,'Dec 7 - Dec 13'!$B$2:$B$113,0))-INDEX('Nov 30 - Dec 6'!K$2:K$111,MATCH($B24,'Nov 30 - Dec 6'!$B$2:$B$111,0))</f>
        <v>0</v>
      </c>
    </row>
    <row r="25" spans="2:11" ht="12.75">
      <c r="B25" s="13" t="s">
        <v>80</v>
      </c>
      <c r="C25" s="14" t="str">
        <f t="array" aca="1" ref="C25" ca="1">INDEX('Rooms Master'!U:U,MATCH(B25,'Rooms Master'!D:D,0))</f>
        <v>Y</v>
      </c>
      <c r="D25" s="15">
        <f t="array" ref="D25">INDEX('Dec 7 - Dec 13'!D$2:D$113,MATCH($B25,'Dec 7 - Dec 13'!$B$2:$B$113,0))-INDEX('Nov 30 - Dec 6'!D$2:D$111,MATCH($B25,'Nov 30 - Dec 6'!$B$2:$B$111,0))</f>
        <v>-36</v>
      </c>
      <c r="E25" s="15">
        <f t="array" ref="E25">INDEX('Dec 7 - Dec 13'!E$2:E$113,MATCH($B25,'Dec 7 - Dec 13'!$B$2:$B$113,0))-INDEX('Nov 30 - Dec 6'!E$2:E$111,MATCH($B25,'Nov 30 - Dec 6'!$B$2:$B$111,0))</f>
        <v>12</v>
      </c>
      <c r="F25" s="15">
        <f t="array" ref="F25">INDEX('Dec 7 - Dec 13'!F$2:F$113,MATCH($B25,'Dec 7 - Dec 13'!$B$2:$B$113,0))-INDEX('Nov 30 - Dec 6'!F$2:F$111,MATCH($B25,'Nov 30 - Dec 6'!$B$2:$B$111,0))</f>
        <v>-3</v>
      </c>
      <c r="G25" s="15">
        <f t="array" ref="G25">INDEX('Dec 7 - Dec 13'!G$2:G$113,MATCH($B25,'Dec 7 - Dec 13'!$B$2:$B$113,0))-INDEX('Nov 30 - Dec 6'!G$2:G$111,MATCH($B25,'Nov 30 - Dec 6'!$B$2:$B$111,0))</f>
        <v>-2</v>
      </c>
      <c r="H25" s="15">
        <f t="array" ref="H25">INDEX('Dec 7 - Dec 13'!H$2:H$113,MATCH($B25,'Dec 7 - Dec 13'!$B$2:$B$113,0))-INDEX('Nov 30 - Dec 6'!H$2:H$111,MATCH($B25,'Nov 30 - Dec 6'!$B$2:$B$111,0))</f>
        <v>4</v>
      </c>
      <c r="I25" s="15">
        <f t="array" ref="I25">INDEX('Dec 7 - Dec 13'!I$2:I$113,MATCH($B25,'Dec 7 - Dec 13'!$B$2:$B$113,0))-INDEX('Nov 30 - Dec 6'!I$2:I$111,MATCH($B25,'Nov 30 - Dec 6'!$B$2:$B$111,0))</f>
        <v>-3</v>
      </c>
      <c r="J25" s="15">
        <f t="array" ref="J25">INDEX('Dec 7 - Dec 13'!J$2:J$113,MATCH($B25,'Dec 7 - Dec 13'!$B$2:$B$113,0))-INDEX('Nov 30 - Dec 6'!J$2:J$111,MATCH($B25,'Nov 30 - Dec 6'!$B$2:$B$111,0))</f>
        <v>-3</v>
      </c>
      <c r="K25" s="15">
        <f t="array" ref="K25">INDEX('Dec 7 - Dec 13'!K$2:K$113,MATCH($B25,'Dec 7 - Dec 13'!$B$2:$B$113,0))-INDEX('Nov 30 - Dec 6'!K$2:K$111,MATCH($B25,'Nov 30 - Dec 6'!$B$2:$B$111,0))</f>
        <v>-3</v>
      </c>
    </row>
    <row r="26" spans="2:11" ht="12.75">
      <c r="B26" s="13" t="s">
        <v>132</v>
      </c>
      <c r="C26" s="14" t="str">
        <f t="array" aca="1" ref="C26" ca="1">INDEX('Rooms Master'!U:U,MATCH(B26,'Rooms Master'!D:D,0))</f>
        <v>N</v>
      </c>
      <c r="D26" s="15">
        <f t="array" ref="D26">INDEX('Dec 7 - Dec 13'!D$2:D$113,MATCH($B26,'Dec 7 - Dec 13'!$B$2:$B$113,0))-INDEX('Nov 30 - Dec 6'!D$2:D$111,MATCH($B26,'Nov 30 - Dec 6'!$B$2:$B$111,0))</f>
        <v>0</v>
      </c>
      <c r="E26" s="15">
        <f t="array" ref="E26">INDEX('Dec 7 - Dec 13'!E$2:E$113,MATCH($B26,'Dec 7 - Dec 13'!$B$2:$B$113,0))-INDEX('Nov 30 - Dec 6'!E$2:E$111,MATCH($B26,'Nov 30 - Dec 6'!$B$2:$B$111,0))</f>
        <v>12</v>
      </c>
      <c r="F26" s="15">
        <f t="array" ref="F26">INDEX('Dec 7 - Dec 13'!F$2:F$113,MATCH($B26,'Dec 7 - Dec 13'!$B$2:$B$113,0))-INDEX('Nov 30 - Dec 6'!F$2:F$111,MATCH($B26,'Nov 30 - Dec 6'!$B$2:$B$111,0))</f>
        <v>0</v>
      </c>
      <c r="G26" s="15">
        <f t="array" ref="G26">INDEX('Dec 7 - Dec 13'!G$2:G$113,MATCH($B26,'Dec 7 - Dec 13'!$B$2:$B$113,0))-INDEX('Nov 30 - Dec 6'!G$2:G$111,MATCH($B26,'Nov 30 - Dec 6'!$B$2:$B$111,0))</f>
        <v>0</v>
      </c>
      <c r="H26" s="15">
        <f t="array" ref="H26">INDEX('Dec 7 - Dec 13'!H$2:H$113,MATCH($B26,'Dec 7 - Dec 13'!$B$2:$B$113,0))-INDEX('Nov 30 - Dec 6'!H$2:H$111,MATCH($B26,'Nov 30 - Dec 6'!$B$2:$B$111,0))</f>
        <v>0</v>
      </c>
      <c r="I26" s="15">
        <f t="array" ref="I26">INDEX('Dec 7 - Dec 13'!I$2:I$113,MATCH($B26,'Dec 7 - Dec 13'!$B$2:$B$113,0))-INDEX('Nov 30 - Dec 6'!I$2:I$111,MATCH($B26,'Nov 30 - Dec 6'!$B$2:$B$111,0))</f>
        <v>0</v>
      </c>
      <c r="J26" s="15">
        <f t="array" ref="J26">INDEX('Dec 7 - Dec 13'!J$2:J$113,MATCH($B26,'Dec 7 - Dec 13'!$B$2:$B$113,0))-INDEX('Nov 30 - Dec 6'!J$2:J$111,MATCH($B26,'Nov 30 - Dec 6'!$B$2:$B$111,0))</f>
        <v>0</v>
      </c>
      <c r="K26" s="15">
        <f t="array" ref="K26">INDEX('Dec 7 - Dec 13'!K$2:K$113,MATCH($B26,'Dec 7 - Dec 13'!$B$2:$B$113,0))-INDEX('Nov 30 - Dec 6'!K$2:K$111,MATCH($B26,'Nov 30 - Dec 6'!$B$2:$B$111,0))</f>
        <v>0</v>
      </c>
    </row>
    <row r="27" spans="2:11" ht="12.75">
      <c r="B27" s="13" t="s">
        <v>52</v>
      </c>
      <c r="C27" s="14" t="str">
        <f t="array" aca="1" ref="C27" ca="1">INDEX('Rooms Master'!U:U,MATCH(B27,'Rooms Master'!D:D,0))</f>
        <v>Y</v>
      </c>
      <c r="D27" s="15">
        <f t="array" ref="D27">INDEX('Dec 7 - Dec 13'!D$2:D$113,MATCH($B27,'Dec 7 - Dec 13'!$B$2:$B$113,0))-INDEX('Nov 30 - Dec 6'!D$2:D$111,MATCH($B27,'Nov 30 - Dec 6'!$B$2:$B$111,0))</f>
        <v>83</v>
      </c>
      <c r="E27" s="15">
        <f t="array" ref="E27">INDEX('Dec 7 - Dec 13'!E$2:E$113,MATCH($B27,'Dec 7 - Dec 13'!$B$2:$B$113,0))-INDEX('Nov 30 - Dec 6'!E$2:E$111,MATCH($B27,'Nov 30 - Dec 6'!$B$2:$B$111,0))</f>
        <v>12</v>
      </c>
      <c r="F27" s="15">
        <f t="array" ref="F27">INDEX('Dec 7 - Dec 13'!F$2:F$113,MATCH($B27,'Dec 7 - Dec 13'!$B$2:$B$113,0))-INDEX('Nov 30 - Dec 6'!F$2:F$111,MATCH($B27,'Nov 30 - Dec 6'!$B$2:$B$111,0))</f>
        <v>2</v>
      </c>
      <c r="G27" s="15">
        <f t="array" ref="G27">INDEX('Dec 7 - Dec 13'!G$2:G$113,MATCH($B27,'Dec 7 - Dec 13'!$B$2:$B$113,0))-INDEX('Nov 30 - Dec 6'!G$2:G$111,MATCH($B27,'Nov 30 - Dec 6'!$B$2:$B$111,0))</f>
        <v>1</v>
      </c>
      <c r="H27" s="15">
        <f t="array" ref="H27">INDEX('Dec 7 - Dec 13'!H$2:H$113,MATCH($B27,'Dec 7 - Dec 13'!$B$2:$B$113,0))-INDEX('Nov 30 - Dec 6'!H$2:H$111,MATCH($B27,'Nov 30 - Dec 6'!$B$2:$B$111,0))</f>
        <v>0</v>
      </c>
      <c r="I27" s="15">
        <f t="array" ref="I27">INDEX('Dec 7 - Dec 13'!I$2:I$113,MATCH($B27,'Dec 7 - Dec 13'!$B$2:$B$113,0))-INDEX('Nov 30 - Dec 6'!I$2:I$111,MATCH($B27,'Nov 30 - Dec 6'!$B$2:$B$111,0))</f>
        <v>0</v>
      </c>
      <c r="J27" s="15">
        <f t="array" ref="J27">INDEX('Dec 7 - Dec 13'!J$2:J$113,MATCH($B27,'Dec 7 - Dec 13'!$B$2:$B$113,0))-INDEX('Nov 30 - Dec 6'!J$2:J$111,MATCH($B27,'Nov 30 - Dec 6'!$B$2:$B$111,0))</f>
        <v>0</v>
      </c>
      <c r="K27" s="15">
        <f t="array" ref="K27">INDEX('Dec 7 - Dec 13'!K$2:K$113,MATCH($B27,'Dec 7 - Dec 13'!$B$2:$B$113,0))-INDEX('Nov 30 - Dec 6'!K$2:K$111,MATCH($B27,'Nov 30 - Dec 6'!$B$2:$B$111,0))</f>
        <v>0</v>
      </c>
    </row>
    <row r="28" spans="2:11" ht="12.75">
      <c r="B28" s="13" t="s">
        <v>115</v>
      </c>
      <c r="C28" s="14" t="str">
        <f t="array" aca="1" ref="C28" ca="1">INDEX('Rooms Master'!U:U,MATCH(B28,'Rooms Master'!D:D,0))</f>
        <v>Y</v>
      </c>
      <c r="D28" s="15">
        <f t="array" ref="D28">INDEX('Dec 7 - Dec 13'!D$2:D$113,MATCH($B28,'Dec 7 - Dec 13'!$B$2:$B$113,0))-INDEX('Nov 30 - Dec 6'!D$2:D$111,MATCH($B28,'Nov 30 - Dec 6'!$B$2:$B$111,0))</f>
        <v>-44</v>
      </c>
      <c r="E28" s="15">
        <f t="array" ref="E28">INDEX('Dec 7 - Dec 13'!E$2:E$113,MATCH($B28,'Dec 7 - Dec 13'!$B$2:$B$113,0))-INDEX('Nov 30 - Dec 6'!E$2:E$111,MATCH($B28,'Nov 30 - Dec 6'!$B$2:$B$111,0))</f>
        <v>12</v>
      </c>
      <c r="F28" s="15">
        <f t="array" ref="F28">INDEX('Dec 7 - Dec 13'!F$2:F$113,MATCH($B28,'Dec 7 - Dec 13'!$B$2:$B$113,0))-INDEX('Nov 30 - Dec 6'!F$2:F$111,MATCH($B28,'Nov 30 - Dec 6'!$B$2:$B$111,0))</f>
        <v>-2</v>
      </c>
      <c r="G28" s="15">
        <f t="array" ref="G28">INDEX('Dec 7 - Dec 13'!G$2:G$113,MATCH($B28,'Dec 7 - Dec 13'!$B$2:$B$113,0))-INDEX('Nov 30 - Dec 6'!G$2:G$111,MATCH($B28,'Nov 30 - Dec 6'!$B$2:$B$111,0))</f>
        <v>-1</v>
      </c>
      <c r="H28" s="15">
        <f t="array" ref="H28">INDEX('Dec 7 - Dec 13'!H$2:H$113,MATCH($B28,'Dec 7 - Dec 13'!$B$2:$B$113,0))-INDEX('Nov 30 - Dec 6'!H$2:H$111,MATCH($B28,'Nov 30 - Dec 6'!$B$2:$B$111,0))</f>
        <v>0</v>
      </c>
      <c r="I28" s="15">
        <f t="array" ref="I28">INDEX('Dec 7 - Dec 13'!I$2:I$113,MATCH($B28,'Dec 7 - Dec 13'!$B$2:$B$113,0))-INDEX('Nov 30 - Dec 6'!I$2:I$111,MATCH($B28,'Nov 30 - Dec 6'!$B$2:$B$111,0))</f>
        <v>0</v>
      </c>
      <c r="J28" s="15">
        <f t="array" ref="J28">INDEX('Dec 7 - Dec 13'!J$2:J$113,MATCH($B28,'Dec 7 - Dec 13'!$B$2:$B$113,0))-INDEX('Nov 30 - Dec 6'!J$2:J$111,MATCH($B28,'Nov 30 - Dec 6'!$B$2:$B$111,0))</f>
        <v>0</v>
      </c>
      <c r="K28" s="15">
        <f t="array" ref="K28">INDEX('Dec 7 - Dec 13'!K$2:K$113,MATCH($B28,'Dec 7 - Dec 13'!$B$2:$B$113,0))-INDEX('Nov 30 - Dec 6'!K$2:K$111,MATCH($B28,'Nov 30 - Dec 6'!$B$2:$B$111,0))</f>
        <v>0</v>
      </c>
    </row>
    <row r="29" spans="2:11" ht="12.75">
      <c r="B29" s="13" t="s">
        <v>123</v>
      </c>
      <c r="C29" s="14" t="str">
        <f t="array" aca="1" ref="C29" ca="1">INDEX('Rooms Master'!U:U,MATCH(B29,'Rooms Master'!D:D,0))</f>
        <v>N</v>
      </c>
      <c r="D29" s="15">
        <f t="array" ref="D29">INDEX('Dec 7 - Dec 13'!D$2:D$113,MATCH($B29,'Dec 7 - Dec 13'!$B$2:$B$113,0))-INDEX('Nov 30 - Dec 6'!D$2:D$111,MATCH($B29,'Nov 30 - Dec 6'!$B$2:$B$111,0))</f>
        <v>27</v>
      </c>
      <c r="E29" s="15">
        <f t="array" ref="E29">INDEX('Dec 7 - Dec 13'!E$2:E$113,MATCH($B29,'Dec 7 - Dec 13'!$B$2:$B$113,0))-INDEX('Nov 30 - Dec 6'!E$2:E$111,MATCH($B29,'Nov 30 - Dec 6'!$B$2:$B$111,0))</f>
        <v>12</v>
      </c>
      <c r="F29" s="15">
        <f t="array" ref="F29">INDEX('Dec 7 - Dec 13'!F$2:F$113,MATCH($B29,'Dec 7 - Dec 13'!$B$2:$B$113,0))-INDEX('Nov 30 - Dec 6'!F$2:F$111,MATCH($B29,'Nov 30 - Dec 6'!$B$2:$B$111,0))</f>
        <v>5</v>
      </c>
      <c r="G29" s="15">
        <f t="array" ref="G29">INDEX('Dec 7 - Dec 13'!G$2:G$113,MATCH($B29,'Dec 7 - Dec 13'!$B$2:$B$113,0))-INDEX('Nov 30 - Dec 6'!G$2:G$111,MATCH($B29,'Nov 30 - Dec 6'!$B$2:$B$111,0))</f>
        <v>-3</v>
      </c>
      <c r="H29" s="15">
        <f t="array" ref="H29">INDEX('Dec 7 - Dec 13'!H$2:H$113,MATCH($B29,'Dec 7 - Dec 13'!$B$2:$B$113,0))-INDEX('Nov 30 - Dec 6'!H$2:H$111,MATCH($B29,'Nov 30 - Dec 6'!$B$2:$B$111,0))</f>
        <v>-3</v>
      </c>
      <c r="I29" s="15">
        <f t="array" ref="I29">INDEX('Dec 7 - Dec 13'!I$2:I$113,MATCH($B29,'Dec 7 - Dec 13'!$B$2:$B$113,0))-INDEX('Nov 30 - Dec 6'!I$2:I$111,MATCH($B29,'Nov 30 - Dec 6'!$B$2:$B$111,0))</f>
        <v>-1</v>
      </c>
      <c r="J29" s="15">
        <f t="array" ref="J29">INDEX('Dec 7 - Dec 13'!J$2:J$113,MATCH($B29,'Dec 7 - Dec 13'!$B$2:$B$113,0))-INDEX('Nov 30 - Dec 6'!J$2:J$111,MATCH($B29,'Nov 30 - Dec 6'!$B$2:$B$111,0))</f>
        <v>0</v>
      </c>
      <c r="K29" s="15">
        <f t="array" ref="K29">INDEX('Dec 7 - Dec 13'!K$2:K$113,MATCH($B29,'Dec 7 - Dec 13'!$B$2:$B$113,0))-INDEX('Nov 30 - Dec 6'!K$2:K$111,MATCH($B29,'Nov 30 - Dec 6'!$B$2:$B$111,0))</f>
        <v>0</v>
      </c>
    </row>
    <row r="30" spans="2:11" ht="12.75">
      <c r="B30" s="13" t="s">
        <v>45</v>
      </c>
      <c r="C30" s="14" t="str">
        <f t="array" aca="1" ref="C30" ca="1">INDEX('Rooms Master'!U:U,MATCH(B30,'Rooms Master'!D:D,0))</f>
        <v>Y</v>
      </c>
      <c r="D30" s="15">
        <f t="array" ref="D30">INDEX('Dec 7 - Dec 13'!D$2:D$113,MATCH($B30,'Dec 7 - Dec 13'!$B$2:$B$113,0))-INDEX('Nov 30 - Dec 6'!D$2:D$111,MATCH($B30,'Nov 30 - Dec 6'!$B$2:$B$111,0))</f>
        <v>31</v>
      </c>
      <c r="E30" s="15">
        <f t="array" ref="E30">INDEX('Dec 7 - Dec 13'!E$2:E$113,MATCH($B30,'Dec 7 - Dec 13'!$B$2:$B$113,0))-INDEX('Nov 30 - Dec 6'!E$2:E$111,MATCH($B30,'Nov 30 - Dec 6'!$B$2:$B$111,0))</f>
        <v>11</v>
      </c>
      <c r="F30" s="15">
        <f t="array" ref="F30">INDEX('Dec 7 - Dec 13'!F$2:F$113,MATCH($B30,'Dec 7 - Dec 13'!$B$2:$B$113,0))-INDEX('Nov 30 - Dec 6'!F$2:F$111,MATCH($B30,'Nov 30 - Dec 6'!$B$2:$B$111,0))</f>
        <v>7</v>
      </c>
      <c r="G30" s="15">
        <f t="array" ref="G30">INDEX('Dec 7 - Dec 13'!G$2:G$113,MATCH($B30,'Dec 7 - Dec 13'!$B$2:$B$113,0))-INDEX('Nov 30 - Dec 6'!G$2:G$111,MATCH($B30,'Nov 30 - Dec 6'!$B$2:$B$111,0))</f>
        <v>1</v>
      </c>
      <c r="H30" s="15">
        <f t="array" ref="H30">INDEX('Dec 7 - Dec 13'!H$2:H$113,MATCH($B30,'Dec 7 - Dec 13'!$B$2:$B$113,0))-INDEX('Nov 30 - Dec 6'!H$2:H$111,MATCH($B30,'Nov 30 - Dec 6'!$B$2:$B$111,0))</f>
        <v>-1</v>
      </c>
      <c r="I30" s="15">
        <f t="array" ref="I30">INDEX('Dec 7 - Dec 13'!I$2:I$113,MATCH($B30,'Dec 7 - Dec 13'!$B$2:$B$113,0))-INDEX('Nov 30 - Dec 6'!I$2:I$111,MATCH($B30,'Nov 30 - Dec 6'!$B$2:$B$111,0))</f>
        <v>0</v>
      </c>
      <c r="J30" s="15">
        <f t="array" ref="J30">INDEX('Dec 7 - Dec 13'!J$2:J$113,MATCH($B30,'Dec 7 - Dec 13'!$B$2:$B$113,0))-INDEX('Nov 30 - Dec 6'!J$2:J$111,MATCH($B30,'Nov 30 - Dec 6'!$B$2:$B$111,0))</f>
        <v>-1</v>
      </c>
      <c r="K30" s="15">
        <f t="array" ref="K30">INDEX('Dec 7 - Dec 13'!K$2:K$113,MATCH($B30,'Dec 7 - Dec 13'!$B$2:$B$113,0))-INDEX('Nov 30 - Dec 6'!K$2:K$111,MATCH($B30,'Nov 30 - Dec 6'!$B$2:$B$111,0))</f>
        <v>-1</v>
      </c>
    </row>
    <row r="31" spans="2:11" ht="12.75">
      <c r="B31" s="13" t="s">
        <v>71</v>
      </c>
      <c r="C31" s="14" t="str">
        <f t="array" aca="1" ref="C31" ca="1">INDEX('Rooms Master'!U:U,MATCH(B31,'Rooms Master'!D:D,0))</f>
        <v>Y</v>
      </c>
      <c r="D31" s="15">
        <f t="array" ref="D31">INDEX('Dec 7 - Dec 13'!D$2:D$113,MATCH($B31,'Dec 7 - Dec 13'!$B$2:$B$113,0))-INDEX('Nov 30 - Dec 6'!D$2:D$111,MATCH($B31,'Nov 30 - Dec 6'!$B$2:$B$111,0))</f>
        <v>-12</v>
      </c>
      <c r="E31" s="15">
        <f t="array" ref="E31">INDEX('Dec 7 - Dec 13'!E$2:E$113,MATCH($B31,'Dec 7 - Dec 13'!$B$2:$B$113,0))-INDEX('Nov 30 - Dec 6'!E$2:E$111,MATCH($B31,'Nov 30 - Dec 6'!$B$2:$B$111,0))</f>
        <v>11</v>
      </c>
      <c r="F31" s="15">
        <f t="array" ref="F31">INDEX('Dec 7 - Dec 13'!F$2:F$113,MATCH($B31,'Dec 7 - Dec 13'!$B$2:$B$113,0))-INDEX('Nov 30 - Dec 6'!F$2:F$111,MATCH($B31,'Nov 30 - Dec 6'!$B$2:$B$111,0))</f>
        <v>-2</v>
      </c>
      <c r="G31" s="15">
        <f t="array" ref="G31">INDEX('Dec 7 - Dec 13'!G$2:G$113,MATCH($B31,'Dec 7 - Dec 13'!$B$2:$B$113,0))-INDEX('Nov 30 - Dec 6'!G$2:G$111,MATCH($B31,'Nov 30 - Dec 6'!$B$2:$B$111,0))</f>
        <v>2</v>
      </c>
      <c r="H31" s="15">
        <f t="array" ref="H31">INDEX('Dec 7 - Dec 13'!H$2:H$113,MATCH($B31,'Dec 7 - Dec 13'!$B$2:$B$113,0))-INDEX('Nov 30 - Dec 6'!H$2:H$111,MATCH($B31,'Nov 30 - Dec 6'!$B$2:$B$111,0))</f>
        <v>-1</v>
      </c>
      <c r="I31" s="15">
        <f t="array" ref="I31">INDEX('Dec 7 - Dec 13'!I$2:I$113,MATCH($B31,'Dec 7 - Dec 13'!$B$2:$B$113,0))-INDEX('Nov 30 - Dec 6'!I$2:I$111,MATCH($B31,'Nov 30 - Dec 6'!$B$2:$B$111,0))</f>
        <v>0</v>
      </c>
      <c r="J31" s="15">
        <f t="array" ref="J31">INDEX('Dec 7 - Dec 13'!J$2:J$113,MATCH($B31,'Dec 7 - Dec 13'!$B$2:$B$113,0))-INDEX('Nov 30 - Dec 6'!J$2:J$111,MATCH($B31,'Nov 30 - Dec 6'!$B$2:$B$111,0))</f>
        <v>0</v>
      </c>
      <c r="K31" s="15">
        <f t="array" ref="K31">INDEX('Dec 7 - Dec 13'!K$2:K$113,MATCH($B31,'Dec 7 - Dec 13'!$B$2:$B$113,0))-INDEX('Nov 30 - Dec 6'!K$2:K$111,MATCH($B31,'Nov 30 - Dec 6'!$B$2:$B$111,0))</f>
        <v>0</v>
      </c>
    </row>
    <row r="32" spans="2:11" ht="12.75">
      <c r="B32" s="13" t="s">
        <v>136</v>
      </c>
      <c r="C32" s="14" t="str">
        <f t="array" aca="1" ref="C32" ca="1">INDEX('Rooms Master'!U:U,MATCH(B32,'Rooms Master'!D:D,0))</f>
        <v>N</v>
      </c>
      <c r="D32" s="15">
        <f t="array" ref="D32">INDEX('Dec 7 - Dec 13'!D$2:D$113,MATCH($B32,'Dec 7 - Dec 13'!$B$2:$B$113,0))-INDEX('Nov 30 - Dec 6'!D$2:D$111,MATCH($B32,'Nov 30 - Dec 6'!$B$2:$B$111,0))</f>
        <v>-38</v>
      </c>
      <c r="E32" s="15">
        <f t="array" ref="E32">INDEX('Dec 7 - Dec 13'!E$2:E$113,MATCH($B32,'Dec 7 - Dec 13'!$B$2:$B$113,0))-INDEX('Nov 30 - Dec 6'!E$2:E$111,MATCH($B32,'Nov 30 - Dec 6'!$B$2:$B$111,0))</f>
        <v>11</v>
      </c>
      <c r="F32" s="15">
        <f t="array" ref="F32">INDEX('Dec 7 - Dec 13'!F$2:F$113,MATCH($B32,'Dec 7 - Dec 13'!$B$2:$B$113,0))-INDEX('Nov 30 - Dec 6'!F$2:F$111,MATCH($B32,'Nov 30 - Dec 6'!$B$2:$B$111,0))</f>
        <v>26</v>
      </c>
      <c r="G32" s="15">
        <f t="array" ref="G32">INDEX('Dec 7 - Dec 13'!G$2:G$113,MATCH($B32,'Dec 7 - Dec 13'!$B$2:$B$113,0))-INDEX('Nov 30 - Dec 6'!G$2:G$111,MATCH($B32,'Nov 30 - Dec 6'!$B$2:$B$111,0))</f>
        <v>0</v>
      </c>
      <c r="H32" s="15">
        <f t="array" ref="H32">INDEX('Dec 7 - Dec 13'!H$2:H$113,MATCH($B32,'Dec 7 - Dec 13'!$B$2:$B$113,0))-INDEX('Nov 30 - Dec 6'!H$2:H$111,MATCH($B32,'Nov 30 - Dec 6'!$B$2:$B$111,0))</f>
        <v>-4</v>
      </c>
      <c r="I32" s="15">
        <f t="array" ref="I32">INDEX('Dec 7 - Dec 13'!I$2:I$113,MATCH($B32,'Dec 7 - Dec 13'!$B$2:$B$113,0))-INDEX('Nov 30 - Dec 6'!I$2:I$111,MATCH($B32,'Nov 30 - Dec 6'!$B$2:$B$111,0))</f>
        <v>0</v>
      </c>
      <c r="J32" s="15">
        <f t="array" ref="J32">INDEX('Dec 7 - Dec 13'!J$2:J$113,MATCH($B32,'Dec 7 - Dec 13'!$B$2:$B$113,0))-INDEX('Nov 30 - Dec 6'!J$2:J$111,MATCH($B32,'Nov 30 - Dec 6'!$B$2:$B$111,0))</f>
        <v>6</v>
      </c>
      <c r="K32" s="15">
        <f t="array" ref="K32">INDEX('Dec 7 - Dec 13'!K$2:K$113,MATCH($B32,'Dec 7 - Dec 13'!$B$2:$B$113,0))-INDEX('Nov 30 - Dec 6'!K$2:K$111,MATCH($B32,'Nov 30 - Dec 6'!$B$2:$B$111,0))</f>
        <v>1</v>
      </c>
    </row>
    <row r="33" spans="2:11" ht="12.75">
      <c r="B33" s="13" t="s">
        <v>22</v>
      </c>
      <c r="C33" s="14" t="str">
        <f t="array" aca="1" ref="C33" ca="1">INDEX('Rooms Master'!U:U,MATCH(B33,'Rooms Master'!D:D,0))</f>
        <v>Y</v>
      </c>
      <c r="D33" s="15">
        <f t="array" ref="D33">INDEX('Dec 7 - Dec 13'!D$2:D$113,MATCH($B33,'Dec 7 - Dec 13'!$B$2:$B$113,0))-INDEX('Nov 30 - Dec 6'!D$2:D$111,MATCH($B33,'Nov 30 - Dec 6'!$B$2:$B$111,0))</f>
        <v>34</v>
      </c>
      <c r="E33" s="15">
        <f t="array" ref="E33">INDEX('Dec 7 - Dec 13'!E$2:E$113,MATCH($B33,'Dec 7 - Dec 13'!$B$2:$B$113,0))-INDEX('Nov 30 - Dec 6'!E$2:E$111,MATCH($B33,'Nov 30 - Dec 6'!$B$2:$B$111,0))</f>
        <v>10</v>
      </c>
      <c r="F33" s="15">
        <f t="array" ref="F33">INDEX('Dec 7 - Dec 13'!F$2:F$113,MATCH($B33,'Dec 7 - Dec 13'!$B$2:$B$113,0))-INDEX('Nov 30 - Dec 6'!F$2:F$111,MATCH($B33,'Nov 30 - Dec 6'!$B$2:$B$111,0))</f>
        <v>8</v>
      </c>
      <c r="G33" s="15">
        <f t="array" ref="G33">INDEX('Dec 7 - Dec 13'!G$2:G$113,MATCH($B33,'Dec 7 - Dec 13'!$B$2:$B$113,0))-INDEX('Nov 30 - Dec 6'!G$2:G$111,MATCH($B33,'Nov 30 - Dec 6'!$B$2:$B$111,0))</f>
        <v>1</v>
      </c>
      <c r="H33" s="15">
        <f t="array" ref="H33">INDEX('Dec 7 - Dec 13'!H$2:H$113,MATCH($B33,'Dec 7 - Dec 13'!$B$2:$B$113,0))-INDEX('Nov 30 - Dec 6'!H$2:H$111,MATCH($B33,'Nov 30 - Dec 6'!$B$2:$B$111,0))</f>
        <v>0</v>
      </c>
      <c r="I33" s="15">
        <f t="array" ref="I33">INDEX('Dec 7 - Dec 13'!I$2:I$113,MATCH($B33,'Dec 7 - Dec 13'!$B$2:$B$113,0))-INDEX('Nov 30 - Dec 6'!I$2:I$111,MATCH($B33,'Nov 30 - Dec 6'!$B$2:$B$111,0))</f>
        <v>0</v>
      </c>
      <c r="J33" s="15">
        <f t="array" ref="J33">INDEX('Dec 7 - Dec 13'!J$2:J$113,MATCH($B33,'Dec 7 - Dec 13'!$B$2:$B$113,0))-INDEX('Nov 30 - Dec 6'!J$2:J$111,MATCH($B33,'Nov 30 - Dec 6'!$B$2:$B$111,0))</f>
        <v>0</v>
      </c>
      <c r="K33" s="15">
        <f t="array" ref="K33">INDEX('Dec 7 - Dec 13'!K$2:K$113,MATCH($B33,'Dec 7 - Dec 13'!$B$2:$B$113,0))-INDEX('Nov 30 - Dec 6'!K$2:K$111,MATCH($B33,'Nov 30 - Dec 6'!$B$2:$B$111,0))</f>
        <v>0</v>
      </c>
    </row>
    <row r="34" spans="2:11" ht="12.75">
      <c r="B34" s="13" t="s">
        <v>88</v>
      </c>
      <c r="C34" s="14" t="str">
        <f t="array" aca="1" ref="C34" ca="1">INDEX('Rooms Master'!U:U,MATCH(B34,'Rooms Master'!D:D,0))</f>
        <v>N</v>
      </c>
      <c r="D34" s="15">
        <f t="array" ref="D34">INDEX('Dec 7 - Dec 13'!D$2:D$113,MATCH($B34,'Dec 7 - Dec 13'!$B$2:$B$113,0))-INDEX('Nov 30 - Dec 6'!D$2:D$111,MATCH($B34,'Nov 30 - Dec 6'!$B$2:$B$111,0))</f>
        <v>12</v>
      </c>
      <c r="E34" s="15">
        <f t="array" ref="E34">INDEX('Dec 7 - Dec 13'!E$2:E$113,MATCH($B34,'Dec 7 - Dec 13'!$B$2:$B$113,0))-INDEX('Nov 30 - Dec 6'!E$2:E$111,MATCH($B34,'Nov 30 - Dec 6'!$B$2:$B$111,0))</f>
        <v>10</v>
      </c>
      <c r="F34" s="15">
        <f t="array" ref="F34">INDEX('Dec 7 - Dec 13'!F$2:F$113,MATCH($B34,'Dec 7 - Dec 13'!$B$2:$B$113,0))-INDEX('Nov 30 - Dec 6'!F$2:F$111,MATCH($B34,'Nov 30 - Dec 6'!$B$2:$B$111,0))</f>
        <v>12</v>
      </c>
      <c r="G34" s="15">
        <f t="array" ref="G34">INDEX('Dec 7 - Dec 13'!G$2:G$113,MATCH($B34,'Dec 7 - Dec 13'!$B$2:$B$113,0))-INDEX('Nov 30 - Dec 6'!G$2:G$111,MATCH($B34,'Nov 30 - Dec 6'!$B$2:$B$111,0))</f>
        <v>2</v>
      </c>
      <c r="H34" s="15">
        <f t="array" ref="H34">INDEX('Dec 7 - Dec 13'!H$2:H$113,MATCH($B34,'Dec 7 - Dec 13'!$B$2:$B$113,0))-INDEX('Nov 30 - Dec 6'!H$2:H$111,MATCH($B34,'Nov 30 - Dec 6'!$B$2:$B$111,0))</f>
        <v>0</v>
      </c>
      <c r="I34" s="15">
        <f t="array" ref="I34">INDEX('Dec 7 - Dec 13'!I$2:I$113,MATCH($B34,'Dec 7 - Dec 13'!$B$2:$B$113,0))-INDEX('Nov 30 - Dec 6'!I$2:I$111,MATCH($B34,'Nov 30 - Dec 6'!$B$2:$B$111,0))</f>
        <v>0</v>
      </c>
      <c r="J34" s="15">
        <f t="array" ref="J34">INDEX('Dec 7 - Dec 13'!J$2:J$113,MATCH($B34,'Dec 7 - Dec 13'!$B$2:$B$113,0))-INDEX('Nov 30 - Dec 6'!J$2:J$111,MATCH($B34,'Nov 30 - Dec 6'!$B$2:$B$111,0))</f>
        <v>0</v>
      </c>
      <c r="K34" s="15">
        <f t="array" ref="K34">INDEX('Dec 7 - Dec 13'!K$2:K$113,MATCH($B34,'Dec 7 - Dec 13'!$B$2:$B$113,0))-INDEX('Nov 30 - Dec 6'!K$2:K$111,MATCH($B34,'Nov 30 - Dec 6'!$B$2:$B$111,0))</f>
        <v>0</v>
      </c>
    </row>
    <row r="35" spans="2:11" ht="12.75">
      <c r="B35" s="13" t="s">
        <v>92</v>
      </c>
      <c r="C35" s="14" t="str">
        <f t="array" aca="1" ref="C35" ca="1">INDEX('Rooms Master'!U:U,MATCH(B35,'Rooms Master'!D:D,0))</f>
        <v>Y</v>
      </c>
      <c r="D35" s="15">
        <f t="array" ref="D35">INDEX('Dec 7 - Dec 13'!D$2:D$113,MATCH($B35,'Dec 7 - Dec 13'!$B$2:$B$113,0))-INDEX('Nov 30 - Dec 6'!D$2:D$111,MATCH($B35,'Nov 30 - Dec 6'!$B$2:$B$111,0))</f>
        <v>-40</v>
      </c>
      <c r="E35" s="15">
        <f t="array" ref="E35">INDEX('Dec 7 - Dec 13'!E$2:E$113,MATCH($B35,'Dec 7 - Dec 13'!$B$2:$B$113,0))-INDEX('Nov 30 - Dec 6'!E$2:E$111,MATCH($B35,'Nov 30 - Dec 6'!$B$2:$B$111,0))</f>
        <v>10</v>
      </c>
      <c r="F35" s="15">
        <f t="array" ref="F35">INDEX('Dec 7 - Dec 13'!F$2:F$113,MATCH($B35,'Dec 7 - Dec 13'!$B$2:$B$113,0))-INDEX('Nov 30 - Dec 6'!F$2:F$111,MATCH($B35,'Nov 30 - Dec 6'!$B$2:$B$111,0))</f>
        <v>1</v>
      </c>
      <c r="G35" s="15">
        <f t="array" ref="G35">INDEX('Dec 7 - Dec 13'!G$2:G$113,MATCH($B35,'Dec 7 - Dec 13'!$B$2:$B$113,0))-INDEX('Nov 30 - Dec 6'!G$2:G$111,MATCH($B35,'Nov 30 - Dec 6'!$B$2:$B$111,0))</f>
        <v>-1</v>
      </c>
      <c r="H35" s="15">
        <f t="array" ref="H35">INDEX('Dec 7 - Dec 13'!H$2:H$113,MATCH($B35,'Dec 7 - Dec 13'!$B$2:$B$113,0))-INDEX('Nov 30 - Dec 6'!H$2:H$111,MATCH($B35,'Nov 30 - Dec 6'!$B$2:$B$111,0))</f>
        <v>0</v>
      </c>
      <c r="I35" s="15">
        <f t="array" ref="I35">INDEX('Dec 7 - Dec 13'!I$2:I$113,MATCH($B35,'Dec 7 - Dec 13'!$B$2:$B$113,0))-INDEX('Nov 30 - Dec 6'!I$2:I$111,MATCH($B35,'Nov 30 - Dec 6'!$B$2:$B$111,0))</f>
        <v>0</v>
      </c>
      <c r="J35" s="15">
        <f t="array" ref="J35">INDEX('Dec 7 - Dec 13'!J$2:J$113,MATCH($B35,'Dec 7 - Dec 13'!$B$2:$B$113,0))-INDEX('Nov 30 - Dec 6'!J$2:J$111,MATCH($B35,'Nov 30 - Dec 6'!$B$2:$B$111,0))</f>
        <v>0</v>
      </c>
      <c r="K35" s="15">
        <f t="array" ref="K35">INDEX('Dec 7 - Dec 13'!K$2:K$113,MATCH($B35,'Dec 7 - Dec 13'!$B$2:$B$113,0))-INDEX('Nov 30 - Dec 6'!K$2:K$111,MATCH($B35,'Nov 30 - Dec 6'!$B$2:$B$111,0))</f>
        <v>0</v>
      </c>
    </row>
    <row r="36" spans="2:11" ht="12.75">
      <c r="B36" s="13" t="s">
        <v>129</v>
      </c>
      <c r="C36" s="14" t="str">
        <f t="array" aca="1" ref="C36" ca="1">INDEX('Rooms Master'!U:U,MATCH(B36,'Rooms Master'!D:D,0))</f>
        <v>N</v>
      </c>
      <c r="D36" s="15">
        <f t="array" ref="D36">INDEX('Dec 7 - Dec 13'!D$2:D$113,MATCH($B36,'Dec 7 - Dec 13'!$B$2:$B$113,0))-INDEX('Nov 30 - Dec 6'!D$2:D$111,MATCH($B36,'Nov 30 - Dec 6'!$B$2:$B$111,0))</f>
        <v>-5</v>
      </c>
      <c r="E36" s="15">
        <f t="array" ref="E36">INDEX('Dec 7 - Dec 13'!E$2:E$113,MATCH($B36,'Dec 7 - Dec 13'!$B$2:$B$113,0))-INDEX('Nov 30 - Dec 6'!E$2:E$111,MATCH($B36,'Nov 30 - Dec 6'!$B$2:$B$111,0))</f>
        <v>9</v>
      </c>
      <c r="F36" s="15">
        <f t="array" ref="F36">INDEX('Dec 7 - Dec 13'!F$2:F$113,MATCH($B36,'Dec 7 - Dec 13'!$B$2:$B$113,0))-INDEX('Nov 30 - Dec 6'!F$2:F$111,MATCH($B36,'Nov 30 - Dec 6'!$B$2:$B$111,0))</f>
        <v>-5</v>
      </c>
      <c r="G36" s="15">
        <f t="array" ref="G36">INDEX('Dec 7 - Dec 13'!G$2:G$113,MATCH($B36,'Dec 7 - Dec 13'!$B$2:$B$113,0))-INDEX('Nov 30 - Dec 6'!G$2:G$111,MATCH($B36,'Nov 30 - Dec 6'!$B$2:$B$111,0))</f>
        <v>0</v>
      </c>
      <c r="H36" s="15">
        <f t="array" ref="H36">INDEX('Dec 7 - Dec 13'!H$2:H$113,MATCH($B36,'Dec 7 - Dec 13'!$B$2:$B$113,0))-INDEX('Nov 30 - Dec 6'!H$2:H$111,MATCH($B36,'Nov 30 - Dec 6'!$B$2:$B$111,0))</f>
        <v>-3</v>
      </c>
      <c r="I36" s="15">
        <f t="array" ref="I36">INDEX('Dec 7 - Dec 13'!I$2:I$113,MATCH($B36,'Dec 7 - Dec 13'!$B$2:$B$113,0))-INDEX('Nov 30 - Dec 6'!I$2:I$111,MATCH($B36,'Nov 30 - Dec 6'!$B$2:$B$111,0))</f>
        <v>0</v>
      </c>
      <c r="J36" s="15">
        <f t="array" ref="J36">INDEX('Dec 7 - Dec 13'!J$2:J$113,MATCH($B36,'Dec 7 - Dec 13'!$B$2:$B$113,0))-INDEX('Nov 30 - Dec 6'!J$2:J$111,MATCH($B36,'Nov 30 - Dec 6'!$B$2:$B$111,0))</f>
        <v>0</v>
      </c>
      <c r="K36" s="15">
        <f t="array" ref="K36">INDEX('Dec 7 - Dec 13'!K$2:K$113,MATCH($B36,'Dec 7 - Dec 13'!$B$2:$B$113,0))-INDEX('Nov 30 - Dec 6'!K$2:K$111,MATCH($B36,'Nov 30 - Dec 6'!$B$2:$B$111,0))</f>
        <v>0</v>
      </c>
    </row>
    <row r="37" spans="2:11" ht="12.75">
      <c r="B37" s="13" t="s">
        <v>89</v>
      </c>
      <c r="C37" s="14" t="str">
        <f t="array" aca="1" ref="C37" ca="1">INDEX('Rooms Master'!U:U,MATCH(B37,'Rooms Master'!D:D,0))</f>
        <v>Y</v>
      </c>
      <c r="D37" s="15">
        <f t="array" ref="D37">INDEX('Dec 7 - Dec 13'!D$2:D$113,MATCH($B37,'Dec 7 - Dec 13'!$B$2:$B$113,0))-INDEX('Nov 30 - Dec 6'!D$2:D$111,MATCH($B37,'Nov 30 - Dec 6'!$B$2:$B$111,0))</f>
        <v>-29</v>
      </c>
      <c r="E37" s="15">
        <f t="array" ref="E37">INDEX('Dec 7 - Dec 13'!E$2:E$113,MATCH($B37,'Dec 7 - Dec 13'!$B$2:$B$113,0))-INDEX('Nov 30 - Dec 6'!E$2:E$111,MATCH($B37,'Nov 30 - Dec 6'!$B$2:$B$111,0))</f>
        <v>8</v>
      </c>
      <c r="F37" s="15">
        <f t="array" ref="F37">INDEX('Dec 7 - Dec 13'!F$2:F$113,MATCH($B37,'Dec 7 - Dec 13'!$B$2:$B$113,0))-INDEX('Nov 30 - Dec 6'!F$2:F$111,MATCH($B37,'Nov 30 - Dec 6'!$B$2:$B$111,0))</f>
        <v>0</v>
      </c>
      <c r="G37" s="15">
        <f t="array" ref="G37">INDEX('Dec 7 - Dec 13'!G$2:G$113,MATCH($B37,'Dec 7 - Dec 13'!$B$2:$B$113,0))-INDEX('Nov 30 - Dec 6'!G$2:G$111,MATCH($B37,'Nov 30 - Dec 6'!$B$2:$B$111,0))</f>
        <v>0</v>
      </c>
      <c r="H37" s="15">
        <f t="array" ref="H37">INDEX('Dec 7 - Dec 13'!H$2:H$113,MATCH($B37,'Dec 7 - Dec 13'!$B$2:$B$113,0))-INDEX('Nov 30 - Dec 6'!H$2:H$111,MATCH($B37,'Nov 30 - Dec 6'!$B$2:$B$111,0))</f>
        <v>0</v>
      </c>
      <c r="I37" s="15">
        <f t="array" ref="I37">INDEX('Dec 7 - Dec 13'!I$2:I$113,MATCH($B37,'Dec 7 - Dec 13'!$B$2:$B$113,0))-INDEX('Nov 30 - Dec 6'!I$2:I$111,MATCH($B37,'Nov 30 - Dec 6'!$B$2:$B$111,0))</f>
        <v>1</v>
      </c>
      <c r="J37" s="15">
        <f t="array" ref="J37">INDEX('Dec 7 - Dec 13'!J$2:J$113,MATCH($B37,'Dec 7 - Dec 13'!$B$2:$B$113,0))-INDEX('Nov 30 - Dec 6'!J$2:J$111,MATCH($B37,'Nov 30 - Dec 6'!$B$2:$B$111,0))</f>
        <v>0</v>
      </c>
      <c r="K37" s="15">
        <f t="array" ref="K37">INDEX('Dec 7 - Dec 13'!K$2:K$113,MATCH($B37,'Dec 7 - Dec 13'!$B$2:$B$113,0))-INDEX('Nov 30 - Dec 6'!K$2:K$111,MATCH($B37,'Nov 30 - Dec 6'!$B$2:$B$111,0))</f>
        <v>0</v>
      </c>
    </row>
    <row r="38" spans="2:11" ht="12.75">
      <c r="B38" s="13" t="s">
        <v>106</v>
      </c>
      <c r="C38" s="14" t="str">
        <f t="array" aca="1" ref="C38" ca="1">INDEX('Rooms Master'!U:U,MATCH(B38,'Rooms Master'!D:D,0))</f>
        <v>N</v>
      </c>
      <c r="D38" s="15">
        <f t="array" ref="D38">INDEX('Dec 7 - Dec 13'!D$2:D$113,MATCH($B38,'Dec 7 - Dec 13'!$B$2:$B$113,0))-INDEX('Nov 30 - Dec 6'!D$2:D$111,MATCH($B38,'Nov 30 - Dec 6'!$B$2:$B$111,0))</f>
        <v>29</v>
      </c>
      <c r="E38" s="15">
        <f t="array" ref="E38">INDEX('Dec 7 - Dec 13'!E$2:E$113,MATCH($B38,'Dec 7 - Dec 13'!$B$2:$B$113,0))-INDEX('Nov 30 - Dec 6'!E$2:E$111,MATCH($B38,'Nov 30 - Dec 6'!$B$2:$B$111,0))</f>
        <v>8</v>
      </c>
      <c r="F38" s="15">
        <f t="array" ref="F38">INDEX('Dec 7 - Dec 13'!F$2:F$113,MATCH($B38,'Dec 7 - Dec 13'!$B$2:$B$113,0))-INDEX('Nov 30 - Dec 6'!F$2:F$111,MATCH($B38,'Nov 30 - Dec 6'!$B$2:$B$111,0))</f>
        <v>-1</v>
      </c>
      <c r="G38" s="15">
        <f t="array" ref="G38">INDEX('Dec 7 - Dec 13'!G$2:G$113,MATCH($B38,'Dec 7 - Dec 13'!$B$2:$B$113,0))-INDEX('Nov 30 - Dec 6'!G$2:G$111,MATCH($B38,'Nov 30 - Dec 6'!$B$2:$B$111,0))</f>
        <v>0</v>
      </c>
      <c r="H38" s="15">
        <f t="array" ref="H38">INDEX('Dec 7 - Dec 13'!H$2:H$113,MATCH($B38,'Dec 7 - Dec 13'!$B$2:$B$113,0))-INDEX('Nov 30 - Dec 6'!H$2:H$111,MATCH($B38,'Nov 30 - Dec 6'!$B$2:$B$111,0))</f>
        <v>0</v>
      </c>
      <c r="I38" s="15">
        <f t="array" ref="I38">INDEX('Dec 7 - Dec 13'!I$2:I$113,MATCH($B38,'Dec 7 - Dec 13'!$B$2:$B$113,0))-INDEX('Nov 30 - Dec 6'!I$2:I$111,MATCH($B38,'Nov 30 - Dec 6'!$B$2:$B$111,0))</f>
        <v>0</v>
      </c>
      <c r="J38" s="15">
        <f t="array" ref="J38">INDEX('Dec 7 - Dec 13'!J$2:J$113,MATCH($B38,'Dec 7 - Dec 13'!$B$2:$B$113,0))-INDEX('Nov 30 - Dec 6'!J$2:J$111,MATCH($B38,'Nov 30 - Dec 6'!$B$2:$B$111,0))</f>
        <v>0</v>
      </c>
      <c r="K38" s="15">
        <f t="array" ref="K38">INDEX('Dec 7 - Dec 13'!K$2:K$113,MATCH($B38,'Dec 7 - Dec 13'!$B$2:$B$113,0))-INDEX('Nov 30 - Dec 6'!K$2:K$111,MATCH($B38,'Nov 30 - Dec 6'!$B$2:$B$111,0))</f>
        <v>0</v>
      </c>
    </row>
    <row r="39" spans="2:11" ht="12.75">
      <c r="B39" s="13" t="s">
        <v>97</v>
      </c>
      <c r="C39" s="14" t="str">
        <f t="array" aca="1" ref="C39" ca="1">INDEX('Rooms Master'!U:U,MATCH(B39,'Rooms Master'!D:D,0))</f>
        <v>N</v>
      </c>
      <c r="D39" s="15">
        <f t="array" ref="D39">INDEX('Dec 7 - Dec 13'!D$2:D$113,MATCH($B39,'Dec 7 - Dec 13'!$B$2:$B$113,0))-INDEX('Nov 30 - Dec 6'!D$2:D$111,MATCH($B39,'Nov 30 - Dec 6'!$B$2:$B$111,0))</f>
        <v>31</v>
      </c>
      <c r="E39" s="15">
        <f t="array" ref="E39">INDEX('Dec 7 - Dec 13'!E$2:E$113,MATCH($B39,'Dec 7 - Dec 13'!$B$2:$B$113,0))-INDEX('Nov 30 - Dec 6'!E$2:E$111,MATCH($B39,'Nov 30 - Dec 6'!$B$2:$B$111,0))</f>
        <v>7</v>
      </c>
      <c r="F39" s="15">
        <f t="array" ref="F39">INDEX('Dec 7 - Dec 13'!F$2:F$113,MATCH($B39,'Dec 7 - Dec 13'!$B$2:$B$113,0))-INDEX('Nov 30 - Dec 6'!F$2:F$111,MATCH($B39,'Nov 30 - Dec 6'!$B$2:$B$111,0))</f>
        <v>23</v>
      </c>
      <c r="G39" s="15">
        <f t="array" ref="G39">INDEX('Dec 7 - Dec 13'!G$2:G$113,MATCH($B39,'Dec 7 - Dec 13'!$B$2:$B$113,0))-INDEX('Nov 30 - Dec 6'!G$2:G$111,MATCH($B39,'Nov 30 - Dec 6'!$B$2:$B$111,0))</f>
        <v>-1</v>
      </c>
      <c r="H39" s="15">
        <f t="array" ref="H39">INDEX('Dec 7 - Dec 13'!H$2:H$113,MATCH($B39,'Dec 7 - Dec 13'!$B$2:$B$113,0))-INDEX('Nov 30 - Dec 6'!H$2:H$111,MATCH($B39,'Nov 30 - Dec 6'!$B$2:$B$111,0))</f>
        <v>1</v>
      </c>
      <c r="I39" s="15">
        <f t="array" ref="I39">INDEX('Dec 7 - Dec 13'!I$2:I$113,MATCH($B39,'Dec 7 - Dec 13'!$B$2:$B$113,0))-INDEX('Nov 30 - Dec 6'!I$2:I$111,MATCH($B39,'Nov 30 - Dec 6'!$B$2:$B$111,0))</f>
        <v>1</v>
      </c>
      <c r="J39" s="15">
        <f t="array" ref="J39">INDEX('Dec 7 - Dec 13'!J$2:J$113,MATCH($B39,'Dec 7 - Dec 13'!$B$2:$B$113,0))-INDEX('Nov 30 - Dec 6'!J$2:J$111,MATCH($B39,'Nov 30 - Dec 6'!$B$2:$B$111,0))</f>
        <v>1</v>
      </c>
      <c r="K39" s="15">
        <f t="array" ref="K39">INDEX('Dec 7 - Dec 13'!K$2:K$113,MATCH($B39,'Dec 7 - Dec 13'!$B$2:$B$113,0))-INDEX('Nov 30 - Dec 6'!K$2:K$111,MATCH($B39,'Nov 30 - Dec 6'!$B$2:$B$111,0))</f>
        <v>1</v>
      </c>
    </row>
    <row r="40" spans="2:11" ht="12.75">
      <c r="B40" s="13" t="s">
        <v>110</v>
      </c>
      <c r="C40" s="14" t="str">
        <f t="array" aca="1" ref="C40" ca="1">INDEX('Rooms Master'!U:U,MATCH(B40,'Rooms Master'!D:D,0))</f>
        <v>Y</v>
      </c>
      <c r="D40" s="15">
        <f t="array" ref="D40">INDEX('Dec 7 - Dec 13'!D$2:D$113,MATCH($B40,'Dec 7 - Dec 13'!$B$2:$B$113,0))-INDEX('Nov 30 - Dec 6'!D$2:D$111,MATCH($B40,'Nov 30 - Dec 6'!$B$2:$B$111,0))</f>
        <v>-33</v>
      </c>
      <c r="E40" s="15">
        <f t="array" ref="E40">INDEX('Dec 7 - Dec 13'!E$2:E$113,MATCH($B40,'Dec 7 - Dec 13'!$B$2:$B$113,0))-INDEX('Nov 30 - Dec 6'!E$2:E$111,MATCH($B40,'Nov 30 - Dec 6'!$B$2:$B$111,0))</f>
        <v>7</v>
      </c>
      <c r="F40" s="15">
        <f t="array" ref="F40">INDEX('Dec 7 - Dec 13'!F$2:F$113,MATCH($B40,'Dec 7 - Dec 13'!$B$2:$B$113,0))-INDEX('Nov 30 - Dec 6'!F$2:F$111,MATCH($B40,'Nov 30 - Dec 6'!$B$2:$B$111,0))</f>
        <v>0</v>
      </c>
      <c r="G40" s="15">
        <f t="array" ref="G40">INDEX('Dec 7 - Dec 13'!G$2:G$113,MATCH($B40,'Dec 7 - Dec 13'!$B$2:$B$113,0))-INDEX('Nov 30 - Dec 6'!G$2:G$111,MATCH($B40,'Nov 30 - Dec 6'!$B$2:$B$111,0))</f>
        <v>0</v>
      </c>
      <c r="H40" s="15">
        <f t="array" ref="H40">INDEX('Dec 7 - Dec 13'!H$2:H$113,MATCH($B40,'Dec 7 - Dec 13'!$B$2:$B$113,0))-INDEX('Nov 30 - Dec 6'!H$2:H$111,MATCH($B40,'Nov 30 - Dec 6'!$B$2:$B$111,0))</f>
        <v>0</v>
      </c>
      <c r="I40" s="15">
        <f t="array" ref="I40">INDEX('Dec 7 - Dec 13'!I$2:I$113,MATCH($B40,'Dec 7 - Dec 13'!$B$2:$B$113,0))-INDEX('Nov 30 - Dec 6'!I$2:I$111,MATCH($B40,'Nov 30 - Dec 6'!$B$2:$B$111,0))</f>
        <v>0</v>
      </c>
      <c r="J40" s="15">
        <f t="array" ref="J40">INDEX('Dec 7 - Dec 13'!J$2:J$113,MATCH($B40,'Dec 7 - Dec 13'!$B$2:$B$113,0))-INDEX('Nov 30 - Dec 6'!J$2:J$111,MATCH($B40,'Nov 30 - Dec 6'!$B$2:$B$111,0))</f>
        <v>0</v>
      </c>
      <c r="K40" s="15">
        <f t="array" ref="K40">INDEX('Dec 7 - Dec 13'!K$2:K$113,MATCH($B40,'Dec 7 - Dec 13'!$B$2:$B$113,0))-INDEX('Nov 30 - Dec 6'!K$2:K$111,MATCH($B40,'Nov 30 - Dec 6'!$B$2:$B$111,0))</f>
        <v>0</v>
      </c>
    </row>
    <row r="41" spans="2:11" ht="12.75">
      <c r="B41" s="13" t="s">
        <v>98</v>
      </c>
      <c r="C41" s="14" t="str">
        <f t="array" aca="1" ref="C41" ca="1">INDEX('Rooms Master'!U:U,MATCH(B41,'Rooms Master'!D:D,0))</f>
        <v>N</v>
      </c>
      <c r="D41" s="15">
        <f t="array" ref="D41">INDEX('Dec 7 - Dec 13'!D$2:D$113,MATCH($B41,'Dec 7 - Dec 13'!$B$2:$B$113,0))-INDEX('Nov 30 - Dec 6'!D$2:D$111,MATCH($B41,'Nov 30 - Dec 6'!$B$2:$B$111,0))</f>
        <v>-37</v>
      </c>
      <c r="E41" s="15">
        <f t="array" ref="E41">INDEX('Dec 7 - Dec 13'!E$2:E$113,MATCH($B41,'Dec 7 - Dec 13'!$B$2:$B$113,0))-INDEX('Nov 30 - Dec 6'!E$2:E$111,MATCH($B41,'Nov 30 - Dec 6'!$B$2:$B$111,0))</f>
        <v>7</v>
      </c>
      <c r="F41" s="15">
        <f t="array" ref="F41">INDEX('Dec 7 - Dec 13'!F$2:F$113,MATCH($B41,'Dec 7 - Dec 13'!$B$2:$B$113,0))-INDEX('Nov 30 - Dec 6'!F$2:F$111,MATCH($B41,'Nov 30 - Dec 6'!$B$2:$B$111,0))</f>
        <v>-1</v>
      </c>
      <c r="G41" s="15">
        <f t="array" ref="G41">INDEX('Dec 7 - Dec 13'!G$2:G$113,MATCH($B41,'Dec 7 - Dec 13'!$B$2:$B$113,0))-INDEX('Nov 30 - Dec 6'!G$2:G$111,MATCH($B41,'Nov 30 - Dec 6'!$B$2:$B$111,0))</f>
        <v>0</v>
      </c>
      <c r="H41" s="15">
        <f t="array" ref="H41">INDEX('Dec 7 - Dec 13'!H$2:H$113,MATCH($B41,'Dec 7 - Dec 13'!$B$2:$B$113,0))-INDEX('Nov 30 - Dec 6'!H$2:H$111,MATCH($B41,'Nov 30 - Dec 6'!$B$2:$B$111,0))</f>
        <v>0</v>
      </c>
      <c r="I41" s="15">
        <f t="array" ref="I41">INDEX('Dec 7 - Dec 13'!I$2:I$113,MATCH($B41,'Dec 7 - Dec 13'!$B$2:$B$113,0))-INDEX('Nov 30 - Dec 6'!I$2:I$111,MATCH($B41,'Nov 30 - Dec 6'!$B$2:$B$111,0))</f>
        <v>0</v>
      </c>
      <c r="J41" s="15">
        <f t="array" ref="J41">INDEX('Dec 7 - Dec 13'!J$2:J$113,MATCH($B41,'Dec 7 - Dec 13'!$B$2:$B$113,0))-INDEX('Nov 30 - Dec 6'!J$2:J$111,MATCH($B41,'Nov 30 - Dec 6'!$B$2:$B$111,0))</f>
        <v>-1</v>
      </c>
      <c r="K41" s="15">
        <f t="array" ref="K41">INDEX('Dec 7 - Dec 13'!K$2:K$113,MATCH($B41,'Dec 7 - Dec 13'!$B$2:$B$113,0))-INDEX('Nov 30 - Dec 6'!K$2:K$111,MATCH($B41,'Nov 30 - Dec 6'!$B$2:$B$111,0))</f>
        <v>0</v>
      </c>
    </row>
    <row r="42" spans="2:11" ht="12.75">
      <c r="B42" s="13" t="s">
        <v>81</v>
      </c>
      <c r="C42" s="14" t="str">
        <f t="array" aca="1" ref="C42" ca="1">INDEX('Rooms Master'!U:U,MATCH(B42,'Rooms Master'!D:D,0))</f>
        <v>Y</v>
      </c>
      <c r="D42" s="15">
        <f t="array" ref="D42">INDEX('Dec 7 - Dec 13'!D$2:D$113,MATCH($B42,'Dec 7 - Dec 13'!$B$2:$B$113,0))-INDEX('Nov 30 - Dec 6'!D$2:D$111,MATCH($B42,'Nov 30 - Dec 6'!$B$2:$B$111,0))</f>
        <v>3</v>
      </c>
      <c r="E42" s="15">
        <f t="array" ref="E42">INDEX('Dec 7 - Dec 13'!E$2:E$113,MATCH($B42,'Dec 7 - Dec 13'!$B$2:$B$113,0))-INDEX('Nov 30 - Dec 6'!E$2:E$111,MATCH($B42,'Nov 30 - Dec 6'!$B$2:$B$111,0))</f>
        <v>7</v>
      </c>
      <c r="F42" s="15">
        <f t="array" ref="F42">INDEX('Dec 7 - Dec 13'!F$2:F$113,MATCH($B42,'Dec 7 - Dec 13'!$B$2:$B$113,0))-INDEX('Nov 30 - Dec 6'!F$2:F$111,MATCH($B42,'Nov 30 - Dec 6'!$B$2:$B$111,0))</f>
        <v>-1</v>
      </c>
      <c r="G42" s="15">
        <f t="array" ref="G42">INDEX('Dec 7 - Dec 13'!G$2:G$113,MATCH($B42,'Dec 7 - Dec 13'!$B$2:$B$113,0))-INDEX('Nov 30 - Dec 6'!G$2:G$111,MATCH($B42,'Nov 30 - Dec 6'!$B$2:$B$111,0))</f>
        <v>-1</v>
      </c>
      <c r="H42" s="15">
        <f t="array" ref="H42">INDEX('Dec 7 - Dec 13'!H$2:H$113,MATCH($B42,'Dec 7 - Dec 13'!$B$2:$B$113,0))-INDEX('Nov 30 - Dec 6'!H$2:H$111,MATCH($B42,'Nov 30 - Dec 6'!$B$2:$B$111,0))</f>
        <v>0</v>
      </c>
      <c r="I42" s="15">
        <f t="array" ref="I42">INDEX('Dec 7 - Dec 13'!I$2:I$113,MATCH($B42,'Dec 7 - Dec 13'!$B$2:$B$113,0))-INDEX('Nov 30 - Dec 6'!I$2:I$111,MATCH($B42,'Nov 30 - Dec 6'!$B$2:$B$111,0))</f>
        <v>0</v>
      </c>
      <c r="J42" s="15">
        <f t="array" ref="J42">INDEX('Dec 7 - Dec 13'!J$2:J$113,MATCH($B42,'Dec 7 - Dec 13'!$B$2:$B$113,0))-INDEX('Nov 30 - Dec 6'!J$2:J$111,MATCH($B42,'Nov 30 - Dec 6'!$B$2:$B$111,0))</f>
        <v>0</v>
      </c>
      <c r="K42" s="15">
        <f t="array" ref="K42">INDEX('Dec 7 - Dec 13'!K$2:K$113,MATCH($B42,'Dec 7 - Dec 13'!$B$2:$B$113,0))-INDEX('Nov 30 - Dec 6'!K$2:K$111,MATCH($B42,'Nov 30 - Dec 6'!$B$2:$B$111,0))</f>
        <v>0</v>
      </c>
    </row>
    <row r="43" spans="2:11" ht="12.75">
      <c r="B43" s="13" t="s">
        <v>48</v>
      </c>
      <c r="C43" s="14" t="str">
        <f t="array" aca="1" ref="C43" ca="1">INDEX('Rooms Master'!U:U,MATCH(B43,'Rooms Master'!D:D,0))</f>
        <v>Y</v>
      </c>
      <c r="D43" s="15">
        <f t="array" ref="D43">INDEX('Dec 7 - Dec 13'!D$2:D$113,MATCH($B43,'Dec 7 - Dec 13'!$B$2:$B$113,0))-INDEX('Nov 30 - Dec 6'!D$2:D$111,MATCH($B43,'Nov 30 - Dec 6'!$B$2:$B$111,0))</f>
        <v>29</v>
      </c>
      <c r="E43" s="15">
        <f t="array" ref="E43">INDEX('Dec 7 - Dec 13'!E$2:E$113,MATCH($B43,'Dec 7 - Dec 13'!$B$2:$B$113,0))-INDEX('Nov 30 - Dec 6'!E$2:E$111,MATCH($B43,'Nov 30 - Dec 6'!$B$2:$B$111,0))</f>
        <v>6</v>
      </c>
      <c r="F43" s="15">
        <f t="array" ref="F43">INDEX('Dec 7 - Dec 13'!F$2:F$113,MATCH($B43,'Dec 7 - Dec 13'!$B$2:$B$113,0))-INDEX('Nov 30 - Dec 6'!F$2:F$111,MATCH($B43,'Nov 30 - Dec 6'!$B$2:$B$111,0))</f>
        <v>4</v>
      </c>
      <c r="G43" s="15">
        <f t="array" ref="G43">INDEX('Dec 7 - Dec 13'!G$2:G$113,MATCH($B43,'Dec 7 - Dec 13'!$B$2:$B$113,0))-INDEX('Nov 30 - Dec 6'!G$2:G$111,MATCH($B43,'Nov 30 - Dec 6'!$B$2:$B$111,0))</f>
        <v>0</v>
      </c>
      <c r="H43" s="15">
        <f t="array" ref="H43">INDEX('Dec 7 - Dec 13'!H$2:H$113,MATCH($B43,'Dec 7 - Dec 13'!$B$2:$B$113,0))-INDEX('Nov 30 - Dec 6'!H$2:H$111,MATCH($B43,'Nov 30 - Dec 6'!$B$2:$B$111,0))</f>
        <v>1</v>
      </c>
      <c r="I43" s="15">
        <f t="array" ref="I43">INDEX('Dec 7 - Dec 13'!I$2:I$113,MATCH($B43,'Dec 7 - Dec 13'!$B$2:$B$113,0))-INDEX('Nov 30 - Dec 6'!I$2:I$111,MATCH($B43,'Nov 30 - Dec 6'!$B$2:$B$111,0))</f>
        <v>0</v>
      </c>
      <c r="J43" s="15">
        <f t="array" ref="J43">INDEX('Dec 7 - Dec 13'!J$2:J$113,MATCH($B43,'Dec 7 - Dec 13'!$B$2:$B$113,0))-INDEX('Nov 30 - Dec 6'!J$2:J$111,MATCH($B43,'Nov 30 - Dec 6'!$B$2:$B$111,0))</f>
        <v>0</v>
      </c>
      <c r="K43" s="15">
        <f t="array" ref="K43">INDEX('Dec 7 - Dec 13'!K$2:K$113,MATCH($B43,'Dec 7 - Dec 13'!$B$2:$B$113,0))-INDEX('Nov 30 - Dec 6'!K$2:K$111,MATCH($B43,'Nov 30 - Dec 6'!$B$2:$B$111,0))</f>
        <v>0</v>
      </c>
    </row>
    <row r="44" spans="2:11" ht="12.75">
      <c r="B44" s="13" t="s">
        <v>113</v>
      </c>
      <c r="C44" s="14" t="str">
        <f t="array" aca="1" ref="C44" ca="1">INDEX('Rooms Master'!U:U,MATCH(B44,'Rooms Master'!D:D,0))</f>
        <v>Y</v>
      </c>
      <c r="D44" s="15">
        <f t="array" ref="D44">INDEX('Dec 7 - Dec 13'!D$2:D$113,MATCH($B44,'Dec 7 - Dec 13'!$B$2:$B$113,0))-INDEX('Nov 30 - Dec 6'!D$2:D$111,MATCH($B44,'Nov 30 - Dec 6'!$B$2:$B$111,0))</f>
        <v>14</v>
      </c>
      <c r="E44" s="15">
        <f t="array" ref="E44">INDEX('Dec 7 - Dec 13'!E$2:E$113,MATCH($B44,'Dec 7 - Dec 13'!$B$2:$B$113,0))-INDEX('Nov 30 - Dec 6'!E$2:E$111,MATCH($B44,'Nov 30 - Dec 6'!$B$2:$B$111,0))</f>
        <v>6</v>
      </c>
      <c r="F44" s="15">
        <f t="array" ref="F44">INDEX('Dec 7 - Dec 13'!F$2:F$113,MATCH($B44,'Dec 7 - Dec 13'!$B$2:$B$113,0))-INDEX('Nov 30 - Dec 6'!F$2:F$111,MATCH($B44,'Nov 30 - Dec 6'!$B$2:$B$111,0))</f>
        <v>0</v>
      </c>
      <c r="G44" s="15">
        <f t="array" ref="G44">INDEX('Dec 7 - Dec 13'!G$2:G$113,MATCH($B44,'Dec 7 - Dec 13'!$B$2:$B$113,0))-INDEX('Nov 30 - Dec 6'!G$2:G$111,MATCH($B44,'Nov 30 - Dec 6'!$B$2:$B$111,0))</f>
        <v>0</v>
      </c>
      <c r="H44" s="15">
        <f t="array" ref="H44">INDEX('Dec 7 - Dec 13'!H$2:H$113,MATCH($B44,'Dec 7 - Dec 13'!$B$2:$B$113,0))-INDEX('Nov 30 - Dec 6'!H$2:H$111,MATCH($B44,'Nov 30 - Dec 6'!$B$2:$B$111,0))</f>
        <v>0</v>
      </c>
      <c r="I44" s="15">
        <f t="array" ref="I44">INDEX('Dec 7 - Dec 13'!I$2:I$113,MATCH($B44,'Dec 7 - Dec 13'!$B$2:$B$113,0))-INDEX('Nov 30 - Dec 6'!I$2:I$111,MATCH($B44,'Nov 30 - Dec 6'!$B$2:$B$111,0))</f>
        <v>0</v>
      </c>
      <c r="J44" s="15">
        <f t="array" ref="J44">INDEX('Dec 7 - Dec 13'!J$2:J$113,MATCH($B44,'Dec 7 - Dec 13'!$B$2:$B$113,0))-INDEX('Nov 30 - Dec 6'!J$2:J$111,MATCH($B44,'Nov 30 - Dec 6'!$B$2:$B$111,0))</f>
        <v>0</v>
      </c>
      <c r="K44" s="15">
        <f t="array" ref="K44">INDEX('Dec 7 - Dec 13'!K$2:K$113,MATCH($B44,'Dec 7 - Dec 13'!$B$2:$B$113,0))-INDEX('Nov 30 - Dec 6'!K$2:K$111,MATCH($B44,'Nov 30 - Dec 6'!$B$2:$B$111,0))</f>
        <v>0</v>
      </c>
    </row>
    <row r="45" spans="2:11" ht="12.75">
      <c r="B45" s="13" t="s">
        <v>105</v>
      </c>
      <c r="C45" s="14" t="str">
        <f t="array" aca="1" ref="C45" ca="1">INDEX('Rooms Master'!U:U,MATCH(B45,'Rooms Master'!D:D,0))</f>
        <v>Y</v>
      </c>
      <c r="D45" s="15">
        <f t="array" ref="D45">INDEX('Dec 7 - Dec 13'!D$2:D$113,MATCH($B45,'Dec 7 - Dec 13'!$B$2:$B$113,0))-INDEX('Nov 30 - Dec 6'!D$2:D$111,MATCH($B45,'Nov 30 - Dec 6'!$B$2:$B$111,0))</f>
        <v>15</v>
      </c>
      <c r="E45" s="15">
        <f t="array" ref="E45">INDEX('Dec 7 - Dec 13'!E$2:E$113,MATCH($B45,'Dec 7 - Dec 13'!$B$2:$B$113,0))-INDEX('Nov 30 - Dec 6'!E$2:E$111,MATCH($B45,'Nov 30 - Dec 6'!$B$2:$B$111,0))</f>
        <v>5</v>
      </c>
      <c r="F45" s="15">
        <f t="array" ref="F45">INDEX('Dec 7 - Dec 13'!F$2:F$113,MATCH($B45,'Dec 7 - Dec 13'!$B$2:$B$113,0))-INDEX('Nov 30 - Dec 6'!F$2:F$111,MATCH($B45,'Nov 30 - Dec 6'!$B$2:$B$111,0))</f>
        <v>0</v>
      </c>
      <c r="G45" s="15">
        <f t="array" ref="G45">INDEX('Dec 7 - Dec 13'!G$2:G$113,MATCH($B45,'Dec 7 - Dec 13'!$B$2:$B$113,0))-INDEX('Nov 30 - Dec 6'!G$2:G$111,MATCH($B45,'Nov 30 - Dec 6'!$B$2:$B$111,0))</f>
        <v>0</v>
      </c>
      <c r="H45" s="15">
        <f t="array" ref="H45">INDEX('Dec 7 - Dec 13'!H$2:H$113,MATCH($B45,'Dec 7 - Dec 13'!$B$2:$B$113,0))-INDEX('Nov 30 - Dec 6'!H$2:H$111,MATCH($B45,'Nov 30 - Dec 6'!$B$2:$B$111,0))</f>
        <v>0</v>
      </c>
      <c r="I45" s="15">
        <f t="array" ref="I45">INDEX('Dec 7 - Dec 13'!I$2:I$113,MATCH($B45,'Dec 7 - Dec 13'!$B$2:$B$113,0))-INDEX('Nov 30 - Dec 6'!I$2:I$111,MATCH($B45,'Nov 30 - Dec 6'!$B$2:$B$111,0))</f>
        <v>0</v>
      </c>
      <c r="J45" s="15">
        <f t="array" ref="J45">INDEX('Dec 7 - Dec 13'!J$2:J$113,MATCH($B45,'Dec 7 - Dec 13'!$B$2:$B$113,0))-INDEX('Nov 30 - Dec 6'!J$2:J$111,MATCH($B45,'Nov 30 - Dec 6'!$B$2:$B$111,0))</f>
        <v>0</v>
      </c>
      <c r="K45" s="15">
        <f t="array" ref="K45">INDEX('Dec 7 - Dec 13'!K$2:K$113,MATCH($B45,'Dec 7 - Dec 13'!$B$2:$B$113,0))-INDEX('Nov 30 - Dec 6'!K$2:K$111,MATCH($B45,'Nov 30 - Dec 6'!$B$2:$B$111,0))</f>
        <v>0</v>
      </c>
    </row>
    <row r="46" spans="2:11" ht="12.75">
      <c r="B46" s="13" t="s">
        <v>17</v>
      </c>
      <c r="C46" s="14" t="str">
        <f t="array" aca="1" ref="C46" ca="1">INDEX('Rooms Master'!U:U,MATCH(B46,'Rooms Master'!D:D,0))</f>
        <v>Y</v>
      </c>
      <c r="D46" s="15">
        <f t="array" ref="D46">INDEX('Dec 7 - Dec 13'!D$2:D$113,MATCH($B46,'Dec 7 - Dec 13'!$B$2:$B$113,0))-INDEX('Nov 30 - Dec 6'!D$2:D$111,MATCH($B46,'Nov 30 - Dec 6'!$B$2:$B$111,0))</f>
        <v>-40</v>
      </c>
      <c r="E46" s="15">
        <f t="array" ref="E46">INDEX('Dec 7 - Dec 13'!E$2:E$113,MATCH($B46,'Dec 7 - Dec 13'!$B$2:$B$113,0))-INDEX('Nov 30 - Dec 6'!E$2:E$111,MATCH($B46,'Nov 30 - Dec 6'!$B$2:$B$111,0))</f>
        <v>4</v>
      </c>
      <c r="F46" s="15">
        <f t="array" ref="F46">INDEX('Dec 7 - Dec 13'!F$2:F$113,MATCH($B46,'Dec 7 - Dec 13'!$B$2:$B$113,0))-INDEX('Nov 30 - Dec 6'!F$2:F$111,MATCH($B46,'Nov 30 - Dec 6'!$B$2:$B$111,0))</f>
        <v>0</v>
      </c>
      <c r="G46" s="15">
        <f t="array" ref="G46">INDEX('Dec 7 - Dec 13'!G$2:G$113,MATCH($B46,'Dec 7 - Dec 13'!$B$2:$B$113,0))-INDEX('Nov 30 - Dec 6'!G$2:G$111,MATCH($B46,'Nov 30 - Dec 6'!$B$2:$B$111,0))</f>
        <v>-1</v>
      </c>
      <c r="H46" s="15">
        <f t="array" ref="H46">INDEX('Dec 7 - Dec 13'!H$2:H$113,MATCH($B46,'Dec 7 - Dec 13'!$B$2:$B$113,0))-INDEX('Nov 30 - Dec 6'!H$2:H$111,MATCH($B46,'Nov 30 - Dec 6'!$B$2:$B$111,0))</f>
        <v>0</v>
      </c>
      <c r="I46" s="15">
        <f t="array" ref="I46">INDEX('Dec 7 - Dec 13'!I$2:I$113,MATCH($B46,'Dec 7 - Dec 13'!$B$2:$B$113,0))-INDEX('Nov 30 - Dec 6'!I$2:I$111,MATCH($B46,'Nov 30 - Dec 6'!$B$2:$B$111,0))</f>
        <v>0</v>
      </c>
      <c r="J46" s="15">
        <f t="array" ref="J46">INDEX('Dec 7 - Dec 13'!J$2:J$113,MATCH($B46,'Dec 7 - Dec 13'!$B$2:$B$113,0))-INDEX('Nov 30 - Dec 6'!J$2:J$111,MATCH($B46,'Nov 30 - Dec 6'!$B$2:$B$111,0))</f>
        <v>0</v>
      </c>
      <c r="K46" s="15">
        <f t="array" ref="K46">INDEX('Dec 7 - Dec 13'!K$2:K$113,MATCH($B46,'Dec 7 - Dec 13'!$B$2:$B$113,0))-INDEX('Nov 30 - Dec 6'!K$2:K$111,MATCH($B46,'Nov 30 - Dec 6'!$B$2:$B$111,0))</f>
        <v>0</v>
      </c>
    </row>
    <row r="47" spans="2:11" ht="12.75">
      <c r="B47" s="13" t="s">
        <v>107</v>
      </c>
      <c r="C47" s="14" t="str">
        <f t="array" aca="1" ref="C47" ca="1">INDEX('Rooms Master'!U:U,MATCH(B47,'Rooms Master'!D:D,0))</f>
        <v>Y</v>
      </c>
      <c r="D47" s="15">
        <f t="array" ref="D47">INDEX('Dec 7 - Dec 13'!D$2:D$113,MATCH($B47,'Dec 7 - Dec 13'!$B$2:$B$113,0))-INDEX('Nov 30 - Dec 6'!D$2:D$111,MATCH($B47,'Nov 30 - Dec 6'!$B$2:$B$111,0))</f>
        <v>0</v>
      </c>
      <c r="E47" s="15">
        <f t="array" ref="E47">INDEX('Dec 7 - Dec 13'!E$2:E$113,MATCH($B47,'Dec 7 - Dec 13'!$B$2:$B$113,0))-INDEX('Nov 30 - Dec 6'!E$2:E$111,MATCH($B47,'Nov 30 - Dec 6'!$B$2:$B$111,0))</f>
        <v>4</v>
      </c>
      <c r="F47" s="15">
        <f t="array" ref="F47">INDEX('Dec 7 - Dec 13'!F$2:F$113,MATCH($B47,'Dec 7 - Dec 13'!$B$2:$B$113,0))-INDEX('Nov 30 - Dec 6'!F$2:F$111,MATCH($B47,'Nov 30 - Dec 6'!$B$2:$B$111,0))</f>
        <v>4</v>
      </c>
      <c r="G47" s="15">
        <f t="array" ref="G47">INDEX('Dec 7 - Dec 13'!G$2:G$113,MATCH($B47,'Dec 7 - Dec 13'!$B$2:$B$113,0))-INDEX('Nov 30 - Dec 6'!G$2:G$111,MATCH($B47,'Nov 30 - Dec 6'!$B$2:$B$111,0))</f>
        <v>0</v>
      </c>
      <c r="H47" s="15">
        <f t="array" ref="H47">INDEX('Dec 7 - Dec 13'!H$2:H$113,MATCH($B47,'Dec 7 - Dec 13'!$B$2:$B$113,0))-INDEX('Nov 30 - Dec 6'!H$2:H$111,MATCH($B47,'Nov 30 - Dec 6'!$B$2:$B$111,0))</f>
        <v>0</v>
      </c>
      <c r="I47" s="15">
        <f t="array" ref="I47">INDEX('Dec 7 - Dec 13'!I$2:I$113,MATCH($B47,'Dec 7 - Dec 13'!$B$2:$B$113,0))-INDEX('Nov 30 - Dec 6'!I$2:I$111,MATCH($B47,'Nov 30 - Dec 6'!$B$2:$B$111,0))</f>
        <v>0</v>
      </c>
      <c r="J47" s="15">
        <f t="array" ref="J47">INDEX('Dec 7 - Dec 13'!J$2:J$113,MATCH($B47,'Dec 7 - Dec 13'!$B$2:$B$113,0))-INDEX('Nov 30 - Dec 6'!J$2:J$111,MATCH($B47,'Nov 30 - Dec 6'!$B$2:$B$111,0))</f>
        <v>0</v>
      </c>
      <c r="K47" s="15">
        <f t="array" ref="K47">INDEX('Dec 7 - Dec 13'!K$2:K$113,MATCH($B47,'Dec 7 - Dec 13'!$B$2:$B$113,0))-INDEX('Nov 30 - Dec 6'!K$2:K$111,MATCH($B47,'Nov 30 - Dec 6'!$B$2:$B$111,0))</f>
        <v>0</v>
      </c>
    </row>
    <row r="48" spans="2:11" ht="12.75">
      <c r="B48" s="13" t="s">
        <v>66</v>
      </c>
      <c r="C48" s="14" t="str">
        <f t="array" aca="1" ref="C48" ca="1">INDEX('Rooms Master'!U:U,MATCH(B48,'Rooms Master'!D:D,0))</f>
        <v>Y</v>
      </c>
      <c r="D48" s="15">
        <f t="array" ref="D48">INDEX('Dec 7 - Dec 13'!D$2:D$113,MATCH($B48,'Dec 7 - Dec 13'!$B$2:$B$113,0))-INDEX('Nov 30 - Dec 6'!D$2:D$111,MATCH($B48,'Nov 30 - Dec 6'!$B$2:$B$111,0))</f>
        <v>-64</v>
      </c>
      <c r="E48" s="15">
        <f t="array" ref="E48">INDEX('Dec 7 - Dec 13'!E$2:E$113,MATCH($B48,'Dec 7 - Dec 13'!$B$2:$B$113,0))-INDEX('Nov 30 - Dec 6'!E$2:E$111,MATCH($B48,'Nov 30 - Dec 6'!$B$2:$B$111,0))</f>
        <v>4</v>
      </c>
      <c r="F48" s="15">
        <f t="array" ref="F48">INDEX('Dec 7 - Dec 13'!F$2:F$113,MATCH($B48,'Dec 7 - Dec 13'!$B$2:$B$113,0))-INDEX('Nov 30 - Dec 6'!F$2:F$111,MATCH($B48,'Nov 30 - Dec 6'!$B$2:$B$111,0))</f>
        <v>5</v>
      </c>
      <c r="G48" s="15">
        <f t="array" ref="G48">INDEX('Dec 7 - Dec 13'!G$2:G$113,MATCH($B48,'Dec 7 - Dec 13'!$B$2:$B$113,0))-INDEX('Nov 30 - Dec 6'!G$2:G$111,MATCH($B48,'Nov 30 - Dec 6'!$B$2:$B$111,0))</f>
        <v>-1</v>
      </c>
      <c r="H48" s="15">
        <f t="array" ref="H48">INDEX('Dec 7 - Dec 13'!H$2:H$113,MATCH($B48,'Dec 7 - Dec 13'!$B$2:$B$113,0))-INDEX('Nov 30 - Dec 6'!H$2:H$111,MATCH($B48,'Nov 30 - Dec 6'!$B$2:$B$111,0))</f>
        <v>-3</v>
      </c>
      <c r="I48" s="15">
        <f t="array" ref="I48">INDEX('Dec 7 - Dec 13'!I$2:I$113,MATCH($B48,'Dec 7 - Dec 13'!$B$2:$B$113,0))-INDEX('Nov 30 - Dec 6'!I$2:I$111,MATCH($B48,'Nov 30 - Dec 6'!$B$2:$B$111,0))</f>
        <v>-1</v>
      </c>
      <c r="J48" s="15">
        <f t="array" ref="J48">INDEX('Dec 7 - Dec 13'!J$2:J$113,MATCH($B48,'Dec 7 - Dec 13'!$B$2:$B$113,0))-INDEX('Nov 30 - Dec 6'!J$2:J$111,MATCH($B48,'Nov 30 - Dec 6'!$B$2:$B$111,0))</f>
        <v>-1</v>
      </c>
      <c r="K48" s="15">
        <f t="array" ref="K48">INDEX('Dec 7 - Dec 13'!K$2:K$113,MATCH($B48,'Dec 7 - Dec 13'!$B$2:$B$113,0))-INDEX('Nov 30 - Dec 6'!K$2:K$111,MATCH($B48,'Nov 30 - Dec 6'!$B$2:$B$111,0))</f>
        <v>-1</v>
      </c>
    </row>
    <row r="49" spans="2:11" ht="12.75">
      <c r="B49" s="13" t="s">
        <v>19</v>
      </c>
      <c r="C49" s="14" t="str">
        <f t="array" aca="1" ref="C49" ca="1">INDEX('Rooms Master'!U:U,MATCH(B49,'Rooms Master'!D:D,0))</f>
        <v>N</v>
      </c>
      <c r="D49" s="15">
        <f t="array" ref="D49">INDEX('Dec 7 - Dec 13'!D$2:D$113,MATCH($B49,'Dec 7 - Dec 13'!$B$2:$B$113,0))-INDEX('Nov 30 - Dec 6'!D$2:D$111,MATCH($B49,'Nov 30 - Dec 6'!$B$2:$B$111,0))</f>
        <v>31</v>
      </c>
      <c r="E49" s="15">
        <f t="array" ref="E49">INDEX('Dec 7 - Dec 13'!E$2:E$113,MATCH($B49,'Dec 7 - Dec 13'!$B$2:$B$113,0))-INDEX('Nov 30 - Dec 6'!E$2:E$111,MATCH($B49,'Nov 30 - Dec 6'!$B$2:$B$111,0))</f>
        <v>3</v>
      </c>
      <c r="F49" s="15">
        <f t="array" ref="F49">INDEX('Dec 7 - Dec 13'!F$2:F$113,MATCH($B49,'Dec 7 - Dec 13'!$B$2:$B$113,0))-INDEX('Nov 30 - Dec 6'!F$2:F$111,MATCH($B49,'Nov 30 - Dec 6'!$B$2:$B$111,0))</f>
        <v>-6</v>
      </c>
      <c r="G49" s="15">
        <f t="array" ref="G49">INDEX('Dec 7 - Dec 13'!G$2:G$113,MATCH($B49,'Dec 7 - Dec 13'!$B$2:$B$113,0))-INDEX('Nov 30 - Dec 6'!G$2:G$111,MATCH($B49,'Nov 30 - Dec 6'!$B$2:$B$111,0))</f>
        <v>-1</v>
      </c>
      <c r="H49" s="15">
        <f t="array" ref="H49">INDEX('Dec 7 - Dec 13'!H$2:H$113,MATCH($B49,'Dec 7 - Dec 13'!$B$2:$B$113,0))-INDEX('Nov 30 - Dec 6'!H$2:H$111,MATCH($B49,'Nov 30 - Dec 6'!$B$2:$B$111,0))</f>
        <v>1</v>
      </c>
      <c r="I49" s="15">
        <f t="array" ref="I49">INDEX('Dec 7 - Dec 13'!I$2:I$113,MATCH($B49,'Dec 7 - Dec 13'!$B$2:$B$113,0))-INDEX('Nov 30 - Dec 6'!I$2:I$111,MATCH($B49,'Nov 30 - Dec 6'!$B$2:$B$111,0))</f>
        <v>1</v>
      </c>
      <c r="J49" s="15">
        <f t="array" ref="J49">INDEX('Dec 7 - Dec 13'!J$2:J$113,MATCH($B49,'Dec 7 - Dec 13'!$B$2:$B$113,0))-INDEX('Nov 30 - Dec 6'!J$2:J$111,MATCH($B49,'Nov 30 - Dec 6'!$B$2:$B$111,0))</f>
        <v>0</v>
      </c>
      <c r="K49" s="15">
        <f t="array" ref="K49">INDEX('Dec 7 - Dec 13'!K$2:K$113,MATCH($B49,'Dec 7 - Dec 13'!$B$2:$B$113,0))-INDEX('Nov 30 - Dec 6'!K$2:K$111,MATCH($B49,'Nov 30 - Dec 6'!$B$2:$B$111,0))</f>
        <v>0</v>
      </c>
    </row>
    <row r="50" spans="2:11" ht="12.75">
      <c r="B50" s="13" t="s">
        <v>79</v>
      </c>
      <c r="C50" s="14" t="str">
        <f t="array" aca="1" ref="C50" ca="1">INDEX('Rooms Master'!U:U,MATCH(B50,'Rooms Master'!D:D,0))</f>
        <v>Y</v>
      </c>
      <c r="D50" s="15">
        <f t="array" ref="D50">INDEX('Dec 7 - Dec 13'!D$2:D$113,MATCH($B50,'Dec 7 - Dec 13'!$B$2:$B$113,0))-INDEX('Nov 30 - Dec 6'!D$2:D$111,MATCH($B50,'Nov 30 - Dec 6'!$B$2:$B$111,0))</f>
        <v>3</v>
      </c>
      <c r="E50" s="15">
        <f t="array" ref="E50">INDEX('Dec 7 - Dec 13'!E$2:E$113,MATCH($B50,'Dec 7 - Dec 13'!$B$2:$B$113,0))-INDEX('Nov 30 - Dec 6'!E$2:E$111,MATCH($B50,'Nov 30 - Dec 6'!$B$2:$B$111,0))</f>
        <v>3</v>
      </c>
      <c r="F50" s="15">
        <f t="array" ref="F50">INDEX('Dec 7 - Dec 13'!F$2:F$113,MATCH($B50,'Dec 7 - Dec 13'!$B$2:$B$113,0))-INDEX('Nov 30 - Dec 6'!F$2:F$111,MATCH($B50,'Nov 30 - Dec 6'!$B$2:$B$111,0))</f>
        <v>0</v>
      </c>
      <c r="G50" s="15">
        <f t="array" ref="G50">INDEX('Dec 7 - Dec 13'!G$2:G$113,MATCH($B50,'Dec 7 - Dec 13'!$B$2:$B$113,0))-INDEX('Nov 30 - Dec 6'!G$2:G$111,MATCH($B50,'Nov 30 - Dec 6'!$B$2:$B$111,0))</f>
        <v>0</v>
      </c>
      <c r="H50" s="15">
        <f t="array" ref="H50">INDEX('Dec 7 - Dec 13'!H$2:H$113,MATCH($B50,'Dec 7 - Dec 13'!$B$2:$B$113,0))-INDEX('Nov 30 - Dec 6'!H$2:H$111,MATCH($B50,'Nov 30 - Dec 6'!$B$2:$B$111,0))</f>
        <v>0</v>
      </c>
      <c r="I50" s="15">
        <f t="array" ref="I50">INDEX('Dec 7 - Dec 13'!I$2:I$113,MATCH($B50,'Dec 7 - Dec 13'!$B$2:$B$113,0))-INDEX('Nov 30 - Dec 6'!I$2:I$111,MATCH($B50,'Nov 30 - Dec 6'!$B$2:$B$111,0))</f>
        <v>0</v>
      </c>
      <c r="J50" s="15">
        <f t="array" ref="J50">INDEX('Dec 7 - Dec 13'!J$2:J$113,MATCH($B50,'Dec 7 - Dec 13'!$B$2:$B$113,0))-INDEX('Nov 30 - Dec 6'!J$2:J$111,MATCH($B50,'Nov 30 - Dec 6'!$B$2:$B$111,0))</f>
        <v>0</v>
      </c>
      <c r="K50" s="15">
        <f t="array" ref="K50">INDEX('Dec 7 - Dec 13'!K$2:K$113,MATCH($B50,'Dec 7 - Dec 13'!$B$2:$B$113,0))-INDEX('Nov 30 - Dec 6'!K$2:K$111,MATCH($B50,'Nov 30 - Dec 6'!$B$2:$B$111,0))</f>
        <v>0</v>
      </c>
    </row>
    <row r="51" spans="2:11" ht="12.75">
      <c r="B51" s="13" t="s">
        <v>111</v>
      </c>
      <c r="C51" s="14" t="str">
        <f t="array" aca="1" ref="C51" ca="1">INDEX('Rooms Master'!U:U,MATCH(B51,'Rooms Master'!D:D,0))</f>
        <v>N</v>
      </c>
      <c r="D51" s="15">
        <f t="array" ref="D51">INDEX('Dec 7 - Dec 13'!D$2:D$113,MATCH($B51,'Dec 7 - Dec 13'!$B$2:$B$113,0))-INDEX('Nov 30 - Dec 6'!D$2:D$111,MATCH($B51,'Nov 30 - Dec 6'!$B$2:$B$111,0))</f>
        <v>0</v>
      </c>
      <c r="E51" s="15">
        <f t="array" ref="E51">INDEX('Dec 7 - Dec 13'!E$2:E$113,MATCH($B51,'Dec 7 - Dec 13'!$B$2:$B$113,0))-INDEX('Nov 30 - Dec 6'!E$2:E$111,MATCH($B51,'Nov 30 - Dec 6'!$B$2:$B$111,0))</f>
        <v>3</v>
      </c>
      <c r="F51" s="15">
        <f t="array" ref="F51">INDEX('Dec 7 - Dec 13'!F$2:F$113,MATCH($B51,'Dec 7 - Dec 13'!$B$2:$B$113,0))-INDEX('Nov 30 - Dec 6'!F$2:F$111,MATCH($B51,'Nov 30 - Dec 6'!$B$2:$B$111,0))</f>
        <v>1</v>
      </c>
      <c r="G51" s="15">
        <f t="array" ref="G51">INDEX('Dec 7 - Dec 13'!G$2:G$113,MATCH($B51,'Dec 7 - Dec 13'!$B$2:$B$113,0))-INDEX('Nov 30 - Dec 6'!G$2:G$111,MATCH($B51,'Nov 30 - Dec 6'!$B$2:$B$111,0))</f>
        <v>0</v>
      </c>
      <c r="H51" s="15">
        <f t="array" ref="H51">INDEX('Dec 7 - Dec 13'!H$2:H$113,MATCH($B51,'Dec 7 - Dec 13'!$B$2:$B$113,0))-INDEX('Nov 30 - Dec 6'!H$2:H$111,MATCH($B51,'Nov 30 - Dec 6'!$B$2:$B$111,0))</f>
        <v>0</v>
      </c>
      <c r="I51" s="15">
        <f t="array" ref="I51">INDEX('Dec 7 - Dec 13'!I$2:I$113,MATCH($B51,'Dec 7 - Dec 13'!$B$2:$B$113,0))-INDEX('Nov 30 - Dec 6'!I$2:I$111,MATCH($B51,'Nov 30 - Dec 6'!$B$2:$B$111,0))</f>
        <v>0</v>
      </c>
      <c r="J51" s="15">
        <f t="array" ref="J51">INDEX('Dec 7 - Dec 13'!J$2:J$113,MATCH($B51,'Dec 7 - Dec 13'!$B$2:$B$113,0))-INDEX('Nov 30 - Dec 6'!J$2:J$111,MATCH($B51,'Nov 30 - Dec 6'!$B$2:$B$111,0))</f>
        <v>0</v>
      </c>
      <c r="K51" s="15">
        <f t="array" ref="K51">INDEX('Dec 7 - Dec 13'!K$2:K$113,MATCH($B51,'Dec 7 - Dec 13'!$B$2:$B$113,0))-INDEX('Nov 30 - Dec 6'!K$2:K$111,MATCH($B51,'Nov 30 - Dec 6'!$B$2:$B$111,0))</f>
        <v>0</v>
      </c>
    </row>
    <row r="52" spans="2:11" ht="12.75">
      <c r="B52" s="13" t="s">
        <v>94</v>
      </c>
      <c r="C52" s="14" t="str">
        <f t="array" aca="1" ref="C52" ca="1">INDEX('Rooms Master'!U:U,MATCH(B52,'Rooms Master'!D:D,0))</f>
        <v>Y</v>
      </c>
      <c r="D52" s="15">
        <f t="array" ref="D52">INDEX('Dec 7 - Dec 13'!D$2:D$113,MATCH($B52,'Dec 7 - Dec 13'!$B$2:$B$113,0))-INDEX('Nov 30 - Dec 6'!D$2:D$111,MATCH($B52,'Nov 30 - Dec 6'!$B$2:$B$111,0))</f>
        <v>29</v>
      </c>
      <c r="E52" s="15">
        <f t="array" ref="E52">INDEX('Dec 7 - Dec 13'!E$2:E$113,MATCH($B52,'Dec 7 - Dec 13'!$B$2:$B$113,0))-INDEX('Nov 30 - Dec 6'!E$2:E$111,MATCH($B52,'Nov 30 - Dec 6'!$B$2:$B$111,0))</f>
        <v>3</v>
      </c>
      <c r="F52" s="15">
        <f t="array" ref="F52">INDEX('Dec 7 - Dec 13'!F$2:F$113,MATCH($B52,'Dec 7 - Dec 13'!$B$2:$B$113,0))-INDEX('Nov 30 - Dec 6'!F$2:F$111,MATCH($B52,'Nov 30 - Dec 6'!$B$2:$B$111,0))</f>
        <v>8</v>
      </c>
      <c r="G52" s="15">
        <f t="array" ref="G52">INDEX('Dec 7 - Dec 13'!G$2:G$113,MATCH($B52,'Dec 7 - Dec 13'!$B$2:$B$113,0))-INDEX('Nov 30 - Dec 6'!G$2:G$111,MATCH($B52,'Nov 30 - Dec 6'!$B$2:$B$111,0))</f>
        <v>0</v>
      </c>
      <c r="H52" s="15">
        <f t="array" ref="H52">INDEX('Dec 7 - Dec 13'!H$2:H$113,MATCH($B52,'Dec 7 - Dec 13'!$B$2:$B$113,0))-INDEX('Nov 30 - Dec 6'!H$2:H$111,MATCH($B52,'Nov 30 - Dec 6'!$B$2:$B$111,0))</f>
        <v>-1</v>
      </c>
      <c r="I52" s="15">
        <f t="array" ref="I52">INDEX('Dec 7 - Dec 13'!I$2:I$113,MATCH($B52,'Dec 7 - Dec 13'!$B$2:$B$113,0))-INDEX('Nov 30 - Dec 6'!I$2:I$111,MATCH($B52,'Nov 30 - Dec 6'!$B$2:$B$111,0))</f>
        <v>1</v>
      </c>
      <c r="J52" s="15">
        <f t="array" ref="J52">INDEX('Dec 7 - Dec 13'!J$2:J$113,MATCH($B52,'Dec 7 - Dec 13'!$B$2:$B$113,0))-INDEX('Nov 30 - Dec 6'!J$2:J$111,MATCH($B52,'Nov 30 - Dec 6'!$B$2:$B$111,0))</f>
        <v>1</v>
      </c>
      <c r="K52" s="15">
        <f t="array" ref="K52">INDEX('Dec 7 - Dec 13'!K$2:K$113,MATCH($B52,'Dec 7 - Dec 13'!$B$2:$B$113,0))-INDEX('Nov 30 - Dec 6'!K$2:K$111,MATCH($B52,'Nov 30 - Dec 6'!$B$2:$B$111,0))</f>
        <v>1</v>
      </c>
    </row>
    <row r="53" spans="2:11" ht="12.75">
      <c r="B53" s="13" t="s">
        <v>36</v>
      </c>
      <c r="C53" s="14" t="str">
        <f t="array" aca="1" ref="C53" ca="1">INDEX('Rooms Master'!U:U,MATCH(B53,'Rooms Master'!D:D,0))</f>
        <v>Y</v>
      </c>
      <c r="D53" s="15">
        <f t="array" ref="D53">INDEX('Dec 7 - Dec 13'!D$2:D$113,MATCH($B53,'Dec 7 - Dec 13'!$B$2:$B$113,0))-INDEX('Nov 30 - Dec 6'!D$2:D$111,MATCH($B53,'Nov 30 - Dec 6'!$B$2:$B$111,0))</f>
        <v>3</v>
      </c>
      <c r="E53" s="15">
        <f t="array" ref="E53">INDEX('Dec 7 - Dec 13'!E$2:E$113,MATCH($B53,'Dec 7 - Dec 13'!$B$2:$B$113,0))-INDEX('Nov 30 - Dec 6'!E$2:E$111,MATCH($B53,'Nov 30 - Dec 6'!$B$2:$B$111,0))</f>
        <v>2</v>
      </c>
      <c r="F53" s="15">
        <f t="array" ref="F53">INDEX('Dec 7 - Dec 13'!F$2:F$113,MATCH($B53,'Dec 7 - Dec 13'!$B$2:$B$113,0))-INDEX('Nov 30 - Dec 6'!F$2:F$111,MATCH($B53,'Nov 30 - Dec 6'!$B$2:$B$111,0))</f>
        <v>-1</v>
      </c>
      <c r="G53" s="15">
        <f t="array" ref="G53">INDEX('Dec 7 - Dec 13'!G$2:G$113,MATCH($B53,'Dec 7 - Dec 13'!$B$2:$B$113,0))-INDEX('Nov 30 - Dec 6'!G$2:G$111,MATCH($B53,'Nov 30 - Dec 6'!$B$2:$B$111,0))</f>
        <v>-1</v>
      </c>
      <c r="H53" s="15">
        <f t="array" ref="H53">INDEX('Dec 7 - Dec 13'!H$2:H$113,MATCH($B53,'Dec 7 - Dec 13'!$B$2:$B$113,0))-INDEX('Nov 30 - Dec 6'!H$2:H$111,MATCH($B53,'Nov 30 - Dec 6'!$B$2:$B$111,0))</f>
        <v>1</v>
      </c>
      <c r="I53" s="15">
        <f t="array" ref="I53">INDEX('Dec 7 - Dec 13'!I$2:I$113,MATCH($B53,'Dec 7 - Dec 13'!$B$2:$B$113,0))-INDEX('Nov 30 - Dec 6'!I$2:I$111,MATCH($B53,'Nov 30 - Dec 6'!$B$2:$B$111,0))</f>
        <v>0</v>
      </c>
      <c r="J53" s="15">
        <f t="array" ref="J53">INDEX('Dec 7 - Dec 13'!J$2:J$113,MATCH($B53,'Dec 7 - Dec 13'!$B$2:$B$113,0))-INDEX('Nov 30 - Dec 6'!J$2:J$111,MATCH($B53,'Nov 30 - Dec 6'!$B$2:$B$111,0))</f>
        <v>0</v>
      </c>
      <c r="K53" s="15">
        <f t="array" ref="K53">INDEX('Dec 7 - Dec 13'!K$2:K$113,MATCH($B53,'Dec 7 - Dec 13'!$B$2:$B$113,0))-INDEX('Nov 30 - Dec 6'!K$2:K$111,MATCH($B53,'Nov 30 - Dec 6'!$B$2:$B$111,0))</f>
        <v>0</v>
      </c>
    </row>
    <row r="54" spans="2:11" ht="12.75">
      <c r="B54" s="13" t="s">
        <v>46</v>
      </c>
      <c r="C54" s="14" t="str">
        <f t="array" aca="1" ref="C54" ca="1">INDEX('Rooms Master'!U:U,MATCH(B54,'Rooms Master'!D:D,0))</f>
        <v>Y</v>
      </c>
      <c r="D54" s="15">
        <f t="array" ref="D54">INDEX('Dec 7 - Dec 13'!D$2:D$113,MATCH($B54,'Dec 7 - Dec 13'!$B$2:$B$113,0))-INDEX('Nov 30 - Dec 6'!D$2:D$111,MATCH($B54,'Nov 30 - Dec 6'!$B$2:$B$111,0))</f>
        <v>32</v>
      </c>
      <c r="E54" s="15">
        <f t="array" ref="E54">INDEX('Dec 7 - Dec 13'!E$2:E$113,MATCH($B54,'Dec 7 - Dec 13'!$B$2:$B$113,0))-INDEX('Nov 30 - Dec 6'!E$2:E$111,MATCH($B54,'Nov 30 - Dec 6'!$B$2:$B$111,0))</f>
        <v>2</v>
      </c>
      <c r="F54" s="15">
        <f t="array" ref="F54">INDEX('Dec 7 - Dec 13'!F$2:F$113,MATCH($B54,'Dec 7 - Dec 13'!$B$2:$B$113,0))-INDEX('Nov 30 - Dec 6'!F$2:F$111,MATCH($B54,'Nov 30 - Dec 6'!$B$2:$B$111,0))</f>
        <v>2</v>
      </c>
      <c r="G54" s="15">
        <f t="array" ref="G54">INDEX('Dec 7 - Dec 13'!G$2:G$113,MATCH($B54,'Dec 7 - Dec 13'!$B$2:$B$113,0))-INDEX('Nov 30 - Dec 6'!G$2:G$111,MATCH($B54,'Nov 30 - Dec 6'!$B$2:$B$111,0))</f>
        <v>0</v>
      </c>
      <c r="H54" s="15">
        <f t="array" ref="H54">INDEX('Dec 7 - Dec 13'!H$2:H$113,MATCH($B54,'Dec 7 - Dec 13'!$B$2:$B$113,0))-INDEX('Nov 30 - Dec 6'!H$2:H$111,MATCH($B54,'Nov 30 - Dec 6'!$B$2:$B$111,0))</f>
        <v>0</v>
      </c>
      <c r="I54" s="15">
        <f t="array" ref="I54">INDEX('Dec 7 - Dec 13'!I$2:I$113,MATCH($B54,'Dec 7 - Dec 13'!$B$2:$B$113,0))-INDEX('Nov 30 - Dec 6'!I$2:I$111,MATCH($B54,'Nov 30 - Dec 6'!$B$2:$B$111,0))</f>
        <v>-1</v>
      </c>
      <c r="J54" s="15">
        <f t="array" ref="J54">INDEX('Dec 7 - Dec 13'!J$2:J$113,MATCH($B54,'Dec 7 - Dec 13'!$B$2:$B$113,0))-INDEX('Nov 30 - Dec 6'!J$2:J$111,MATCH($B54,'Nov 30 - Dec 6'!$B$2:$B$111,0))</f>
        <v>0</v>
      </c>
      <c r="K54" s="15">
        <f t="array" ref="K54">INDEX('Dec 7 - Dec 13'!K$2:K$113,MATCH($B54,'Dec 7 - Dec 13'!$B$2:$B$113,0))-INDEX('Nov 30 - Dec 6'!K$2:K$111,MATCH($B54,'Nov 30 - Dec 6'!$B$2:$B$111,0))</f>
        <v>0</v>
      </c>
    </row>
    <row r="55" spans="2:11" ht="12.75">
      <c r="B55" s="13" t="s">
        <v>104</v>
      </c>
      <c r="C55" s="14" t="str">
        <f t="array" aca="1" ref="C55" ca="1">INDEX('Rooms Master'!U:U,MATCH(B55,'Rooms Master'!D:D,0))</f>
        <v>N</v>
      </c>
      <c r="D55" s="15">
        <f t="array" ref="D55">INDEX('Dec 7 - Dec 13'!D$2:D$113,MATCH($B55,'Dec 7 - Dec 13'!$B$2:$B$113,0))-INDEX('Nov 30 - Dec 6'!D$2:D$111,MATCH($B55,'Nov 30 - Dec 6'!$B$2:$B$111,0))</f>
        <v>32</v>
      </c>
      <c r="E55" s="15">
        <f t="array" ref="E55">INDEX('Dec 7 - Dec 13'!E$2:E$113,MATCH($B55,'Dec 7 - Dec 13'!$B$2:$B$113,0))-INDEX('Nov 30 - Dec 6'!E$2:E$111,MATCH($B55,'Nov 30 - Dec 6'!$B$2:$B$111,0))</f>
        <v>2</v>
      </c>
      <c r="F55" s="15">
        <f t="array" ref="F55">INDEX('Dec 7 - Dec 13'!F$2:F$113,MATCH($B55,'Dec 7 - Dec 13'!$B$2:$B$113,0))-INDEX('Nov 30 - Dec 6'!F$2:F$111,MATCH($B55,'Nov 30 - Dec 6'!$B$2:$B$111,0))</f>
        <v>-2</v>
      </c>
      <c r="G55" s="15">
        <f t="array" ref="G55">INDEX('Dec 7 - Dec 13'!G$2:G$113,MATCH($B55,'Dec 7 - Dec 13'!$B$2:$B$113,0))-INDEX('Nov 30 - Dec 6'!G$2:G$111,MATCH($B55,'Nov 30 - Dec 6'!$B$2:$B$111,0))</f>
        <v>-1</v>
      </c>
      <c r="H55" s="15">
        <f t="array" ref="H55">INDEX('Dec 7 - Dec 13'!H$2:H$113,MATCH($B55,'Dec 7 - Dec 13'!$B$2:$B$113,0))-INDEX('Nov 30 - Dec 6'!H$2:H$111,MATCH($B55,'Nov 30 - Dec 6'!$B$2:$B$111,0))</f>
        <v>-1</v>
      </c>
      <c r="I55" s="15">
        <f t="array" ref="I55">INDEX('Dec 7 - Dec 13'!I$2:I$113,MATCH($B55,'Dec 7 - Dec 13'!$B$2:$B$113,0))-INDEX('Nov 30 - Dec 6'!I$2:I$111,MATCH($B55,'Nov 30 - Dec 6'!$B$2:$B$111,0))</f>
        <v>1</v>
      </c>
      <c r="J55" s="15">
        <f t="array" ref="J55">INDEX('Dec 7 - Dec 13'!J$2:J$113,MATCH($B55,'Dec 7 - Dec 13'!$B$2:$B$113,0))-INDEX('Nov 30 - Dec 6'!J$2:J$111,MATCH($B55,'Nov 30 - Dec 6'!$B$2:$B$111,0))</f>
        <v>0</v>
      </c>
      <c r="K55" s="15">
        <f t="array" ref="K55">INDEX('Dec 7 - Dec 13'!K$2:K$113,MATCH($B55,'Dec 7 - Dec 13'!$B$2:$B$113,0))-INDEX('Nov 30 - Dec 6'!K$2:K$111,MATCH($B55,'Nov 30 - Dec 6'!$B$2:$B$111,0))</f>
        <v>0</v>
      </c>
    </row>
    <row r="56" spans="2:11" ht="12.75">
      <c r="B56" s="13" t="s">
        <v>42</v>
      </c>
      <c r="C56" s="14" t="str">
        <f t="array" aca="1" ref="C56" ca="1">INDEX('Rooms Master'!U:U,MATCH(B56,'Rooms Master'!D:D,0))</f>
        <v>Y</v>
      </c>
      <c r="D56" s="15">
        <f t="array" ref="D56">INDEX('Dec 7 - Dec 13'!D$2:D$113,MATCH($B56,'Dec 7 - Dec 13'!$B$2:$B$113,0))-INDEX('Nov 30 - Dec 6'!D$2:D$111,MATCH($B56,'Nov 30 - Dec 6'!$B$2:$B$111,0))</f>
        <v>19</v>
      </c>
      <c r="E56" s="15">
        <f t="array" ref="E56">INDEX('Dec 7 - Dec 13'!E$2:E$113,MATCH($B56,'Dec 7 - Dec 13'!$B$2:$B$113,0))-INDEX('Nov 30 - Dec 6'!E$2:E$111,MATCH($B56,'Nov 30 - Dec 6'!$B$2:$B$111,0))</f>
        <v>2</v>
      </c>
      <c r="F56" s="15">
        <f t="array" ref="F56">INDEX('Dec 7 - Dec 13'!F$2:F$113,MATCH($B56,'Dec 7 - Dec 13'!$B$2:$B$113,0))-INDEX('Nov 30 - Dec 6'!F$2:F$111,MATCH($B56,'Nov 30 - Dec 6'!$B$2:$B$111,0))</f>
        <v>1</v>
      </c>
      <c r="G56" s="15">
        <f t="array" ref="G56">INDEX('Dec 7 - Dec 13'!G$2:G$113,MATCH($B56,'Dec 7 - Dec 13'!$B$2:$B$113,0))-INDEX('Nov 30 - Dec 6'!G$2:G$111,MATCH($B56,'Nov 30 - Dec 6'!$B$2:$B$111,0))</f>
        <v>0</v>
      </c>
      <c r="H56" s="15">
        <f t="array" ref="H56">INDEX('Dec 7 - Dec 13'!H$2:H$113,MATCH($B56,'Dec 7 - Dec 13'!$B$2:$B$113,0))-INDEX('Nov 30 - Dec 6'!H$2:H$111,MATCH($B56,'Nov 30 - Dec 6'!$B$2:$B$111,0))</f>
        <v>-5</v>
      </c>
      <c r="I56" s="15">
        <f t="array" ref="I56">INDEX('Dec 7 - Dec 13'!I$2:I$113,MATCH($B56,'Dec 7 - Dec 13'!$B$2:$B$113,0))-INDEX('Nov 30 - Dec 6'!I$2:I$111,MATCH($B56,'Nov 30 - Dec 6'!$B$2:$B$111,0))</f>
        <v>0</v>
      </c>
      <c r="J56" s="15">
        <f t="array" ref="J56">INDEX('Dec 7 - Dec 13'!J$2:J$113,MATCH($B56,'Dec 7 - Dec 13'!$B$2:$B$113,0))-INDEX('Nov 30 - Dec 6'!J$2:J$111,MATCH($B56,'Nov 30 - Dec 6'!$B$2:$B$111,0))</f>
        <v>0</v>
      </c>
      <c r="K56" s="15">
        <f t="array" ref="K56">INDEX('Dec 7 - Dec 13'!K$2:K$113,MATCH($B56,'Dec 7 - Dec 13'!$B$2:$B$113,0))-INDEX('Nov 30 - Dec 6'!K$2:K$111,MATCH($B56,'Nov 30 - Dec 6'!$B$2:$B$111,0))</f>
        <v>0</v>
      </c>
    </row>
    <row r="57" spans="2:11" ht="12.75">
      <c r="B57" s="13" t="s">
        <v>122</v>
      </c>
      <c r="C57" s="14" t="str">
        <f t="array" aca="1" ref="C57" ca="1">INDEX('Rooms Master'!U:U,MATCH(B57,'Rooms Master'!D:D,0))</f>
        <v>N</v>
      </c>
      <c r="D57" s="15">
        <f t="array" ref="D57">INDEX('Dec 7 - Dec 13'!D$2:D$113,MATCH($B57,'Dec 7 - Dec 13'!$B$2:$B$113,0))-INDEX('Nov 30 - Dec 6'!D$2:D$111,MATCH($B57,'Nov 30 - Dec 6'!$B$2:$B$111,0))</f>
        <v>0</v>
      </c>
      <c r="E57" s="15">
        <f t="array" ref="E57">INDEX('Dec 7 - Dec 13'!E$2:E$113,MATCH($B57,'Dec 7 - Dec 13'!$B$2:$B$113,0))-INDEX('Nov 30 - Dec 6'!E$2:E$111,MATCH($B57,'Nov 30 - Dec 6'!$B$2:$B$111,0))</f>
        <v>1</v>
      </c>
      <c r="F57" s="15">
        <f t="array" ref="F57">INDEX('Dec 7 - Dec 13'!F$2:F$113,MATCH($B57,'Dec 7 - Dec 13'!$B$2:$B$113,0))-INDEX('Nov 30 - Dec 6'!F$2:F$111,MATCH($B57,'Nov 30 - Dec 6'!$B$2:$B$111,0))</f>
        <v>1</v>
      </c>
      <c r="G57" s="15">
        <f t="array" ref="G57">INDEX('Dec 7 - Dec 13'!G$2:G$113,MATCH($B57,'Dec 7 - Dec 13'!$B$2:$B$113,0))-INDEX('Nov 30 - Dec 6'!G$2:G$111,MATCH($B57,'Nov 30 - Dec 6'!$B$2:$B$111,0))</f>
        <v>0</v>
      </c>
      <c r="H57" s="15">
        <f t="array" ref="H57">INDEX('Dec 7 - Dec 13'!H$2:H$113,MATCH($B57,'Dec 7 - Dec 13'!$B$2:$B$113,0))-INDEX('Nov 30 - Dec 6'!H$2:H$111,MATCH($B57,'Nov 30 - Dec 6'!$B$2:$B$111,0))</f>
        <v>0</v>
      </c>
      <c r="I57" s="15">
        <f t="array" ref="I57">INDEX('Dec 7 - Dec 13'!I$2:I$113,MATCH($B57,'Dec 7 - Dec 13'!$B$2:$B$113,0))-INDEX('Nov 30 - Dec 6'!I$2:I$111,MATCH($B57,'Nov 30 - Dec 6'!$B$2:$B$111,0))</f>
        <v>0</v>
      </c>
      <c r="J57" s="15">
        <f t="array" ref="J57">INDEX('Dec 7 - Dec 13'!J$2:J$113,MATCH($B57,'Dec 7 - Dec 13'!$B$2:$B$113,0))-INDEX('Nov 30 - Dec 6'!J$2:J$111,MATCH($B57,'Nov 30 - Dec 6'!$B$2:$B$111,0))</f>
        <v>0</v>
      </c>
      <c r="K57" s="15">
        <f t="array" ref="K57">INDEX('Dec 7 - Dec 13'!K$2:K$113,MATCH($B57,'Dec 7 - Dec 13'!$B$2:$B$113,0))-INDEX('Nov 30 - Dec 6'!K$2:K$111,MATCH($B57,'Nov 30 - Dec 6'!$B$2:$B$111,0))</f>
        <v>0</v>
      </c>
    </row>
    <row r="58" spans="2:11" ht="12.75">
      <c r="B58" s="13" t="s">
        <v>119</v>
      </c>
      <c r="C58" s="14" t="str">
        <f t="array" aca="1" ref="C58" ca="1">INDEX('Rooms Master'!U:U,MATCH(B58,'Rooms Master'!D:D,0))</f>
        <v>N</v>
      </c>
      <c r="D58" s="15">
        <f t="array" ref="D58">INDEX('Dec 7 - Dec 13'!D$2:D$113,MATCH($B58,'Dec 7 - Dec 13'!$B$2:$B$113,0))-INDEX('Nov 30 - Dec 6'!D$2:D$111,MATCH($B58,'Nov 30 - Dec 6'!$B$2:$B$111,0))</f>
        <v>0</v>
      </c>
      <c r="E58" s="15">
        <f t="array" ref="E58">INDEX('Dec 7 - Dec 13'!E$2:E$113,MATCH($B58,'Dec 7 - Dec 13'!$B$2:$B$113,0))-INDEX('Nov 30 - Dec 6'!E$2:E$111,MATCH($B58,'Nov 30 - Dec 6'!$B$2:$B$111,0))</f>
        <v>1</v>
      </c>
      <c r="F58" s="15">
        <f t="array" ref="F58">INDEX('Dec 7 - Dec 13'!F$2:F$113,MATCH($B58,'Dec 7 - Dec 13'!$B$2:$B$113,0))-INDEX('Nov 30 - Dec 6'!F$2:F$111,MATCH($B58,'Nov 30 - Dec 6'!$B$2:$B$111,0))</f>
        <v>1</v>
      </c>
      <c r="G58" s="15">
        <f t="array" ref="G58">INDEX('Dec 7 - Dec 13'!G$2:G$113,MATCH($B58,'Dec 7 - Dec 13'!$B$2:$B$113,0))-INDEX('Nov 30 - Dec 6'!G$2:G$111,MATCH($B58,'Nov 30 - Dec 6'!$B$2:$B$111,0))</f>
        <v>0</v>
      </c>
      <c r="H58" s="15">
        <f t="array" ref="H58">INDEX('Dec 7 - Dec 13'!H$2:H$113,MATCH($B58,'Dec 7 - Dec 13'!$B$2:$B$113,0))-INDEX('Nov 30 - Dec 6'!H$2:H$111,MATCH($B58,'Nov 30 - Dec 6'!$B$2:$B$111,0))</f>
        <v>0</v>
      </c>
      <c r="I58" s="15">
        <f t="array" ref="I58">INDEX('Dec 7 - Dec 13'!I$2:I$113,MATCH($B58,'Dec 7 - Dec 13'!$B$2:$B$113,0))-INDEX('Nov 30 - Dec 6'!I$2:I$111,MATCH($B58,'Nov 30 - Dec 6'!$B$2:$B$111,0))</f>
        <v>0</v>
      </c>
      <c r="J58" s="15">
        <f t="array" ref="J58">INDEX('Dec 7 - Dec 13'!J$2:J$113,MATCH($B58,'Dec 7 - Dec 13'!$B$2:$B$113,0))-INDEX('Nov 30 - Dec 6'!J$2:J$111,MATCH($B58,'Nov 30 - Dec 6'!$B$2:$B$111,0))</f>
        <v>0</v>
      </c>
      <c r="K58" s="15">
        <f t="array" ref="K58">INDEX('Dec 7 - Dec 13'!K$2:K$113,MATCH($B58,'Dec 7 - Dec 13'!$B$2:$B$113,0))-INDEX('Nov 30 - Dec 6'!K$2:K$111,MATCH($B58,'Nov 30 - Dec 6'!$B$2:$B$111,0))</f>
        <v>0</v>
      </c>
    </row>
    <row r="59" spans="2:11" ht="12.75">
      <c r="B59" s="13" t="s">
        <v>120</v>
      </c>
      <c r="C59" s="14" t="str">
        <f t="array" aca="1" ref="C59" ca="1">INDEX('Rooms Master'!U:U,MATCH(B59,'Rooms Master'!D:D,0))</f>
        <v>N</v>
      </c>
      <c r="D59" s="15">
        <f t="array" ref="D59">INDEX('Dec 7 - Dec 13'!D$2:D$113,MATCH($B59,'Dec 7 - Dec 13'!$B$2:$B$113,0))-INDEX('Nov 30 - Dec 6'!D$2:D$111,MATCH($B59,'Nov 30 - Dec 6'!$B$2:$B$111,0))</f>
        <v>0</v>
      </c>
      <c r="E59" s="15">
        <f t="array" ref="E59">INDEX('Dec 7 - Dec 13'!E$2:E$113,MATCH($B59,'Dec 7 - Dec 13'!$B$2:$B$113,0))-INDEX('Nov 30 - Dec 6'!E$2:E$111,MATCH($B59,'Nov 30 - Dec 6'!$B$2:$B$111,0))</f>
        <v>1</v>
      </c>
      <c r="F59" s="15">
        <f t="array" ref="F59">INDEX('Dec 7 - Dec 13'!F$2:F$113,MATCH($B59,'Dec 7 - Dec 13'!$B$2:$B$113,0))-INDEX('Nov 30 - Dec 6'!F$2:F$111,MATCH($B59,'Nov 30 - Dec 6'!$B$2:$B$111,0))</f>
        <v>0</v>
      </c>
      <c r="G59" s="15">
        <f t="array" ref="G59">INDEX('Dec 7 - Dec 13'!G$2:G$113,MATCH($B59,'Dec 7 - Dec 13'!$B$2:$B$113,0))-INDEX('Nov 30 - Dec 6'!G$2:G$111,MATCH($B59,'Nov 30 - Dec 6'!$B$2:$B$111,0))</f>
        <v>0</v>
      </c>
      <c r="H59" s="15">
        <f t="array" ref="H59">INDEX('Dec 7 - Dec 13'!H$2:H$113,MATCH($B59,'Dec 7 - Dec 13'!$B$2:$B$113,0))-INDEX('Nov 30 - Dec 6'!H$2:H$111,MATCH($B59,'Nov 30 - Dec 6'!$B$2:$B$111,0))</f>
        <v>0</v>
      </c>
      <c r="I59" s="15">
        <f t="array" ref="I59">INDEX('Dec 7 - Dec 13'!I$2:I$113,MATCH($B59,'Dec 7 - Dec 13'!$B$2:$B$113,0))-INDEX('Nov 30 - Dec 6'!I$2:I$111,MATCH($B59,'Nov 30 - Dec 6'!$B$2:$B$111,0))</f>
        <v>0</v>
      </c>
      <c r="J59" s="15">
        <f t="array" ref="J59">INDEX('Dec 7 - Dec 13'!J$2:J$113,MATCH($B59,'Dec 7 - Dec 13'!$B$2:$B$113,0))-INDEX('Nov 30 - Dec 6'!J$2:J$111,MATCH($B59,'Nov 30 - Dec 6'!$B$2:$B$111,0))</f>
        <v>0</v>
      </c>
      <c r="K59" s="15">
        <f t="array" ref="K59">INDEX('Dec 7 - Dec 13'!K$2:K$113,MATCH($B59,'Dec 7 - Dec 13'!$B$2:$B$113,0))-INDEX('Nov 30 - Dec 6'!K$2:K$111,MATCH($B59,'Nov 30 - Dec 6'!$B$2:$B$111,0))</f>
        <v>0</v>
      </c>
    </row>
    <row r="60" spans="2:11" ht="12.75">
      <c r="B60" s="13" t="s">
        <v>114</v>
      </c>
      <c r="C60" s="14" t="str">
        <f t="array" aca="1" ref="C60" ca="1">INDEX('Rooms Master'!U:U,MATCH(B60,'Rooms Master'!D:D,0))</f>
        <v>Y</v>
      </c>
      <c r="D60" s="15">
        <f t="array" ref="D60">INDEX('Dec 7 - Dec 13'!D$2:D$113,MATCH($B60,'Dec 7 - Dec 13'!$B$2:$B$113,0))-INDEX('Nov 30 - Dec 6'!D$2:D$111,MATCH($B60,'Nov 30 - Dec 6'!$B$2:$B$111,0))</f>
        <v>0</v>
      </c>
      <c r="E60" s="15">
        <f t="array" ref="E60">INDEX('Dec 7 - Dec 13'!E$2:E$113,MATCH($B60,'Dec 7 - Dec 13'!$B$2:$B$113,0))-INDEX('Nov 30 - Dec 6'!E$2:E$111,MATCH($B60,'Nov 30 - Dec 6'!$B$2:$B$111,0))</f>
        <v>0</v>
      </c>
      <c r="F60" s="15">
        <f t="array" ref="F60">INDEX('Dec 7 - Dec 13'!F$2:F$113,MATCH($B60,'Dec 7 - Dec 13'!$B$2:$B$113,0))-INDEX('Nov 30 - Dec 6'!F$2:F$111,MATCH($B60,'Nov 30 - Dec 6'!$B$2:$B$111,0))</f>
        <v>0</v>
      </c>
      <c r="G60" s="15">
        <f t="array" ref="G60">INDEX('Dec 7 - Dec 13'!G$2:G$113,MATCH($B60,'Dec 7 - Dec 13'!$B$2:$B$113,0))-INDEX('Nov 30 - Dec 6'!G$2:G$111,MATCH($B60,'Nov 30 - Dec 6'!$B$2:$B$111,0))</f>
        <v>0</v>
      </c>
      <c r="H60" s="15">
        <f t="array" ref="H60">INDEX('Dec 7 - Dec 13'!H$2:H$113,MATCH($B60,'Dec 7 - Dec 13'!$B$2:$B$113,0))-INDEX('Nov 30 - Dec 6'!H$2:H$111,MATCH($B60,'Nov 30 - Dec 6'!$B$2:$B$111,0))</f>
        <v>0</v>
      </c>
      <c r="I60" s="15">
        <f t="array" ref="I60">INDEX('Dec 7 - Dec 13'!I$2:I$113,MATCH($B60,'Dec 7 - Dec 13'!$B$2:$B$113,0))-INDEX('Nov 30 - Dec 6'!I$2:I$111,MATCH($B60,'Nov 30 - Dec 6'!$B$2:$B$111,0))</f>
        <v>0</v>
      </c>
      <c r="J60" s="15">
        <f t="array" ref="J60">INDEX('Dec 7 - Dec 13'!J$2:J$113,MATCH($B60,'Dec 7 - Dec 13'!$B$2:$B$113,0))-INDEX('Nov 30 - Dec 6'!J$2:J$111,MATCH($B60,'Nov 30 - Dec 6'!$B$2:$B$111,0))</f>
        <v>0</v>
      </c>
      <c r="K60" s="15">
        <f t="array" ref="K60">INDEX('Dec 7 - Dec 13'!K$2:K$113,MATCH($B60,'Dec 7 - Dec 13'!$B$2:$B$113,0))-INDEX('Nov 30 - Dec 6'!K$2:K$111,MATCH($B60,'Nov 30 - Dec 6'!$B$2:$B$111,0))</f>
        <v>0</v>
      </c>
    </row>
    <row r="61" spans="2:11" ht="12.75">
      <c r="B61" s="13" t="s">
        <v>127</v>
      </c>
      <c r="C61" s="14" t="str">
        <f t="array" aca="1" ref="C61" ca="1">INDEX('Rooms Master'!U:U,MATCH(B61,'Rooms Master'!D:D,0))</f>
        <v>N</v>
      </c>
      <c r="D61" s="15">
        <f t="array" ref="D61">INDEX('Dec 7 - Dec 13'!D$2:D$113,MATCH($B61,'Dec 7 - Dec 13'!$B$2:$B$113,0))-INDEX('Nov 30 - Dec 6'!D$2:D$111,MATCH($B61,'Nov 30 - Dec 6'!$B$2:$B$111,0))</f>
        <v>0</v>
      </c>
      <c r="E61" s="15">
        <f t="array" ref="E61">INDEX('Dec 7 - Dec 13'!E$2:E$113,MATCH($B61,'Dec 7 - Dec 13'!$B$2:$B$113,0))-INDEX('Nov 30 - Dec 6'!E$2:E$111,MATCH($B61,'Nov 30 - Dec 6'!$B$2:$B$111,0))</f>
        <v>0</v>
      </c>
      <c r="F61" s="15">
        <f t="array" ref="F61">INDEX('Dec 7 - Dec 13'!F$2:F$113,MATCH($B61,'Dec 7 - Dec 13'!$B$2:$B$113,0))-INDEX('Nov 30 - Dec 6'!F$2:F$111,MATCH($B61,'Nov 30 - Dec 6'!$B$2:$B$111,0))</f>
        <v>0</v>
      </c>
      <c r="G61" s="15">
        <f t="array" ref="G61">INDEX('Dec 7 - Dec 13'!G$2:G$113,MATCH($B61,'Dec 7 - Dec 13'!$B$2:$B$113,0))-INDEX('Nov 30 - Dec 6'!G$2:G$111,MATCH($B61,'Nov 30 - Dec 6'!$B$2:$B$111,0))</f>
        <v>0</v>
      </c>
      <c r="H61" s="15">
        <f t="array" ref="H61">INDEX('Dec 7 - Dec 13'!H$2:H$113,MATCH($B61,'Dec 7 - Dec 13'!$B$2:$B$113,0))-INDEX('Nov 30 - Dec 6'!H$2:H$111,MATCH($B61,'Nov 30 - Dec 6'!$B$2:$B$111,0))</f>
        <v>0</v>
      </c>
      <c r="I61" s="15">
        <f t="array" ref="I61">INDEX('Dec 7 - Dec 13'!I$2:I$113,MATCH($B61,'Dec 7 - Dec 13'!$B$2:$B$113,0))-INDEX('Nov 30 - Dec 6'!I$2:I$111,MATCH($B61,'Nov 30 - Dec 6'!$B$2:$B$111,0))</f>
        <v>0</v>
      </c>
      <c r="J61" s="15">
        <f t="array" ref="J61">INDEX('Dec 7 - Dec 13'!J$2:J$113,MATCH($B61,'Dec 7 - Dec 13'!$B$2:$B$113,0))-INDEX('Nov 30 - Dec 6'!J$2:J$111,MATCH($B61,'Nov 30 - Dec 6'!$B$2:$B$111,0))</f>
        <v>0</v>
      </c>
      <c r="K61" s="15">
        <f t="array" ref="K61">INDEX('Dec 7 - Dec 13'!K$2:K$113,MATCH($B61,'Dec 7 - Dec 13'!$B$2:$B$113,0))-INDEX('Nov 30 - Dec 6'!K$2:K$111,MATCH($B61,'Nov 30 - Dec 6'!$B$2:$B$111,0))</f>
        <v>0</v>
      </c>
    </row>
    <row r="62" spans="2:11" ht="12.75">
      <c r="B62" s="13" t="s">
        <v>130</v>
      </c>
      <c r="C62" s="14" t="str">
        <f t="array" aca="1" ref="C62" ca="1">INDEX('Rooms Master'!U:U,MATCH(B62,'Rooms Master'!D:D,0))</f>
        <v>N</v>
      </c>
      <c r="D62" s="15">
        <f t="array" ref="D62">INDEX('Dec 7 - Dec 13'!D$2:D$113,MATCH($B62,'Dec 7 - Dec 13'!$B$2:$B$113,0))-INDEX('Nov 30 - Dec 6'!D$2:D$111,MATCH($B62,'Nov 30 - Dec 6'!$B$2:$B$111,0))</f>
        <v>0</v>
      </c>
      <c r="E62" s="15">
        <f t="array" ref="E62">INDEX('Dec 7 - Dec 13'!E$2:E$113,MATCH($B62,'Dec 7 - Dec 13'!$B$2:$B$113,0))-INDEX('Nov 30 - Dec 6'!E$2:E$111,MATCH($B62,'Nov 30 - Dec 6'!$B$2:$B$111,0))</f>
        <v>0</v>
      </c>
      <c r="F62" s="15">
        <f t="array" ref="F62">INDEX('Dec 7 - Dec 13'!F$2:F$113,MATCH($B62,'Dec 7 - Dec 13'!$B$2:$B$113,0))-INDEX('Nov 30 - Dec 6'!F$2:F$111,MATCH($B62,'Nov 30 - Dec 6'!$B$2:$B$111,0))</f>
        <v>0</v>
      </c>
      <c r="G62" s="15">
        <f t="array" ref="G62">INDEX('Dec 7 - Dec 13'!G$2:G$113,MATCH($B62,'Dec 7 - Dec 13'!$B$2:$B$113,0))-INDEX('Nov 30 - Dec 6'!G$2:G$111,MATCH($B62,'Nov 30 - Dec 6'!$B$2:$B$111,0))</f>
        <v>0</v>
      </c>
      <c r="H62" s="15">
        <f t="array" ref="H62">INDEX('Dec 7 - Dec 13'!H$2:H$113,MATCH($B62,'Dec 7 - Dec 13'!$B$2:$B$113,0))-INDEX('Nov 30 - Dec 6'!H$2:H$111,MATCH($B62,'Nov 30 - Dec 6'!$B$2:$B$111,0))</f>
        <v>0</v>
      </c>
      <c r="I62" s="15">
        <f t="array" ref="I62">INDEX('Dec 7 - Dec 13'!I$2:I$113,MATCH($B62,'Dec 7 - Dec 13'!$B$2:$B$113,0))-INDEX('Nov 30 - Dec 6'!I$2:I$111,MATCH($B62,'Nov 30 - Dec 6'!$B$2:$B$111,0))</f>
        <v>0</v>
      </c>
      <c r="J62" s="15">
        <f t="array" ref="J62">INDEX('Dec 7 - Dec 13'!J$2:J$113,MATCH($B62,'Dec 7 - Dec 13'!$B$2:$B$113,0))-INDEX('Nov 30 - Dec 6'!J$2:J$111,MATCH($B62,'Nov 30 - Dec 6'!$B$2:$B$111,0))</f>
        <v>0</v>
      </c>
      <c r="K62" s="15">
        <f t="array" ref="K62">INDEX('Dec 7 - Dec 13'!K$2:K$113,MATCH($B62,'Dec 7 - Dec 13'!$B$2:$B$113,0))-INDEX('Nov 30 - Dec 6'!K$2:K$111,MATCH($B62,'Nov 30 - Dec 6'!$B$2:$B$111,0))</f>
        <v>0</v>
      </c>
    </row>
    <row r="63" spans="2:11" ht="12.75">
      <c r="B63" s="13" t="s">
        <v>131</v>
      </c>
      <c r="C63" s="14" t="str">
        <f t="array" aca="1" ref="C63" ca="1">INDEX('Rooms Master'!U:U,MATCH(B63,'Rooms Master'!D:D,0))</f>
        <v>N</v>
      </c>
      <c r="D63" s="15">
        <f t="array" ref="D63">INDEX('Dec 7 - Dec 13'!D$2:D$113,MATCH($B63,'Dec 7 - Dec 13'!$B$2:$B$113,0))-INDEX('Nov 30 - Dec 6'!D$2:D$111,MATCH($B63,'Nov 30 - Dec 6'!$B$2:$B$111,0))</f>
        <v>0</v>
      </c>
      <c r="E63" s="15">
        <f t="array" ref="E63">INDEX('Dec 7 - Dec 13'!E$2:E$113,MATCH($B63,'Dec 7 - Dec 13'!$B$2:$B$113,0))-INDEX('Nov 30 - Dec 6'!E$2:E$111,MATCH($B63,'Nov 30 - Dec 6'!$B$2:$B$111,0))</f>
        <v>0</v>
      </c>
      <c r="F63" s="15">
        <f t="array" ref="F63">INDEX('Dec 7 - Dec 13'!F$2:F$113,MATCH($B63,'Dec 7 - Dec 13'!$B$2:$B$113,0))-INDEX('Nov 30 - Dec 6'!F$2:F$111,MATCH($B63,'Nov 30 - Dec 6'!$B$2:$B$111,0))</f>
        <v>0</v>
      </c>
      <c r="G63" s="15">
        <f t="array" ref="G63">INDEX('Dec 7 - Dec 13'!G$2:G$113,MATCH($B63,'Dec 7 - Dec 13'!$B$2:$B$113,0))-INDEX('Nov 30 - Dec 6'!G$2:G$111,MATCH($B63,'Nov 30 - Dec 6'!$B$2:$B$111,0))</f>
        <v>0</v>
      </c>
      <c r="H63" s="15">
        <f t="array" ref="H63">INDEX('Dec 7 - Dec 13'!H$2:H$113,MATCH($B63,'Dec 7 - Dec 13'!$B$2:$B$113,0))-INDEX('Nov 30 - Dec 6'!H$2:H$111,MATCH($B63,'Nov 30 - Dec 6'!$B$2:$B$111,0))</f>
        <v>0</v>
      </c>
      <c r="I63" s="15">
        <f t="array" ref="I63">INDEX('Dec 7 - Dec 13'!I$2:I$113,MATCH($B63,'Dec 7 - Dec 13'!$B$2:$B$113,0))-INDEX('Nov 30 - Dec 6'!I$2:I$111,MATCH($B63,'Nov 30 - Dec 6'!$B$2:$B$111,0))</f>
        <v>0</v>
      </c>
      <c r="J63" s="15">
        <f t="array" ref="J63">INDEX('Dec 7 - Dec 13'!J$2:J$113,MATCH($B63,'Dec 7 - Dec 13'!$B$2:$B$113,0))-INDEX('Nov 30 - Dec 6'!J$2:J$111,MATCH($B63,'Nov 30 - Dec 6'!$B$2:$B$111,0))</f>
        <v>0</v>
      </c>
      <c r="K63" s="15">
        <f t="array" ref="K63">INDEX('Dec 7 - Dec 13'!K$2:K$113,MATCH($B63,'Dec 7 - Dec 13'!$B$2:$B$113,0))-INDEX('Nov 30 - Dec 6'!K$2:K$111,MATCH($B63,'Nov 30 - Dec 6'!$B$2:$B$111,0))</f>
        <v>0</v>
      </c>
    </row>
    <row r="64" spans="2:11" ht="12.75">
      <c r="B64" s="13" t="s">
        <v>55</v>
      </c>
      <c r="C64" s="14" t="str">
        <f t="array" aca="1" ref="C64" ca="1">INDEX('Rooms Master'!U:U,MATCH(B64,'Rooms Master'!D:D,0))</f>
        <v>Y</v>
      </c>
      <c r="D64" s="15">
        <f t="array" ref="D64">INDEX('Dec 7 - Dec 13'!D$2:D$113,MATCH($B64,'Dec 7 - Dec 13'!$B$2:$B$113,0))-INDEX('Nov 30 - Dec 6'!D$2:D$111,MATCH($B64,'Nov 30 - Dec 6'!$B$2:$B$111,0))</f>
        <v>80</v>
      </c>
      <c r="E64" s="15">
        <f t="array" ref="E64">INDEX('Dec 7 - Dec 13'!E$2:E$113,MATCH($B64,'Dec 7 - Dec 13'!$B$2:$B$113,0))-INDEX('Nov 30 - Dec 6'!E$2:E$111,MATCH($B64,'Nov 30 - Dec 6'!$B$2:$B$111,0))</f>
        <v>0</v>
      </c>
      <c r="F64" s="15">
        <f t="array" ref="F64">INDEX('Dec 7 - Dec 13'!F$2:F$113,MATCH($B64,'Dec 7 - Dec 13'!$B$2:$B$113,0))-INDEX('Nov 30 - Dec 6'!F$2:F$111,MATCH($B64,'Nov 30 - Dec 6'!$B$2:$B$111,0))</f>
        <v>0</v>
      </c>
      <c r="G64" s="15">
        <f t="array" ref="G64">INDEX('Dec 7 - Dec 13'!G$2:G$113,MATCH($B64,'Dec 7 - Dec 13'!$B$2:$B$113,0))-INDEX('Nov 30 - Dec 6'!G$2:G$111,MATCH($B64,'Nov 30 - Dec 6'!$B$2:$B$111,0))</f>
        <v>2</v>
      </c>
      <c r="H64" s="15">
        <f t="array" ref="H64">INDEX('Dec 7 - Dec 13'!H$2:H$113,MATCH($B64,'Dec 7 - Dec 13'!$B$2:$B$113,0))-INDEX('Nov 30 - Dec 6'!H$2:H$111,MATCH($B64,'Nov 30 - Dec 6'!$B$2:$B$111,0))</f>
        <v>0</v>
      </c>
      <c r="I64" s="15">
        <f t="array" ref="I64">INDEX('Dec 7 - Dec 13'!I$2:I$113,MATCH($B64,'Dec 7 - Dec 13'!$B$2:$B$113,0))-INDEX('Nov 30 - Dec 6'!I$2:I$111,MATCH($B64,'Nov 30 - Dec 6'!$B$2:$B$111,0))</f>
        <v>0</v>
      </c>
      <c r="J64" s="15">
        <f t="array" ref="J64">INDEX('Dec 7 - Dec 13'!J$2:J$113,MATCH($B64,'Dec 7 - Dec 13'!$B$2:$B$113,0))-INDEX('Nov 30 - Dec 6'!J$2:J$111,MATCH($B64,'Nov 30 - Dec 6'!$B$2:$B$111,0))</f>
        <v>0</v>
      </c>
      <c r="K64" s="15">
        <f t="array" ref="K64">INDEX('Dec 7 - Dec 13'!K$2:K$113,MATCH($B64,'Dec 7 - Dec 13'!$B$2:$B$113,0))-INDEX('Nov 30 - Dec 6'!K$2:K$111,MATCH($B64,'Nov 30 - Dec 6'!$B$2:$B$111,0))</f>
        <v>0</v>
      </c>
    </row>
    <row r="65" spans="2:11" ht="12.75">
      <c r="B65" s="13" t="s">
        <v>133</v>
      </c>
      <c r="C65" s="14" t="str">
        <f t="array" aca="1" ref="C65" ca="1">INDEX('Rooms Master'!U:U,MATCH(B65,'Rooms Master'!D:D,0))</f>
        <v>N</v>
      </c>
      <c r="D65" s="15">
        <f t="array" ref="D65">INDEX('Dec 7 - Dec 13'!D$2:D$113,MATCH($B65,'Dec 7 - Dec 13'!$B$2:$B$113,0))-INDEX('Nov 30 - Dec 6'!D$2:D$111,MATCH($B65,'Nov 30 - Dec 6'!$B$2:$B$111,0))</f>
        <v>0</v>
      </c>
      <c r="E65" s="15">
        <f t="array" ref="E65">INDEX('Dec 7 - Dec 13'!E$2:E$113,MATCH($B65,'Dec 7 - Dec 13'!$B$2:$B$113,0))-INDEX('Nov 30 - Dec 6'!E$2:E$111,MATCH($B65,'Nov 30 - Dec 6'!$B$2:$B$111,0))</f>
        <v>0</v>
      </c>
      <c r="F65" s="15">
        <f t="array" ref="F65">INDEX('Dec 7 - Dec 13'!F$2:F$113,MATCH($B65,'Dec 7 - Dec 13'!$B$2:$B$113,0))-INDEX('Nov 30 - Dec 6'!F$2:F$111,MATCH($B65,'Nov 30 - Dec 6'!$B$2:$B$111,0))</f>
        <v>0</v>
      </c>
      <c r="G65" s="15">
        <f t="array" ref="G65">INDEX('Dec 7 - Dec 13'!G$2:G$113,MATCH($B65,'Dec 7 - Dec 13'!$B$2:$B$113,0))-INDEX('Nov 30 - Dec 6'!G$2:G$111,MATCH($B65,'Nov 30 - Dec 6'!$B$2:$B$111,0))</f>
        <v>0</v>
      </c>
      <c r="H65" s="15">
        <f t="array" ref="H65">INDEX('Dec 7 - Dec 13'!H$2:H$113,MATCH($B65,'Dec 7 - Dec 13'!$B$2:$B$113,0))-INDEX('Nov 30 - Dec 6'!H$2:H$111,MATCH($B65,'Nov 30 - Dec 6'!$B$2:$B$111,0))</f>
        <v>0</v>
      </c>
      <c r="I65" s="15">
        <f t="array" ref="I65">INDEX('Dec 7 - Dec 13'!I$2:I$113,MATCH($B65,'Dec 7 - Dec 13'!$B$2:$B$113,0))-INDEX('Nov 30 - Dec 6'!I$2:I$111,MATCH($B65,'Nov 30 - Dec 6'!$B$2:$B$111,0))</f>
        <v>0</v>
      </c>
      <c r="J65" s="15">
        <f t="array" ref="J65">INDEX('Dec 7 - Dec 13'!J$2:J$113,MATCH($B65,'Dec 7 - Dec 13'!$B$2:$B$113,0))-INDEX('Nov 30 - Dec 6'!J$2:J$111,MATCH($B65,'Nov 30 - Dec 6'!$B$2:$B$111,0))</f>
        <v>0</v>
      </c>
      <c r="K65" s="15">
        <f t="array" ref="K65">INDEX('Dec 7 - Dec 13'!K$2:K$113,MATCH($B65,'Dec 7 - Dec 13'!$B$2:$B$113,0))-INDEX('Nov 30 - Dec 6'!K$2:K$111,MATCH($B65,'Nov 30 - Dec 6'!$B$2:$B$111,0))</f>
        <v>0</v>
      </c>
    </row>
    <row r="66" spans="2:11" ht="12.75">
      <c r="B66" s="13" t="s">
        <v>134</v>
      </c>
      <c r="C66" s="14" t="str">
        <f t="array" aca="1" ref="C66" ca="1">INDEX('Rooms Master'!U:U,MATCH(B66,'Rooms Master'!D:D,0))</f>
        <v>N</v>
      </c>
      <c r="D66" s="15">
        <f t="array" ref="D66">INDEX('Dec 7 - Dec 13'!D$2:D$113,MATCH($B66,'Dec 7 - Dec 13'!$B$2:$B$113,0))-INDEX('Nov 30 - Dec 6'!D$2:D$111,MATCH($B66,'Nov 30 - Dec 6'!$B$2:$B$111,0))</f>
        <v>0</v>
      </c>
      <c r="E66" s="15">
        <f t="array" ref="E66">INDEX('Dec 7 - Dec 13'!E$2:E$113,MATCH($B66,'Dec 7 - Dec 13'!$B$2:$B$113,0))-INDEX('Nov 30 - Dec 6'!E$2:E$111,MATCH($B66,'Nov 30 - Dec 6'!$B$2:$B$111,0))</f>
        <v>0</v>
      </c>
      <c r="F66" s="15">
        <f t="array" ref="F66">INDEX('Dec 7 - Dec 13'!F$2:F$113,MATCH($B66,'Dec 7 - Dec 13'!$B$2:$B$113,0))-INDEX('Nov 30 - Dec 6'!F$2:F$111,MATCH($B66,'Nov 30 - Dec 6'!$B$2:$B$111,0))</f>
        <v>0</v>
      </c>
      <c r="G66" s="15">
        <f t="array" ref="G66">INDEX('Dec 7 - Dec 13'!G$2:G$113,MATCH($B66,'Dec 7 - Dec 13'!$B$2:$B$113,0))-INDEX('Nov 30 - Dec 6'!G$2:G$111,MATCH($B66,'Nov 30 - Dec 6'!$B$2:$B$111,0))</f>
        <v>0</v>
      </c>
      <c r="H66" s="15">
        <f t="array" ref="H66">INDEX('Dec 7 - Dec 13'!H$2:H$113,MATCH($B66,'Dec 7 - Dec 13'!$B$2:$B$113,0))-INDEX('Nov 30 - Dec 6'!H$2:H$111,MATCH($B66,'Nov 30 - Dec 6'!$B$2:$B$111,0))</f>
        <v>0</v>
      </c>
      <c r="I66" s="15">
        <f t="array" ref="I66">INDEX('Dec 7 - Dec 13'!I$2:I$113,MATCH($B66,'Dec 7 - Dec 13'!$B$2:$B$113,0))-INDEX('Nov 30 - Dec 6'!I$2:I$111,MATCH($B66,'Nov 30 - Dec 6'!$B$2:$B$111,0))</f>
        <v>0</v>
      </c>
      <c r="J66" s="15">
        <f t="array" ref="J66">INDEX('Dec 7 - Dec 13'!J$2:J$113,MATCH($B66,'Dec 7 - Dec 13'!$B$2:$B$113,0))-INDEX('Nov 30 - Dec 6'!J$2:J$111,MATCH($B66,'Nov 30 - Dec 6'!$B$2:$B$111,0))</f>
        <v>0</v>
      </c>
      <c r="K66" s="15">
        <f t="array" ref="K66">INDEX('Dec 7 - Dec 13'!K$2:K$113,MATCH($B66,'Dec 7 - Dec 13'!$B$2:$B$113,0))-INDEX('Nov 30 - Dec 6'!K$2:K$111,MATCH($B66,'Nov 30 - Dec 6'!$B$2:$B$111,0))</f>
        <v>0</v>
      </c>
    </row>
    <row r="67" spans="2:11" ht="12.75">
      <c r="B67" s="13" t="s">
        <v>139</v>
      </c>
      <c r="C67" s="14" t="str">
        <f t="array" aca="1" ref="C67" ca="1">INDEX('Rooms Master'!U:U,MATCH(B67,'Rooms Master'!D:D,0))</f>
        <v>N</v>
      </c>
      <c r="D67" s="15">
        <f t="array" ref="D67">INDEX('Dec 7 - Dec 13'!D$2:D$113,MATCH($B67,'Dec 7 - Dec 13'!$B$2:$B$113,0))-INDEX('Nov 30 - Dec 6'!D$2:D$111,MATCH($B67,'Nov 30 - Dec 6'!$B$2:$B$111,0))</f>
        <v>0</v>
      </c>
      <c r="E67" s="15">
        <f t="array" ref="E67">INDEX('Dec 7 - Dec 13'!E$2:E$113,MATCH($B67,'Dec 7 - Dec 13'!$B$2:$B$113,0))-INDEX('Nov 30 - Dec 6'!E$2:E$111,MATCH($B67,'Nov 30 - Dec 6'!$B$2:$B$111,0))</f>
        <v>0</v>
      </c>
      <c r="F67" s="15">
        <f t="array" ref="F67">INDEX('Dec 7 - Dec 13'!F$2:F$113,MATCH($B67,'Dec 7 - Dec 13'!$B$2:$B$113,0))-INDEX('Nov 30 - Dec 6'!F$2:F$111,MATCH($B67,'Nov 30 - Dec 6'!$B$2:$B$111,0))</f>
        <v>-1</v>
      </c>
      <c r="G67" s="15">
        <f t="array" ref="G67">INDEX('Dec 7 - Dec 13'!G$2:G$113,MATCH($B67,'Dec 7 - Dec 13'!$B$2:$B$113,0))-INDEX('Nov 30 - Dec 6'!G$2:G$111,MATCH($B67,'Nov 30 - Dec 6'!$B$2:$B$111,0))</f>
        <v>0</v>
      </c>
      <c r="H67" s="15">
        <f t="array" ref="H67">INDEX('Dec 7 - Dec 13'!H$2:H$113,MATCH($B67,'Dec 7 - Dec 13'!$B$2:$B$113,0))-INDEX('Nov 30 - Dec 6'!H$2:H$111,MATCH($B67,'Nov 30 - Dec 6'!$B$2:$B$111,0))</f>
        <v>0</v>
      </c>
      <c r="I67" s="15">
        <f t="array" ref="I67">INDEX('Dec 7 - Dec 13'!I$2:I$113,MATCH($B67,'Dec 7 - Dec 13'!$B$2:$B$113,0))-INDEX('Nov 30 - Dec 6'!I$2:I$111,MATCH($B67,'Nov 30 - Dec 6'!$B$2:$B$111,0))</f>
        <v>0</v>
      </c>
      <c r="J67" s="15">
        <f t="array" ref="J67">INDEX('Dec 7 - Dec 13'!J$2:J$113,MATCH($B67,'Dec 7 - Dec 13'!$B$2:$B$113,0))-INDEX('Nov 30 - Dec 6'!J$2:J$111,MATCH($B67,'Nov 30 - Dec 6'!$B$2:$B$111,0))</f>
        <v>0</v>
      </c>
      <c r="K67" s="15">
        <f t="array" ref="K67">INDEX('Dec 7 - Dec 13'!K$2:K$113,MATCH($B67,'Dec 7 - Dec 13'!$B$2:$B$113,0))-INDEX('Nov 30 - Dec 6'!K$2:K$111,MATCH($B67,'Nov 30 - Dec 6'!$B$2:$B$111,0))</f>
        <v>0</v>
      </c>
    </row>
    <row r="68" spans="2:11" ht="12.75">
      <c r="B68" s="13" t="s">
        <v>141</v>
      </c>
      <c r="C68" s="15" t="s">
        <v>142</v>
      </c>
      <c r="D68" s="15">
        <f t="array" ref="D68">INDEX('Dec 7 - Dec 13'!D$2:D$113,MATCH($B68,'Dec 7 - Dec 13'!$B$2:$B$113,0))-INDEX('Nov 30 - Dec 6'!D$2:D$111,MATCH($B68,'Nov 30 - Dec 6'!$B$2:$B$111,0))</f>
        <v>0</v>
      </c>
      <c r="E68" s="15">
        <f t="array" ref="E68">INDEX('Dec 7 - Dec 13'!E$2:E$113,MATCH($B68,'Dec 7 - Dec 13'!$B$2:$B$113,0))-INDEX('Nov 30 - Dec 6'!E$2:E$111,MATCH($B68,'Nov 30 - Dec 6'!$B$2:$B$111,0))</f>
        <v>0</v>
      </c>
      <c r="F68" s="15">
        <f t="array" ref="F68">INDEX('Dec 7 - Dec 13'!F$2:F$113,MATCH($B68,'Dec 7 - Dec 13'!$B$2:$B$113,0))-INDEX('Nov 30 - Dec 6'!F$2:F$111,MATCH($B68,'Nov 30 - Dec 6'!$B$2:$B$111,0))</f>
        <v>0</v>
      </c>
      <c r="G68" s="15">
        <f t="array" ref="G68">INDEX('Dec 7 - Dec 13'!G$2:G$113,MATCH($B68,'Dec 7 - Dec 13'!$B$2:$B$113,0))-INDEX('Nov 30 - Dec 6'!G$2:G$111,MATCH($B68,'Nov 30 - Dec 6'!$B$2:$B$111,0))</f>
        <v>0</v>
      </c>
      <c r="H68" s="15">
        <f t="array" ref="H68">INDEX('Dec 7 - Dec 13'!H$2:H$113,MATCH($B68,'Dec 7 - Dec 13'!$B$2:$B$113,0))-INDEX('Nov 30 - Dec 6'!H$2:H$111,MATCH($B68,'Nov 30 - Dec 6'!$B$2:$B$111,0))</f>
        <v>0</v>
      </c>
      <c r="I68" s="15">
        <f t="array" ref="I68">INDEX('Dec 7 - Dec 13'!I$2:I$113,MATCH($B68,'Dec 7 - Dec 13'!$B$2:$B$113,0))-INDEX('Nov 30 - Dec 6'!I$2:I$111,MATCH($B68,'Nov 30 - Dec 6'!$B$2:$B$111,0))</f>
        <v>0</v>
      </c>
      <c r="J68" s="15">
        <f t="array" ref="J68">INDEX('Dec 7 - Dec 13'!J$2:J$113,MATCH($B68,'Dec 7 - Dec 13'!$B$2:$B$113,0))-INDEX('Nov 30 - Dec 6'!J$2:J$111,MATCH($B68,'Nov 30 - Dec 6'!$B$2:$B$111,0))</f>
        <v>0</v>
      </c>
      <c r="K68" s="15">
        <f t="array" ref="K68">INDEX('Dec 7 - Dec 13'!K$2:K$113,MATCH($B68,'Dec 7 - Dec 13'!$B$2:$B$113,0))-INDEX('Nov 30 - Dec 6'!K$2:K$111,MATCH($B68,'Nov 30 - Dec 6'!$B$2:$B$111,0))</f>
        <v>0</v>
      </c>
    </row>
    <row r="69" spans="2:11" ht="12.75">
      <c r="B69" s="13" t="s">
        <v>109</v>
      </c>
      <c r="C69" s="14" t="str">
        <f t="array" aca="1" ref="C69" ca="1">INDEX('Rooms Master'!U:U,MATCH(B69,'Rooms Master'!D:D,0))</f>
        <v>Y</v>
      </c>
      <c r="D69" s="15">
        <f t="array" ref="D69">INDEX('Dec 7 - Dec 13'!D$2:D$113,MATCH($B69,'Dec 7 - Dec 13'!$B$2:$B$113,0))-INDEX('Nov 30 - Dec 6'!D$2:D$111,MATCH($B69,'Nov 30 - Dec 6'!$B$2:$B$111,0))</f>
        <v>5</v>
      </c>
      <c r="E69" s="15">
        <f t="array" ref="E69">INDEX('Dec 7 - Dec 13'!E$2:E$113,MATCH($B69,'Dec 7 - Dec 13'!$B$2:$B$113,0))-INDEX('Nov 30 - Dec 6'!E$2:E$111,MATCH($B69,'Nov 30 - Dec 6'!$B$2:$B$111,0))</f>
        <v>0</v>
      </c>
      <c r="F69" s="15">
        <f t="array" ref="F69">INDEX('Dec 7 - Dec 13'!F$2:F$113,MATCH($B69,'Dec 7 - Dec 13'!$B$2:$B$113,0))-INDEX('Nov 30 - Dec 6'!F$2:F$111,MATCH($B69,'Nov 30 - Dec 6'!$B$2:$B$111,0))</f>
        <v>1</v>
      </c>
      <c r="G69" s="15">
        <f t="array" ref="G69">INDEX('Dec 7 - Dec 13'!G$2:G$113,MATCH($B69,'Dec 7 - Dec 13'!$B$2:$B$113,0))-INDEX('Nov 30 - Dec 6'!G$2:G$111,MATCH($B69,'Nov 30 - Dec 6'!$B$2:$B$111,0))</f>
        <v>0</v>
      </c>
      <c r="H69" s="15">
        <f t="array" ref="H69">INDEX('Dec 7 - Dec 13'!H$2:H$113,MATCH($B69,'Dec 7 - Dec 13'!$B$2:$B$113,0))-INDEX('Nov 30 - Dec 6'!H$2:H$111,MATCH($B69,'Nov 30 - Dec 6'!$B$2:$B$111,0))</f>
        <v>0</v>
      </c>
      <c r="I69" s="15">
        <f t="array" ref="I69">INDEX('Dec 7 - Dec 13'!I$2:I$113,MATCH($B69,'Dec 7 - Dec 13'!$B$2:$B$113,0))-INDEX('Nov 30 - Dec 6'!I$2:I$111,MATCH($B69,'Nov 30 - Dec 6'!$B$2:$B$111,0))</f>
        <v>0</v>
      </c>
      <c r="J69" s="15">
        <f t="array" ref="J69">INDEX('Dec 7 - Dec 13'!J$2:J$113,MATCH($B69,'Dec 7 - Dec 13'!$B$2:$B$113,0))-INDEX('Nov 30 - Dec 6'!J$2:J$111,MATCH($B69,'Nov 30 - Dec 6'!$B$2:$B$111,0))</f>
        <v>0</v>
      </c>
      <c r="K69" s="15">
        <f t="array" ref="K69">INDEX('Dec 7 - Dec 13'!K$2:K$113,MATCH($B69,'Dec 7 - Dec 13'!$B$2:$B$113,0))-INDEX('Nov 30 - Dec 6'!K$2:K$111,MATCH($B69,'Nov 30 - Dec 6'!$B$2:$B$111,0))</f>
        <v>0</v>
      </c>
    </row>
    <row r="70" spans="2:11" ht="12.75">
      <c r="B70" s="13" t="s">
        <v>121</v>
      </c>
      <c r="C70" s="14" t="str">
        <f t="array" aca="1" ref="C70" ca="1">INDEX('Rooms Master'!U:U,MATCH(B70,'Rooms Master'!D:D,0))</f>
        <v>N</v>
      </c>
      <c r="D70" s="15">
        <f t="array" ref="D70">INDEX('Dec 7 - Dec 13'!D$2:D$113,MATCH($B70,'Dec 7 - Dec 13'!$B$2:$B$113,0))-INDEX('Nov 30 - Dec 6'!D$2:D$111,MATCH($B70,'Nov 30 - Dec 6'!$B$2:$B$111,0))</f>
        <v>0</v>
      </c>
      <c r="E70" s="15">
        <f t="array" ref="E70">INDEX('Dec 7 - Dec 13'!E$2:E$113,MATCH($B70,'Dec 7 - Dec 13'!$B$2:$B$113,0))-INDEX('Nov 30 - Dec 6'!E$2:E$111,MATCH($B70,'Nov 30 - Dec 6'!$B$2:$B$111,0))</f>
        <v>0</v>
      </c>
      <c r="F70" s="15">
        <f t="array" ref="F70">INDEX('Dec 7 - Dec 13'!F$2:F$113,MATCH($B70,'Dec 7 - Dec 13'!$B$2:$B$113,0))-INDEX('Nov 30 - Dec 6'!F$2:F$111,MATCH($B70,'Nov 30 - Dec 6'!$B$2:$B$111,0))</f>
        <v>0</v>
      </c>
      <c r="G70" s="15">
        <f t="array" ref="G70">INDEX('Dec 7 - Dec 13'!G$2:G$113,MATCH($B70,'Dec 7 - Dec 13'!$B$2:$B$113,0))-INDEX('Nov 30 - Dec 6'!G$2:G$111,MATCH($B70,'Nov 30 - Dec 6'!$B$2:$B$111,0))</f>
        <v>0</v>
      </c>
      <c r="H70" s="15">
        <f t="array" ref="H70">INDEX('Dec 7 - Dec 13'!H$2:H$113,MATCH($B70,'Dec 7 - Dec 13'!$B$2:$B$113,0))-INDEX('Nov 30 - Dec 6'!H$2:H$111,MATCH($B70,'Nov 30 - Dec 6'!$B$2:$B$111,0))</f>
        <v>0</v>
      </c>
      <c r="I70" s="15">
        <f t="array" ref="I70">INDEX('Dec 7 - Dec 13'!I$2:I$113,MATCH($B70,'Dec 7 - Dec 13'!$B$2:$B$113,0))-INDEX('Nov 30 - Dec 6'!I$2:I$111,MATCH($B70,'Nov 30 - Dec 6'!$B$2:$B$111,0))</f>
        <v>0</v>
      </c>
      <c r="J70" s="15">
        <f t="array" ref="J70">INDEX('Dec 7 - Dec 13'!J$2:J$113,MATCH($B70,'Dec 7 - Dec 13'!$B$2:$B$113,0))-INDEX('Nov 30 - Dec 6'!J$2:J$111,MATCH($B70,'Nov 30 - Dec 6'!$B$2:$B$111,0))</f>
        <v>0</v>
      </c>
      <c r="K70" s="15">
        <f t="array" ref="K70">INDEX('Dec 7 - Dec 13'!K$2:K$113,MATCH($B70,'Dec 7 - Dec 13'!$B$2:$B$113,0))-INDEX('Nov 30 - Dec 6'!K$2:K$111,MATCH($B70,'Nov 30 - Dec 6'!$B$2:$B$111,0))</f>
        <v>0</v>
      </c>
    </row>
    <row r="71" spans="2:11" ht="12.75">
      <c r="B71" s="13" t="s">
        <v>78</v>
      </c>
      <c r="C71" s="14" t="str">
        <f t="array" aca="1" ref="C71" ca="1">INDEX('Rooms Master'!U:U,MATCH(B71,'Rooms Master'!D:D,0))</f>
        <v>Y</v>
      </c>
      <c r="D71" s="15">
        <f t="array" ref="D71">INDEX('Dec 7 - Dec 13'!D$2:D$113,MATCH($B71,'Dec 7 - Dec 13'!$B$2:$B$113,0))-INDEX('Nov 30 - Dec 6'!D$2:D$111,MATCH($B71,'Nov 30 - Dec 6'!$B$2:$B$111,0))</f>
        <v>13</v>
      </c>
      <c r="E71" s="15">
        <f t="array" ref="E71">INDEX('Dec 7 - Dec 13'!E$2:E$113,MATCH($B71,'Dec 7 - Dec 13'!$B$2:$B$113,0))-INDEX('Nov 30 - Dec 6'!E$2:E$111,MATCH($B71,'Nov 30 - Dec 6'!$B$2:$B$111,0))</f>
        <v>0</v>
      </c>
      <c r="F71" s="15">
        <f t="array" ref="F71">INDEX('Dec 7 - Dec 13'!F$2:F$113,MATCH($B71,'Dec 7 - Dec 13'!$B$2:$B$113,0))-INDEX('Nov 30 - Dec 6'!F$2:F$111,MATCH($B71,'Nov 30 - Dec 6'!$B$2:$B$111,0))</f>
        <v>1</v>
      </c>
      <c r="G71" s="15">
        <f t="array" ref="G71">INDEX('Dec 7 - Dec 13'!G$2:G$113,MATCH($B71,'Dec 7 - Dec 13'!$B$2:$B$113,0))-INDEX('Nov 30 - Dec 6'!G$2:G$111,MATCH($B71,'Nov 30 - Dec 6'!$B$2:$B$111,0))</f>
        <v>1</v>
      </c>
      <c r="H71" s="15">
        <f t="array" ref="H71">INDEX('Dec 7 - Dec 13'!H$2:H$113,MATCH($B71,'Dec 7 - Dec 13'!$B$2:$B$113,0))-INDEX('Nov 30 - Dec 6'!H$2:H$111,MATCH($B71,'Nov 30 - Dec 6'!$B$2:$B$111,0))</f>
        <v>-1</v>
      </c>
      <c r="I71" s="15">
        <f t="array" ref="I71">INDEX('Dec 7 - Dec 13'!I$2:I$113,MATCH($B71,'Dec 7 - Dec 13'!$B$2:$B$113,0))-INDEX('Nov 30 - Dec 6'!I$2:I$111,MATCH($B71,'Nov 30 - Dec 6'!$B$2:$B$111,0))</f>
        <v>0</v>
      </c>
      <c r="J71" s="15">
        <f t="array" ref="J71">INDEX('Dec 7 - Dec 13'!J$2:J$113,MATCH($B71,'Dec 7 - Dec 13'!$B$2:$B$113,0))-INDEX('Nov 30 - Dec 6'!J$2:J$111,MATCH($B71,'Nov 30 - Dec 6'!$B$2:$B$111,0))</f>
        <v>0</v>
      </c>
      <c r="K71" s="15">
        <f t="array" ref="K71">INDEX('Dec 7 - Dec 13'!K$2:K$113,MATCH($B71,'Dec 7 - Dec 13'!$B$2:$B$113,0))-INDEX('Nov 30 - Dec 6'!K$2:K$111,MATCH($B71,'Nov 30 - Dec 6'!$B$2:$B$111,0))</f>
        <v>0</v>
      </c>
    </row>
    <row r="72" spans="2:11" ht="12.75">
      <c r="B72" s="13" t="s">
        <v>77</v>
      </c>
      <c r="C72" s="14" t="str">
        <f t="array" aca="1" ref="C72" ca="1">INDEX('Rooms Master'!U:U,MATCH(B72,'Rooms Master'!D:D,0))</f>
        <v>N</v>
      </c>
      <c r="D72" s="15">
        <f t="array" ref="D72">INDEX('Dec 7 - Dec 13'!D$2:D$113,MATCH($B72,'Dec 7 - Dec 13'!$B$2:$B$113,0))-INDEX('Nov 30 - Dec 6'!D$2:D$111,MATCH($B72,'Nov 30 - Dec 6'!$B$2:$B$111,0))</f>
        <v>-44</v>
      </c>
      <c r="E72" s="15">
        <f t="array" ref="E72">INDEX('Dec 7 - Dec 13'!E$2:E$113,MATCH($B72,'Dec 7 - Dec 13'!$B$2:$B$113,0))-INDEX('Nov 30 - Dec 6'!E$2:E$111,MATCH($B72,'Nov 30 - Dec 6'!$B$2:$B$111,0))</f>
        <v>-1</v>
      </c>
      <c r="F72" s="15">
        <f t="array" ref="F72">INDEX('Dec 7 - Dec 13'!F$2:F$113,MATCH($B72,'Dec 7 - Dec 13'!$B$2:$B$113,0))-INDEX('Nov 30 - Dec 6'!F$2:F$111,MATCH($B72,'Nov 30 - Dec 6'!$B$2:$B$111,0))</f>
        <v>-6</v>
      </c>
      <c r="G72" s="15">
        <f t="array" ref="G72">INDEX('Dec 7 - Dec 13'!G$2:G$113,MATCH($B72,'Dec 7 - Dec 13'!$B$2:$B$113,0))-INDEX('Nov 30 - Dec 6'!G$2:G$111,MATCH($B72,'Nov 30 - Dec 6'!$B$2:$B$111,0))</f>
        <v>-1</v>
      </c>
      <c r="H72" s="15">
        <f t="array" ref="H72">INDEX('Dec 7 - Dec 13'!H$2:H$113,MATCH($B72,'Dec 7 - Dec 13'!$B$2:$B$113,0))-INDEX('Nov 30 - Dec 6'!H$2:H$111,MATCH($B72,'Nov 30 - Dec 6'!$B$2:$B$111,0))</f>
        <v>2</v>
      </c>
      <c r="I72" s="15">
        <f t="array" ref="I72">INDEX('Dec 7 - Dec 13'!I$2:I$113,MATCH($B72,'Dec 7 - Dec 13'!$B$2:$B$113,0))-INDEX('Nov 30 - Dec 6'!I$2:I$111,MATCH($B72,'Nov 30 - Dec 6'!$B$2:$B$111,0))</f>
        <v>0</v>
      </c>
      <c r="J72" s="15">
        <f t="array" ref="J72">INDEX('Dec 7 - Dec 13'!J$2:J$113,MATCH($B72,'Dec 7 - Dec 13'!$B$2:$B$113,0))-INDEX('Nov 30 - Dec 6'!J$2:J$111,MATCH($B72,'Nov 30 - Dec 6'!$B$2:$B$111,0))</f>
        <v>-1</v>
      </c>
      <c r="K72" s="15">
        <f t="array" ref="K72">INDEX('Dec 7 - Dec 13'!K$2:K$113,MATCH($B72,'Dec 7 - Dec 13'!$B$2:$B$113,0))-INDEX('Nov 30 - Dec 6'!K$2:K$111,MATCH($B72,'Nov 30 - Dec 6'!$B$2:$B$111,0))</f>
        <v>-2</v>
      </c>
    </row>
    <row r="73" spans="2:11" ht="12.75">
      <c r="B73" s="13" t="s">
        <v>118</v>
      </c>
      <c r="C73" s="14" t="str">
        <f t="array" aca="1" ref="C73" ca="1">INDEX('Rooms Master'!U:U,MATCH(B73,'Rooms Master'!D:D,0))</f>
        <v>N</v>
      </c>
      <c r="D73" s="15">
        <f t="array" ref="D73">INDEX('Dec 7 - Dec 13'!D$2:D$113,MATCH($B73,'Dec 7 - Dec 13'!$B$2:$B$113,0))-INDEX('Nov 30 - Dec 6'!D$2:D$111,MATCH($B73,'Nov 30 - Dec 6'!$B$2:$B$111,0))</f>
        <v>0</v>
      </c>
      <c r="E73" s="15">
        <f t="array" ref="E73">INDEX('Dec 7 - Dec 13'!E$2:E$113,MATCH($B73,'Dec 7 - Dec 13'!$B$2:$B$113,0))-INDEX('Nov 30 - Dec 6'!E$2:E$111,MATCH($B73,'Nov 30 - Dec 6'!$B$2:$B$111,0))</f>
        <v>-1</v>
      </c>
      <c r="F73" s="15">
        <f t="array" ref="F73">INDEX('Dec 7 - Dec 13'!F$2:F$113,MATCH($B73,'Dec 7 - Dec 13'!$B$2:$B$113,0))-INDEX('Nov 30 - Dec 6'!F$2:F$111,MATCH($B73,'Nov 30 - Dec 6'!$B$2:$B$111,0))</f>
        <v>0</v>
      </c>
      <c r="G73" s="15">
        <f t="array" ref="G73">INDEX('Dec 7 - Dec 13'!G$2:G$113,MATCH($B73,'Dec 7 - Dec 13'!$B$2:$B$113,0))-INDEX('Nov 30 - Dec 6'!G$2:G$111,MATCH($B73,'Nov 30 - Dec 6'!$B$2:$B$111,0))</f>
        <v>0</v>
      </c>
      <c r="H73" s="15">
        <f t="array" ref="H73">INDEX('Dec 7 - Dec 13'!H$2:H$113,MATCH($B73,'Dec 7 - Dec 13'!$B$2:$B$113,0))-INDEX('Nov 30 - Dec 6'!H$2:H$111,MATCH($B73,'Nov 30 - Dec 6'!$B$2:$B$111,0))</f>
        <v>0</v>
      </c>
      <c r="I73" s="15">
        <f t="array" ref="I73">INDEX('Dec 7 - Dec 13'!I$2:I$113,MATCH($B73,'Dec 7 - Dec 13'!$B$2:$B$113,0))-INDEX('Nov 30 - Dec 6'!I$2:I$111,MATCH($B73,'Nov 30 - Dec 6'!$B$2:$B$111,0))</f>
        <v>0</v>
      </c>
      <c r="J73" s="15">
        <f t="array" ref="J73">INDEX('Dec 7 - Dec 13'!J$2:J$113,MATCH($B73,'Dec 7 - Dec 13'!$B$2:$B$113,0))-INDEX('Nov 30 - Dec 6'!J$2:J$111,MATCH($B73,'Nov 30 - Dec 6'!$B$2:$B$111,0))</f>
        <v>0</v>
      </c>
      <c r="K73" s="15">
        <f t="array" ref="K73">INDEX('Dec 7 - Dec 13'!K$2:K$113,MATCH($B73,'Dec 7 - Dec 13'!$B$2:$B$113,0))-INDEX('Nov 30 - Dec 6'!K$2:K$111,MATCH($B73,'Nov 30 - Dec 6'!$B$2:$B$111,0))</f>
        <v>0</v>
      </c>
    </row>
    <row r="74" spans="2:11" ht="12.75">
      <c r="B74" s="13" t="s">
        <v>96</v>
      </c>
      <c r="C74" s="14" t="str">
        <f t="array" aca="1" ref="C74" ca="1">INDEX('Rooms Master'!U:U,MATCH(B74,'Rooms Master'!D:D,0))</f>
        <v>N</v>
      </c>
      <c r="D74" s="15">
        <f t="array" ref="D74">INDEX('Dec 7 - Dec 13'!D$2:D$113,MATCH($B74,'Dec 7 - Dec 13'!$B$2:$B$113,0))-INDEX('Nov 30 - Dec 6'!D$2:D$111,MATCH($B74,'Nov 30 - Dec 6'!$B$2:$B$111,0))</f>
        <v>31</v>
      </c>
      <c r="E74" s="15">
        <f t="array" ref="E74">INDEX('Dec 7 - Dec 13'!E$2:E$113,MATCH($B74,'Dec 7 - Dec 13'!$B$2:$B$113,0))-INDEX('Nov 30 - Dec 6'!E$2:E$111,MATCH($B74,'Nov 30 - Dec 6'!$B$2:$B$111,0))</f>
        <v>-1</v>
      </c>
      <c r="F74" s="15">
        <f t="array" ref="F74">INDEX('Dec 7 - Dec 13'!F$2:F$113,MATCH($B74,'Dec 7 - Dec 13'!$B$2:$B$113,0))-INDEX('Nov 30 - Dec 6'!F$2:F$111,MATCH($B74,'Nov 30 - Dec 6'!$B$2:$B$111,0))</f>
        <v>-7</v>
      </c>
      <c r="G74" s="15">
        <f t="array" ref="G74">INDEX('Dec 7 - Dec 13'!G$2:G$113,MATCH($B74,'Dec 7 - Dec 13'!$B$2:$B$113,0))-INDEX('Nov 30 - Dec 6'!G$2:G$111,MATCH($B74,'Nov 30 - Dec 6'!$B$2:$B$111,0))</f>
        <v>4</v>
      </c>
      <c r="H74" s="15">
        <f t="array" ref="H74">INDEX('Dec 7 - Dec 13'!H$2:H$113,MATCH($B74,'Dec 7 - Dec 13'!$B$2:$B$113,0))-INDEX('Nov 30 - Dec 6'!H$2:H$111,MATCH($B74,'Nov 30 - Dec 6'!$B$2:$B$111,0))</f>
        <v>0</v>
      </c>
      <c r="I74" s="15">
        <f t="array" ref="I74">INDEX('Dec 7 - Dec 13'!I$2:I$113,MATCH($B74,'Dec 7 - Dec 13'!$B$2:$B$113,0))-INDEX('Nov 30 - Dec 6'!I$2:I$111,MATCH($B74,'Nov 30 - Dec 6'!$B$2:$B$111,0))</f>
        <v>0</v>
      </c>
      <c r="J74" s="15">
        <f t="array" ref="J74">INDEX('Dec 7 - Dec 13'!J$2:J$113,MATCH($B74,'Dec 7 - Dec 13'!$B$2:$B$113,0))-INDEX('Nov 30 - Dec 6'!J$2:J$111,MATCH($B74,'Nov 30 - Dec 6'!$B$2:$B$111,0))</f>
        <v>0</v>
      </c>
      <c r="K74" s="15">
        <f t="array" ref="K74">INDEX('Dec 7 - Dec 13'!K$2:K$113,MATCH($B74,'Dec 7 - Dec 13'!$B$2:$B$113,0))-INDEX('Nov 30 - Dec 6'!K$2:K$111,MATCH($B74,'Nov 30 - Dec 6'!$B$2:$B$111,0))</f>
        <v>0</v>
      </c>
    </row>
    <row r="75" spans="2:11" ht="12.75">
      <c r="B75" s="13" t="s">
        <v>140</v>
      </c>
      <c r="C75" s="14" t="str">
        <f t="array" aca="1" ref="C75" ca="1">INDEX('Rooms Master'!U:U,MATCH(B75,'Rooms Master'!D:D,0))</f>
        <v>N</v>
      </c>
      <c r="D75" s="15">
        <f t="array" ref="D75">INDEX('Dec 7 - Dec 13'!D$2:D$113,MATCH($B75,'Dec 7 - Dec 13'!$B$2:$B$113,0))-INDEX('Nov 30 - Dec 6'!D$2:D$111,MATCH($B75,'Nov 30 - Dec 6'!$B$2:$B$111,0))</f>
        <v>0</v>
      </c>
      <c r="E75" s="15">
        <f t="array" ref="E75">INDEX('Dec 7 - Dec 13'!E$2:E$113,MATCH($B75,'Dec 7 - Dec 13'!$B$2:$B$113,0))-INDEX('Nov 30 - Dec 6'!E$2:E$111,MATCH($B75,'Nov 30 - Dec 6'!$B$2:$B$111,0))</f>
        <v>-1</v>
      </c>
      <c r="F75" s="15">
        <f t="array" ref="F75">INDEX('Dec 7 - Dec 13'!F$2:F$113,MATCH($B75,'Dec 7 - Dec 13'!$B$2:$B$113,0))-INDEX('Nov 30 - Dec 6'!F$2:F$111,MATCH($B75,'Nov 30 - Dec 6'!$B$2:$B$111,0))</f>
        <v>0</v>
      </c>
      <c r="G75" s="15">
        <f t="array" ref="G75">INDEX('Dec 7 - Dec 13'!G$2:G$113,MATCH($B75,'Dec 7 - Dec 13'!$B$2:$B$113,0))-INDEX('Nov 30 - Dec 6'!G$2:G$111,MATCH($B75,'Nov 30 - Dec 6'!$B$2:$B$111,0))</f>
        <v>0</v>
      </c>
      <c r="H75" s="15">
        <f t="array" ref="H75">INDEX('Dec 7 - Dec 13'!H$2:H$113,MATCH($B75,'Dec 7 - Dec 13'!$B$2:$B$113,0))-INDEX('Nov 30 - Dec 6'!H$2:H$111,MATCH($B75,'Nov 30 - Dec 6'!$B$2:$B$111,0))</f>
        <v>0</v>
      </c>
      <c r="I75" s="15">
        <f t="array" ref="I75">INDEX('Dec 7 - Dec 13'!I$2:I$113,MATCH($B75,'Dec 7 - Dec 13'!$B$2:$B$113,0))-INDEX('Nov 30 - Dec 6'!I$2:I$111,MATCH($B75,'Nov 30 - Dec 6'!$B$2:$B$111,0))</f>
        <v>0</v>
      </c>
      <c r="J75" s="15">
        <f t="array" ref="J75">INDEX('Dec 7 - Dec 13'!J$2:J$113,MATCH($B75,'Dec 7 - Dec 13'!$B$2:$B$113,0))-INDEX('Nov 30 - Dec 6'!J$2:J$111,MATCH($B75,'Nov 30 - Dec 6'!$B$2:$B$111,0))</f>
        <v>0</v>
      </c>
      <c r="K75" s="15">
        <f t="array" ref="K75">INDEX('Dec 7 - Dec 13'!K$2:K$113,MATCH($B75,'Dec 7 - Dec 13'!$B$2:$B$113,0))-INDEX('Nov 30 - Dec 6'!K$2:K$111,MATCH($B75,'Nov 30 - Dec 6'!$B$2:$B$111,0))</f>
        <v>0</v>
      </c>
    </row>
    <row r="76" spans="2:11" ht="12.75">
      <c r="B76" s="13" t="s">
        <v>38</v>
      </c>
      <c r="C76" s="14" t="str">
        <f t="array" aca="1" ref="C76" ca="1">INDEX('Rooms Master'!U:U,MATCH(B76,'Rooms Master'!D:D,0))</f>
        <v>Y</v>
      </c>
      <c r="D76" s="15">
        <f t="array" ref="D76">INDEX('Dec 7 - Dec 13'!D$2:D$113,MATCH($B76,'Dec 7 - Dec 13'!$B$2:$B$113,0))-INDEX('Nov 30 - Dec 6'!D$2:D$111,MATCH($B76,'Nov 30 - Dec 6'!$B$2:$B$111,0))</f>
        <v>-32</v>
      </c>
      <c r="E76" s="15">
        <f t="array" ref="E76">INDEX('Dec 7 - Dec 13'!E$2:E$113,MATCH($B76,'Dec 7 - Dec 13'!$B$2:$B$113,0))-INDEX('Nov 30 - Dec 6'!E$2:E$111,MATCH($B76,'Nov 30 - Dec 6'!$B$2:$B$111,0))</f>
        <v>-1</v>
      </c>
      <c r="F76" s="15">
        <f t="array" ref="F76">INDEX('Dec 7 - Dec 13'!F$2:F$113,MATCH($B76,'Dec 7 - Dec 13'!$B$2:$B$113,0))-INDEX('Nov 30 - Dec 6'!F$2:F$111,MATCH($B76,'Nov 30 - Dec 6'!$B$2:$B$111,0))</f>
        <v>1</v>
      </c>
      <c r="G76" s="15">
        <f t="array" ref="G76">INDEX('Dec 7 - Dec 13'!G$2:G$113,MATCH($B76,'Dec 7 - Dec 13'!$B$2:$B$113,0))-INDEX('Nov 30 - Dec 6'!G$2:G$111,MATCH($B76,'Nov 30 - Dec 6'!$B$2:$B$111,0))</f>
        <v>0</v>
      </c>
      <c r="H76" s="15">
        <f t="array" ref="H76">INDEX('Dec 7 - Dec 13'!H$2:H$113,MATCH($B76,'Dec 7 - Dec 13'!$B$2:$B$113,0))-INDEX('Nov 30 - Dec 6'!H$2:H$111,MATCH($B76,'Nov 30 - Dec 6'!$B$2:$B$111,0))</f>
        <v>-1</v>
      </c>
      <c r="I76" s="15">
        <f t="array" ref="I76">INDEX('Dec 7 - Dec 13'!I$2:I$113,MATCH($B76,'Dec 7 - Dec 13'!$B$2:$B$113,0))-INDEX('Nov 30 - Dec 6'!I$2:I$111,MATCH($B76,'Nov 30 - Dec 6'!$B$2:$B$111,0))</f>
        <v>0</v>
      </c>
      <c r="J76" s="15">
        <f t="array" ref="J76">INDEX('Dec 7 - Dec 13'!J$2:J$113,MATCH($B76,'Dec 7 - Dec 13'!$B$2:$B$113,0))-INDEX('Nov 30 - Dec 6'!J$2:J$111,MATCH($B76,'Nov 30 - Dec 6'!$B$2:$B$111,0))</f>
        <v>0</v>
      </c>
      <c r="K76" s="15">
        <f t="array" ref="K76">INDEX('Dec 7 - Dec 13'!K$2:K$113,MATCH($B76,'Dec 7 - Dec 13'!$B$2:$B$113,0))-INDEX('Nov 30 - Dec 6'!K$2:K$111,MATCH($B76,'Nov 30 - Dec 6'!$B$2:$B$111,0))</f>
        <v>0</v>
      </c>
    </row>
    <row r="77" spans="2:11" ht="12.75">
      <c r="B77" s="13" t="s">
        <v>112</v>
      </c>
      <c r="C77" s="14" t="str">
        <f t="array" aca="1" ref="C77" ca="1">INDEX('Rooms Master'!U:U,MATCH(B77,'Rooms Master'!D:D,0))</f>
        <v>Y</v>
      </c>
      <c r="D77" s="15">
        <f t="array" ref="D77">INDEX('Dec 7 - Dec 13'!D$2:D$113,MATCH($B77,'Dec 7 - Dec 13'!$B$2:$B$113,0))-INDEX('Nov 30 - Dec 6'!D$2:D$111,MATCH($B77,'Nov 30 - Dec 6'!$B$2:$B$111,0))</f>
        <v>3</v>
      </c>
      <c r="E77" s="15">
        <f t="array" ref="E77">INDEX('Dec 7 - Dec 13'!E$2:E$113,MATCH($B77,'Dec 7 - Dec 13'!$B$2:$B$113,0))-INDEX('Nov 30 - Dec 6'!E$2:E$111,MATCH($B77,'Nov 30 - Dec 6'!$B$2:$B$111,0))</f>
        <v>-2</v>
      </c>
      <c r="F77" s="15">
        <f t="array" ref="F77">INDEX('Dec 7 - Dec 13'!F$2:F$113,MATCH($B77,'Dec 7 - Dec 13'!$B$2:$B$113,0))-INDEX('Nov 30 - Dec 6'!F$2:F$111,MATCH($B77,'Nov 30 - Dec 6'!$B$2:$B$111,0))</f>
        <v>0</v>
      </c>
      <c r="G77" s="15">
        <f t="array" ref="G77">INDEX('Dec 7 - Dec 13'!G$2:G$113,MATCH($B77,'Dec 7 - Dec 13'!$B$2:$B$113,0))-INDEX('Nov 30 - Dec 6'!G$2:G$111,MATCH($B77,'Nov 30 - Dec 6'!$B$2:$B$111,0))</f>
        <v>-2</v>
      </c>
      <c r="H77" s="15">
        <f t="array" ref="H77">INDEX('Dec 7 - Dec 13'!H$2:H$113,MATCH($B77,'Dec 7 - Dec 13'!$B$2:$B$113,0))-INDEX('Nov 30 - Dec 6'!H$2:H$111,MATCH($B77,'Nov 30 - Dec 6'!$B$2:$B$111,0))</f>
        <v>2</v>
      </c>
      <c r="I77" s="15">
        <f t="array" ref="I77">INDEX('Dec 7 - Dec 13'!I$2:I$113,MATCH($B77,'Dec 7 - Dec 13'!$B$2:$B$113,0))-INDEX('Nov 30 - Dec 6'!I$2:I$111,MATCH($B77,'Nov 30 - Dec 6'!$B$2:$B$111,0))</f>
        <v>0</v>
      </c>
      <c r="J77" s="15">
        <f t="array" ref="J77">INDEX('Dec 7 - Dec 13'!J$2:J$113,MATCH($B77,'Dec 7 - Dec 13'!$B$2:$B$113,0))-INDEX('Nov 30 - Dec 6'!J$2:J$111,MATCH($B77,'Nov 30 - Dec 6'!$B$2:$B$111,0))</f>
        <v>0</v>
      </c>
      <c r="K77" s="15">
        <f t="array" ref="K77">INDEX('Dec 7 - Dec 13'!K$2:K$113,MATCH($B77,'Dec 7 - Dec 13'!$B$2:$B$113,0))-INDEX('Nov 30 - Dec 6'!K$2:K$111,MATCH($B77,'Nov 30 - Dec 6'!$B$2:$B$111,0))</f>
        <v>0</v>
      </c>
    </row>
    <row r="78" spans="2:11" ht="12.75">
      <c r="B78" s="13" t="s">
        <v>137</v>
      </c>
      <c r="C78" s="14" t="str">
        <f t="array" aca="1" ref="C78" ca="1">INDEX('Rooms Master'!U:U,MATCH(B78,'Rooms Master'!D:D,0))</f>
        <v>N</v>
      </c>
      <c r="D78" s="15">
        <f t="array" ref="D78">INDEX('Dec 7 - Dec 13'!D$2:D$113,MATCH($B78,'Dec 7 - Dec 13'!$B$2:$B$113,0))-INDEX('Nov 30 - Dec 6'!D$2:D$111,MATCH($B78,'Nov 30 - Dec 6'!$B$2:$B$111,0))</f>
        <v>0</v>
      </c>
      <c r="E78" s="15">
        <f t="array" ref="E78">INDEX('Dec 7 - Dec 13'!E$2:E$113,MATCH($B78,'Dec 7 - Dec 13'!$B$2:$B$113,0))-INDEX('Nov 30 - Dec 6'!E$2:E$111,MATCH($B78,'Nov 30 - Dec 6'!$B$2:$B$111,0))</f>
        <v>-2</v>
      </c>
      <c r="F78" s="15">
        <f t="array" ref="F78">INDEX('Dec 7 - Dec 13'!F$2:F$113,MATCH($B78,'Dec 7 - Dec 13'!$B$2:$B$113,0))-INDEX('Nov 30 - Dec 6'!F$2:F$111,MATCH($B78,'Nov 30 - Dec 6'!$B$2:$B$111,0))</f>
        <v>-2</v>
      </c>
      <c r="G78" s="15">
        <f t="array" ref="G78">INDEX('Dec 7 - Dec 13'!G$2:G$113,MATCH($B78,'Dec 7 - Dec 13'!$B$2:$B$113,0))-INDEX('Nov 30 - Dec 6'!G$2:G$111,MATCH($B78,'Nov 30 - Dec 6'!$B$2:$B$111,0))</f>
        <v>0</v>
      </c>
      <c r="H78" s="15">
        <f t="array" ref="H78">INDEX('Dec 7 - Dec 13'!H$2:H$113,MATCH($B78,'Dec 7 - Dec 13'!$B$2:$B$113,0))-INDEX('Nov 30 - Dec 6'!H$2:H$111,MATCH($B78,'Nov 30 - Dec 6'!$B$2:$B$111,0))</f>
        <v>0</v>
      </c>
      <c r="I78" s="15">
        <f t="array" ref="I78">INDEX('Dec 7 - Dec 13'!I$2:I$113,MATCH($B78,'Dec 7 - Dec 13'!$B$2:$B$113,0))-INDEX('Nov 30 - Dec 6'!I$2:I$111,MATCH($B78,'Nov 30 - Dec 6'!$B$2:$B$111,0))</f>
        <v>0</v>
      </c>
      <c r="J78" s="15">
        <f t="array" ref="J78">INDEX('Dec 7 - Dec 13'!J$2:J$113,MATCH($B78,'Dec 7 - Dec 13'!$B$2:$B$113,0))-INDEX('Nov 30 - Dec 6'!J$2:J$111,MATCH($B78,'Nov 30 - Dec 6'!$B$2:$B$111,0))</f>
        <v>0</v>
      </c>
      <c r="K78" s="15">
        <f t="array" ref="K78">INDEX('Dec 7 - Dec 13'!K$2:K$113,MATCH($B78,'Dec 7 - Dec 13'!$B$2:$B$113,0))-INDEX('Nov 30 - Dec 6'!K$2:K$111,MATCH($B78,'Nov 30 - Dec 6'!$B$2:$B$111,0))</f>
        <v>0</v>
      </c>
    </row>
    <row r="79" spans="2:11" ht="12.75">
      <c r="B79" s="13" t="s">
        <v>128</v>
      </c>
      <c r="C79" s="14" t="str">
        <f t="array" aca="1" ref="C79" ca="1">INDEX('Rooms Master'!U:U,MATCH(B79,'Rooms Master'!D:D,0))</f>
        <v>N</v>
      </c>
      <c r="D79" s="15">
        <f t="array" ref="D79">INDEX('Dec 7 - Dec 13'!D$2:D$113,MATCH($B79,'Dec 7 - Dec 13'!$B$2:$B$113,0))-INDEX('Nov 30 - Dec 6'!D$2:D$111,MATCH($B79,'Nov 30 - Dec 6'!$B$2:$B$111,0))</f>
        <v>0</v>
      </c>
      <c r="E79" s="15">
        <f t="array" ref="E79">INDEX('Dec 7 - Dec 13'!E$2:E$113,MATCH($B79,'Dec 7 - Dec 13'!$B$2:$B$113,0))-INDEX('Nov 30 - Dec 6'!E$2:E$111,MATCH($B79,'Nov 30 - Dec 6'!$B$2:$B$111,0))</f>
        <v>-3</v>
      </c>
      <c r="F79" s="15">
        <f t="array" ref="F79">INDEX('Dec 7 - Dec 13'!F$2:F$113,MATCH($B79,'Dec 7 - Dec 13'!$B$2:$B$113,0))-INDEX('Nov 30 - Dec 6'!F$2:F$111,MATCH($B79,'Nov 30 - Dec 6'!$B$2:$B$111,0))</f>
        <v>-2</v>
      </c>
      <c r="G79" s="15">
        <f t="array" ref="G79">INDEX('Dec 7 - Dec 13'!G$2:G$113,MATCH($B79,'Dec 7 - Dec 13'!$B$2:$B$113,0))-INDEX('Nov 30 - Dec 6'!G$2:G$111,MATCH($B79,'Nov 30 - Dec 6'!$B$2:$B$111,0))</f>
        <v>0</v>
      </c>
      <c r="H79" s="15">
        <f t="array" ref="H79">INDEX('Dec 7 - Dec 13'!H$2:H$113,MATCH($B79,'Dec 7 - Dec 13'!$B$2:$B$113,0))-INDEX('Nov 30 - Dec 6'!H$2:H$111,MATCH($B79,'Nov 30 - Dec 6'!$B$2:$B$111,0))</f>
        <v>0</v>
      </c>
      <c r="I79" s="15">
        <f t="array" ref="I79">INDEX('Dec 7 - Dec 13'!I$2:I$113,MATCH($B79,'Dec 7 - Dec 13'!$B$2:$B$113,0))-INDEX('Nov 30 - Dec 6'!I$2:I$111,MATCH($B79,'Nov 30 - Dec 6'!$B$2:$B$111,0))</f>
        <v>0</v>
      </c>
      <c r="J79" s="15">
        <f t="array" ref="J79">INDEX('Dec 7 - Dec 13'!J$2:J$113,MATCH($B79,'Dec 7 - Dec 13'!$B$2:$B$113,0))-INDEX('Nov 30 - Dec 6'!J$2:J$111,MATCH($B79,'Nov 30 - Dec 6'!$B$2:$B$111,0))</f>
        <v>0</v>
      </c>
      <c r="K79" s="15">
        <f t="array" ref="K79">INDEX('Dec 7 - Dec 13'!K$2:K$113,MATCH($B79,'Dec 7 - Dec 13'!$B$2:$B$113,0))-INDEX('Nov 30 - Dec 6'!K$2:K$111,MATCH($B79,'Nov 30 - Dec 6'!$B$2:$B$111,0))</f>
        <v>0</v>
      </c>
    </row>
    <row r="80" spans="2:11" ht="12.75">
      <c r="B80" s="13" t="s">
        <v>108</v>
      </c>
      <c r="C80" s="14" t="str">
        <f t="array" aca="1" ref="C80" ca="1">INDEX('Rooms Master'!U:U,MATCH(B80,'Rooms Master'!D:D,0))</f>
        <v>Y</v>
      </c>
      <c r="D80" s="15">
        <f t="array" ref="D80">INDEX('Dec 7 - Dec 13'!D$2:D$113,MATCH($B80,'Dec 7 - Dec 13'!$B$2:$B$113,0))-INDEX('Nov 30 - Dec 6'!D$2:D$111,MATCH($B80,'Nov 30 - Dec 6'!$B$2:$B$111,0))</f>
        <v>81</v>
      </c>
      <c r="E80" s="15">
        <f t="array" ref="E80">INDEX('Dec 7 - Dec 13'!E$2:E$113,MATCH($B80,'Dec 7 - Dec 13'!$B$2:$B$113,0))-INDEX('Nov 30 - Dec 6'!E$2:E$111,MATCH($B80,'Nov 30 - Dec 6'!$B$2:$B$111,0))</f>
        <v>-3</v>
      </c>
      <c r="F80" s="15">
        <f t="array" ref="F80">INDEX('Dec 7 - Dec 13'!F$2:F$113,MATCH($B80,'Dec 7 - Dec 13'!$B$2:$B$113,0))-INDEX('Nov 30 - Dec 6'!F$2:F$111,MATCH($B80,'Nov 30 - Dec 6'!$B$2:$B$111,0))</f>
        <v>1</v>
      </c>
      <c r="G80" s="15">
        <f t="array" ref="G80">INDEX('Dec 7 - Dec 13'!G$2:G$113,MATCH($B80,'Dec 7 - Dec 13'!$B$2:$B$113,0))-INDEX('Nov 30 - Dec 6'!G$2:G$111,MATCH($B80,'Nov 30 - Dec 6'!$B$2:$B$111,0))</f>
        <v>1</v>
      </c>
      <c r="H80" s="15">
        <f t="array" ref="H80">INDEX('Dec 7 - Dec 13'!H$2:H$113,MATCH($B80,'Dec 7 - Dec 13'!$B$2:$B$113,0))-INDEX('Nov 30 - Dec 6'!H$2:H$111,MATCH($B80,'Nov 30 - Dec 6'!$B$2:$B$111,0))</f>
        <v>0</v>
      </c>
      <c r="I80" s="15">
        <f t="array" ref="I80">INDEX('Dec 7 - Dec 13'!I$2:I$113,MATCH($B80,'Dec 7 - Dec 13'!$B$2:$B$113,0))-INDEX('Nov 30 - Dec 6'!I$2:I$111,MATCH($B80,'Nov 30 - Dec 6'!$B$2:$B$111,0))</f>
        <v>0</v>
      </c>
      <c r="J80" s="15">
        <f t="array" ref="J80">INDEX('Dec 7 - Dec 13'!J$2:J$113,MATCH($B80,'Dec 7 - Dec 13'!$B$2:$B$113,0))-INDEX('Nov 30 - Dec 6'!J$2:J$111,MATCH($B80,'Nov 30 - Dec 6'!$B$2:$B$111,0))</f>
        <v>0</v>
      </c>
      <c r="K80" s="15">
        <f t="array" ref="K80">INDEX('Dec 7 - Dec 13'!K$2:K$113,MATCH($B80,'Dec 7 - Dec 13'!$B$2:$B$113,0))-INDEX('Nov 30 - Dec 6'!K$2:K$111,MATCH($B80,'Nov 30 - Dec 6'!$B$2:$B$111,0))</f>
        <v>0</v>
      </c>
    </row>
    <row r="81" spans="2:11" ht="12.75">
      <c r="B81" s="13" t="s">
        <v>84</v>
      </c>
      <c r="C81" s="14" t="str">
        <f t="array" aca="1" ref="C81" ca="1">INDEX('Rooms Master'!U:U,MATCH(B81,'Rooms Master'!D:D,0))</f>
        <v>Y</v>
      </c>
      <c r="D81" s="15">
        <f t="array" ref="D81">INDEX('Dec 7 - Dec 13'!D$2:D$113,MATCH($B81,'Dec 7 - Dec 13'!$B$2:$B$113,0))-INDEX('Nov 30 - Dec 6'!D$2:D$111,MATCH($B81,'Nov 30 - Dec 6'!$B$2:$B$111,0))</f>
        <v>39</v>
      </c>
      <c r="E81" s="15">
        <f t="array" ref="E81">INDEX('Dec 7 - Dec 13'!E$2:E$113,MATCH($B81,'Dec 7 - Dec 13'!$B$2:$B$113,0))-INDEX('Nov 30 - Dec 6'!E$2:E$111,MATCH($B81,'Nov 30 - Dec 6'!$B$2:$B$111,0))</f>
        <v>-3</v>
      </c>
      <c r="F81" s="15">
        <f t="array" ref="F81">INDEX('Dec 7 - Dec 13'!F$2:F$113,MATCH($B81,'Dec 7 - Dec 13'!$B$2:$B$113,0))-INDEX('Nov 30 - Dec 6'!F$2:F$111,MATCH($B81,'Nov 30 - Dec 6'!$B$2:$B$111,0))</f>
        <v>-2</v>
      </c>
      <c r="G81" s="15">
        <f t="array" ref="G81">INDEX('Dec 7 - Dec 13'!G$2:G$113,MATCH($B81,'Dec 7 - Dec 13'!$B$2:$B$113,0))-INDEX('Nov 30 - Dec 6'!G$2:G$111,MATCH($B81,'Nov 30 - Dec 6'!$B$2:$B$111,0))</f>
        <v>0</v>
      </c>
      <c r="H81" s="15">
        <f t="array" ref="H81">INDEX('Dec 7 - Dec 13'!H$2:H$113,MATCH($B81,'Dec 7 - Dec 13'!$B$2:$B$113,0))-INDEX('Nov 30 - Dec 6'!H$2:H$111,MATCH($B81,'Nov 30 - Dec 6'!$B$2:$B$111,0))</f>
        <v>-1</v>
      </c>
      <c r="I81" s="15">
        <f t="array" ref="I81">INDEX('Dec 7 - Dec 13'!I$2:I$113,MATCH($B81,'Dec 7 - Dec 13'!$B$2:$B$113,0))-INDEX('Nov 30 - Dec 6'!I$2:I$111,MATCH($B81,'Nov 30 - Dec 6'!$B$2:$B$111,0))</f>
        <v>1</v>
      </c>
      <c r="J81" s="15">
        <f t="array" ref="J81">INDEX('Dec 7 - Dec 13'!J$2:J$113,MATCH($B81,'Dec 7 - Dec 13'!$B$2:$B$113,0))-INDEX('Nov 30 - Dec 6'!J$2:J$111,MATCH($B81,'Nov 30 - Dec 6'!$B$2:$B$111,0))</f>
        <v>0</v>
      </c>
      <c r="K81" s="15">
        <f t="array" ref="K81">INDEX('Dec 7 - Dec 13'!K$2:K$113,MATCH($B81,'Dec 7 - Dec 13'!$B$2:$B$113,0))-INDEX('Nov 30 - Dec 6'!K$2:K$111,MATCH($B81,'Nov 30 - Dec 6'!$B$2:$B$111,0))</f>
        <v>0</v>
      </c>
    </row>
    <row r="82" spans="2:11" ht="12.75">
      <c r="B82" s="13" t="s">
        <v>95</v>
      </c>
      <c r="C82" s="14" t="str">
        <f t="array" aca="1" ref="C82" ca="1">INDEX('Rooms Master'!U:U,MATCH(B82,'Rooms Master'!D:D,0))</f>
        <v>N</v>
      </c>
      <c r="D82" s="15">
        <f t="array" ref="D82">INDEX('Dec 7 - Dec 13'!D$2:D$113,MATCH($B82,'Dec 7 - Dec 13'!$B$2:$B$113,0))-INDEX('Nov 30 - Dec 6'!D$2:D$111,MATCH($B82,'Nov 30 - Dec 6'!$B$2:$B$111,0))</f>
        <v>26</v>
      </c>
      <c r="E82" s="15">
        <f t="array" ref="E82">INDEX('Dec 7 - Dec 13'!E$2:E$113,MATCH($B82,'Dec 7 - Dec 13'!$B$2:$B$113,0))-INDEX('Nov 30 - Dec 6'!E$2:E$111,MATCH($B82,'Nov 30 - Dec 6'!$B$2:$B$111,0))</f>
        <v>-3</v>
      </c>
      <c r="F82" s="15">
        <f t="array" ref="F82">INDEX('Dec 7 - Dec 13'!F$2:F$113,MATCH($B82,'Dec 7 - Dec 13'!$B$2:$B$113,0))-INDEX('Nov 30 - Dec 6'!F$2:F$111,MATCH($B82,'Nov 30 - Dec 6'!$B$2:$B$111,0))</f>
        <v>-3</v>
      </c>
      <c r="G82" s="15">
        <f t="array" ref="G82">INDEX('Dec 7 - Dec 13'!G$2:G$113,MATCH($B82,'Dec 7 - Dec 13'!$B$2:$B$113,0))-INDEX('Nov 30 - Dec 6'!G$2:G$111,MATCH($B82,'Nov 30 - Dec 6'!$B$2:$B$111,0))</f>
        <v>-1</v>
      </c>
      <c r="H82" s="15">
        <f t="array" ref="H82">INDEX('Dec 7 - Dec 13'!H$2:H$113,MATCH($B82,'Dec 7 - Dec 13'!$B$2:$B$113,0))-INDEX('Nov 30 - Dec 6'!H$2:H$111,MATCH($B82,'Nov 30 - Dec 6'!$B$2:$B$111,0))</f>
        <v>-2</v>
      </c>
      <c r="I82" s="15">
        <f t="array" ref="I82">INDEX('Dec 7 - Dec 13'!I$2:I$113,MATCH($B82,'Dec 7 - Dec 13'!$B$2:$B$113,0))-INDEX('Nov 30 - Dec 6'!I$2:I$111,MATCH($B82,'Nov 30 - Dec 6'!$B$2:$B$111,0))</f>
        <v>0</v>
      </c>
      <c r="J82" s="15">
        <f t="array" ref="J82">INDEX('Dec 7 - Dec 13'!J$2:J$113,MATCH($B82,'Dec 7 - Dec 13'!$B$2:$B$113,0))-INDEX('Nov 30 - Dec 6'!J$2:J$111,MATCH($B82,'Nov 30 - Dec 6'!$B$2:$B$111,0))</f>
        <v>0</v>
      </c>
      <c r="K82" s="15">
        <f t="array" ref="K82">INDEX('Dec 7 - Dec 13'!K$2:K$113,MATCH($B82,'Dec 7 - Dec 13'!$B$2:$B$113,0))-INDEX('Nov 30 - Dec 6'!K$2:K$111,MATCH($B82,'Nov 30 - Dec 6'!$B$2:$B$111,0))</f>
        <v>0</v>
      </c>
    </row>
    <row r="83" spans="2:11" ht="12.75">
      <c r="B83" s="13" t="s">
        <v>103</v>
      </c>
      <c r="C83" s="14" t="str">
        <f t="array" aca="1" ref="C83" ca="1">INDEX('Rooms Master'!U:U,MATCH(B83,'Rooms Master'!D:D,0))</f>
        <v>N</v>
      </c>
      <c r="D83" s="15">
        <f t="array" ref="D83">INDEX('Dec 7 - Dec 13'!D$2:D$113,MATCH($B83,'Dec 7 - Dec 13'!$B$2:$B$113,0))-INDEX('Nov 30 - Dec 6'!D$2:D$111,MATCH($B83,'Nov 30 - Dec 6'!$B$2:$B$111,0))</f>
        <v>3</v>
      </c>
      <c r="E83" s="15">
        <f t="array" ref="E83">INDEX('Dec 7 - Dec 13'!E$2:E$113,MATCH($B83,'Dec 7 - Dec 13'!$B$2:$B$113,0))-INDEX('Nov 30 - Dec 6'!E$2:E$111,MATCH($B83,'Nov 30 - Dec 6'!$B$2:$B$111,0))</f>
        <v>-3</v>
      </c>
      <c r="F83" s="15">
        <f t="array" ref="F83">INDEX('Dec 7 - Dec 13'!F$2:F$113,MATCH($B83,'Dec 7 - Dec 13'!$B$2:$B$113,0))-INDEX('Nov 30 - Dec 6'!F$2:F$111,MATCH($B83,'Nov 30 - Dec 6'!$B$2:$B$111,0))</f>
        <v>-3</v>
      </c>
      <c r="G83" s="15">
        <f t="array" ref="G83">INDEX('Dec 7 - Dec 13'!G$2:G$113,MATCH($B83,'Dec 7 - Dec 13'!$B$2:$B$113,0))-INDEX('Nov 30 - Dec 6'!G$2:G$111,MATCH($B83,'Nov 30 - Dec 6'!$B$2:$B$111,0))</f>
        <v>-2</v>
      </c>
      <c r="H83" s="15">
        <f t="array" ref="H83">INDEX('Dec 7 - Dec 13'!H$2:H$113,MATCH($B83,'Dec 7 - Dec 13'!$B$2:$B$113,0))-INDEX('Nov 30 - Dec 6'!H$2:H$111,MATCH($B83,'Nov 30 - Dec 6'!$B$2:$B$111,0))</f>
        <v>-2</v>
      </c>
      <c r="I83" s="15">
        <f t="array" ref="I83">INDEX('Dec 7 - Dec 13'!I$2:I$113,MATCH($B83,'Dec 7 - Dec 13'!$B$2:$B$113,0))-INDEX('Nov 30 - Dec 6'!I$2:I$111,MATCH($B83,'Nov 30 - Dec 6'!$B$2:$B$111,0))</f>
        <v>0</v>
      </c>
      <c r="J83" s="15">
        <f t="array" ref="J83">INDEX('Dec 7 - Dec 13'!J$2:J$113,MATCH($B83,'Dec 7 - Dec 13'!$B$2:$B$113,0))-INDEX('Nov 30 - Dec 6'!J$2:J$111,MATCH($B83,'Nov 30 - Dec 6'!$B$2:$B$111,0))</f>
        <v>0</v>
      </c>
      <c r="K83" s="15">
        <f t="array" ref="K83">INDEX('Dec 7 - Dec 13'!K$2:K$113,MATCH($B83,'Dec 7 - Dec 13'!$B$2:$B$113,0))-INDEX('Nov 30 - Dec 6'!K$2:K$111,MATCH($B83,'Nov 30 - Dec 6'!$B$2:$B$111,0))</f>
        <v>0</v>
      </c>
    </row>
    <row r="84" spans="2:11" ht="12.75">
      <c r="B84" s="13" t="s">
        <v>116</v>
      </c>
      <c r="C84" s="14" t="str">
        <f t="array" aca="1" ref="C84" ca="1">INDEX('Rooms Master'!U:U,MATCH(B84,'Rooms Master'!D:D,0))</f>
        <v>Y</v>
      </c>
      <c r="D84" s="15">
        <f t="array" ref="D84">INDEX('Dec 7 - Dec 13'!D$2:D$113,MATCH($B84,'Dec 7 - Dec 13'!$B$2:$B$113,0))-INDEX('Nov 30 - Dec 6'!D$2:D$111,MATCH($B84,'Nov 30 - Dec 6'!$B$2:$B$111,0))</f>
        <v>-46</v>
      </c>
      <c r="E84" s="15">
        <f t="array" ref="E84">INDEX('Dec 7 - Dec 13'!E$2:E$113,MATCH($B84,'Dec 7 - Dec 13'!$B$2:$B$113,0))-INDEX('Nov 30 - Dec 6'!E$2:E$111,MATCH($B84,'Nov 30 - Dec 6'!$B$2:$B$111,0))</f>
        <v>-4</v>
      </c>
      <c r="F84" s="15">
        <f t="array" ref="F84">INDEX('Dec 7 - Dec 13'!F$2:F$113,MATCH($B84,'Dec 7 - Dec 13'!$B$2:$B$113,0))-INDEX('Nov 30 - Dec 6'!F$2:F$111,MATCH($B84,'Nov 30 - Dec 6'!$B$2:$B$111,0))</f>
        <v>-4</v>
      </c>
      <c r="G84" s="15">
        <f t="array" ref="G84">INDEX('Dec 7 - Dec 13'!G$2:G$113,MATCH($B84,'Dec 7 - Dec 13'!$B$2:$B$113,0))-INDEX('Nov 30 - Dec 6'!G$2:G$111,MATCH($B84,'Nov 30 - Dec 6'!$B$2:$B$111,0))</f>
        <v>0</v>
      </c>
      <c r="H84" s="15">
        <f t="array" ref="H84">INDEX('Dec 7 - Dec 13'!H$2:H$113,MATCH($B84,'Dec 7 - Dec 13'!$B$2:$B$113,0))-INDEX('Nov 30 - Dec 6'!H$2:H$111,MATCH($B84,'Nov 30 - Dec 6'!$B$2:$B$111,0))</f>
        <v>2</v>
      </c>
      <c r="I84" s="15">
        <f t="array" ref="I84">INDEX('Dec 7 - Dec 13'!I$2:I$113,MATCH($B84,'Dec 7 - Dec 13'!$B$2:$B$113,0))-INDEX('Nov 30 - Dec 6'!I$2:I$111,MATCH($B84,'Nov 30 - Dec 6'!$B$2:$B$111,0))</f>
        <v>0</v>
      </c>
      <c r="J84" s="15">
        <f t="array" ref="J84">INDEX('Dec 7 - Dec 13'!J$2:J$113,MATCH($B84,'Dec 7 - Dec 13'!$B$2:$B$113,0))-INDEX('Nov 30 - Dec 6'!J$2:J$111,MATCH($B84,'Nov 30 - Dec 6'!$B$2:$B$111,0))</f>
        <v>0</v>
      </c>
      <c r="K84" s="15">
        <f t="array" ref="K84">INDEX('Dec 7 - Dec 13'!K$2:K$113,MATCH($B84,'Dec 7 - Dec 13'!$B$2:$B$113,0))-INDEX('Nov 30 - Dec 6'!K$2:K$111,MATCH($B84,'Nov 30 - Dec 6'!$B$2:$B$111,0))</f>
        <v>0</v>
      </c>
    </row>
    <row r="85" spans="2:11" ht="12.75">
      <c r="B85" s="13" t="s">
        <v>100</v>
      </c>
      <c r="C85" s="14" t="str">
        <f t="array" aca="1" ref="C85" ca="1">INDEX('Rooms Master'!U:U,MATCH(B85,'Rooms Master'!D:D,0))</f>
        <v>N</v>
      </c>
      <c r="D85" s="15">
        <f t="array" ref="D85">INDEX('Dec 7 - Dec 13'!D$2:D$113,MATCH($B85,'Dec 7 - Dec 13'!$B$2:$B$113,0))-INDEX('Nov 30 - Dec 6'!D$2:D$111,MATCH($B85,'Nov 30 - Dec 6'!$B$2:$B$111,0))</f>
        <v>0</v>
      </c>
      <c r="E85" s="15">
        <f t="array" ref="E85">INDEX('Dec 7 - Dec 13'!E$2:E$113,MATCH($B85,'Dec 7 - Dec 13'!$B$2:$B$113,0))-INDEX('Nov 30 - Dec 6'!E$2:E$111,MATCH($B85,'Nov 30 - Dec 6'!$B$2:$B$111,0))</f>
        <v>-4</v>
      </c>
      <c r="F85" s="15">
        <f t="array" ref="F85">INDEX('Dec 7 - Dec 13'!F$2:F$113,MATCH($B85,'Dec 7 - Dec 13'!$B$2:$B$113,0))-INDEX('Nov 30 - Dec 6'!F$2:F$111,MATCH($B85,'Nov 30 - Dec 6'!$B$2:$B$111,0))</f>
        <v>-4</v>
      </c>
      <c r="G85" s="15">
        <f t="array" ref="G85">INDEX('Dec 7 - Dec 13'!G$2:G$113,MATCH($B85,'Dec 7 - Dec 13'!$B$2:$B$113,0))-INDEX('Nov 30 - Dec 6'!G$2:G$111,MATCH($B85,'Nov 30 - Dec 6'!$B$2:$B$111,0))</f>
        <v>0</v>
      </c>
      <c r="H85" s="15">
        <f t="array" ref="H85">INDEX('Dec 7 - Dec 13'!H$2:H$113,MATCH($B85,'Dec 7 - Dec 13'!$B$2:$B$113,0))-INDEX('Nov 30 - Dec 6'!H$2:H$111,MATCH($B85,'Nov 30 - Dec 6'!$B$2:$B$111,0))</f>
        <v>0</v>
      </c>
      <c r="I85" s="15">
        <f t="array" ref="I85">INDEX('Dec 7 - Dec 13'!I$2:I$113,MATCH($B85,'Dec 7 - Dec 13'!$B$2:$B$113,0))-INDEX('Nov 30 - Dec 6'!I$2:I$111,MATCH($B85,'Nov 30 - Dec 6'!$B$2:$B$111,0))</f>
        <v>0</v>
      </c>
      <c r="J85" s="15">
        <f t="array" ref="J85">INDEX('Dec 7 - Dec 13'!J$2:J$113,MATCH($B85,'Dec 7 - Dec 13'!$B$2:$B$113,0))-INDEX('Nov 30 - Dec 6'!J$2:J$111,MATCH($B85,'Nov 30 - Dec 6'!$B$2:$B$111,0))</f>
        <v>0</v>
      </c>
      <c r="K85" s="15">
        <f t="array" ref="K85">INDEX('Dec 7 - Dec 13'!K$2:K$113,MATCH($B85,'Dec 7 - Dec 13'!$B$2:$B$113,0))-INDEX('Nov 30 - Dec 6'!K$2:K$111,MATCH($B85,'Nov 30 - Dec 6'!$B$2:$B$111,0))</f>
        <v>0</v>
      </c>
    </row>
    <row r="86" spans="2:11" ht="12.75">
      <c r="B86" s="13" t="s">
        <v>87</v>
      </c>
      <c r="C86" s="14" t="str">
        <f t="array" aca="1" ref="C86" ca="1">INDEX('Rooms Master'!U:U,MATCH(B86,'Rooms Master'!D:D,0))</f>
        <v>Y</v>
      </c>
      <c r="D86" s="15">
        <f t="array" ref="D86">INDEX('Dec 7 - Dec 13'!D$2:D$113,MATCH($B86,'Dec 7 - Dec 13'!$B$2:$B$113,0))-INDEX('Nov 30 - Dec 6'!D$2:D$111,MATCH($B86,'Nov 30 - Dec 6'!$B$2:$B$111,0))</f>
        <v>2</v>
      </c>
      <c r="E86" s="15">
        <f t="array" ref="E86">INDEX('Dec 7 - Dec 13'!E$2:E$113,MATCH($B86,'Dec 7 - Dec 13'!$B$2:$B$113,0))-INDEX('Nov 30 - Dec 6'!E$2:E$111,MATCH($B86,'Nov 30 - Dec 6'!$B$2:$B$111,0))</f>
        <v>-5</v>
      </c>
      <c r="F86" s="15">
        <f t="array" ref="F86">INDEX('Dec 7 - Dec 13'!F$2:F$113,MATCH($B86,'Dec 7 - Dec 13'!$B$2:$B$113,0))-INDEX('Nov 30 - Dec 6'!F$2:F$111,MATCH($B86,'Nov 30 - Dec 6'!$B$2:$B$111,0))</f>
        <v>1</v>
      </c>
      <c r="G86" s="15">
        <f t="array" ref="G86">INDEX('Dec 7 - Dec 13'!G$2:G$113,MATCH($B86,'Dec 7 - Dec 13'!$B$2:$B$113,0))-INDEX('Nov 30 - Dec 6'!G$2:G$111,MATCH($B86,'Nov 30 - Dec 6'!$B$2:$B$111,0))</f>
        <v>-2</v>
      </c>
      <c r="H86" s="15">
        <f t="array" ref="H86">INDEX('Dec 7 - Dec 13'!H$2:H$113,MATCH($B86,'Dec 7 - Dec 13'!$B$2:$B$113,0))-INDEX('Nov 30 - Dec 6'!H$2:H$111,MATCH($B86,'Nov 30 - Dec 6'!$B$2:$B$111,0))</f>
        <v>-1</v>
      </c>
      <c r="I86" s="15">
        <f t="array" ref="I86">INDEX('Dec 7 - Dec 13'!I$2:I$113,MATCH($B86,'Dec 7 - Dec 13'!$B$2:$B$113,0))-INDEX('Nov 30 - Dec 6'!I$2:I$111,MATCH($B86,'Nov 30 - Dec 6'!$B$2:$B$111,0))</f>
        <v>0</v>
      </c>
      <c r="J86" s="15">
        <f t="array" ref="J86">INDEX('Dec 7 - Dec 13'!J$2:J$113,MATCH($B86,'Dec 7 - Dec 13'!$B$2:$B$113,0))-INDEX('Nov 30 - Dec 6'!J$2:J$111,MATCH($B86,'Nov 30 - Dec 6'!$B$2:$B$111,0))</f>
        <v>0</v>
      </c>
      <c r="K86" s="15">
        <f t="array" ref="K86">INDEX('Dec 7 - Dec 13'!K$2:K$113,MATCH($B86,'Dec 7 - Dec 13'!$B$2:$B$113,0))-INDEX('Nov 30 - Dec 6'!K$2:K$111,MATCH($B86,'Nov 30 - Dec 6'!$B$2:$B$111,0))</f>
        <v>0</v>
      </c>
    </row>
    <row r="87" spans="2:11" ht="12.75">
      <c r="B87" s="13" t="s">
        <v>40</v>
      </c>
      <c r="C87" s="14" t="str">
        <f t="array" aca="1" ref="C87" ca="1">INDEX('Rooms Master'!U:U,MATCH(B87,'Rooms Master'!D:D,0))</f>
        <v>Y</v>
      </c>
      <c r="D87" s="15">
        <f t="array" ref="D87">INDEX('Dec 7 - Dec 13'!D$2:D$113,MATCH($B87,'Dec 7 - Dec 13'!$B$2:$B$113,0))-INDEX('Nov 30 - Dec 6'!D$2:D$111,MATCH($B87,'Nov 30 - Dec 6'!$B$2:$B$111,0))</f>
        <v>78</v>
      </c>
      <c r="E87" s="15">
        <f t="array" ref="E87">INDEX('Dec 7 - Dec 13'!E$2:E$113,MATCH($B87,'Dec 7 - Dec 13'!$B$2:$B$113,0))-INDEX('Nov 30 - Dec 6'!E$2:E$111,MATCH($B87,'Nov 30 - Dec 6'!$B$2:$B$111,0))</f>
        <v>-6</v>
      </c>
      <c r="F87" s="15">
        <f t="array" ref="F87">INDEX('Dec 7 - Dec 13'!F$2:F$113,MATCH($B87,'Dec 7 - Dec 13'!$B$2:$B$113,0))-INDEX('Nov 30 - Dec 6'!F$2:F$111,MATCH($B87,'Nov 30 - Dec 6'!$B$2:$B$111,0))</f>
        <v>-6</v>
      </c>
      <c r="G87" s="15">
        <f t="array" ref="G87">INDEX('Dec 7 - Dec 13'!G$2:G$113,MATCH($B87,'Dec 7 - Dec 13'!$B$2:$B$113,0))-INDEX('Nov 30 - Dec 6'!G$2:G$111,MATCH($B87,'Nov 30 - Dec 6'!$B$2:$B$111,0))</f>
        <v>0</v>
      </c>
      <c r="H87" s="15">
        <f t="array" ref="H87">INDEX('Dec 7 - Dec 13'!H$2:H$113,MATCH($B87,'Dec 7 - Dec 13'!$B$2:$B$113,0))-INDEX('Nov 30 - Dec 6'!H$2:H$111,MATCH($B87,'Nov 30 - Dec 6'!$B$2:$B$111,0))</f>
        <v>0</v>
      </c>
      <c r="I87" s="15">
        <f t="array" ref="I87">INDEX('Dec 7 - Dec 13'!I$2:I$113,MATCH($B87,'Dec 7 - Dec 13'!$B$2:$B$113,0))-INDEX('Nov 30 - Dec 6'!I$2:I$111,MATCH($B87,'Nov 30 - Dec 6'!$B$2:$B$111,0))</f>
        <v>0</v>
      </c>
      <c r="J87" s="15">
        <f t="array" ref="J87">INDEX('Dec 7 - Dec 13'!J$2:J$113,MATCH($B87,'Dec 7 - Dec 13'!$B$2:$B$113,0))-INDEX('Nov 30 - Dec 6'!J$2:J$111,MATCH($B87,'Nov 30 - Dec 6'!$B$2:$B$111,0))</f>
        <v>0</v>
      </c>
      <c r="K87" s="15">
        <f t="array" ref="K87">INDEX('Dec 7 - Dec 13'!K$2:K$113,MATCH($B87,'Dec 7 - Dec 13'!$B$2:$B$113,0))-INDEX('Nov 30 - Dec 6'!K$2:K$111,MATCH($B87,'Nov 30 - Dec 6'!$B$2:$B$111,0))</f>
        <v>0</v>
      </c>
    </row>
    <row r="88" spans="2:11" ht="12.75">
      <c r="B88" s="13" t="s">
        <v>31</v>
      </c>
      <c r="C88" s="14" t="str">
        <f t="array" aca="1" ref="C88" ca="1">INDEX('Rooms Master'!U:U,MATCH(B88,'Rooms Master'!D:D,0))</f>
        <v>Y</v>
      </c>
      <c r="D88" s="15">
        <f t="array" ref="D88">INDEX('Dec 7 - Dec 13'!D$2:D$113,MATCH($B88,'Dec 7 - Dec 13'!$B$2:$B$113,0))-INDEX('Nov 30 - Dec 6'!D$2:D$111,MATCH($B88,'Nov 30 - Dec 6'!$B$2:$B$111,0))</f>
        <v>32</v>
      </c>
      <c r="E88" s="15">
        <f t="array" ref="E88">INDEX('Dec 7 - Dec 13'!E$2:E$113,MATCH($B88,'Dec 7 - Dec 13'!$B$2:$B$113,0))-INDEX('Nov 30 - Dec 6'!E$2:E$111,MATCH($B88,'Nov 30 - Dec 6'!$B$2:$B$111,0))</f>
        <v>-6</v>
      </c>
      <c r="F88" s="15">
        <f t="array" ref="F88">INDEX('Dec 7 - Dec 13'!F$2:F$113,MATCH($B88,'Dec 7 - Dec 13'!$B$2:$B$113,0))-INDEX('Nov 30 - Dec 6'!F$2:F$111,MATCH($B88,'Nov 30 - Dec 6'!$B$2:$B$111,0))</f>
        <v>-9</v>
      </c>
      <c r="G88" s="15">
        <f t="array" ref="G88">INDEX('Dec 7 - Dec 13'!G$2:G$113,MATCH($B88,'Dec 7 - Dec 13'!$B$2:$B$113,0))-INDEX('Nov 30 - Dec 6'!G$2:G$111,MATCH($B88,'Nov 30 - Dec 6'!$B$2:$B$111,0))</f>
        <v>0</v>
      </c>
      <c r="H88" s="15">
        <f t="array" ref="H88">INDEX('Dec 7 - Dec 13'!H$2:H$113,MATCH($B88,'Dec 7 - Dec 13'!$B$2:$B$113,0))-INDEX('Nov 30 - Dec 6'!H$2:H$111,MATCH($B88,'Nov 30 - Dec 6'!$B$2:$B$111,0))</f>
        <v>-1</v>
      </c>
      <c r="I88" s="15">
        <f t="array" ref="I88">INDEX('Dec 7 - Dec 13'!I$2:I$113,MATCH($B88,'Dec 7 - Dec 13'!$B$2:$B$113,0))-INDEX('Nov 30 - Dec 6'!I$2:I$111,MATCH($B88,'Nov 30 - Dec 6'!$B$2:$B$111,0))</f>
        <v>0</v>
      </c>
      <c r="J88" s="15">
        <f t="array" ref="J88">INDEX('Dec 7 - Dec 13'!J$2:J$113,MATCH($B88,'Dec 7 - Dec 13'!$B$2:$B$113,0))-INDEX('Nov 30 - Dec 6'!J$2:J$111,MATCH($B88,'Nov 30 - Dec 6'!$B$2:$B$111,0))</f>
        <v>0</v>
      </c>
      <c r="K88" s="15">
        <f t="array" ref="K88">INDEX('Dec 7 - Dec 13'!K$2:K$113,MATCH($B88,'Dec 7 - Dec 13'!$B$2:$B$113,0))-INDEX('Nov 30 - Dec 6'!K$2:K$111,MATCH($B88,'Nov 30 - Dec 6'!$B$2:$B$111,0))</f>
        <v>0</v>
      </c>
    </row>
    <row r="89" spans="2:11" ht="12.75">
      <c r="B89" s="13" t="s">
        <v>102</v>
      </c>
      <c r="C89" s="14" t="str">
        <f t="array" aca="1" ref="C89" ca="1">INDEX('Rooms Master'!U:U,MATCH(B89,'Rooms Master'!D:D,0))</f>
        <v>N</v>
      </c>
      <c r="D89" s="15">
        <f t="array" ref="D89">INDEX('Dec 7 - Dec 13'!D$2:D$113,MATCH($B89,'Dec 7 - Dec 13'!$B$2:$B$113,0))-INDEX('Nov 30 - Dec 6'!D$2:D$111,MATCH($B89,'Nov 30 - Dec 6'!$B$2:$B$111,0))</f>
        <v>-41</v>
      </c>
      <c r="E89" s="15">
        <f t="array" ref="E89">INDEX('Dec 7 - Dec 13'!E$2:E$113,MATCH($B89,'Dec 7 - Dec 13'!$B$2:$B$113,0))-INDEX('Nov 30 - Dec 6'!E$2:E$111,MATCH($B89,'Nov 30 - Dec 6'!$B$2:$B$111,0))</f>
        <v>-6</v>
      </c>
      <c r="F89" s="15">
        <f t="array" ref="F89">INDEX('Dec 7 - Dec 13'!F$2:F$113,MATCH($B89,'Dec 7 - Dec 13'!$B$2:$B$113,0))-INDEX('Nov 30 - Dec 6'!F$2:F$111,MATCH($B89,'Nov 30 - Dec 6'!$B$2:$B$111,0))</f>
        <v>-8</v>
      </c>
      <c r="G89" s="15">
        <f t="array" ref="G89">INDEX('Dec 7 - Dec 13'!G$2:G$113,MATCH($B89,'Dec 7 - Dec 13'!$B$2:$B$113,0))-INDEX('Nov 30 - Dec 6'!G$2:G$111,MATCH($B89,'Nov 30 - Dec 6'!$B$2:$B$111,0))</f>
        <v>-1</v>
      </c>
      <c r="H89" s="15">
        <f t="array" ref="H89">INDEX('Dec 7 - Dec 13'!H$2:H$113,MATCH($B89,'Dec 7 - Dec 13'!$B$2:$B$113,0))-INDEX('Nov 30 - Dec 6'!H$2:H$111,MATCH($B89,'Nov 30 - Dec 6'!$B$2:$B$111,0))</f>
        <v>-2</v>
      </c>
      <c r="I89" s="15">
        <f t="array" ref="I89">INDEX('Dec 7 - Dec 13'!I$2:I$113,MATCH($B89,'Dec 7 - Dec 13'!$B$2:$B$113,0))-INDEX('Nov 30 - Dec 6'!I$2:I$111,MATCH($B89,'Nov 30 - Dec 6'!$B$2:$B$111,0))</f>
        <v>0</v>
      </c>
      <c r="J89" s="15">
        <f t="array" ref="J89">INDEX('Dec 7 - Dec 13'!J$2:J$113,MATCH($B89,'Dec 7 - Dec 13'!$B$2:$B$113,0))-INDEX('Nov 30 - Dec 6'!J$2:J$111,MATCH($B89,'Nov 30 - Dec 6'!$B$2:$B$111,0))</f>
        <v>0</v>
      </c>
      <c r="K89" s="15">
        <f t="array" ref="K89">INDEX('Dec 7 - Dec 13'!K$2:K$113,MATCH($B89,'Dec 7 - Dec 13'!$B$2:$B$113,0))-INDEX('Nov 30 - Dec 6'!K$2:K$111,MATCH($B89,'Nov 30 - Dec 6'!$B$2:$B$111,0))</f>
        <v>-1</v>
      </c>
    </row>
    <row r="90" spans="2:11" ht="12.75">
      <c r="B90" s="13" t="s">
        <v>86</v>
      </c>
      <c r="C90" s="14" t="str">
        <f t="array" aca="1" ref="C90" ca="1">INDEX('Rooms Master'!U:U,MATCH(B90,'Rooms Master'!D:D,0))</f>
        <v>Y</v>
      </c>
      <c r="D90" s="15">
        <f t="array" ref="D90">INDEX('Dec 7 - Dec 13'!D$2:D$113,MATCH($B90,'Dec 7 - Dec 13'!$B$2:$B$113,0))-INDEX('Nov 30 - Dec 6'!D$2:D$111,MATCH($B90,'Nov 30 - Dec 6'!$B$2:$B$111,0))</f>
        <v>18</v>
      </c>
      <c r="E90" s="15">
        <f t="array" ref="E90">INDEX('Dec 7 - Dec 13'!E$2:E$113,MATCH($B90,'Dec 7 - Dec 13'!$B$2:$B$113,0))-INDEX('Nov 30 - Dec 6'!E$2:E$111,MATCH($B90,'Nov 30 - Dec 6'!$B$2:$B$111,0))</f>
        <v>-7</v>
      </c>
      <c r="F90" s="15">
        <f t="array" ref="F90">INDEX('Dec 7 - Dec 13'!F$2:F$113,MATCH($B90,'Dec 7 - Dec 13'!$B$2:$B$113,0))-INDEX('Nov 30 - Dec 6'!F$2:F$111,MATCH($B90,'Nov 30 - Dec 6'!$B$2:$B$111,0))</f>
        <v>3</v>
      </c>
      <c r="G90" s="15">
        <f t="array" ref="G90">INDEX('Dec 7 - Dec 13'!G$2:G$113,MATCH($B90,'Dec 7 - Dec 13'!$B$2:$B$113,0))-INDEX('Nov 30 - Dec 6'!G$2:G$111,MATCH($B90,'Nov 30 - Dec 6'!$B$2:$B$111,0))</f>
        <v>2</v>
      </c>
      <c r="H90" s="15">
        <f t="array" ref="H90">INDEX('Dec 7 - Dec 13'!H$2:H$113,MATCH($B90,'Dec 7 - Dec 13'!$B$2:$B$113,0))-INDEX('Nov 30 - Dec 6'!H$2:H$111,MATCH($B90,'Nov 30 - Dec 6'!$B$2:$B$111,0))</f>
        <v>-2</v>
      </c>
      <c r="I90" s="15">
        <f t="array" ref="I90">INDEX('Dec 7 - Dec 13'!I$2:I$113,MATCH($B90,'Dec 7 - Dec 13'!$B$2:$B$113,0))-INDEX('Nov 30 - Dec 6'!I$2:I$111,MATCH($B90,'Nov 30 - Dec 6'!$B$2:$B$111,0))</f>
        <v>0</v>
      </c>
      <c r="J90" s="15">
        <f t="array" ref="J90">INDEX('Dec 7 - Dec 13'!J$2:J$113,MATCH($B90,'Dec 7 - Dec 13'!$B$2:$B$113,0))-INDEX('Nov 30 - Dec 6'!J$2:J$111,MATCH($B90,'Nov 30 - Dec 6'!$B$2:$B$111,0))</f>
        <v>0</v>
      </c>
      <c r="K90" s="15">
        <f t="array" ref="K90">INDEX('Dec 7 - Dec 13'!K$2:K$113,MATCH($B90,'Dec 7 - Dec 13'!$B$2:$B$113,0))-INDEX('Nov 30 - Dec 6'!K$2:K$111,MATCH($B90,'Nov 30 - Dec 6'!$B$2:$B$111,0))</f>
        <v>0</v>
      </c>
    </row>
    <row r="91" spans="2:11" ht="12.75">
      <c r="B91" s="13" t="s">
        <v>27</v>
      </c>
      <c r="C91" s="14" t="str">
        <f t="array" aca="1" ref="C91" ca="1">INDEX('Rooms Master'!U:U,MATCH(B91,'Rooms Master'!D:D,0))</f>
        <v>Y</v>
      </c>
      <c r="D91" s="15">
        <f t="array" ref="D91">INDEX('Dec 7 - Dec 13'!D$2:D$113,MATCH($B91,'Dec 7 - Dec 13'!$B$2:$B$113,0))-INDEX('Nov 30 - Dec 6'!D$2:D$111,MATCH($B91,'Nov 30 - Dec 6'!$B$2:$B$111,0))</f>
        <v>27</v>
      </c>
      <c r="E91" s="15">
        <f t="array" ref="E91">INDEX('Dec 7 - Dec 13'!E$2:E$113,MATCH($B91,'Dec 7 - Dec 13'!$B$2:$B$113,0))-INDEX('Nov 30 - Dec 6'!E$2:E$111,MATCH($B91,'Nov 30 - Dec 6'!$B$2:$B$111,0))</f>
        <v>-7</v>
      </c>
      <c r="F91" s="15">
        <f t="array" ref="F91">INDEX('Dec 7 - Dec 13'!F$2:F$113,MATCH($B91,'Dec 7 - Dec 13'!$B$2:$B$113,0))-INDEX('Nov 30 - Dec 6'!F$2:F$111,MATCH($B91,'Nov 30 - Dec 6'!$B$2:$B$111,0))</f>
        <v>1</v>
      </c>
      <c r="G91" s="15">
        <f t="array" ref="G91">INDEX('Dec 7 - Dec 13'!G$2:G$113,MATCH($B91,'Dec 7 - Dec 13'!$B$2:$B$113,0))-INDEX('Nov 30 - Dec 6'!G$2:G$111,MATCH($B91,'Nov 30 - Dec 6'!$B$2:$B$111,0))</f>
        <v>-2</v>
      </c>
      <c r="H91" s="15">
        <f t="array" ref="H91">INDEX('Dec 7 - Dec 13'!H$2:H$113,MATCH($B91,'Dec 7 - Dec 13'!$B$2:$B$113,0))-INDEX('Nov 30 - Dec 6'!H$2:H$111,MATCH($B91,'Nov 30 - Dec 6'!$B$2:$B$111,0))</f>
        <v>-2</v>
      </c>
      <c r="I91" s="15">
        <f t="array" ref="I91">INDEX('Dec 7 - Dec 13'!I$2:I$113,MATCH($B91,'Dec 7 - Dec 13'!$B$2:$B$113,0))-INDEX('Nov 30 - Dec 6'!I$2:I$111,MATCH($B91,'Nov 30 - Dec 6'!$B$2:$B$111,0))</f>
        <v>-1</v>
      </c>
      <c r="J91" s="15">
        <f t="array" ref="J91">INDEX('Dec 7 - Dec 13'!J$2:J$113,MATCH($B91,'Dec 7 - Dec 13'!$B$2:$B$113,0))-INDEX('Nov 30 - Dec 6'!J$2:J$111,MATCH($B91,'Nov 30 - Dec 6'!$B$2:$B$111,0))</f>
        <v>-1</v>
      </c>
      <c r="K91" s="15">
        <f t="array" ref="K91">INDEX('Dec 7 - Dec 13'!K$2:K$113,MATCH($B91,'Dec 7 - Dec 13'!$B$2:$B$113,0))-INDEX('Nov 30 - Dec 6'!K$2:K$111,MATCH($B91,'Nov 30 - Dec 6'!$B$2:$B$111,0))</f>
        <v>-1</v>
      </c>
    </row>
    <row r="92" spans="2:11" ht="12.75">
      <c r="B92" s="13" t="s">
        <v>51</v>
      </c>
      <c r="C92" s="14" t="str">
        <f t="array" aca="1" ref="C92" ca="1">INDEX('Rooms Master'!U:U,MATCH(B92,'Rooms Master'!D:D,0))</f>
        <v>Y</v>
      </c>
      <c r="D92" s="15">
        <f t="array" ref="D92">INDEX('Dec 7 - Dec 13'!D$2:D$113,MATCH($B92,'Dec 7 - Dec 13'!$B$2:$B$113,0))-INDEX('Nov 30 - Dec 6'!D$2:D$111,MATCH($B92,'Nov 30 - Dec 6'!$B$2:$B$111,0))</f>
        <v>35</v>
      </c>
      <c r="E92" s="15">
        <f t="array" ref="E92">INDEX('Dec 7 - Dec 13'!E$2:E$113,MATCH($B92,'Dec 7 - Dec 13'!$B$2:$B$113,0))-INDEX('Nov 30 - Dec 6'!E$2:E$111,MATCH($B92,'Nov 30 - Dec 6'!$B$2:$B$111,0))</f>
        <v>-8</v>
      </c>
      <c r="F92" s="15">
        <f t="array" ref="F92">INDEX('Dec 7 - Dec 13'!F$2:F$113,MATCH($B92,'Dec 7 - Dec 13'!$B$2:$B$113,0))-INDEX('Nov 30 - Dec 6'!F$2:F$111,MATCH($B92,'Nov 30 - Dec 6'!$B$2:$B$111,0))</f>
        <v>-4</v>
      </c>
      <c r="G92" s="15">
        <f t="array" ref="G92">INDEX('Dec 7 - Dec 13'!G$2:G$113,MATCH($B92,'Dec 7 - Dec 13'!$B$2:$B$113,0))-INDEX('Nov 30 - Dec 6'!G$2:G$111,MATCH($B92,'Nov 30 - Dec 6'!$B$2:$B$111,0))</f>
        <v>-2</v>
      </c>
      <c r="H92" s="15">
        <f t="array" ref="H92">INDEX('Dec 7 - Dec 13'!H$2:H$113,MATCH($B92,'Dec 7 - Dec 13'!$B$2:$B$113,0))-INDEX('Nov 30 - Dec 6'!H$2:H$111,MATCH($B92,'Nov 30 - Dec 6'!$B$2:$B$111,0))</f>
        <v>2</v>
      </c>
      <c r="I92" s="15">
        <f t="array" ref="I92">INDEX('Dec 7 - Dec 13'!I$2:I$113,MATCH($B92,'Dec 7 - Dec 13'!$B$2:$B$113,0))-INDEX('Nov 30 - Dec 6'!I$2:I$111,MATCH($B92,'Nov 30 - Dec 6'!$B$2:$B$111,0))</f>
        <v>0</v>
      </c>
      <c r="J92" s="15">
        <f t="array" ref="J92">INDEX('Dec 7 - Dec 13'!J$2:J$113,MATCH($B92,'Dec 7 - Dec 13'!$B$2:$B$113,0))-INDEX('Nov 30 - Dec 6'!J$2:J$111,MATCH($B92,'Nov 30 - Dec 6'!$B$2:$B$111,0))</f>
        <v>0</v>
      </c>
      <c r="K92" s="15">
        <f t="array" ref="K92">INDEX('Dec 7 - Dec 13'!K$2:K$113,MATCH($B92,'Dec 7 - Dec 13'!$B$2:$B$113,0))-INDEX('Nov 30 - Dec 6'!K$2:K$111,MATCH($B92,'Nov 30 - Dec 6'!$B$2:$B$111,0))</f>
        <v>0</v>
      </c>
    </row>
    <row r="93" spans="2:11" ht="12.75">
      <c r="B93" s="13" t="s">
        <v>75</v>
      </c>
      <c r="C93" s="14" t="str">
        <f t="array" aca="1" ref="C93" ca="1">INDEX('Rooms Master'!U:U,MATCH(B93,'Rooms Master'!D:D,0))</f>
        <v>N</v>
      </c>
      <c r="D93" s="15">
        <f t="array" ref="D93">INDEX('Dec 7 - Dec 13'!D$2:D$113,MATCH($B93,'Dec 7 - Dec 13'!$B$2:$B$113,0))-INDEX('Nov 30 - Dec 6'!D$2:D$111,MATCH($B93,'Nov 30 - Dec 6'!$B$2:$B$111,0))</f>
        <v>0</v>
      </c>
      <c r="E93" s="15">
        <f t="array" ref="E93">INDEX('Dec 7 - Dec 13'!E$2:E$113,MATCH($B93,'Dec 7 - Dec 13'!$B$2:$B$113,0))-INDEX('Nov 30 - Dec 6'!E$2:E$111,MATCH($B93,'Nov 30 - Dec 6'!$B$2:$B$111,0))</f>
        <v>-8</v>
      </c>
      <c r="F93" s="15">
        <f t="array" ref="F93">INDEX('Dec 7 - Dec 13'!F$2:F$113,MATCH($B93,'Dec 7 - Dec 13'!$B$2:$B$113,0))-INDEX('Nov 30 - Dec 6'!F$2:F$111,MATCH($B93,'Nov 30 - Dec 6'!$B$2:$B$111,0))</f>
        <v>-9</v>
      </c>
      <c r="G93" s="15">
        <f t="array" ref="G93">INDEX('Dec 7 - Dec 13'!G$2:G$113,MATCH($B93,'Dec 7 - Dec 13'!$B$2:$B$113,0))-INDEX('Nov 30 - Dec 6'!G$2:G$111,MATCH($B93,'Nov 30 - Dec 6'!$B$2:$B$111,0))</f>
        <v>0</v>
      </c>
      <c r="H93" s="15">
        <f t="array" ref="H93">INDEX('Dec 7 - Dec 13'!H$2:H$113,MATCH($B93,'Dec 7 - Dec 13'!$B$2:$B$113,0))-INDEX('Nov 30 - Dec 6'!H$2:H$111,MATCH($B93,'Nov 30 - Dec 6'!$B$2:$B$111,0))</f>
        <v>0</v>
      </c>
      <c r="I93" s="15">
        <f t="array" ref="I93">INDEX('Dec 7 - Dec 13'!I$2:I$113,MATCH($B93,'Dec 7 - Dec 13'!$B$2:$B$113,0))-INDEX('Nov 30 - Dec 6'!I$2:I$111,MATCH($B93,'Nov 30 - Dec 6'!$B$2:$B$111,0))</f>
        <v>0</v>
      </c>
      <c r="J93" s="15">
        <f t="array" ref="J93">INDEX('Dec 7 - Dec 13'!J$2:J$113,MATCH($B93,'Dec 7 - Dec 13'!$B$2:$B$113,0))-INDEX('Nov 30 - Dec 6'!J$2:J$111,MATCH($B93,'Nov 30 - Dec 6'!$B$2:$B$111,0))</f>
        <v>0</v>
      </c>
      <c r="K93" s="15">
        <f t="array" ref="K93">INDEX('Dec 7 - Dec 13'!K$2:K$113,MATCH($B93,'Dec 7 - Dec 13'!$B$2:$B$113,0))-INDEX('Nov 30 - Dec 6'!K$2:K$111,MATCH($B93,'Nov 30 - Dec 6'!$B$2:$B$111,0))</f>
        <v>0</v>
      </c>
    </row>
    <row r="94" spans="2:11" ht="12.75">
      <c r="B94" s="13" t="s">
        <v>62</v>
      </c>
      <c r="C94" s="14" t="str">
        <f t="array" aca="1" ref="C94" ca="1">INDEX('Rooms Master'!U:U,MATCH(B94,'Rooms Master'!D:D,0))</f>
        <v>N</v>
      </c>
      <c r="D94" s="15">
        <f t="array" ref="D94">INDEX('Dec 7 - Dec 13'!D$2:D$113,MATCH($B94,'Dec 7 - Dec 13'!$B$2:$B$113,0))-INDEX('Nov 30 - Dec 6'!D$2:D$111,MATCH($B94,'Nov 30 - Dec 6'!$B$2:$B$111,0))</f>
        <v>27</v>
      </c>
      <c r="E94" s="15">
        <f t="array" ref="E94">INDEX('Dec 7 - Dec 13'!E$2:E$113,MATCH($B94,'Dec 7 - Dec 13'!$B$2:$B$113,0))-INDEX('Nov 30 - Dec 6'!E$2:E$111,MATCH($B94,'Nov 30 - Dec 6'!$B$2:$B$111,0))</f>
        <v>-8</v>
      </c>
      <c r="F94" s="15">
        <f t="array" ref="F94">INDEX('Dec 7 - Dec 13'!F$2:F$113,MATCH($B94,'Dec 7 - Dec 13'!$B$2:$B$113,0))-INDEX('Nov 30 - Dec 6'!F$2:F$111,MATCH($B94,'Nov 30 - Dec 6'!$B$2:$B$111,0))</f>
        <v>0</v>
      </c>
      <c r="G94" s="15">
        <f t="array" ref="G94">INDEX('Dec 7 - Dec 13'!G$2:G$113,MATCH($B94,'Dec 7 - Dec 13'!$B$2:$B$113,0))-INDEX('Nov 30 - Dec 6'!G$2:G$111,MATCH($B94,'Nov 30 - Dec 6'!$B$2:$B$111,0))</f>
        <v>1</v>
      </c>
      <c r="H94" s="15">
        <f t="array" ref="H94">INDEX('Dec 7 - Dec 13'!H$2:H$113,MATCH($B94,'Dec 7 - Dec 13'!$B$2:$B$113,0))-INDEX('Nov 30 - Dec 6'!H$2:H$111,MATCH($B94,'Nov 30 - Dec 6'!$B$2:$B$111,0))</f>
        <v>0</v>
      </c>
      <c r="I94" s="15">
        <f t="array" ref="I94">INDEX('Dec 7 - Dec 13'!I$2:I$113,MATCH($B94,'Dec 7 - Dec 13'!$B$2:$B$113,0))-INDEX('Nov 30 - Dec 6'!I$2:I$111,MATCH($B94,'Nov 30 - Dec 6'!$B$2:$B$111,0))</f>
        <v>0</v>
      </c>
      <c r="J94" s="15">
        <f t="array" ref="J94">INDEX('Dec 7 - Dec 13'!J$2:J$113,MATCH($B94,'Dec 7 - Dec 13'!$B$2:$B$113,0))-INDEX('Nov 30 - Dec 6'!J$2:J$111,MATCH($B94,'Nov 30 - Dec 6'!$B$2:$B$111,0))</f>
        <v>0</v>
      </c>
      <c r="K94" s="15">
        <f t="array" ref="K94">INDEX('Dec 7 - Dec 13'!K$2:K$113,MATCH($B94,'Dec 7 - Dec 13'!$B$2:$B$113,0))-INDEX('Nov 30 - Dec 6'!K$2:K$111,MATCH($B94,'Nov 30 - Dec 6'!$B$2:$B$111,0))</f>
        <v>0</v>
      </c>
    </row>
    <row r="95" spans="2:11" ht="12.75">
      <c r="B95" s="13" t="s">
        <v>59</v>
      </c>
      <c r="C95" s="14" t="str">
        <f t="array" aca="1" ref="C95" ca="1">INDEX('Rooms Master'!U:U,MATCH(B95,'Rooms Master'!D:D,0))</f>
        <v>Y</v>
      </c>
      <c r="D95" s="15">
        <f t="array" ref="D95">INDEX('Dec 7 - Dec 13'!D$2:D$113,MATCH($B95,'Dec 7 - Dec 13'!$B$2:$B$113,0))-INDEX('Nov 30 - Dec 6'!D$2:D$111,MATCH($B95,'Nov 30 - Dec 6'!$B$2:$B$111,0))</f>
        <v>-33</v>
      </c>
      <c r="E95" s="15">
        <f t="array" ref="E95">INDEX('Dec 7 - Dec 13'!E$2:E$113,MATCH($B95,'Dec 7 - Dec 13'!$B$2:$B$113,0))-INDEX('Nov 30 - Dec 6'!E$2:E$111,MATCH($B95,'Nov 30 - Dec 6'!$B$2:$B$111,0))</f>
        <v>-9</v>
      </c>
      <c r="F95" s="15">
        <f t="array" ref="F95">INDEX('Dec 7 - Dec 13'!F$2:F$113,MATCH($B95,'Dec 7 - Dec 13'!$B$2:$B$113,0))-INDEX('Nov 30 - Dec 6'!F$2:F$111,MATCH($B95,'Nov 30 - Dec 6'!$B$2:$B$111,0))</f>
        <v>-4</v>
      </c>
      <c r="G95" s="15">
        <f t="array" ref="G95">INDEX('Dec 7 - Dec 13'!G$2:G$113,MATCH($B95,'Dec 7 - Dec 13'!$B$2:$B$113,0))-INDEX('Nov 30 - Dec 6'!G$2:G$111,MATCH($B95,'Nov 30 - Dec 6'!$B$2:$B$111,0))</f>
        <v>0</v>
      </c>
      <c r="H95" s="15">
        <f t="array" ref="H95">INDEX('Dec 7 - Dec 13'!H$2:H$113,MATCH($B95,'Dec 7 - Dec 13'!$B$2:$B$113,0))-INDEX('Nov 30 - Dec 6'!H$2:H$111,MATCH($B95,'Nov 30 - Dec 6'!$B$2:$B$111,0))</f>
        <v>2</v>
      </c>
      <c r="I95" s="15">
        <f t="array" ref="I95">INDEX('Dec 7 - Dec 13'!I$2:I$113,MATCH($B95,'Dec 7 - Dec 13'!$B$2:$B$113,0))-INDEX('Nov 30 - Dec 6'!I$2:I$111,MATCH($B95,'Nov 30 - Dec 6'!$B$2:$B$111,0))</f>
        <v>0</v>
      </c>
      <c r="J95" s="15">
        <f t="array" ref="J95">INDEX('Dec 7 - Dec 13'!J$2:J$113,MATCH($B95,'Dec 7 - Dec 13'!$B$2:$B$113,0))-INDEX('Nov 30 - Dec 6'!J$2:J$111,MATCH($B95,'Nov 30 - Dec 6'!$B$2:$B$111,0))</f>
        <v>-1</v>
      </c>
      <c r="K95" s="15">
        <f t="array" ref="K95">INDEX('Dec 7 - Dec 13'!K$2:K$113,MATCH($B95,'Dec 7 - Dec 13'!$B$2:$B$113,0))-INDEX('Nov 30 - Dec 6'!K$2:K$111,MATCH($B95,'Nov 30 - Dec 6'!$B$2:$B$111,0))</f>
        <v>0</v>
      </c>
    </row>
    <row r="96" spans="2:11" ht="12.75">
      <c r="B96" s="13" t="s">
        <v>70</v>
      </c>
      <c r="C96" s="14" t="str">
        <f t="array" aca="1" ref="C96" ca="1">INDEX('Rooms Master'!U:U,MATCH(B96,'Rooms Master'!D:D,0))</f>
        <v>N</v>
      </c>
      <c r="D96" s="15">
        <f t="array" ref="D96">INDEX('Dec 7 - Dec 13'!D$2:D$113,MATCH($B96,'Dec 7 - Dec 13'!$B$2:$B$113,0))-INDEX('Nov 30 - Dec 6'!D$2:D$111,MATCH($B96,'Nov 30 - Dec 6'!$B$2:$B$111,0))</f>
        <v>32</v>
      </c>
      <c r="E96" s="15">
        <f t="array" ref="E96">INDEX('Dec 7 - Dec 13'!E$2:E$113,MATCH($B96,'Dec 7 - Dec 13'!$B$2:$B$113,0))-INDEX('Nov 30 - Dec 6'!E$2:E$111,MATCH($B96,'Nov 30 - Dec 6'!$B$2:$B$111,0))</f>
        <v>-9</v>
      </c>
      <c r="F96" s="15">
        <f t="array" ref="F96">INDEX('Dec 7 - Dec 13'!F$2:F$113,MATCH($B96,'Dec 7 - Dec 13'!$B$2:$B$113,0))-INDEX('Nov 30 - Dec 6'!F$2:F$111,MATCH($B96,'Nov 30 - Dec 6'!$B$2:$B$111,0))</f>
        <v>-6</v>
      </c>
      <c r="G96" s="15">
        <f t="array" ref="G96">INDEX('Dec 7 - Dec 13'!G$2:G$113,MATCH($B96,'Dec 7 - Dec 13'!$B$2:$B$113,0))-INDEX('Nov 30 - Dec 6'!G$2:G$111,MATCH($B96,'Nov 30 - Dec 6'!$B$2:$B$111,0))</f>
        <v>-1</v>
      </c>
      <c r="H96" s="15">
        <f t="array" ref="H96">INDEX('Dec 7 - Dec 13'!H$2:H$113,MATCH($B96,'Dec 7 - Dec 13'!$B$2:$B$113,0))-INDEX('Nov 30 - Dec 6'!H$2:H$111,MATCH($B96,'Nov 30 - Dec 6'!$B$2:$B$111,0))</f>
        <v>-1</v>
      </c>
      <c r="I96" s="15">
        <f t="array" ref="I96">INDEX('Dec 7 - Dec 13'!I$2:I$113,MATCH($B96,'Dec 7 - Dec 13'!$B$2:$B$113,0))-INDEX('Nov 30 - Dec 6'!I$2:I$111,MATCH($B96,'Nov 30 - Dec 6'!$B$2:$B$111,0))</f>
        <v>-1</v>
      </c>
      <c r="J96" s="15">
        <f t="array" ref="J96">INDEX('Dec 7 - Dec 13'!J$2:J$113,MATCH($B96,'Dec 7 - Dec 13'!$B$2:$B$113,0))-INDEX('Nov 30 - Dec 6'!J$2:J$111,MATCH($B96,'Nov 30 - Dec 6'!$B$2:$B$111,0))</f>
        <v>-1</v>
      </c>
      <c r="K96" s="15">
        <f t="array" ref="K96">INDEX('Dec 7 - Dec 13'!K$2:K$113,MATCH($B96,'Dec 7 - Dec 13'!$B$2:$B$113,0))-INDEX('Nov 30 - Dec 6'!K$2:K$111,MATCH($B96,'Nov 30 - Dec 6'!$B$2:$B$111,0))</f>
        <v>0</v>
      </c>
    </row>
    <row r="97" spans="2:11" ht="12.75">
      <c r="B97" s="13" t="s">
        <v>63</v>
      </c>
      <c r="C97" s="14" t="str">
        <f t="array" aca="1" ref="C97" ca="1">INDEX('Rooms Master'!U:U,MATCH(B97,'Rooms Master'!D:D,0))</f>
        <v>Y</v>
      </c>
      <c r="D97" s="15">
        <f t="array" ref="D97">INDEX('Dec 7 - Dec 13'!D$2:D$113,MATCH($B97,'Dec 7 - Dec 13'!$B$2:$B$113,0))-INDEX('Nov 30 - Dec 6'!D$2:D$111,MATCH($B97,'Nov 30 - Dec 6'!$B$2:$B$111,0))</f>
        <v>-39</v>
      </c>
      <c r="E97" s="15">
        <f t="array" ref="E97">INDEX('Dec 7 - Dec 13'!E$2:E$113,MATCH($B97,'Dec 7 - Dec 13'!$B$2:$B$113,0))-INDEX('Nov 30 - Dec 6'!E$2:E$111,MATCH($B97,'Nov 30 - Dec 6'!$B$2:$B$111,0))</f>
        <v>-10</v>
      </c>
      <c r="F97" s="15">
        <f t="array" ref="F97">INDEX('Dec 7 - Dec 13'!F$2:F$113,MATCH($B97,'Dec 7 - Dec 13'!$B$2:$B$113,0))-INDEX('Nov 30 - Dec 6'!F$2:F$111,MATCH($B97,'Nov 30 - Dec 6'!$B$2:$B$111,0))</f>
        <v>0</v>
      </c>
      <c r="G97" s="15">
        <f t="array" ref="G97">INDEX('Dec 7 - Dec 13'!G$2:G$113,MATCH($B97,'Dec 7 - Dec 13'!$B$2:$B$113,0))-INDEX('Nov 30 - Dec 6'!G$2:G$111,MATCH($B97,'Nov 30 - Dec 6'!$B$2:$B$111,0))</f>
        <v>0</v>
      </c>
      <c r="H97" s="15">
        <f t="array" ref="H97">INDEX('Dec 7 - Dec 13'!H$2:H$113,MATCH($B97,'Dec 7 - Dec 13'!$B$2:$B$113,0))-INDEX('Nov 30 - Dec 6'!H$2:H$111,MATCH($B97,'Nov 30 - Dec 6'!$B$2:$B$111,0))</f>
        <v>-1</v>
      </c>
      <c r="I97" s="15">
        <f t="array" ref="I97">INDEX('Dec 7 - Dec 13'!I$2:I$113,MATCH($B97,'Dec 7 - Dec 13'!$B$2:$B$113,0))-INDEX('Nov 30 - Dec 6'!I$2:I$111,MATCH($B97,'Nov 30 - Dec 6'!$B$2:$B$111,0))</f>
        <v>0</v>
      </c>
      <c r="J97" s="15">
        <f t="array" ref="J97">INDEX('Dec 7 - Dec 13'!J$2:J$113,MATCH($B97,'Dec 7 - Dec 13'!$B$2:$B$113,0))-INDEX('Nov 30 - Dec 6'!J$2:J$111,MATCH($B97,'Nov 30 - Dec 6'!$B$2:$B$111,0))</f>
        <v>0</v>
      </c>
      <c r="K97" s="15">
        <f t="array" ref="K97">INDEX('Dec 7 - Dec 13'!K$2:K$113,MATCH($B97,'Dec 7 - Dec 13'!$B$2:$B$113,0))-INDEX('Nov 30 - Dec 6'!K$2:K$111,MATCH($B97,'Nov 30 - Dec 6'!$B$2:$B$111,0))</f>
        <v>0</v>
      </c>
    </row>
    <row r="98" spans="2:11" ht="12.75">
      <c r="B98" s="13" t="s">
        <v>67</v>
      </c>
      <c r="C98" s="14" t="str">
        <f t="array" aca="1" ref="C98" ca="1">INDEX('Rooms Master'!U:U,MATCH(B98,'Rooms Master'!D:D,0))</f>
        <v>Y</v>
      </c>
      <c r="D98" s="15">
        <f t="array" ref="D98">INDEX('Dec 7 - Dec 13'!D$2:D$113,MATCH($B98,'Dec 7 - Dec 13'!$B$2:$B$113,0))-INDEX('Nov 30 - Dec 6'!D$2:D$111,MATCH($B98,'Nov 30 - Dec 6'!$B$2:$B$111,0))</f>
        <v>34</v>
      </c>
      <c r="E98" s="15">
        <f t="array" ref="E98">INDEX('Dec 7 - Dec 13'!E$2:E$113,MATCH($B98,'Dec 7 - Dec 13'!$B$2:$B$113,0))-INDEX('Nov 30 - Dec 6'!E$2:E$111,MATCH($B98,'Nov 30 - Dec 6'!$B$2:$B$111,0))</f>
        <v>-11</v>
      </c>
      <c r="F98" s="15">
        <f t="array" ref="F98">INDEX('Dec 7 - Dec 13'!F$2:F$113,MATCH($B98,'Dec 7 - Dec 13'!$B$2:$B$113,0))-INDEX('Nov 30 - Dec 6'!F$2:F$111,MATCH($B98,'Nov 30 - Dec 6'!$B$2:$B$111,0))</f>
        <v>0</v>
      </c>
      <c r="G98" s="15">
        <f t="array" ref="G98">INDEX('Dec 7 - Dec 13'!G$2:G$113,MATCH($B98,'Dec 7 - Dec 13'!$B$2:$B$113,0))-INDEX('Nov 30 - Dec 6'!G$2:G$111,MATCH($B98,'Nov 30 - Dec 6'!$B$2:$B$111,0))</f>
        <v>-3</v>
      </c>
      <c r="H98" s="15">
        <f t="array" ref="H98">INDEX('Dec 7 - Dec 13'!H$2:H$113,MATCH($B98,'Dec 7 - Dec 13'!$B$2:$B$113,0))-INDEX('Nov 30 - Dec 6'!H$2:H$111,MATCH($B98,'Nov 30 - Dec 6'!$B$2:$B$111,0))</f>
        <v>-1</v>
      </c>
      <c r="I98" s="15">
        <f t="array" ref="I98">INDEX('Dec 7 - Dec 13'!I$2:I$113,MATCH($B98,'Dec 7 - Dec 13'!$B$2:$B$113,0))-INDEX('Nov 30 - Dec 6'!I$2:I$111,MATCH($B98,'Nov 30 - Dec 6'!$B$2:$B$111,0))</f>
        <v>0</v>
      </c>
      <c r="J98" s="15">
        <f t="array" ref="J98">INDEX('Dec 7 - Dec 13'!J$2:J$113,MATCH($B98,'Dec 7 - Dec 13'!$B$2:$B$113,0))-INDEX('Nov 30 - Dec 6'!J$2:J$111,MATCH($B98,'Nov 30 - Dec 6'!$B$2:$B$111,0))</f>
        <v>0</v>
      </c>
      <c r="K98" s="15">
        <f t="array" ref="K98">INDEX('Dec 7 - Dec 13'!K$2:K$113,MATCH($B98,'Dec 7 - Dec 13'!$B$2:$B$113,0))-INDEX('Nov 30 - Dec 6'!K$2:K$111,MATCH($B98,'Nov 30 - Dec 6'!$B$2:$B$111,0))</f>
        <v>0</v>
      </c>
    </row>
    <row r="99" spans="2:11" ht="12.75">
      <c r="B99" s="13" t="s">
        <v>72</v>
      </c>
      <c r="C99" s="14" t="str">
        <f t="array" aca="1" ref="C99" ca="1">INDEX('Rooms Master'!U:U,MATCH(B99,'Rooms Master'!D:D,0))</f>
        <v>N</v>
      </c>
      <c r="D99" s="15">
        <f t="array" ref="D99">INDEX('Dec 7 - Dec 13'!D$2:D$113,MATCH($B99,'Dec 7 - Dec 13'!$B$2:$B$113,0))-INDEX('Nov 30 - Dec 6'!D$2:D$111,MATCH($B99,'Nov 30 - Dec 6'!$B$2:$B$111,0))</f>
        <v>0</v>
      </c>
      <c r="E99" s="15">
        <f t="array" ref="E99">INDEX('Dec 7 - Dec 13'!E$2:E$113,MATCH($B99,'Dec 7 - Dec 13'!$B$2:$B$113,0))-INDEX('Nov 30 - Dec 6'!E$2:E$111,MATCH($B99,'Nov 30 - Dec 6'!$B$2:$B$111,0))</f>
        <v>-16</v>
      </c>
      <c r="F99" s="15">
        <f t="array" ref="F99">INDEX('Dec 7 - Dec 13'!F$2:F$113,MATCH($B99,'Dec 7 - Dec 13'!$B$2:$B$113,0))-INDEX('Nov 30 - Dec 6'!F$2:F$111,MATCH($B99,'Nov 30 - Dec 6'!$B$2:$B$111,0))</f>
        <v>-12</v>
      </c>
      <c r="G99" s="15">
        <f t="array" ref="G99">INDEX('Dec 7 - Dec 13'!G$2:G$113,MATCH($B99,'Dec 7 - Dec 13'!$B$2:$B$113,0))-INDEX('Nov 30 - Dec 6'!G$2:G$111,MATCH($B99,'Nov 30 - Dec 6'!$B$2:$B$111,0))</f>
        <v>0</v>
      </c>
      <c r="H99" s="15">
        <f t="array" ref="H99">INDEX('Dec 7 - Dec 13'!H$2:H$113,MATCH($B99,'Dec 7 - Dec 13'!$B$2:$B$113,0))-INDEX('Nov 30 - Dec 6'!H$2:H$111,MATCH($B99,'Nov 30 - Dec 6'!$B$2:$B$111,0))</f>
        <v>0</v>
      </c>
      <c r="I99" s="15">
        <f t="array" ref="I99">INDEX('Dec 7 - Dec 13'!I$2:I$113,MATCH($B99,'Dec 7 - Dec 13'!$B$2:$B$113,0))-INDEX('Nov 30 - Dec 6'!I$2:I$111,MATCH($B99,'Nov 30 - Dec 6'!$B$2:$B$111,0))</f>
        <v>0</v>
      </c>
      <c r="J99" s="15">
        <f t="array" ref="J99">INDEX('Dec 7 - Dec 13'!J$2:J$113,MATCH($B99,'Dec 7 - Dec 13'!$B$2:$B$113,0))-INDEX('Nov 30 - Dec 6'!J$2:J$111,MATCH($B99,'Nov 30 - Dec 6'!$B$2:$B$111,0))</f>
        <v>0</v>
      </c>
      <c r="K99" s="15">
        <f t="array" ref="K99">INDEX('Dec 7 - Dec 13'!K$2:K$113,MATCH($B99,'Dec 7 - Dec 13'!$B$2:$B$113,0))-INDEX('Nov 30 - Dec 6'!K$2:K$111,MATCH($B99,'Nov 30 - Dec 6'!$B$2:$B$111,0))</f>
        <v>0</v>
      </c>
    </row>
    <row r="100" spans="2:11" ht="12.75">
      <c r="B100" s="13" t="s">
        <v>90</v>
      </c>
      <c r="C100" s="14" t="str">
        <f t="array" aca="1" ref="C100" ca="1">INDEX('Rooms Master'!U:U,MATCH(B100,'Rooms Master'!D:D,0))</f>
        <v>N</v>
      </c>
      <c r="D100" s="15">
        <f t="array" ref="D100">INDEX('Dec 7 - Dec 13'!D$2:D$113,MATCH($B100,'Dec 7 - Dec 13'!$B$2:$B$113,0))-INDEX('Nov 30 - Dec 6'!D$2:D$111,MATCH($B100,'Nov 30 - Dec 6'!$B$2:$B$111,0))</f>
        <v>31</v>
      </c>
      <c r="E100" s="15">
        <f t="array" ref="E100">INDEX('Dec 7 - Dec 13'!E$2:E$113,MATCH($B100,'Dec 7 - Dec 13'!$B$2:$B$113,0))-INDEX('Nov 30 - Dec 6'!E$2:E$111,MATCH($B100,'Nov 30 - Dec 6'!$B$2:$B$111,0))</f>
        <v>-16</v>
      </c>
      <c r="F100" s="15">
        <f t="array" ref="F100">INDEX('Dec 7 - Dec 13'!F$2:F$113,MATCH($B100,'Dec 7 - Dec 13'!$B$2:$B$113,0))-INDEX('Nov 30 - Dec 6'!F$2:F$111,MATCH($B100,'Nov 30 - Dec 6'!$B$2:$B$111,0))</f>
        <v>-2</v>
      </c>
      <c r="G100" s="15">
        <f t="array" ref="G100">INDEX('Dec 7 - Dec 13'!G$2:G$113,MATCH($B100,'Dec 7 - Dec 13'!$B$2:$B$113,0))-INDEX('Nov 30 - Dec 6'!G$2:G$111,MATCH($B100,'Nov 30 - Dec 6'!$B$2:$B$111,0))</f>
        <v>0</v>
      </c>
      <c r="H100" s="15">
        <f t="array" ref="H100">INDEX('Dec 7 - Dec 13'!H$2:H$113,MATCH($B100,'Dec 7 - Dec 13'!$B$2:$B$113,0))-INDEX('Nov 30 - Dec 6'!H$2:H$111,MATCH($B100,'Nov 30 - Dec 6'!$B$2:$B$111,0))</f>
        <v>-3</v>
      </c>
      <c r="I100" s="15">
        <f t="array" ref="I100">INDEX('Dec 7 - Dec 13'!I$2:I$113,MATCH($B100,'Dec 7 - Dec 13'!$B$2:$B$113,0))-INDEX('Nov 30 - Dec 6'!I$2:I$111,MATCH($B100,'Nov 30 - Dec 6'!$B$2:$B$111,0))</f>
        <v>1</v>
      </c>
      <c r="J100" s="15">
        <f t="array" ref="J100">INDEX('Dec 7 - Dec 13'!J$2:J$113,MATCH($B100,'Dec 7 - Dec 13'!$B$2:$B$113,0))-INDEX('Nov 30 - Dec 6'!J$2:J$111,MATCH($B100,'Nov 30 - Dec 6'!$B$2:$B$111,0))</f>
        <v>0</v>
      </c>
      <c r="K100" s="15">
        <f t="array" ref="K100">INDEX('Dec 7 - Dec 13'!K$2:K$113,MATCH($B100,'Dec 7 - Dec 13'!$B$2:$B$113,0))-INDEX('Nov 30 - Dec 6'!K$2:K$111,MATCH($B100,'Nov 30 - Dec 6'!$B$2:$B$111,0))</f>
        <v>0</v>
      </c>
    </row>
    <row r="101" spans="2:11" ht="12.75">
      <c r="B101" s="13" t="s">
        <v>56</v>
      </c>
      <c r="C101" s="14" t="str">
        <f t="array" aca="1" ref="C101" ca="1">INDEX('Rooms Master'!U:U,MATCH(B101,'Rooms Master'!D:D,0))</f>
        <v>Y</v>
      </c>
      <c r="D101" s="15">
        <f t="array" ref="D101">INDEX('Dec 7 - Dec 13'!D$2:D$113,MATCH($B101,'Dec 7 - Dec 13'!$B$2:$B$113,0))-INDEX('Nov 30 - Dec 6'!D$2:D$111,MATCH($B101,'Nov 30 - Dec 6'!$B$2:$B$111,0))</f>
        <v>-31</v>
      </c>
      <c r="E101" s="15">
        <f t="array" ref="E101">INDEX('Dec 7 - Dec 13'!E$2:E$113,MATCH($B101,'Dec 7 - Dec 13'!$B$2:$B$113,0))-INDEX('Nov 30 - Dec 6'!E$2:E$111,MATCH($B101,'Nov 30 - Dec 6'!$B$2:$B$111,0))</f>
        <v>-17</v>
      </c>
      <c r="F101" s="15">
        <f t="array" ref="F101">INDEX('Dec 7 - Dec 13'!F$2:F$113,MATCH($B101,'Dec 7 - Dec 13'!$B$2:$B$113,0))-INDEX('Nov 30 - Dec 6'!F$2:F$111,MATCH($B101,'Nov 30 - Dec 6'!$B$2:$B$111,0))</f>
        <v>-14</v>
      </c>
      <c r="G101" s="15">
        <f t="array" ref="G101">INDEX('Dec 7 - Dec 13'!G$2:G$113,MATCH($B101,'Dec 7 - Dec 13'!$B$2:$B$113,0))-INDEX('Nov 30 - Dec 6'!G$2:G$111,MATCH($B101,'Nov 30 - Dec 6'!$B$2:$B$111,0))</f>
        <v>-2</v>
      </c>
      <c r="H101" s="15">
        <f t="array" ref="H101">INDEX('Dec 7 - Dec 13'!H$2:H$113,MATCH($B101,'Dec 7 - Dec 13'!$B$2:$B$113,0))-INDEX('Nov 30 - Dec 6'!H$2:H$111,MATCH($B101,'Nov 30 - Dec 6'!$B$2:$B$111,0))</f>
        <v>0</v>
      </c>
      <c r="I101" s="15">
        <f t="array" ref="I101">INDEX('Dec 7 - Dec 13'!I$2:I$113,MATCH($B101,'Dec 7 - Dec 13'!$B$2:$B$113,0))-INDEX('Nov 30 - Dec 6'!I$2:I$111,MATCH($B101,'Nov 30 - Dec 6'!$B$2:$B$111,0))</f>
        <v>0</v>
      </c>
      <c r="J101" s="15">
        <f t="array" ref="J101">INDEX('Dec 7 - Dec 13'!J$2:J$113,MATCH($B101,'Dec 7 - Dec 13'!$B$2:$B$113,0))-INDEX('Nov 30 - Dec 6'!J$2:J$111,MATCH($B101,'Nov 30 - Dec 6'!$B$2:$B$111,0))</f>
        <v>0</v>
      </c>
      <c r="K101" s="15">
        <f t="array" ref="K101">INDEX('Dec 7 - Dec 13'!K$2:K$113,MATCH($B101,'Dec 7 - Dec 13'!$B$2:$B$113,0))-INDEX('Nov 30 - Dec 6'!K$2:K$111,MATCH($B101,'Nov 30 - Dec 6'!$B$2:$B$111,0))</f>
        <v>-1</v>
      </c>
    </row>
    <row r="102" spans="2:11" ht="12.75">
      <c r="B102" s="13" t="s">
        <v>135</v>
      </c>
      <c r="C102" s="14" t="str">
        <f t="array" aca="1" ref="C102" ca="1">INDEX('Rooms Master'!U:U,MATCH(B102,'Rooms Master'!D:D,0))</f>
        <v>N</v>
      </c>
      <c r="D102" s="15">
        <f t="array" ref="D102">INDEX('Dec 7 - Dec 13'!D$2:D$113,MATCH($B102,'Dec 7 - Dec 13'!$B$2:$B$113,0))-INDEX('Nov 30 - Dec 6'!D$2:D$111,MATCH($B102,'Nov 30 - Dec 6'!$B$2:$B$111,0))</f>
        <v>7</v>
      </c>
      <c r="E102" s="15">
        <f t="array" ref="E102">INDEX('Dec 7 - Dec 13'!E$2:E$113,MATCH($B102,'Dec 7 - Dec 13'!$B$2:$B$113,0))-INDEX('Nov 30 - Dec 6'!E$2:E$111,MATCH($B102,'Nov 30 - Dec 6'!$B$2:$B$111,0))</f>
        <v>-17</v>
      </c>
      <c r="F102" s="15">
        <f t="array" ref="F102">INDEX('Dec 7 - Dec 13'!F$2:F$113,MATCH($B102,'Dec 7 - Dec 13'!$B$2:$B$113,0))-INDEX('Nov 30 - Dec 6'!F$2:F$111,MATCH($B102,'Nov 30 - Dec 6'!$B$2:$B$111,0))</f>
        <v>-7</v>
      </c>
      <c r="G102" s="15">
        <f t="array" ref="G102">INDEX('Dec 7 - Dec 13'!G$2:G$113,MATCH($B102,'Dec 7 - Dec 13'!$B$2:$B$113,0))-INDEX('Nov 30 - Dec 6'!G$2:G$111,MATCH($B102,'Nov 30 - Dec 6'!$B$2:$B$111,0))</f>
        <v>-4</v>
      </c>
      <c r="H102" s="15">
        <f t="array" ref="H102">INDEX('Dec 7 - Dec 13'!H$2:H$113,MATCH($B102,'Dec 7 - Dec 13'!$B$2:$B$113,0))-INDEX('Nov 30 - Dec 6'!H$2:H$111,MATCH($B102,'Nov 30 - Dec 6'!$B$2:$B$111,0))</f>
        <v>-4</v>
      </c>
      <c r="I102" s="15">
        <f t="array" ref="I102">INDEX('Dec 7 - Dec 13'!I$2:I$113,MATCH($B102,'Dec 7 - Dec 13'!$B$2:$B$113,0))-INDEX('Nov 30 - Dec 6'!I$2:I$111,MATCH($B102,'Nov 30 - Dec 6'!$B$2:$B$111,0))</f>
        <v>-1</v>
      </c>
      <c r="J102" s="15">
        <f t="array" ref="J102">INDEX('Dec 7 - Dec 13'!J$2:J$113,MATCH($B102,'Dec 7 - Dec 13'!$B$2:$B$113,0))-INDEX('Nov 30 - Dec 6'!J$2:J$111,MATCH($B102,'Nov 30 - Dec 6'!$B$2:$B$111,0))</f>
        <v>-1</v>
      </c>
      <c r="K102" s="15">
        <f t="array" ref="K102">INDEX('Dec 7 - Dec 13'!K$2:K$113,MATCH($B102,'Dec 7 - Dec 13'!$B$2:$B$113,0))-INDEX('Nov 30 - Dec 6'!K$2:K$111,MATCH($B102,'Nov 30 - Dec 6'!$B$2:$B$111,0))</f>
        <v>-1</v>
      </c>
    </row>
    <row r="103" spans="2:11" ht="12.75">
      <c r="B103" s="13" t="s">
        <v>33</v>
      </c>
      <c r="C103" s="14" t="str">
        <f t="array" aca="1" ref="C103" ca="1">INDEX('Rooms Master'!U:U,MATCH(B103,'Rooms Master'!D:D,0))</f>
        <v>Y</v>
      </c>
      <c r="D103" s="15">
        <f t="array" ref="D103">INDEX('Dec 7 - Dec 13'!D$2:D$113,MATCH($B103,'Dec 7 - Dec 13'!$B$2:$B$113,0))-INDEX('Nov 30 - Dec 6'!D$2:D$111,MATCH($B103,'Nov 30 - Dec 6'!$B$2:$B$111,0))</f>
        <v>35</v>
      </c>
      <c r="E103" s="15">
        <f t="array" ref="E103">INDEX('Dec 7 - Dec 13'!E$2:E$113,MATCH($B103,'Dec 7 - Dec 13'!$B$2:$B$113,0))-INDEX('Nov 30 - Dec 6'!E$2:E$111,MATCH($B103,'Nov 30 - Dec 6'!$B$2:$B$111,0))</f>
        <v>-18</v>
      </c>
      <c r="F103" s="15">
        <f t="array" ref="F103">INDEX('Dec 7 - Dec 13'!F$2:F$113,MATCH($B103,'Dec 7 - Dec 13'!$B$2:$B$113,0))-INDEX('Nov 30 - Dec 6'!F$2:F$111,MATCH($B103,'Nov 30 - Dec 6'!$B$2:$B$111,0))</f>
        <v>-10</v>
      </c>
      <c r="G103" s="15">
        <f t="array" ref="G103">INDEX('Dec 7 - Dec 13'!G$2:G$113,MATCH($B103,'Dec 7 - Dec 13'!$B$2:$B$113,0))-INDEX('Nov 30 - Dec 6'!G$2:G$111,MATCH($B103,'Nov 30 - Dec 6'!$B$2:$B$111,0))</f>
        <v>-1</v>
      </c>
      <c r="H103" s="15">
        <f t="array" ref="H103">INDEX('Dec 7 - Dec 13'!H$2:H$113,MATCH($B103,'Dec 7 - Dec 13'!$B$2:$B$113,0))-INDEX('Nov 30 - Dec 6'!H$2:H$111,MATCH($B103,'Nov 30 - Dec 6'!$B$2:$B$111,0))</f>
        <v>1</v>
      </c>
      <c r="I103" s="15">
        <f t="array" ref="I103">INDEX('Dec 7 - Dec 13'!I$2:I$113,MATCH($B103,'Dec 7 - Dec 13'!$B$2:$B$113,0))-INDEX('Nov 30 - Dec 6'!I$2:I$111,MATCH($B103,'Nov 30 - Dec 6'!$B$2:$B$111,0))</f>
        <v>0</v>
      </c>
      <c r="J103" s="15">
        <f t="array" ref="J103">INDEX('Dec 7 - Dec 13'!J$2:J$113,MATCH($B103,'Dec 7 - Dec 13'!$B$2:$B$113,0))-INDEX('Nov 30 - Dec 6'!J$2:J$111,MATCH($B103,'Nov 30 - Dec 6'!$B$2:$B$111,0))</f>
        <v>0</v>
      </c>
      <c r="K103" s="15">
        <f t="array" ref="K103">INDEX('Dec 7 - Dec 13'!K$2:K$113,MATCH($B103,'Dec 7 - Dec 13'!$B$2:$B$113,0))-INDEX('Nov 30 - Dec 6'!K$2:K$111,MATCH($B103,'Nov 30 - Dec 6'!$B$2:$B$111,0))</f>
        <v>0</v>
      </c>
    </row>
    <row r="104" spans="2:11" ht="12.75">
      <c r="B104" s="13" t="s">
        <v>25</v>
      </c>
      <c r="C104" s="14" t="str">
        <f t="array" aca="1" ref="C104" ca="1">INDEX('Rooms Master'!U:U,MATCH(B104,'Rooms Master'!D:D,0))</f>
        <v>Y</v>
      </c>
      <c r="D104" s="15">
        <f t="array" ref="D104">INDEX('Dec 7 - Dec 13'!D$2:D$113,MATCH($B104,'Dec 7 - Dec 13'!$B$2:$B$113,0))-INDEX('Nov 30 - Dec 6'!D$2:D$111,MATCH($B104,'Nov 30 - Dec 6'!$B$2:$B$111,0))</f>
        <v>28</v>
      </c>
      <c r="E104" s="15">
        <f t="array" ref="E104">INDEX('Dec 7 - Dec 13'!E$2:E$113,MATCH($B104,'Dec 7 - Dec 13'!$B$2:$B$113,0))-INDEX('Nov 30 - Dec 6'!E$2:E$111,MATCH($B104,'Nov 30 - Dec 6'!$B$2:$B$111,0))</f>
        <v>-21</v>
      </c>
      <c r="F104" s="15">
        <f t="array" ref="F104">INDEX('Dec 7 - Dec 13'!F$2:F$113,MATCH($B104,'Dec 7 - Dec 13'!$B$2:$B$113,0))-INDEX('Nov 30 - Dec 6'!F$2:F$111,MATCH($B104,'Nov 30 - Dec 6'!$B$2:$B$111,0))</f>
        <v>6</v>
      </c>
      <c r="G104" s="15">
        <f t="array" ref="G104">INDEX('Dec 7 - Dec 13'!G$2:G$113,MATCH($B104,'Dec 7 - Dec 13'!$B$2:$B$113,0))-INDEX('Nov 30 - Dec 6'!G$2:G$111,MATCH($B104,'Nov 30 - Dec 6'!$B$2:$B$111,0))</f>
        <v>-2</v>
      </c>
      <c r="H104" s="15">
        <f t="array" ref="H104">INDEX('Dec 7 - Dec 13'!H$2:H$113,MATCH($B104,'Dec 7 - Dec 13'!$B$2:$B$113,0))-INDEX('Nov 30 - Dec 6'!H$2:H$111,MATCH($B104,'Nov 30 - Dec 6'!$B$2:$B$111,0))</f>
        <v>0</v>
      </c>
      <c r="I104" s="15">
        <f t="array" ref="I104">INDEX('Dec 7 - Dec 13'!I$2:I$113,MATCH($B104,'Dec 7 - Dec 13'!$B$2:$B$113,0))-INDEX('Nov 30 - Dec 6'!I$2:I$111,MATCH($B104,'Nov 30 - Dec 6'!$B$2:$B$111,0))</f>
        <v>0</v>
      </c>
      <c r="J104" s="15">
        <f t="array" ref="J104">INDEX('Dec 7 - Dec 13'!J$2:J$113,MATCH($B104,'Dec 7 - Dec 13'!$B$2:$B$113,0))-INDEX('Nov 30 - Dec 6'!J$2:J$111,MATCH($B104,'Nov 30 - Dec 6'!$B$2:$B$111,0))</f>
        <v>0</v>
      </c>
      <c r="K104" s="15">
        <f t="array" ref="K104">INDEX('Dec 7 - Dec 13'!K$2:K$113,MATCH($B104,'Dec 7 - Dec 13'!$B$2:$B$113,0))-INDEX('Nov 30 - Dec 6'!K$2:K$111,MATCH($B104,'Nov 30 - Dec 6'!$B$2:$B$111,0))</f>
        <v>0</v>
      </c>
    </row>
    <row r="105" spans="2:11" ht="12.75">
      <c r="B105" s="13" t="s">
        <v>41</v>
      </c>
      <c r="C105" s="14" t="str">
        <f t="array" aca="1" ref="C105" ca="1">INDEX('Rooms Master'!U:U,MATCH(B105,'Rooms Master'!D:D,0))</f>
        <v>Y</v>
      </c>
      <c r="D105" s="15">
        <f t="array" ref="D105">INDEX('Dec 7 - Dec 13'!D$2:D$113,MATCH($B105,'Dec 7 - Dec 13'!$B$2:$B$113,0))-INDEX('Nov 30 - Dec 6'!D$2:D$111,MATCH($B105,'Nov 30 - Dec 6'!$B$2:$B$111,0))</f>
        <v>7</v>
      </c>
      <c r="E105" s="15">
        <f t="array" ref="E105">INDEX('Dec 7 - Dec 13'!E$2:E$113,MATCH($B105,'Dec 7 - Dec 13'!$B$2:$B$113,0))-INDEX('Nov 30 - Dec 6'!E$2:E$111,MATCH($B105,'Nov 30 - Dec 6'!$B$2:$B$111,0))</f>
        <v>-22</v>
      </c>
      <c r="F105" s="15">
        <f t="array" ref="F105">INDEX('Dec 7 - Dec 13'!F$2:F$113,MATCH($B105,'Dec 7 - Dec 13'!$B$2:$B$113,0))-INDEX('Nov 30 - Dec 6'!F$2:F$111,MATCH($B105,'Nov 30 - Dec 6'!$B$2:$B$111,0))</f>
        <v>-16</v>
      </c>
      <c r="G105" s="15">
        <f t="array" ref="G105">INDEX('Dec 7 - Dec 13'!G$2:G$113,MATCH($B105,'Dec 7 - Dec 13'!$B$2:$B$113,0))-INDEX('Nov 30 - Dec 6'!G$2:G$111,MATCH($B105,'Nov 30 - Dec 6'!$B$2:$B$111,0))</f>
        <v>0</v>
      </c>
      <c r="H105" s="15">
        <f t="array" ref="H105">INDEX('Dec 7 - Dec 13'!H$2:H$113,MATCH($B105,'Dec 7 - Dec 13'!$B$2:$B$113,0))-INDEX('Nov 30 - Dec 6'!H$2:H$111,MATCH($B105,'Nov 30 - Dec 6'!$B$2:$B$111,0))</f>
        <v>2</v>
      </c>
      <c r="I105" s="15">
        <f t="array" ref="I105">INDEX('Dec 7 - Dec 13'!I$2:I$113,MATCH($B105,'Dec 7 - Dec 13'!$B$2:$B$113,0))-INDEX('Nov 30 - Dec 6'!I$2:I$111,MATCH($B105,'Nov 30 - Dec 6'!$B$2:$B$111,0))</f>
        <v>0</v>
      </c>
      <c r="J105" s="15">
        <f t="array" ref="J105">INDEX('Dec 7 - Dec 13'!J$2:J$113,MATCH($B105,'Dec 7 - Dec 13'!$B$2:$B$113,0))-INDEX('Nov 30 - Dec 6'!J$2:J$111,MATCH($B105,'Nov 30 - Dec 6'!$B$2:$B$111,0))</f>
        <v>0</v>
      </c>
      <c r="K105" s="15">
        <f t="array" ref="K105">INDEX('Dec 7 - Dec 13'!K$2:K$113,MATCH($B105,'Dec 7 - Dec 13'!$B$2:$B$113,0))-INDEX('Nov 30 - Dec 6'!K$2:K$111,MATCH($B105,'Nov 30 - Dec 6'!$B$2:$B$111,0))</f>
        <v>0</v>
      </c>
    </row>
    <row r="106" spans="2:11" ht="12.75">
      <c r="B106" s="13" t="s">
        <v>117</v>
      </c>
      <c r="C106" s="14" t="str">
        <f t="array" aca="1" ref="C106" ca="1">INDEX('Rooms Master'!U:U,MATCH(B106,'Rooms Master'!D:D,0))</f>
        <v>N</v>
      </c>
      <c r="D106" s="15">
        <f t="array" ref="D106">INDEX('Dec 7 - Dec 13'!D$2:D$113,MATCH($B106,'Dec 7 - Dec 13'!$B$2:$B$113,0))-INDEX('Nov 30 - Dec 6'!D$2:D$111,MATCH($B106,'Nov 30 - Dec 6'!$B$2:$B$111,0))</f>
        <v>38</v>
      </c>
      <c r="E106" s="15">
        <f t="array" ref="E106">INDEX('Dec 7 - Dec 13'!E$2:E$113,MATCH($B106,'Dec 7 - Dec 13'!$B$2:$B$113,0))-INDEX('Nov 30 - Dec 6'!E$2:E$111,MATCH($B106,'Nov 30 - Dec 6'!$B$2:$B$111,0))</f>
        <v>-27</v>
      </c>
      <c r="F106" s="15">
        <f t="array" ref="F106">INDEX('Dec 7 - Dec 13'!F$2:F$113,MATCH($B106,'Dec 7 - Dec 13'!$B$2:$B$113,0))-INDEX('Nov 30 - Dec 6'!F$2:F$111,MATCH($B106,'Nov 30 - Dec 6'!$B$2:$B$111,0))</f>
        <v>13</v>
      </c>
      <c r="G106" s="15">
        <f t="array" ref="G106">INDEX('Dec 7 - Dec 13'!G$2:G$113,MATCH($B106,'Dec 7 - Dec 13'!$B$2:$B$113,0))-INDEX('Nov 30 - Dec 6'!G$2:G$111,MATCH($B106,'Nov 30 - Dec 6'!$B$2:$B$111,0))</f>
        <v>-2</v>
      </c>
      <c r="H106" s="15">
        <f t="array" ref="H106">INDEX('Dec 7 - Dec 13'!H$2:H$113,MATCH($B106,'Dec 7 - Dec 13'!$B$2:$B$113,0))-INDEX('Nov 30 - Dec 6'!H$2:H$111,MATCH($B106,'Nov 30 - Dec 6'!$B$2:$B$111,0))</f>
        <v>3</v>
      </c>
      <c r="I106" s="15">
        <f t="array" ref="I106">INDEX('Dec 7 - Dec 13'!I$2:I$113,MATCH($B106,'Dec 7 - Dec 13'!$B$2:$B$113,0))-INDEX('Nov 30 - Dec 6'!I$2:I$111,MATCH($B106,'Nov 30 - Dec 6'!$B$2:$B$111,0))</f>
        <v>0</v>
      </c>
      <c r="J106" s="15">
        <f t="array" ref="J106">INDEX('Dec 7 - Dec 13'!J$2:J$113,MATCH($B106,'Dec 7 - Dec 13'!$B$2:$B$113,0))-INDEX('Nov 30 - Dec 6'!J$2:J$111,MATCH($B106,'Nov 30 - Dec 6'!$B$2:$B$111,0))</f>
        <v>0</v>
      </c>
      <c r="K106" s="15">
        <f t="array" ref="K106">INDEX('Dec 7 - Dec 13'!K$2:K$113,MATCH($B106,'Dec 7 - Dec 13'!$B$2:$B$113,0))-INDEX('Nov 30 - Dec 6'!K$2:K$111,MATCH($B106,'Nov 30 - Dec 6'!$B$2:$B$111,0))</f>
        <v>0</v>
      </c>
    </row>
    <row r="107" spans="2:11" ht="12.75">
      <c r="B107" s="13" t="s">
        <v>61</v>
      </c>
      <c r="C107" s="14" t="str">
        <f t="array" aca="1" ref="C107" ca="1">INDEX('Rooms Master'!U:U,MATCH(B107,'Rooms Master'!D:D,0))</f>
        <v>Y</v>
      </c>
      <c r="D107" s="15">
        <f t="array" ref="D107">INDEX('Dec 7 - Dec 13'!D$2:D$113,MATCH($B107,'Dec 7 - Dec 13'!$B$2:$B$113,0))-INDEX('Nov 30 - Dec 6'!D$2:D$111,MATCH($B107,'Nov 30 - Dec 6'!$B$2:$B$111,0))</f>
        <v>26</v>
      </c>
      <c r="E107" s="15">
        <f t="array" ref="E107">INDEX('Dec 7 - Dec 13'!E$2:E$113,MATCH($B107,'Dec 7 - Dec 13'!$B$2:$B$113,0))-INDEX('Nov 30 - Dec 6'!E$2:E$111,MATCH($B107,'Nov 30 - Dec 6'!$B$2:$B$111,0))</f>
        <v>-28</v>
      </c>
      <c r="F107" s="15">
        <f t="array" ref="F107">INDEX('Dec 7 - Dec 13'!F$2:F$113,MATCH($B107,'Dec 7 - Dec 13'!$B$2:$B$113,0))-INDEX('Nov 30 - Dec 6'!F$2:F$111,MATCH($B107,'Nov 30 - Dec 6'!$B$2:$B$111,0))</f>
        <v>-11</v>
      </c>
      <c r="G107" s="15">
        <f t="array" ref="G107">INDEX('Dec 7 - Dec 13'!G$2:G$113,MATCH($B107,'Dec 7 - Dec 13'!$B$2:$B$113,0))-INDEX('Nov 30 - Dec 6'!G$2:G$111,MATCH($B107,'Nov 30 - Dec 6'!$B$2:$B$111,0))</f>
        <v>-1</v>
      </c>
      <c r="H107" s="15">
        <f t="array" ref="H107">INDEX('Dec 7 - Dec 13'!H$2:H$113,MATCH($B107,'Dec 7 - Dec 13'!$B$2:$B$113,0))-INDEX('Nov 30 - Dec 6'!H$2:H$111,MATCH($B107,'Nov 30 - Dec 6'!$B$2:$B$111,0))</f>
        <v>-4</v>
      </c>
      <c r="I107" s="15">
        <f t="array" ref="I107">INDEX('Dec 7 - Dec 13'!I$2:I$113,MATCH($B107,'Dec 7 - Dec 13'!$B$2:$B$113,0))-INDEX('Nov 30 - Dec 6'!I$2:I$111,MATCH($B107,'Nov 30 - Dec 6'!$B$2:$B$111,0))</f>
        <v>1</v>
      </c>
      <c r="J107" s="15">
        <f t="array" ref="J107">INDEX('Dec 7 - Dec 13'!J$2:J$113,MATCH($B107,'Dec 7 - Dec 13'!$B$2:$B$113,0))-INDEX('Nov 30 - Dec 6'!J$2:J$111,MATCH($B107,'Nov 30 - Dec 6'!$B$2:$B$111,0))</f>
        <v>0</v>
      </c>
      <c r="K107" s="15">
        <f t="array" ref="K107">INDEX('Dec 7 - Dec 13'!K$2:K$113,MATCH($B107,'Dec 7 - Dec 13'!$B$2:$B$113,0))-INDEX('Nov 30 - Dec 6'!K$2:K$111,MATCH($B107,'Nov 30 - Dec 6'!$B$2:$B$111,0))</f>
        <v>-1</v>
      </c>
    </row>
    <row r="108" spans="2:11" ht="12.75">
      <c r="B108" s="13" t="s">
        <v>69</v>
      </c>
      <c r="C108" s="14" t="str">
        <f t="array" aca="1" ref="C108" ca="1">INDEX('Rooms Master'!U:U,MATCH(B108,'Rooms Master'!D:D,0))</f>
        <v>Y</v>
      </c>
      <c r="D108" s="15">
        <f t="array" ref="D108">INDEX('Dec 7 - Dec 13'!D$2:D$113,MATCH($B108,'Dec 7 - Dec 13'!$B$2:$B$113,0))-INDEX('Nov 30 - Dec 6'!D$2:D$111,MATCH($B108,'Nov 30 - Dec 6'!$B$2:$B$111,0))</f>
        <v>37</v>
      </c>
      <c r="E108" s="15">
        <f t="array" ref="E108">INDEX('Dec 7 - Dec 13'!E$2:E$113,MATCH($B108,'Dec 7 - Dec 13'!$B$2:$B$113,0))-INDEX('Nov 30 - Dec 6'!E$2:E$111,MATCH($B108,'Nov 30 - Dec 6'!$B$2:$B$111,0))</f>
        <v>-29</v>
      </c>
      <c r="F108" s="15">
        <f t="array" ref="F108">INDEX('Dec 7 - Dec 13'!F$2:F$113,MATCH($B108,'Dec 7 - Dec 13'!$B$2:$B$113,0))-INDEX('Nov 30 - Dec 6'!F$2:F$111,MATCH($B108,'Nov 30 - Dec 6'!$B$2:$B$111,0))</f>
        <v>-16</v>
      </c>
      <c r="G108" s="15">
        <f t="array" ref="G108">INDEX('Dec 7 - Dec 13'!G$2:G$113,MATCH($B108,'Dec 7 - Dec 13'!$B$2:$B$113,0))-INDEX('Nov 30 - Dec 6'!G$2:G$111,MATCH($B108,'Nov 30 - Dec 6'!$B$2:$B$111,0))</f>
        <v>-1</v>
      </c>
      <c r="H108" s="15">
        <f t="array" ref="H108">INDEX('Dec 7 - Dec 13'!H$2:H$113,MATCH($B108,'Dec 7 - Dec 13'!$B$2:$B$113,0))-INDEX('Nov 30 - Dec 6'!H$2:H$111,MATCH($B108,'Nov 30 - Dec 6'!$B$2:$B$111,0))</f>
        <v>-2</v>
      </c>
      <c r="I108" s="15">
        <f t="array" ref="I108">INDEX('Dec 7 - Dec 13'!I$2:I$113,MATCH($B108,'Dec 7 - Dec 13'!$B$2:$B$113,0))-INDEX('Nov 30 - Dec 6'!I$2:I$111,MATCH($B108,'Nov 30 - Dec 6'!$B$2:$B$111,0))</f>
        <v>0</v>
      </c>
      <c r="J108" s="15">
        <f t="array" ref="J108">INDEX('Dec 7 - Dec 13'!J$2:J$113,MATCH($B108,'Dec 7 - Dec 13'!$B$2:$B$113,0))-INDEX('Nov 30 - Dec 6'!J$2:J$111,MATCH($B108,'Nov 30 - Dec 6'!$B$2:$B$111,0))</f>
        <v>0</v>
      </c>
      <c r="K108" s="15">
        <f t="array" ref="K108">INDEX('Dec 7 - Dec 13'!K$2:K$113,MATCH($B108,'Dec 7 - Dec 13'!$B$2:$B$113,0))-INDEX('Nov 30 - Dec 6'!K$2:K$111,MATCH($B108,'Nov 30 - Dec 6'!$B$2:$B$111,0))</f>
        <v>0</v>
      </c>
    </row>
    <row r="109" spans="2:11" ht="12.75">
      <c r="B109" s="13" t="s">
        <v>32</v>
      </c>
      <c r="C109" s="14" t="str">
        <f t="array" aca="1" ref="C109" ca="1">INDEX('Rooms Master'!U:U,MATCH(B109,'Rooms Master'!D:D,0))</f>
        <v>Y</v>
      </c>
      <c r="D109" s="15">
        <f t="array" ref="D109">INDEX('Dec 7 - Dec 13'!D$2:D$113,MATCH($B109,'Dec 7 - Dec 13'!$B$2:$B$113,0))-INDEX('Nov 30 - Dec 6'!D$2:D$111,MATCH($B109,'Nov 30 - Dec 6'!$B$2:$B$111,0))</f>
        <v>31</v>
      </c>
      <c r="E109" s="15">
        <f t="array" ref="E109">INDEX('Dec 7 - Dec 13'!E$2:E$113,MATCH($B109,'Dec 7 - Dec 13'!$B$2:$B$113,0))-INDEX('Nov 30 - Dec 6'!E$2:E$111,MATCH($B109,'Nov 30 - Dec 6'!$B$2:$B$111,0))</f>
        <v>-29</v>
      </c>
      <c r="F109" s="15">
        <f t="array" ref="F109">INDEX('Dec 7 - Dec 13'!F$2:F$113,MATCH($B109,'Dec 7 - Dec 13'!$B$2:$B$113,0))-INDEX('Nov 30 - Dec 6'!F$2:F$111,MATCH($B109,'Nov 30 - Dec 6'!$B$2:$B$111,0))</f>
        <v>1</v>
      </c>
      <c r="G109" s="15">
        <f t="array" ref="G109">INDEX('Dec 7 - Dec 13'!G$2:G$113,MATCH($B109,'Dec 7 - Dec 13'!$B$2:$B$113,0))-INDEX('Nov 30 - Dec 6'!G$2:G$111,MATCH($B109,'Nov 30 - Dec 6'!$B$2:$B$111,0))</f>
        <v>-3</v>
      </c>
      <c r="H109" s="15">
        <f t="array" ref="H109">INDEX('Dec 7 - Dec 13'!H$2:H$113,MATCH($B109,'Dec 7 - Dec 13'!$B$2:$B$113,0))-INDEX('Nov 30 - Dec 6'!H$2:H$111,MATCH($B109,'Nov 30 - Dec 6'!$B$2:$B$111,0))</f>
        <v>-4</v>
      </c>
      <c r="I109" s="15">
        <f t="array" ref="I109">INDEX('Dec 7 - Dec 13'!I$2:I$113,MATCH($B109,'Dec 7 - Dec 13'!$B$2:$B$113,0))-INDEX('Nov 30 - Dec 6'!I$2:I$111,MATCH($B109,'Nov 30 - Dec 6'!$B$2:$B$111,0))</f>
        <v>0</v>
      </c>
      <c r="J109" s="15">
        <f t="array" ref="J109">INDEX('Dec 7 - Dec 13'!J$2:J$113,MATCH($B109,'Dec 7 - Dec 13'!$B$2:$B$113,0))-INDEX('Nov 30 - Dec 6'!J$2:J$111,MATCH($B109,'Nov 30 - Dec 6'!$B$2:$B$111,0))</f>
        <v>0</v>
      </c>
      <c r="K109" s="15">
        <f t="array" ref="K109">INDEX('Dec 7 - Dec 13'!K$2:K$113,MATCH($B109,'Dec 7 - Dec 13'!$B$2:$B$113,0))-INDEX('Nov 30 - Dec 6'!K$2:K$111,MATCH($B109,'Nov 30 - Dec 6'!$B$2:$B$111,0))</f>
        <v>-1</v>
      </c>
    </row>
    <row r="110" spans="2:11" ht="12.75">
      <c r="B110" s="13" t="s">
        <v>65</v>
      </c>
      <c r="C110" s="14" t="str">
        <f t="array" aca="1" ref="C110" ca="1">INDEX('Rooms Master'!U:U,MATCH(B110,'Rooms Master'!D:D,0))</f>
        <v>Y</v>
      </c>
      <c r="D110" s="15">
        <f t="array" ref="D110">INDEX('Dec 7 - Dec 13'!D$2:D$113,MATCH($B110,'Dec 7 - Dec 13'!$B$2:$B$113,0))-INDEX('Nov 30 - Dec 6'!D$2:D$111,MATCH($B110,'Nov 30 - Dec 6'!$B$2:$B$111,0))</f>
        <v>42</v>
      </c>
      <c r="E110" s="15">
        <f t="array" ref="E110">INDEX('Dec 7 - Dec 13'!E$2:E$113,MATCH($B110,'Dec 7 - Dec 13'!$B$2:$B$113,0))-INDEX('Nov 30 - Dec 6'!E$2:E$111,MATCH($B110,'Nov 30 - Dec 6'!$B$2:$B$111,0))</f>
        <v>-33</v>
      </c>
      <c r="F110" s="15">
        <f t="array" ref="F110">INDEX('Dec 7 - Dec 13'!F$2:F$113,MATCH($B110,'Dec 7 - Dec 13'!$B$2:$B$113,0))-INDEX('Nov 30 - Dec 6'!F$2:F$111,MATCH($B110,'Nov 30 - Dec 6'!$B$2:$B$111,0))</f>
        <v>-5</v>
      </c>
      <c r="G110" s="15">
        <f t="array" ref="G110">INDEX('Dec 7 - Dec 13'!G$2:G$113,MATCH($B110,'Dec 7 - Dec 13'!$B$2:$B$113,0))-INDEX('Nov 30 - Dec 6'!G$2:G$111,MATCH($B110,'Nov 30 - Dec 6'!$B$2:$B$111,0))</f>
        <v>-4</v>
      </c>
      <c r="H110" s="15">
        <f t="array" ref="H110">INDEX('Dec 7 - Dec 13'!H$2:H$113,MATCH($B110,'Dec 7 - Dec 13'!$B$2:$B$113,0))-INDEX('Nov 30 - Dec 6'!H$2:H$111,MATCH($B110,'Nov 30 - Dec 6'!$B$2:$B$111,0))</f>
        <v>-5</v>
      </c>
      <c r="I110" s="15">
        <f t="array" ref="I110">INDEX('Dec 7 - Dec 13'!I$2:I$113,MATCH($B110,'Dec 7 - Dec 13'!$B$2:$B$113,0))-INDEX('Nov 30 - Dec 6'!I$2:I$111,MATCH($B110,'Nov 30 - Dec 6'!$B$2:$B$111,0))</f>
        <v>-1</v>
      </c>
      <c r="J110" s="15">
        <f t="array" ref="J110">INDEX('Dec 7 - Dec 13'!J$2:J$113,MATCH($B110,'Dec 7 - Dec 13'!$B$2:$B$113,0))-INDEX('Nov 30 - Dec 6'!J$2:J$111,MATCH($B110,'Nov 30 - Dec 6'!$B$2:$B$111,0))</f>
        <v>1</v>
      </c>
      <c r="K110" s="15">
        <f t="array" ref="K110">INDEX('Dec 7 - Dec 13'!K$2:K$113,MATCH($B110,'Dec 7 - Dec 13'!$B$2:$B$113,0))-INDEX('Nov 30 - Dec 6'!K$2:K$111,MATCH($B110,'Nov 30 - Dec 6'!$B$2:$B$111,0))</f>
        <v>0</v>
      </c>
    </row>
    <row r="111" spans="2:11" ht="12.75">
      <c r="B111" s="13" t="s">
        <v>54</v>
      </c>
      <c r="C111" s="14" t="str">
        <f t="array" aca="1" ref="C111" ca="1">INDEX('Rooms Master'!U:U,MATCH(B111,'Rooms Master'!D:D,0))</f>
        <v>N</v>
      </c>
      <c r="D111" s="15">
        <f t="array" ref="D111">INDEX('Dec 7 - Dec 13'!D$2:D$113,MATCH($B111,'Dec 7 - Dec 13'!$B$2:$B$113,0))-INDEX('Nov 30 - Dec 6'!D$2:D$111,MATCH($B111,'Nov 30 - Dec 6'!$B$2:$B$111,0))</f>
        <v>21</v>
      </c>
      <c r="E111" s="15">
        <f t="array" ref="E111">INDEX('Dec 7 - Dec 13'!E$2:E$113,MATCH($B111,'Dec 7 - Dec 13'!$B$2:$B$113,0))-INDEX('Nov 30 - Dec 6'!E$2:E$111,MATCH($B111,'Nov 30 - Dec 6'!$B$2:$B$111,0))</f>
        <v>-34</v>
      </c>
      <c r="F111" s="15">
        <f t="array" ref="F111">INDEX('Dec 7 - Dec 13'!F$2:F$113,MATCH($B111,'Dec 7 - Dec 13'!$B$2:$B$113,0))-INDEX('Nov 30 - Dec 6'!F$2:F$111,MATCH($B111,'Nov 30 - Dec 6'!$B$2:$B$111,0))</f>
        <v>-16</v>
      </c>
      <c r="G111" s="15">
        <f t="array" ref="G111">INDEX('Dec 7 - Dec 13'!G$2:G$113,MATCH($B111,'Dec 7 - Dec 13'!$B$2:$B$113,0))-INDEX('Nov 30 - Dec 6'!G$2:G$111,MATCH($B111,'Nov 30 - Dec 6'!$B$2:$B$111,0))</f>
        <v>-3</v>
      </c>
      <c r="H111" s="15">
        <f t="array" ref="H111">INDEX('Dec 7 - Dec 13'!H$2:H$113,MATCH($B111,'Dec 7 - Dec 13'!$B$2:$B$113,0))-INDEX('Nov 30 - Dec 6'!H$2:H$111,MATCH($B111,'Nov 30 - Dec 6'!$B$2:$B$111,0))</f>
        <v>-2</v>
      </c>
      <c r="I111" s="15">
        <f t="array" ref="I111">INDEX('Dec 7 - Dec 13'!I$2:I$113,MATCH($B111,'Dec 7 - Dec 13'!$B$2:$B$113,0))-INDEX('Nov 30 - Dec 6'!I$2:I$111,MATCH($B111,'Nov 30 - Dec 6'!$B$2:$B$111,0))</f>
        <v>-2</v>
      </c>
      <c r="J111" s="15">
        <f t="array" ref="J111">INDEX('Dec 7 - Dec 13'!J$2:J$113,MATCH($B111,'Dec 7 - Dec 13'!$B$2:$B$113,0))-INDEX('Nov 30 - Dec 6'!J$2:J$111,MATCH($B111,'Nov 30 - Dec 6'!$B$2:$B$111,0))</f>
        <v>0</v>
      </c>
      <c r="K111" s="15">
        <f t="array" ref="K111">INDEX('Dec 7 - Dec 13'!K$2:K$113,MATCH($B111,'Dec 7 - Dec 13'!$B$2:$B$113,0))-INDEX('Nov 30 - Dec 6'!K$2:K$111,MATCH($B111,'Nov 30 - Dec 6'!$B$2:$B$111,0))</f>
        <v>0</v>
      </c>
    </row>
    <row r="112" spans="2:11" ht="12.75">
      <c r="B112" s="13" t="s">
        <v>125</v>
      </c>
      <c r="C112" s="14" t="str">
        <f t="array" aca="1" ref="C112" ca="1">INDEX('Rooms Master'!U:U,MATCH(B112,'Rooms Master'!D:D,0))</f>
        <v>N</v>
      </c>
      <c r="D112" s="15">
        <f t="array" ref="D112">INDEX('Dec 7 - Dec 13'!D$2:D$113,MATCH($B112,'Dec 7 - Dec 13'!$B$2:$B$113,0))-INDEX('Nov 30 - Dec 6'!D$2:D$111,MATCH($B112,'Nov 30 - Dec 6'!$B$2:$B$111,0))</f>
        <v>-15</v>
      </c>
      <c r="E112" s="15">
        <f t="array" ref="E112">INDEX('Dec 7 - Dec 13'!E$2:E$113,MATCH($B112,'Dec 7 - Dec 13'!$B$2:$B$113,0))-INDEX('Nov 30 - Dec 6'!E$2:E$111,MATCH($B112,'Nov 30 - Dec 6'!$B$2:$B$111,0))</f>
        <v>-65</v>
      </c>
      <c r="F112" s="15">
        <f t="array" ref="F112">INDEX('Dec 7 - Dec 13'!F$2:F$113,MATCH($B112,'Dec 7 - Dec 13'!$B$2:$B$113,0))-INDEX('Nov 30 - Dec 6'!F$2:F$111,MATCH($B112,'Nov 30 - Dec 6'!$B$2:$B$111,0))</f>
        <v>-22</v>
      </c>
      <c r="G112" s="15">
        <f t="array" ref="G112">INDEX('Dec 7 - Dec 13'!G$2:G$113,MATCH($B112,'Dec 7 - Dec 13'!$B$2:$B$113,0))-INDEX('Nov 30 - Dec 6'!G$2:G$111,MATCH($B112,'Nov 30 - Dec 6'!$B$2:$B$111,0))</f>
        <v>-1</v>
      </c>
      <c r="H112" s="15">
        <f t="array" ref="H112">INDEX('Dec 7 - Dec 13'!H$2:H$113,MATCH($B112,'Dec 7 - Dec 13'!$B$2:$B$113,0))-INDEX('Nov 30 - Dec 6'!H$2:H$111,MATCH($B112,'Nov 30 - Dec 6'!$B$2:$B$111,0))</f>
        <v>-2</v>
      </c>
      <c r="I112" s="15">
        <f t="array" ref="I112">INDEX('Dec 7 - Dec 13'!I$2:I$113,MATCH($B112,'Dec 7 - Dec 13'!$B$2:$B$113,0))-INDEX('Nov 30 - Dec 6'!I$2:I$111,MATCH($B112,'Nov 30 - Dec 6'!$B$2:$B$111,0))</f>
        <v>0</v>
      </c>
      <c r="J112" s="15">
        <f t="array" ref="J112">INDEX('Dec 7 - Dec 13'!J$2:J$113,MATCH($B112,'Dec 7 - Dec 13'!$B$2:$B$113,0))-INDEX('Nov 30 - Dec 6'!J$2:J$111,MATCH($B112,'Nov 30 - Dec 6'!$B$2:$B$111,0))</f>
        <v>5</v>
      </c>
      <c r="K112" s="15">
        <f t="array" ref="K112">INDEX('Dec 7 - Dec 13'!K$2:K$113,MATCH($B112,'Dec 7 - Dec 13'!$B$2:$B$113,0))-INDEX('Nov 30 - Dec 6'!K$2:K$111,MATCH($B112,'Nov 30 - Dec 6'!$B$2:$B$111,0))</f>
        <v>5</v>
      </c>
    </row>
    <row r="113" spans="2:11" ht="12.75">
      <c r="B113" s="13" t="s">
        <v>91</v>
      </c>
      <c r="C113" s="14" t="str">
        <f t="array" aca="1" ref="C113" ca="1">INDEX('Rooms Master'!U:U,MATCH(B113,'Rooms Master'!D:D,0))</f>
        <v>N</v>
      </c>
      <c r="D113" s="15">
        <f t="array" ref="D113">INDEX('Dec 7 - Dec 13'!D$2:D$113,MATCH($B113,'Dec 7 - Dec 13'!$B$2:$B$113,0))-INDEX('Nov 30 - Dec 6'!D$2:D$111,MATCH($B113,'Nov 30 - Dec 6'!$B$2:$B$111,0))</f>
        <v>-38</v>
      </c>
      <c r="E113" s="15">
        <f t="array" ref="E113">INDEX('Dec 7 - Dec 13'!E$2:E$113,MATCH($B113,'Dec 7 - Dec 13'!$B$2:$B$113,0))-INDEX('Nov 30 - Dec 6'!E$2:E$111,MATCH($B113,'Nov 30 - Dec 6'!$B$2:$B$111,0))</f>
        <v>-75</v>
      </c>
      <c r="F113" s="15">
        <f t="array" ref="F113">INDEX('Dec 7 - Dec 13'!F$2:F$113,MATCH($B113,'Dec 7 - Dec 13'!$B$2:$B$113,0))-INDEX('Nov 30 - Dec 6'!F$2:F$111,MATCH($B113,'Nov 30 - Dec 6'!$B$2:$B$111,0))</f>
        <v>-15</v>
      </c>
      <c r="G113" s="15">
        <f t="array" ref="G113">INDEX('Dec 7 - Dec 13'!G$2:G$113,MATCH($B113,'Dec 7 - Dec 13'!$B$2:$B$113,0))-INDEX('Nov 30 - Dec 6'!G$2:G$111,MATCH($B113,'Nov 30 - Dec 6'!$B$2:$B$111,0))</f>
        <v>-9</v>
      </c>
      <c r="H113" s="15">
        <f t="array" ref="H113">INDEX('Dec 7 - Dec 13'!H$2:H$113,MATCH($B113,'Dec 7 - Dec 13'!$B$2:$B$113,0))-INDEX('Nov 30 - Dec 6'!H$2:H$111,MATCH($B113,'Nov 30 - Dec 6'!$B$2:$B$111,0))</f>
        <v>-5</v>
      </c>
      <c r="I113" s="15">
        <f t="array" ref="I113">INDEX('Dec 7 - Dec 13'!I$2:I$113,MATCH($B113,'Dec 7 - Dec 13'!$B$2:$B$113,0))-INDEX('Nov 30 - Dec 6'!I$2:I$111,MATCH($B113,'Nov 30 - Dec 6'!$B$2:$B$111,0))</f>
        <v>0</v>
      </c>
      <c r="J113" s="15">
        <f t="array" ref="J113">INDEX('Dec 7 - Dec 13'!J$2:J$113,MATCH($B113,'Dec 7 - Dec 13'!$B$2:$B$113,0))-INDEX('Nov 30 - Dec 6'!J$2:J$111,MATCH($B113,'Nov 30 - Dec 6'!$B$2:$B$111,0))</f>
        <v>-1</v>
      </c>
      <c r="K113" s="15">
        <f t="array" ref="K113">INDEX('Dec 7 - Dec 13'!K$2:K$113,MATCH($B113,'Dec 7 - Dec 13'!$B$2:$B$113,0))-INDEX('Nov 30 - Dec 6'!K$2:K$111,MATCH($B113,'Nov 30 - Dec 6'!$B$2:$B$111,0))</f>
        <v>1</v>
      </c>
    </row>
    <row r="116" spans="2:11" ht="13.15">
      <c r="B116" s="31" t="s">
        <v>146</v>
      </c>
      <c r="C116" s="30"/>
      <c r="D116" s="30"/>
      <c r="E116" s="30">
        <f>'Dec 7 - Dec 13'!E115-'Nov 30 - Dec 6'!E113</f>
        <v>403</v>
      </c>
      <c r="F116" s="30">
        <f>'Dec 7 - Dec 13'!F115-'Nov 30 - Dec 6'!F113</f>
        <v>50</v>
      </c>
      <c r="G116" s="30">
        <f>'Dec 7 - Dec 13'!G115-'Nov 30 - Dec 6'!G113</f>
        <v>-36</v>
      </c>
      <c r="H116" s="30">
        <f>'Dec 7 - Dec 13'!H115-'Nov 30 - Dec 6'!H113</f>
        <v>-39</v>
      </c>
      <c r="I116" s="30">
        <f>'Dec 7 - Dec 13'!I115-'Nov 30 - Dec 6'!I113</f>
        <v>-5</v>
      </c>
      <c r="J116" s="30">
        <f>'Dec 7 - Dec 13'!J115-'Nov 30 - Dec 6'!J113</f>
        <v>11</v>
      </c>
      <c r="K116" s="30">
        <f>'Dec 7 - Dec 13'!K115-'Nov 30 - Dec 6'!K113</f>
        <v>2</v>
      </c>
    </row>
  </sheetData>
  <autoFilter ref="B1:K113" xr:uid="{00000000-0009-0000-0000-000007000000}"/>
  <conditionalFormatting sqref="I105">
    <cfRule type="expression" dxfId="22" priority="1">
      <formula>$D104="N"</formula>
    </cfRule>
  </conditionalFormatting>
  <conditionalFormatting sqref="B2:K116">
    <cfRule type="expression" dxfId="21" priority="2">
      <formula>$C2="N"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C10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3984375" defaultRowHeight="15.75" customHeight="1"/>
  <cols>
    <col min="1" max="1" width="2.73046875" customWidth="1"/>
    <col min="2" max="2" width="30" customWidth="1"/>
    <col min="3" max="3" width="15.265625" customWidth="1"/>
    <col min="4" max="4" width="8.86328125" customWidth="1"/>
    <col min="5" max="5" width="17.265625" customWidth="1"/>
    <col min="6" max="6" width="13.86328125" customWidth="1"/>
    <col min="7" max="7" width="17.265625" customWidth="1"/>
    <col min="8" max="8" width="10.1328125" customWidth="1"/>
    <col min="9" max="9" width="14.1328125" customWidth="1"/>
    <col min="10" max="10" width="11.3984375" customWidth="1"/>
    <col min="11" max="11" width="13" customWidth="1"/>
    <col min="12" max="12" width="12.1328125" customWidth="1"/>
    <col min="18" max="18" width="19" customWidth="1"/>
    <col min="21" max="21" width="18.53125" customWidth="1"/>
  </cols>
  <sheetData>
    <row r="1" spans="1:25" ht="28.5" customHeight="1">
      <c r="B1" s="6" t="s">
        <v>0</v>
      </c>
      <c r="C1" s="7" t="s">
        <v>1</v>
      </c>
      <c r="D1" s="7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25" ht="12.75">
      <c r="A2" s="12">
        <f t="shared" ref="A2:A77" si="0">A1+1</f>
        <v>1</v>
      </c>
      <c r="B2" s="1" t="s">
        <v>43</v>
      </c>
      <c r="C2" s="14" t="str">
        <f t="array" aca="1" ref="C2" ca="1">INDEX('Rooms Master'!U:U,MATCH(B2,'Rooms Master'!D:D,0))</f>
        <v>Y</v>
      </c>
      <c r="D2" s="15">
        <v>1</v>
      </c>
      <c r="E2" s="15">
        <v>95</v>
      </c>
      <c r="F2" s="15">
        <v>13</v>
      </c>
      <c r="G2" s="15">
        <v>0</v>
      </c>
      <c r="H2" s="15">
        <v>0</v>
      </c>
      <c r="I2" s="15"/>
      <c r="J2" s="15"/>
      <c r="K2" s="15"/>
      <c r="L2" s="21" t="s">
        <v>34</v>
      </c>
      <c r="M2" s="17">
        <f t="shared" ref="M2:M113" si="1">IFERROR(F2/E2, " ")</f>
        <v>0.1368421052631579</v>
      </c>
      <c r="N2" s="18">
        <f t="shared" ref="N2:N10" si="2">IFERROR(H2/E2," ")</f>
        <v>0</v>
      </c>
      <c r="O2" s="17" t="str">
        <f t="shared" ref="O2:O10" si="3">IFERROR(K2/H2, " ")</f>
        <v xml:space="preserve"> </v>
      </c>
      <c r="P2" s="17" t="str">
        <f t="shared" ref="P2:P7" si="4">IFERROR(K2/I2, " ")</f>
        <v xml:space="preserve"> </v>
      </c>
      <c r="Q2" s="17" t="str">
        <f t="shared" ref="Q2:Q10" si="5">IFERROR(K2/J2, " ")</f>
        <v xml:space="preserve"> </v>
      </c>
      <c r="R2" s="17">
        <f t="shared" ref="R2:R113" si="6">IFERROR(E2/$E$115," ")</f>
        <v>2.8341288782816228E-2</v>
      </c>
    </row>
    <row r="3" spans="1:25" ht="12.75">
      <c r="A3" s="12">
        <f t="shared" si="0"/>
        <v>2</v>
      </c>
      <c r="B3" s="13" t="s">
        <v>115</v>
      </c>
      <c r="C3" s="14" t="str">
        <f t="array" aca="1" ref="C3" ca="1">INDEX('Rooms Master'!U:U,MATCH(B3,'Rooms Master'!D:D,0))</f>
        <v>Y</v>
      </c>
      <c r="D3" s="15">
        <v>2</v>
      </c>
      <c r="E3" s="15">
        <v>47</v>
      </c>
      <c r="F3" s="15">
        <v>5</v>
      </c>
      <c r="G3" s="15">
        <v>0</v>
      </c>
      <c r="H3" s="15">
        <v>0</v>
      </c>
      <c r="I3" s="15"/>
      <c r="J3" s="15"/>
      <c r="K3" s="15"/>
      <c r="L3" s="1" t="s">
        <v>29</v>
      </c>
      <c r="M3" s="17">
        <f t="shared" si="1"/>
        <v>0.10638297872340426</v>
      </c>
      <c r="N3" s="18">
        <f t="shared" si="2"/>
        <v>0</v>
      </c>
      <c r="O3" s="17" t="str">
        <f t="shared" si="3"/>
        <v xml:space="preserve"> </v>
      </c>
      <c r="P3" s="17" t="str">
        <f t="shared" si="4"/>
        <v xml:space="preserve"> </v>
      </c>
      <c r="Q3" s="17" t="str">
        <f t="shared" si="5"/>
        <v xml:space="preserve"> </v>
      </c>
      <c r="R3" s="17">
        <f t="shared" si="6"/>
        <v>1.4021479713603818E-2</v>
      </c>
    </row>
    <row r="4" spans="1:25" ht="12.75">
      <c r="A4" s="12">
        <f t="shared" si="0"/>
        <v>3</v>
      </c>
      <c r="B4" s="13" t="s">
        <v>102</v>
      </c>
      <c r="C4" s="14" t="str">
        <f t="array" aca="1" ref="C4" ca="1">INDEX('Rooms Master'!U:U,MATCH(B4,'Rooms Master'!D:D,0))</f>
        <v>N</v>
      </c>
      <c r="D4" s="15">
        <v>3</v>
      </c>
      <c r="E4" s="15">
        <v>77</v>
      </c>
      <c r="F4" s="15">
        <v>13</v>
      </c>
      <c r="G4" s="15">
        <v>1</v>
      </c>
      <c r="H4" s="15">
        <v>1</v>
      </c>
      <c r="I4" s="15"/>
      <c r="J4" s="15"/>
      <c r="K4" s="15"/>
      <c r="L4" s="1" t="s">
        <v>29</v>
      </c>
      <c r="M4" s="17">
        <f t="shared" si="1"/>
        <v>0.16883116883116883</v>
      </c>
      <c r="N4" s="18">
        <f t="shared" si="2"/>
        <v>1.2987012987012988E-2</v>
      </c>
      <c r="O4" s="17">
        <f t="shared" si="3"/>
        <v>0</v>
      </c>
      <c r="P4" s="17" t="str">
        <f t="shared" si="4"/>
        <v xml:space="preserve"> </v>
      </c>
      <c r="Q4" s="17" t="str">
        <f t="shared" si="5"/>
        <v xml:space="preserve"> </v>
      </c>
      <c r="R4" s="17">
        <f t="shared" si="6"/>
        <v>2.2971360381861577E-2</v>
      </c>
    </row>
    <row r="5" spans="1:25" ht="12.75">
      <c r="A5" s="12">
        <f t="shared" si="0"/>
        <v>4</v>
      </c>
      <c r="B5" s="13" t="s">
        <v>93</v>
      </c>
      <c r="C5" s="14" t="str">
        <f t="array" aca="1" ref="C5" ca="1">INDEX('Rooms Master'!U:U,MATCH(B5,'Rooms Master'!D:D,0))</f>
        <v>Y</v>
      </c>
      <c r="D5" s="15">
        <v>4</v>
      </c>
      <c r="E5" s="15">
        <v>23</v>
      </c>
      <c r="F5" s="15">
        <v>5</v>
      </c>
      <c r="G5" s="15">
        <v>0</v>
      </c>
      <c r="H5" s="15">
        <v>2</v>
      </c>
      <c r="I5" s="15"/>
      <c r="J5" s="15"/>
      <c r="K5" s="15"/>
      <c r="L5" s="1" t="s">
        <v>20</v>
      </c>
      <c r="M5" s="17">
        <f t="shared" si="1"/>
        <v>0.21739130434782608</v>
      </c>
      <c r="N5" s="18">
        <f t="shared" si="2"/>
        <v>8.6956521739130432E-2</v>
      </c>
      <c r="O5" s="17">
        <f t="shared" si="3"/>
        <v>0</v>
      </c>
      <c r="P5" s="17" t="str">
        <f t="shared" si="4"/>
        <v xml:space="preserve"> </v>
      </c>
      <c r="Q5" s="17" t="str">
        <f t="shared" si="5"/>
        <v xml:space="preserve"> </v>
      </c>
      <c r="R5" s="17">
        <f t="shared" si="6"/>
        <v>6.8615751789976136E-3</v>
      </c>
    </row>
    <row r="6" spans="1:25" ht="12.75">
      <c r="A6" s="12">
        <f t="shared" si="0"/>
        <v>5</v>
      </c>
      <c r="B6" s="13" t="s">
        <v>21</v>
      </c>
      <c r="C6" s="14" t="str">
        <f t="array" aca="1" ref="C6" ca="1">INDEX('Rooms Master'!U:U,MATCH(B6,'Rooms Master'!D:D,0))</f>
        <v>Y</v>
      </c>
      <c r="D6" s="15">
        <v>5</v>
      </c>
      <c r="E6" s="15">
        <v>62</v>
      </c>
      <c r="F6" s="15">
        <v>16</v>
      </c>
      <c r="G6" s="15">
        <v>2</v>
      </c>
      <c r="H6" s="15">
        <v>6</v>
      </c>
      <c r="I6" s="15"/>
      <c r="J6" s="15"/>
      <c r="K6" s="15"/>
      <c r="L6" s="1" t="s">
        <v>20</v>
      </c>
      <c r="M6" s="17">
        <f t="shared" si="1"/>
        <v>0.25806451612903225</v>
      </c>
      <c r="N6" s="18">
        <f t="shared" si="2"/>
        <v>9.6774193548387094E-2</v>
      </c>
      <c r="O6" s="17">
        <f t="shared" si="3"/>
        <v>0</v>
      </c>
      <c r="P6" s="17" t="str">
        <f t="shared" si="4"/>
        <v xml:space="preserve"> </v>
      </c>
      <c r="Q6" s="17" t="str">
        <f t="shared" si="5"/>
        <v xml:space="preserve"> </v>
      </c>
      <c r="R6" s="17">
        <f t="shared" si="6"/>
        <v>1.8496420047732696E-2</v>
      </c>
    </row>
    <row r="7" spans="1:25" ht="12.75">
      <c r="A7" s="12">
        <f t="shared" si="0"/>
        <v>6</v>
      </c>
      <c r="B7" s="13" t="s">
        <v>77</v>
      </c>
      <c r="C7" s="14" t="str">
        <f t="array" aca="1" ref="C7" ca="1">INDEX('Rooms Master'!U:U,MATCH(B7,'Rooms Master'!D:D,0))</f>
        <v>N</v>
      </c>
      <c r="D7" s="15">
        <v>6</v>
      </c>
      <c r="E7" s="15">
        <v>88</v>
      </c>
      <c r="F7" s="15">
        <v>20</v>
      </c>
      <c r="G7" s="15">
        <v>3</v>
      </c>
      <c r="H7" s="15">
        <v>5</v>
      </c>
      <c r="I7" s="15">
        <v>1</v>
      </c>
      <c r="J7" s="15"/>
      <c r="K7" s="15"/>
      <c r="L7" s="1" t="s">
        <v>20</v>
      </c>
      <c r="M7" s="17">
        <f t="shared" si="1"/>
        <v>0.22727272727272727</v>
      </c>
      <c r="N7" s="18">
        <f t="shared" si="2"/>
        <v>5.6818181818181816E-2</v>
      </c>
      <c r="O7" s="17">
        <f t="shared" si="3"/>
        <v>0</v>
      </c>
      <c r="P7" s="17">
        <f t="shared" si="4"/>
        <v>0</v>
      </c>
      <c r="Q7" s="17" t="str">
        <f t="shared" si="5"/>
        <v xml:space="preserve"> </v>
      </c>
      <c r="R7" s="17">
        <f t="shared" si="6"/>
        <v>2.6252983293556086E-2</v>
      </c>
    </row>
    <row r="8" spans="1:25" ht="12.75">
      <c r="A8" s="12">
        <f t="shared" si="0"/>
        <v>7</v>
      </c>
      <c r="B8" s="13" t="s">
        <v>99</v>
      </c>
      <c r="C8" s="14" t="str">
        <f t="array" aca="1" ref="C8" ca="1">INDEX('Rooms Master'!U:U,MATCH(B8,'Rooms Master'!D:D,0))</f>
        <v>N</v>
      </c>
      <c r="D8" s="15">
        <v>7</v>
      </c>
      <c r="E8" s="15">
        <v>109</v>
      </c>
      <c r="F8" s="15">
        <v>12</v>
      </c>
      <c r="G8" s="15">
        <v>3</v>
      </c>
      <c r="H8" s="15">
        <v>6</v>
      </c>
      <c r="I8" s="1"/>
      <c r="J8" s="15"/>
      <c r="K8" s="15"/>
      <c r="L8" s="1" t="s">
        <v>20</v>
      </c>
      <c r="M8" s="17">
        <f t="shared" si="1"/>
        <v>0.11009174311926606</v>
      </c>
      <c r="N8" s="18">
        <f t="shared" si="2"/>
        <v>5.5045871559633031E-2</v>
      </c>
      <c r="O8" s="17">
        <f t="shared" si="3"/>
        <v>0</v>
      </c>
      <c r="P8" s="17" t="str">
        <f>IFERROR(K8/I10, " ")</f>
        <v xml:space="preserve"> </v>
      </c>
      <c r="Q8" s="17" t="str">
        <f t="shared" si="5"/>
        <v xml:space="preserve"> </v>
      </c>
      <c r="R8" s="17">
        <f t="shared" si="6"/>
        <v>3.2517899761336518E-2</v>
      </c>
    </row>
    <row r="9" spans="1:25" ht="12.75">
      <c r="A9" s="12">
        <f t="shared" si="0"/>
        <v>8</v>
      </c>
      <c r="B9" s="13" t="s">
        <v>73</v>
      </c>
      <c r="C9" s="14" t="str">
        <f t="array" aca="1" ref="C9" ca="1">INDEX('Rooms Master'!U:U,MATCH(B9,'Rooms Master'!D:D,0))</f>
        <v>Y</v>
      </c>
      <c r="D9" s="15">
        <v>8</v>
      </c>
      <c r="E9" s="15">
        <v>23</v>
      </c>
      <c r="F9" s="15">
        <v>2</v>
      </c>
      <c r="G9" s="15">
        <v>0</v>
      </c>
      <c r="H9" s="15">
        <v>0</v>
      </c>
      <c r="I9" s="15"/>
      <c r="J9" s="15"/>
      <c r="K9" s="15"/>
      <c r="L9" s="1" t="s">
        <v>20</v>
      </c>
      <c r="M9" s="17">
        <f t="shared" si="1"/>
        <v>8.6956521739130432E-2</v>
      </c>
      <c r="N9" s="18">
        <f t="shared" si="2"/>
        <v>0</v>
      </c>
      <c r="O9" s="17" t="str">
        <f t="shared" si="3"/>
        <v xml:space="preserve"> </v>
      </c>
      <c r="P9" s="17" t="str">
        <f t="shared" ref="P9:P10" si="7">IFERROR(K9/I9, " ")</f>
        <v xml:space="preserve"> </v>
      </c>
      <c r="Q9" s="17" t="str">
        <f t="shared" si="5"/>
        <v xml:space="preserve"> </v>
      </c>
      <c r="R9" s="17">
        <f t="shared" si="6"/>
        <v>6.8615751789976136E-3</v>
      </c>
    </row>
    <row r="10" spans="1:25" ht="12.75">
      <c r="A10" s="12">
        <f t="shared" si="0"/>
        <v>9</v>
      </c>
      <c r="B10" s="13" t="s">
        <v>92</v>
      </c>
      <c r="C10" s="14" t="str">
        <f t="array" aca="1" ref="C10" ca="1">INDEX('Rooms Master'!U:U,MATCH(B10,'Rooms Master'!D:D,0))</f>
        <v>Y</v>
      </c>
      <c r="D10" s="15">
        <v>9</v>
      </c>
      <c r="E10" s="15">
        <v>11</v>
      </c>
      <c r="F10" s="15">
        <v>1</v>
      </c>
      <c r="G10" s="15">
        <v>0</v>
      </c>
      <c r="H10" s="15">
        <v>0</v>
      </c>
      <c r="I10" s="15"/>
      <c r="J10" s="15"/>
      <c r="K10" s="15"/>
      <c r="L10" s="1" t="s">
        <v>64</v>
      </c>
      <c r="M10" s="17">
        <f t="shared" si="1"/>
        <v>9.0909090909090912E-2</v>
      </c>
      <c r="N10" s="18">
        <f t="shared" si="2"/>
        <v>0</v>
      </c>
      <c r="O10" s="17" t="str">
        <f t="shared" si="3"/>
        <v xml:space="preserve"> </v>
      </c>
      <c r="P10" s="17" t="str">
        <f t="shared" si="7"/>
        <v xml:space="preserve"> </v>
      </c>
      <c r="Q10" s="17" t="str">
        <f t="shared" si="5"/>
        <v xml:space="preserve"> </v>
      </c>
      <c r="R10" s="17">
        <f t="shared" si="6"/>
        <v>3.2816229116945108E-3</v>
      </c>
    </row>
    <row r="11" spans="1:25" ht="12.75">
      <c r="A11" s="12">
        <f t="shared" si="0"/>
        <v>10</v>
      </c>
      <c r="B11" s="13" t="s">
        <v>83</v>
      </c>
      <c r="C11" s="14" t="str">
        <f t="array" aca="1" ref="C11" ca="1">INDEX('Rooms Master'!U:U,MATCH(B11,'Rooms Master'!D:D,0))</f>
        <v>Y</v>
      </c>
      <c r="D11" s="15">
        <v>10</v>
      </c>
      <c r="E11" s="15">
        <v>90</v>
      </c>
      <c r="F11" s="15">
        <v>4</v>
      </c>
      <c r="G11" s="15">
        <v>0</v>
      </c>
      <c r="H11" s="15">
        <v>0</v>
      </c>
      <c r="I11" s="15"/>
      <c r="J11" s="15"/>
      <c r="K11" s="15"/>
      <c r="L11" s="1"/>
      <c r="M11" s="17">
        <f t="shared" si="1"/>
        <v>4.4444444444444446E-2</v>
      </c>
      <c r="N11" s="18"/>
      <c r="O11" s="17"/>
      <c r="P11" s="17"/>
      <c r="Q11" s="17"/>
      <c r="R11" s="17">
        <f t="shared" si="6"/>
        <v>2.6849642004773269E-2</v>
      </c>
    </row>
    <row r="12" spans="1:25" ht="12.75">
      <c r="A12" s="12">
        <f t="shared" si="0"/>
        <v>11</v>
      </c>
      <c r="B12" s="13" t="s">
        <v>30</v>
      </c>
      <c r="C12" s="14" t="str">
        <f t="array" aca="1" ref="C12" ca="1">INDEX('Rooms Master'!U:U,MATCH(B12,'Rooms Master'!D:D,0))</f>
        <v>Y</v>
      </c>
      <c r="D12" s="15">
        <v>11</v>
      </c>
      <c r="E12" s="15">
        <v>73</v>
      </c>
      <c r="F12" s="15">
        <v>11</v>
      </c>
      <c r="G12" s="15">
        <v>5</v>
      </c>
      <c r="H12" s="15">
        <v>2</v>
      </c>
      <c r="I12" s="15"/>
      <c r="J12" s="15">
        <v>1</v>
      </c>
      <c r="K12" s="15"/>
      <c r="L12" s="1" t="s">
        <v>20</v>
      </c>
      <c r="M12" s="17">
        <f t="shared" si="1"/>
        <v>0.15068493150684931</v>
      </c>
      <c r="N12" s="18">
        <f t="shared" ref="N12:N115" si="8">IFERROR(H12/E12," ")</f>
        <v>2.7397260273972601E-2</v>
      </c>
      <c r="O12" s="17">
        <f t="shared" ref="O12:O113" si="9">IFERROR(K12/H12, " ")</f>
        <v>0</v>
      </c>
      <c r="P12" s="17" t="str">
        <f>IFERROR(K12/I12, " ")</f>
        <v xml:space="preserve"> </v>
      </c>
      <c r="Q12" s="17">
        <f t="shared" ref="Q12:Q113" si="10">IFERROR(K12/J12, " ")</f>
        <v>0</v>
      </c>
      <c r="R12" s="17">
        <f t="shared" si="6"/>
        <v>2.1778042959427209E-2</v>
      </c>
    </row>
    <row r="13" spans="1:25" ht="12.75">
      <c r="A13" s="12">
        <f t="shared" si="0"/>
        <v>12</v>
      </c>
      <c r="B13" s="1" t="s">
        <v>53</v>
      </c>
      <c r="C13" s="14" t="str">
        <f t="array" aca="1" ref="C13" ca="1">INDEX('Rooms Master'!U:U,MATCH(B13,'Rooms Master'!D:D,0))</f>
        <v>Y</v>
      </c>
      <c r="D13" s="15">
        <v>12</v>
      </c>
      <c r="E13" s="15">
        <v>59</v>
      </c>
      <c r="F13" s="15">
        <v>5</v>
      </c>
      <c r="G13" s="15">
        <v>0</v>
      </c>
      <c r="H13" s="15">
        <v>0</v>
      </c>
      <c r="J13" s="15"/>
      <c r="K13" s="15"/>
      <c r="L13" s="1" t="s">
        <v>20</v>
      </c>
      <c r="M13" s="17">
        <f t="shared" si="1"/>
        <v>8.4745762711864403E-2</v>
      </c>
      <c r="N13" s="18">
        <f t="shared" si="8"/>
        <v>0</v>
      </c>
      <c r="O13" s="17" t="str">
        <f t="shared" si="9"/>
        <v xml:space="preserve"> </v>
      </c>
      <c r="P13" s="17" t="str">
        <f>IFERROR(K13/I15, " ")</f>
        <v xml:space="preserve"> </v>
      </c>
      <c r="Q13" s="17" t="str">
        <f t="shared" si="10"/>
        <v xml:space="preserve"> </v>
      </c>
      <c r="R13" s="17">
        <f t="shared" si="6"/>
        <v>1.7601431980906922E-2</v>
      </c>
    </row>
    <row r="14" spans="1:25" ht="12.75">
      <c r="A14" s="12">
        <f t="shared" si="0"/>
        <v>13</v>
      </c>
      <c r="B14" s="13" t="s">
        <v>28</v>
      </c>
      <c r="C14" s="14" t="str">
        <f t="array" aca="1" ref="C14" ca="1">INDEX('Rooms Master'!U:U,MATCH(B14,'Rooms Master'!D:D,0))</f>
        <v>Y</v>
      </c>
      <c r="D14" s="15">
        <v>13</v>
      </c>
      <c r="E14" s="15">
        <v>57</v>
      </c>
      <c r="F14" s="15">
        <v>8</v>
      </c>
      <c r="G14" s="15">
        <v>2</v>
      </c>
      <c r="H14" s="15">
        <v>1</v>
      </c>
      <c r="I14" s="15"/>
      <c r="J14" s="15"/>
      <c r="K14" s="15"/>
      <c r="L14" s="1" t="s">
        <v>29</v>
      </c>
      <c r="M14" s="17">
        <f t="shared" si="1"/>
        <v>0.14035087719298245</v>
      </c>
      <c r="N14" s="18">
        <f t="shared" si="8"/>
        <v>1.7543859649122806E-2</v>
      </c>
      <c r="O14" s="17">
        <f t="shared" si="9"/>
        <v>0</v>
      </c>
      <c r="P14" s="17" t="str">
        <f t="shared" ref="P14:P111" si="11">IFERROR(K14/I14, " ")</f>
        <v xml:space="preserve"> </v>
      </c>
      <c r="Q14" s="17" t="str">
        <f t="shared" si="10"/>
        <v xml:space="preserve"> </v>
      </c>
      <c r="R14" s="17">
        <f t="shared" si="6"/>
        <v>1.7004773269689737E-2</v>
      </c>
      <c r="U14" s="13"/>
      <c r="V14" s="19"/>
      <c r="W14" s="19"/>
      <c r="X14" s="19"/>
      <c r="Y14" s="20"/>
    </row>
    <row r="15" spans="1:25" ht="12.75">
      <c r="A15" s="12">
        <f t="shared" si="0"/>
        <v>14</v>
      </c>
      <c r="B15" s="13" t="s">
        <v>113</v>
      </c>
      <c r="C15" s="14" t="str">
        <f t="array" aca="1" ref="C15" ca="1">INDEX('Rooms Master'!U:U,MATCH(B15,'Rooms Master'!D:D,0))</f>
        <v>Y</v>
      </c>
      <c r="D15" s="15">
        <v>14</v>
      </c>
      <c r="E15" s="15">
        <v>7</v>
      </c>
      <c r="F15" s="15">
        <v>0</v>
      </c>
      <c r="G15" s="15">
        <v>0</v>
      </c>
      <c r="H15" s="15">
        <v>0</v>
      </c>
      <c r="I15" s="15"/>
      <c r="J15" s="15"/>
      <c r="K15" s="15"/>
      <c r="L15" s="1" t="s">
        <v>24</v>
      </c>
      <c r="M15" s="17">
        <f t="shared" si="1"/>
        <v>0</v>
      </c>
      <c r="N15" s="18">
        <f t="shared" si="8"/>
        <v>0</v>
      </c>
      <c r="O15" s="17" t="str">
        <f t="shared" si="9"/>
        <v xml:space="preserve"> </v>
      </c>
      <c r="P15" s="17" t="str">
        <f t="shared" si="11"/>
        <v xml:space="preserve"> </v>
      </c>
      <c r="Q15" s="17" t="str">
        <f t="shared" si="10"/>
        <v xml:space="preserve"> </v>
      </c>
      <c r="R15" s="17">
        <f t="shared" si="6"/>
        <v>2.0883054892601432E-3</v>
      </c>
      <c r="U15" s="25"/>
      <c r="V15" s="25"/>
      <c r="W15" s="25"/>
      <c r="X15" s="25"/>
      <c r="Y15" s="25"/>
    </row>
    <row r="16" spans="1:25" ht="12.75">
      <c r="A16" s="12">
        <f t="shared" si="0"/>
        <v>15</v>
      </c>
      <c r="B16" s="13" t="s">
        <v>105</v>
      </c>
      <c r="C16" s="14" t="str">
        <f t="array" aca="1" ref="C16" ca="1">INDEX('Rooms Master'!U:U,MATCH(B16,'Rooms Master'!D:D,0))</f>
        <v>Y</v>
      </c>
      <c r="D16" s="15">
        <v>15</v>
      </c>
      <c r="E16" s="15">
        <v>11</v>
      </c>
      <c r="F16" s="15">
        <v>0</v>
      </c>
      <c r="G16" s="15">
        <v>0</v>
      </c>
      <c r="H16" s="15">
        <v>0</v>
      </c>
      <c r="I16" s="15"/>
      <c r="J16" s="15"/>
      <c r="K16" s="15"/>
      <c r="L16" s="1" t="s">
        <v>24</v>
      </c>
      <c r="M16" s="17">
        <f t="shared" si="1"/>
        <v>0</v>
      </c>
      <c r="N16" s="18">
        <f t="shared" si="8"/>
        <v>0</v>
      </c>
      <c r="O16" s="17" t="str">
        <f t="shared" si="9"/>
        <v xml:space="preserve"> </v>
      </c>
      <c r="P16" s="17" t="str">
        <f t="shared" si="11"/>
        <v xml:space="preserve"> </v>
      </c>
      <c r="Q16" s="17" t="str">
        <f t="shared" si="10"/>
        <v xml:space="preserve"> </v>
      </c>
      <c r="R16" s="17">
        <f t="shared" si="6"/>
        <v>3.2816229116945108E-3</v>
      </c>
    </row>
    <row r="17" spans="1:18" ht="12.75">
      <c r="A17" s="12">
        <f t="shared" si="0"/>
        <v>16</v>
      </c>
      <c r="B17" s="13" t="s">
        <v>17</v>
      </c>
      <c r="C17" s="14" t="str">
        <f t="array" aca="1" ref="C17" ca="1">INDEX('Rooms Master'!U:U,MATCH(B17,'Rooms Master'!D:D,0))</f>
        <v>Y</v>
      </c>
      <c r="D17" s="15">
        <v>16</v>
      </c>
      <c r="E17" s="15">
        <v>17</v>
      </c>
      <c r="F17" s="15">
        <v>4</v>
      </c>
      <c r="G17" s="15">
        <v>1</v>
      </c>
      <c r="H17" s="15">
        <v>0</v>
      </c>
      <c r="I17" s="15"/>
      <c r="J17" s="15"/>
      <c r="K17" s="15"/>
      <c r="L17" s="1" t="s">
        <v>18</v>
      </c>
      <c r="M17" s="17">
        <f t="shared" si="1"/>
        <v>0.23529411764705882</v>
      </c>
      <c r="N17" s="18">
        <f t="shared" si="8"/>
        <v>0</v>
      </c>
      <c r="O17" s="17" t="str">
        <f t="shared" si="9"/>
        <v xml:space="preserve"> </v>
      </c>
      <c r="P17" s="17" t="str">
        <f t="shared" si="11"/>
        <v xml:space="preserve"> </v>
      </c>
      <c r="Q17" s="17" t="str">
        <f t="shared" si="10"/>
        <v xml:space="preserve"> </v>
      </c>
      <c r="R17" s="17">
        <f t="shared" si="6"/>
        <v>5.0715990453460624E-3</v>
      </c>
    </row>
    <row r="18" spans="1:18" ht="12.75">
      <c r="A18" s="12">
        <f t="shared" si="0"/>
        <v>17</v>
      </c>
      <c r="B18" s="13" t="s">
        <v>124</v>
      </c>
      <c r="C18" s="14" t="str">
        <f t="array" aca="1" ref="C18" ca="1">INDEX('Rooms Master'!U:U,MATCH(B18,'Rooms Master'!D:D,0))</f>
        <v>N</v>
      </c>
      <c r="D18" s="15">
        <v>17</v>
      </c>
      <c r="E18" s="15">
        <v>26</v>
      </c>
      <c r="F18" s="15">
        <v>1</v>
      </c>
      <c r="G18" s="15">
        <v>1</v>
      </c>
      <c r="H18" s="15">
        <v>1</v>
      </c>
      <c r="I18" s="15"/>
      <c r="J18" s="15"/>
      <c r="K18" s="15"/>
      <c r="L18" s="1" t="s">
        <v>34</v>
      </c>
      <c r="M18" s="17">
        <f t="shared" si="1"/>
        <v>3.8461538461538464E-2</v>
      </c>
      <c r="N18" s="18">
        <f t="shared" si="8"/>
        <v>3.8461538461538464E-2</v>
      </c>
      <c r="O18" s="17">
        <f t="shared" si="9"/>
        <v>0</v>
      </c>
      <c r="P18" s="17" t="str">
        <f t="shared" si="11"/>
        <v xml:space="preserve"> </v>
      </c>
      <c r="Q18" s="17" t="str">
        <f t="shared" si="10"/>
        <v xml:space="preserve"> </v>
      </c>
      <c r="R18" s="17">
        <f t="shared" si="6"/>
        <v>7.7565632458233887E-3</v>
      </c>
    </row>
    <row r="19" spans="1:18" ht="12.75">
      <c r="A19" s="12">
        <f t="shared" si="0"/>
        <v>18</v>
      </c>
      <c r="B19" s="13" t="s">
        <v>80</v>
      </c>
      <c r="C19" s="14" t="str">
        <f t="array" aca="1" ref="C19" ca="1">INDEX('Rooms Master'!U:U,MATCH(B19,'Rooms Master'!D:D,0))</f>
        <v>Y</v>
      </c>
      <c r="D19" s="15">
        <v>18</v>
      </c>
      <c r="E19" s="15">
        <v>35</v>
      </c>
      <c r="F19" s="15">
        <v>6</v>
      </c>
      <c r="G19" s="15"/>
      <c r="H19" s="15">
        <v>5</v>
      </c>
      <c r="I19" s="15"/>
      <c r="J19" s="15"/>
      <c r="K19" s="15"/>
      <c r="L19" s="1" t="s">
        <v>39</v>
      </c>
      <c r="M19" s="17">
        <f t="shared" si="1"/>
        <v>0.17142857142857143</v>
      </c>
      <c r="N19" s="18">
        <f t="shared" si="8"/>
        <v>0.14285714285714285</v>
      </c>
      <c r="O19" s="17">
        <f t="shared" si="9"/>
        <v>0</v>
      </c>
      <c r="P19" s="17" t="str">
        <f t="shared" si="11"/>
        <v xml:space="preserve"> </v>
      </c>
      <c r="Q19" s="17" t="str">
        <f t="shared" si="10"/>
        <v xml:space="preserve"> </v>
      </c>
      <c r="R19" s="17">
        <f t="shared" si="6"/>
        <v>1.0441527446300716E-2</v>
      </c>
    </row>
    <row r="20" spans="1:18" ht="12.75">
      <c r="A20" s="12">
        <f t="shared" si="0"/>
        <v>19</v>
      </c>
      <c r="B20" s="13" t="s">
        <v>110</v>
      </c>
      <c r="C20" s="14" t="str">
        <f t="array" aca="1" ref="C20" ca="1">INDEX('Rooms Master'!U:U,MATCH(B20,'Rooms Master'!D:D,0))</f>
        <v>Y</v>
      </c>
      <c r="D20" s="15">
        <v>19</v>
      </c>
      <c r="E20" s="15">
        <v>10</v>
      </c>
      <c r="F20" s="15">
        <v>0</v>
      </c>
      <c r="G20" s="15">
        <v>2</v>
      </c>
      <c r="H20" s="15">
        <v>2</v>
      </c>
      <c r="I20" s="15"/>
      <c r="J20" s="15"/>
      <c r="K20" s="15"/>
      <c r="L20" s="1" t="s">
        <v>34</v>
      </c>
      <c r="M20" s="17">
        <f t="shared" si="1"/>
        <v>0</v>
      </c>
      <c r="N20" s="18">
        <f t="shared" si="8"/>
        <v>0.2</v>
      </c>
      <c r="O20" s="17">
        <f t="shared" si="9"/>
        <v>0</v>
      </c>
      <c r="P20" s="17" t="str">
        <f t="shared" si="11"/>
        <v xml:space="preserve"> </v>
      </c>
      <c r="Q20" s="17" t="str">
        <f t="shared" si="10"/>
        <v xml:space="preserve"> </v>
      </c>
      <c r="R20" s="17">
        <f t="shared" si="6"/>
        <v>2.9832935560859188E-3</v>
      </c>
    </row>
    <row r="21" spans="1:18" ht="12.75">
      <c r="A21" s="12">
        <f t="shared" si="0"/>
        <v>20</v>
      </c>
      <c r="B21" s="13" t="s">
        <v>116</v>
      </c>
      <c r="C21" s="14" t="str">
        <f t="array" aca="1" ref="C21" ca="1">INDEX('Rooms Master'!U:U,MATCH(B21,'Rooms Master'!D:D,0))</f>
        <v>Y</v>
      </c>
      <c r="D21" s="15">
        <v>20</v>
      </c>
      <c r="E21" s="15">
        <v>11</v>
      </c>
      <c r="F21" s="15">
        <v>4</v>
      </c>
      <c r="G21" s="15">
        <v>1</v>
      </c>
      <c r="H21" s="15">
        <v>2</v>
      </c>
      <c r="I21" s="15"/>
      <c r="J21" s="15"/>
      <c r="K21" s="15"/>
      <c r="L21" s="1" t="s">
        <v>64</v>
      </c>
      <c r="M21" s="17">
        <f t="shared" si="1"/>
        <v>0.36363636363636365</v>
      </c>
      <c r="N21" s="18">
        <f t="shared" si="8"/>
        <v>0.18181818181818182</v>
      </c>
      <c r="O21" s="17">
        <f t="shared" si="9"/>
        <v>0</v>
      </c>
      <c r="P21" s="17" t="str">
        <f t="shared" si="11"/>
        <v xml:space="preserve"> </v>
      </c>
      <c r="Q21" s="17" t="str">
        <f t="shared" si="10"/>
        <v xml:space="preserve"> </v>
      </c>
      <c r="R21" s="17">
        <f t="shared" si="6"/>
        <v>3.2816229116945108E-3</v>
      </c>
    </row>
    <row r="22" spans="1:18" ht="12.75">
      <c r="A22" s="12">
        <f t="shared" si="0"/>
        <v>21</v>
      </c>
      <c r="B22" s="13" t="s">
        <v>38</v>
      </c>
      <c r="C22" s="14" t="str">
        <f t="array" aca="1" ref="C22" ca="1">INDEX('Rooms Master'!U:U,MATCH(B22,'Rooms Master'!D:D,0))</f>
        <v>Y</v>
      </c>
      <c r="D22" s="15">
        <v>21</v>
      </c>
      <c r="E22" s="15">
        <v>27</v>
      </c>
      <c r="F22" s="15">
        <v>9</v>
      </c>
      <c r="G22" s="15">
        <v>1</v>
      </c>
      <c r="H22" s="15">
        <v>0</v>
      </c>
      <c r="I22" s="15"/>
      <c r="J22" s="15"/>
      <c r="K22" s="15"/>
      <c r="L22" s="1" t="s">
        <v>39</v>
      </c>
      <c r="M22" s="17">
        <f t="shared" si="1"/>
        <v>0.33333333333333331</v>
      </c>
      <c r="N22" s="18">
        <f t="shared" si="8"/>
        <v>0</v>
      </c>
      <c r="O22" s="17" t="str">
        <f t="shared" si="9"/>
        <v xml:space="preserve"> </v>
      </c>
      <c r="P22" s="17" t="str">
        <f t="shared" si="11"/>
        <v xml:space="preserve"> </v>
      </c>
      <c r="Q22" s="17" t="str">
        <f t="shared" si="10"/>
        <v xml:space="preserve"> </v>
      </c>
      <c r="R22" s="17">
        <f t="shared" si="6"/>
        <v>8.0548926014319816E-3</v>
      </c>
    </row>
    <row r="23" spans="1:18" ht="12.75">
      <c r="A23" s="12">
        <f t="shared" si="0"/>
        <v>22</v>
      </c>
      <c r="B23" s="13" t="s">
        <v>71</v>
      </c>
      <c r="C23" s="14" t="str">
        <f t="array" aca="1" ref="C23" ca="1">INDEX('Rooms Master'!U:U,MATCH(B23,'Rooms Master'!D:D,0))</f>
        <v>Y</v>
      </c>
      <c r="D23" s="15">
        <v>22</v>
      </c>
      <c r="E23" s="15">
        <v>43</v>
      </c>
      <c r="F23" s="15">
        <v>5</v>
      </c>
      <c r="G23" s="15">
        <v>4</v>
      </c>
      <c r="H23" s="15">
        <v>1</v>
      </c>
      <c r="I23" s="15"/>
      <c r="J23" s="15"/>
      <c r="K23" s="15"/>
      <c r="L23" s="1" t="s">
        <v>20</v>
      </c>
      <c r="M23" s="17">
        <f t="shared" si="1"/>
        <v>0.11627906976744186</v>
      </c>
      <c r="N23" s="18">
        <f t="shared" si="8"/>
        <v>2.3255813953488372E-2</v>
      </c>
      <c r="O23" s="17">
        <f t="shared" si="9"/>
        <v>0</v>
      </c>
      <c r="P23" s="17" t="str">
        <f t="shared" si="11"/>
        <v xml:space="preserve"> </v>
      </c>
      <c r="Q23" s="17" t="str">
        <f t="shared" si="10"/>
        <v xml:space="preserve"> </v>
      </c>
      <c r="R23" s="17">
        <f t="shared" si="6"/>
        <v>1.282816229116945E-2</v>
      </c>
    </row>
    <row r="24" spans="1:18" ht="13.5">
      <c r="A24" s="12">
        <f t="shared" si="0"/>
        <v>23</v>
      </c>
      <c r="B24" s="13" t="s">
        <v>98</v>
      </c>
      <c r="C24" s="14" t="str">
        <f t="array" aca="1" ref="C24" ca="1">INDEX('Rooms Master'!U:U,MATCH(B24,'Rooms Master'!D:D,0))</f>
        <v>N</v>
      </c>
      <c r="D24" s="15">
        <v>23</v>
      </c>
      <c r="E24" s="15">
        <v>26</v>
      </c>
      <c r="F24" s="15">
        <v>1</v>
      </c>
      <c r="G24" s="15">
        <v>1</v>
      </c>
      <c r="H24" s="15">
        <v>2</v>
      </c>
      <c r="I24" s="15"/>
      <c r="J24" s="15"/>
      <c r="K24" s="28"/>
      <c r="L24" s="1" t="s">
        <v>34</v>
      </c>
      <c r="M24" s="17">
        <f t="shared" si="1"/>
        <v>3.8461538461538464E-2</v>
      </c>
      <c r="N24" s="18">
        <f t="shared" si="8"/>
        <v>7.6923076923076927E-2</v>
      </c>
      <c r="O24" s="17">
        <f t="shared" si="9"/>
        <v>0</v>
      </c>
      <c r="P24" s="17" t="str">
        <f t="shared" si="11"/>
        <v xml:space="preserve"> </v>
      </c>
      <c r="Q24" s="17" t="str">
        <f t="shared" si="10"/>
        <v xml:space="preserve"> </v>
      </c>
      <c r="R24" s="17">
        <f t="shared" si="6"/>
        <v>7.7565632458233887E-3</v>
      </c>
    </row>
    <row r="25" spans="1:18" ht="12.75">
      <c r="A25" s="12">
        <f t="shared" si="0"/>
        <v>24</v>
      </c>
      <c r="B25" s="13" t="s">
        <v>136</v>
      </c>
      <c r="C25" s="14" t="str">
        <f t="array" aca="1" ref="C25" ca="1">INDEX('Rooms Master'!U:U,MATCH(B25,'Rooms Master'!D:D,0))</f>
        <v>N</v>
      </c>
      <c r="D25" s="15">
        <v>24</v>
      </c>
      <c r="E25" s="15">
        <v>77</v>
      </c>
      <c r="F25" s="15">
        <v>47</v>
      </c>
      <c r="G25" s="15">
        <v>4</v>
      </c>
      <c r="H25" s="15">
        <v>2</v>
      </c>
      <c r="I25" s="15"/>
      <c r="J25" s="15">
        <v>6</v>
      </c>
      <c r="K25" s="15">
        <v>1</v>
      </c>
      <c r="L25" s="1" t="s">
        <v>34</v>
      </c>
      <c r="M25" s="17">
        <f t="shared" si="1"/>
        <v>0.61038961038961037</v>
      </c>
      <c r="N25" s="18">
        <f t="shared" si="8"/>
        <v>2.5974025974025976E-2</v>
      </c>
      <c r="O25" s="17">
        <f t="shared" si="9"/>
        <v>0.5</v>
      </c>
      <c r="P25" s="17" t="str">
        <f t="shared" si="11"/>
        <v xml:space="preserve"> </v>
      </c>
      <c r="Q25" s="17">
        <f t="shared" si="10"/>
        <v>0.16666666666666666</v>
      </c>
      <c r="R25" s="17">
        <f t="shared" si="6"/>
        <v>2.2971360381861577E-2</v>
      </c>
    </row>
    <row r="26" spans="1:18" ht="12.75">
      <c r="A26" s="12">
        <f t="shared" si="0"/>
        <v>25</v>
      </c>
      <c r="B26" s="13" t="s">
        <v>42</v>
      </c>
      <c r="C26" s="14" t="str">
        <f t="array" aca="1" ref="C26" ca="1">INDEX('Rooms Master'!U:U,MATCH(B26,'Rooms Master'!D:D,0))</f>
        <v>Y</v>
      </c>
      <c r="D26" s="15">
        <v>25</v>
      </c>
      <c r="E26" s="15">
        <v>80</v>
      </c>
      <c r="F26" s="15">
        <v>16</v>
      </c>
      <c r="G26" s="15">
        <v>3</v>
      </c>
      <c r="H26" s="15">
        <v>1</v>
      </c>
      <c r="I26" s="15"/>
      <c r="J26" s="15"/>
      <c r="K26" s="15"/>
      <c r="L26" s="1" t="s">
        <v>20</v>
      </c>
      <c r="M26" s="17">
        <f t="shared" si="1"/>
        <v>0.2</v>
      </c>
      <c r="N26" s="18">
        <f t="shared" si="8"/>
        <v>1.2500000000000001E-2</v>
      </c>
      <c r="O26" s="17">
        <f t="shared" si="9"/>
        <v>0</v>
      </c>
      <c r="P26" s="17" t="str">
        <f t="shared" si="11"/>
        <v xml:space="preserve"> </v>
      </c>
      <c r="Q26" s="17" t="str">
        <f t="shared" si="10"/>
        <v xml:space="preserve"> </v>
      </c>
      <c r="R26" s="17">
        <f t="shared" si="6"/>
        <v>2.386634844868735E-2</v>
      </c>
    </row>
    <row r="27" spans="1:18" ht="12.75">
      <c r="A27" s="12">
        <f t="shared" si="0"/>
        <v>26</v>
      </c>
      <c r="B27" s="13" t="s">
        <v>89</v>
      </c>
      <c r="C27" s="14" t="str">
        <f t="array" aca="1" ref="C27" ca="1">INDEX('Rooms Master'!U:U,MATCH(B27,'Rooms Master'!D:D,0))</f>
        <v>Y</v>
      </c>
      <c r="D27" s="15">
        <v>26</v>
      </c>
      <c r="E27" s="15">
        <v>23</v>
      </c>
      <c r="F27" s="15">
        <v>8</v>
      </c>
      <c r="G27" s="15">
        <v>2</v>
      </c>
      <c r="H27" s="15">
        <v>0</v>
      </c>
      <c r="I27" s="15">
        <v>1</v>
      </c>
      <c r="J27" s="15"/>
      <c r="K27" s="15"/>
      <c r="L27" s="1" t="s">
        <v>39</v>
      </c>
      <c r="M27" s="17">
        <f t="shared" si="1"/>
        <v>0.34782608695652173</v>
      </c>
      <c r="N27" s="18">
        <f t="shared" si="8"/>
        <v>0</v>
      </c>
      <c r="O27" s="17" t="str">
        <f t="shared" si="9"/>
        <v xml:space="preserve"> </v>
      </c>
      <c r="P27" s="17">
        <f t="shared" si="11"/>
        <v>0</v>
      </c>
      <c r="Q27" s="17" t="str">
        <f t="shared" si="10"/>
        <v xml:space="preserve"> </v>
      </c>
      <c r="R27" s="17">
        <f t="shared" si="6"/>
        <v>6.8615751789976136E-3</v>
      </c>
    </row>
    <row r="28" spans="1:18" ht="12.75">
      <c r="A28" s="12">
        <f t="shared" si="0"/>
        <v>27</v>
      </c>
      <c r="B28" s="13" t="s">
        <v>56</v>
      </c>
      <c r="C28" s="14" t="str">
        <f t="array" aca="1" ref="C28" ca="1">INDEX('Rooms Master'!U:U,MATCH(B28,'Rooms Master'!D:D,0))</f>
        <v>Y</v>
      </c>
      <c r="D28" s="15">
        <v>27</v>
      </c>
      <c r="E28" s="15">
        <v>18</v>
      </c>
      <c r="F28" s="15">
        <v>4</v>
      </c>
      <c r="G28" s="15">
        <v>0</v>
      </c>
      <c r="H28" s="15">
        <v>0</v>
      </c>
      <c r="I28" s="15"/>
      <c r="J28" s="15"/>
      <c r="K28" s="15"/>
      <c r="L28" s="1" t="s">
        <v>37</v>
      </c>
      <c r="M28" s="17">
        <f t="shared" si="1"/>
        <v>0.22222222222222221</v>
      </c>
      <c r="N28" s="18">
        <f t="shared" si="8"/>
        <v>0</v>
      </c>
      <c r="O28" s="17" t="str">
        <f t="shared" si="9"/>
        <v xml:space="preserve"> </v>
      </c>
      <c r="P28" s="17" t="str">
        <f t="shared" si="11"/>
        <v xml:space="preserve"> </v>
      </c>
      <c r="Q28" s="17" t="str">
        <f t="shared" si="10"/>
        <v xml:space="preserve"> </v>
      </c>
      <c r="R28" s="17">
        <f t="shared" si="6"/>
        <v>5.3699284009546535E-3</v>
      </c>
    </row>
    <row r="29" spans="1:18" ht="12.75">
      <c r="A29" s="12">
        <f t="shared" si="0"/>
        <v>28</v>
      </c>
      <c r="B29" s="13" t="s">
        <v>59</v>
      </c>
      <c r="C29" s="14" t="str">
        <f t="array" aca="1" ref="C29" ca="1">INDEX('Rooms Master'!U:U,MATCH(B29,'Rooms Master'!D:D,0))</f>
        <v>Y</v>
      </c>
      <c r="D29" s="15">
        <v>28</v>
      </c>
      <c r="E29" s="15">
        <v>9</v>
      </c>
      <c r="F29" s="15">
        <v>2</v>
      </c>
      <c r="G29" s="15">
        <v>0</v>
      </c>
      <c r="H29" s="15">
        <v>2</v>
      </c>
      <c r="I29" s="15"/>
      <c r="J29" s="15"/>
      <c r="K29" s="15"/>
      <c r="L29" s="1" t="s">
        <v>34</v>
      </c>
      <c r="M29" s="17">
        <f t="shared" si="1"/>
        <v>0.22222222222222221</v>
      </c>
      <c r="N29" s="18">
        <f t="shared" si="8"/>
        <v>0.22222222222222221</v>
      </c>
      <c r="O29" s="17">
        <f t="shared" si="9"/>
        <v>0</v>
      </c>
      <c r="P29" s="17" t="str">
        <f t="shared" si="11"/>
        <v xml:space="preserve"> </v>
      </c>
      <c r="Q29" s="17" t="str">
        <f t="shared" si="10"/>
        <v xml:space="preserve"> </v>
      </c>
      <c r="R29" s="17">
        <f t="shared" si="6"/>
        <v>2.6849642004773268E-3</v>
      </c>
    </row>
    <row r="30" spans="1:18" ht="12.75">
      <c r="A30" s="12">
        <f t="shared" si="0"/>
        <v>29</v>
      </c>
      <c r="B30" s="13" t="s">
        <v>106</v>
      </c>
      <c r="C30" s="14" t="str">
        <f t="array" aca="1" ref="C30" ca="1">INDEX('Rooms Master'!U:U,MATCH(B30,'Rooms Master'!D:D,0))</f>
        <v>N</v>
      </c>
      <c r="D30" s="15">
        <v>29</v>
      </c>
      <c r="E30" s="15">
        <v>12</v>
      </c>
      <c r="F30" s="15">
        <v>0</v>
      </c>
      <c r="G30" s="15">
        <v>0</v>
      </c>
      <c r="H30" s="15">
        <v>0</v>
      </c>
      <c r="I30" s="15"/>
      <c r="J30" s="15"/>
      <c r="K30" s="15"/>
      <c r="L30" s="1" t="s">
        <v>24</v>
      </c>
      <c r="M30" s="17">
        <f t="shared" si="1"/>
        <v>0</v>
      </c>
      <c r="N30" s="18">
        <f t="shared" si="8"/>
        <v>0</v>
      </c>
      <c r="O30" s="17" t="str">
        <f t="shared" si="9"/>
        <v xml:space="preserve"> </v>
      </c>
      <c r="P30" s="17" t="str">
        <f t="shared" si="11"/>
        <v xml:space="preserve"> </v>
      </c>
      <c r="Q30" s="17" t="str">
        <f t="shared" si="10"/>
        <v xml:space="preserve"> </v>
      </c>
      <c r="R30" s="17">
        <f t="shared" si="6"/>
        <v>3.5799522673031028E-3</v>
      </c>
    </row>
    <row r="31" spans="1:18" ht="12.75">
      <c r="A31" s="12">
        <f t="shared" si="0"/>
        <v>30</v>
      </c>
      <c r="B31" s="13" t="s">
        <v>63</v>
      </c>
      <c r="C31" s="14" t="str">
        <f t="array" aca="1" ref="C31" ca="1">INDEX('Rooms Master'!U:U,MATCH(B31,'Rooms Master'!D:D,0))</f>
        <v>Y</v>
      </c>
      <c r="D31" s="15">
        <v>30</v>
      </c>
      <c r="E31" s="15">
        <v>18</v>
      </c>
      <c r="F31" s="15">
        <v>3</v>
      </c>
      <c r="G31" s="15">
        <v>1</v>
      </c>
      <c r="H31" s="15">
        <v>1</v>
      </c>
      <c r="I31" s="15"/>
      <c r="J31" s="15"/>
      <c r="K31" s="15"/>
      <c r="L31" s="1" t="s">
        <v>64</v>
      </c>
      <c r="M31" s="17">
        <f t="shared" si="1"/>
        <v>0.16666666666666666</v>
      </c>
      <c r="N31" s="18">
        <f t="shared" si="8"/>
        <v>5.5555555555555552E-2</v>
      </c>
      <c r="O31" s="17">
        <f t="shared" si="9"/>
        <v>0</v>
      </c>
      <c r="P31" s="17" t="str">
        <f t="shared" si="11"/>
        <v xml:space="preserve"> </v>
      </c>
      <c r="Q31" s="17" t="str">
        <f t="shared" si="10"/>
        <v xml:space="preserve"> </v>
      </c>
      <c r="R31" s="17">
        <f t="shared" si="6"/>
        <v>5.3699284009546535E-3</v>
      </c>
    </row>
    <row r="32" spans="1:18" ht="12.75">
      <c r="A32" s="12">
        <f t="shared" si="0"/>
        <v>31</v>
      </c>
      <c r="B32" s="13" t="s">
        <v>23</v>
      </c>
      <c r="C32" s="14" t="str">
        <f t="array" aca="1" ref="C32" ca="1">INDEX('Rooms Master'!U:U,MATCH(B32,'Rooms Master'!D:D,0))</f>
        <v>Y</v>
      </c>
      <c r="D32" s="15">
        <v>31</v>
      </c>
      <c r="E32" s="15">
        <v>34</v>
      </c>
      <c r="F32" s="15">
        <v>7</v>
      </c>
      <c r="G32" s="15">
        <v>5</v>
      </c>
      <c r="H32" s="15">
        <v>0</v>
      </c>
      <c r="I32" s="15"/>
      <c r="J32" s="15"/>
      <c r="K32" s="15"/>
      <c r="L32" s="1" t="s">
        <v>24</v>
      </c>
      <c r="M32" s="17">
        <f t="shared" si="1"/>
        <v>0.20588235294117646</v>
      </c>
      <c r="N32" s="18">
        <f t="shared" si="8"/>
        <v>0</v>
      </c>
      <c r="O32" s="17" t="str">
        <f t="shared" si="9"/>
        <v xml:space="preserve"> </v>
      </c>
      <c r="P32" s="17" t="str">
        <f t="shared" si="11"/>
        <v xml:space="preserve"> </v>
      </c>
      <c r="Q32" s="17" t="str">
        <f t="shared" si="10"/>
        <v xml:space="preserve"> </v>
      </c>
      <c r="R32" s="17">
        <f t="shared" si="6"/>
        <v>1.0143198090692125E-2</v>
      </c>
    </row>
    <row r="33" spans="1:18" ht="12.75">
      <c r="A33" s="12">
        <f t="shared" si="0"/>
        <v>32</v>
      </c>
      <c r="B33" s="13" t="s">
        <v>50</v>
      </c>
      <c r="C33" s="14" t="str">
        <f t="array" aca="1" ref="C33" ca="1">INDEX('Rooms Master'!U:U,MATCH(B33,'Rooms Master'!D:D,0))</f>
        <v>Y</v>
      </c>
      <c r="D33" s="15">
        <v>32</v>
      </c>
      <c r="E33" s="15">
        <v>45</v>
      </c>
      <c r="F33" s="15">
        <v>4</v>
      </c>
      <c r="G33" s="15">
        <v>7</v>
      </c>
      <c r="H33" s="15">
        <v>1</v>
      </c>
      <c r="I33" s="15">
        <v>1</v>
      </c>
      <c r="J33" s="15"/>
      <c r="K33" s="15"/>
      <c r="L33" s="1" t="s">
        <v>34</v>
      </c>
      <c r="M33" s="17">
        <f t="shared" si="1"/>
        <v>8.8888888888888892E-2</v>
      </c>
      <c r="N33" s="18">
        <f t="shared" si="8"/>
        <v>2.2222222222222223E-2</v>
      </c>
      <c r="O33" s="17">
        <f t="shared" si="9"/>
        <v>0</v>
      </c>
      <c r="P33" s="17">
        <f t="shared" si="11"/>
        <v>0</v>
      </c>
      <c r="Q33" s="17" t="str">
        <f t="shared" si="10"/>
        <v xml:space="preserve"> </v>
      </c>
      <c r="R33" s="17">
        <f t="shared" si="6"/>
        <v>1.3424821002386634E-2</v>
      </c>
    </row>
    <row r="34" spans="1:18" ht="12.75">
      <c r="A34" s="12">
        <f t="shared" si="0"/>
        <v>33</v>
      </c>
      <c r="B34" s="13" t="s">
        <v>54</v>
      </c>
      <c r="C34" s="14" t="str">
        <f t="array" aca="1" ref="C34" ca="1">INDEX('Rooms Master'!U:U,MATCH(B34,'Rooms Master'!D:D,0))</f>
        <v>N</v>
      </c>
      <c r="D34" s="15">
        <v>33</v>
      </c>
      <c r="E34" s="15">
        <v>32</v>
      </c>
      <c r="F34" s="15">
        <v>4</v>
      </c>
      <c r="G34" s="15">
        <v>0</v>
      </c>
      <c r="H34" s="15">
        <v>1</v>
      </c>
      <c r="I34" s="15"/>
      <c r="J34" s="15"/>
      <c r="K34" s="15"/>
      <c r="L34" s="1" t="s">
        <v>20</v>
      </c>
      <c r="M34" s="17">
        <f t="shared" si="1"/>
        <v>0.125</v>
      </c>
      <c r="N34" s="18">
        <f t="shared" si="8"/>
        <v>3.125E-2</v>
      </c>
      <c r="O34" s="17">
        <f t="shared" si="9"/>
        <v>0</v>
      </c>
      <c r="P34" s="17" t="str">
        <f t="shared" si="11"/>
        <v xml:space="preserve"> </v>
      </c>
      <c r="Q34" s="17" t="str">
        <f t="shared" si="10"/>
        <v xml:space="preserve"> </v>
      </c>
      <c r="R34" s="17">
        <f t="shared" si="6"/>
        <v>9.5465393794749408E-3</v>
      </c>
    </row>
    <row r="35" spans="1:18" ht="12.75">
      <c r="A35" s="12">
        <f t="shared" si="0"/>
        <v>34</v>
      </c>
      <c r="B35" s="13" t="s">
        <v>78</v>
      </c>
      <c r="C35" s="14" t="str">
        <f t="array" aca="1" ref="C35" ca="1">INDEX('Rooms Master'!U:U,MATCH(B35,'Rooms Master'!D:D,0))</f>
        <v>Y</v>
      </c>
      <c r="D35" s="15">
        <v>34</v>
      </c>
      <c r="E35" s="15">
        <v>38</v>
      </c>
      <c r="F35" s="15">
        <v>3</v>
      </c>
      <c r="G35" s="15">
        <v>2</v>
      </c>
      <c r="H35" s="15">
        <v>0</v>
      </c>
      <c r="I35" s="15"/>
      <c r="J35" s="15"/>
      <c r="K35" s="15"/>
      <c r="L35" s="1" t="s">
        <v>20</v>
      </c>
      <c r="M35" s="17">
        <f t="shared" si="1"/>
        <v>7.8947368421052627E-2</v>
      </c>
      <c r="N35" s="18">
        <f t="shared" si="8"/>
        <v>0</v>
      </c>
      <c r="O35" s="17" t="str">
        <f t="shared" si="9"/>
        <v xml:space="preserve"> </v>
      </c>
      <c r="P35" s="17" t="str">
        <f t="shared" si="11"/>
        <v xml:space="preserve"> </v>
      </c>
      <c r="Q35" s="17" t="str">
        <f t="shared" si="10"/>
        <v xml:space="preserve"> </v>
      </c>
      <c r="R35" s="17">
        <f t="shared" si="6"/>
        <v>1.1336515513126491E-2</v>
      </c>
    </row>
    <row r="36" spans="1:18" ht="12.75">
      <c r="A36" s="12">
        <f t="shared" si="0"/>
        <v>35</v>
      </c>
      <c r="B36" s="13" t="s">
        <v>86</v>
      </c>
      <c r="C36" s="14" t="str">
        <f t="array" aca="1" ref="C36" ca="1">INDEX('Rooms Master'!U:U,MATCH(B36,'Rooms Master'!D:D,0))</f>
        <v>Y</v>
      </c>
      <c r="D36" s="15">
        <v>35</v>
      </c>
      <c r="E36" s="15">
        <v>45</v>
      </c>
      <c r="F36" s="15">
        <v>20</v>
      </c>
      <c r="G36" s="15">
        <v>4</v>
      </c>
      <c r="H36" s="15">
        <v>0</v>
      </c>
      <c r="I36" s="15"/>
      <c r="J36" s="15"/>
      <c r="K36" s="15"/>
      <c r="L36" s="1" t="s">
        <v>20</v>
      </c>
      <c r="M36" s="17">
        <f t="shared" si="1"/>
        <v>0.44444444444444442</v>
      </c>
      <c r="N36" s="18">
        <f t="shared" si="8"/>
        <v>0</v>
      </c>
      <c r="O36" s="17" t="str">
        <f t="shared" si="9"/>
        <v xml:space="preserve"> </v>
      </c>
      <c r="P36" s="17" t="str">
        <f t="shared" si="11"/>
        <v xml:space="preserve"> </v>
      </c>
      <c r="Q36" s="17" t="str">
        <f t="shared" si="10"/>
        <v xml:space="preserve"> </v>
      </c>
      <c r="R36" s="17">
        <f t="shared" si="6"/>
        <v>1.3424821002386634E-2</v>
      </c>
    </row>
    <row r="37" spans="1:18" ht="12.75">
      <c r="A37" s="12">
        <f t="shared" si="0"/>
        <v>36</v>
      </c>
      <c r="B37" s="13" t="s">
        <v>135</v>
      </c>
      <c r="C37" s="14" t="str">
        <f t="array" aca="1" ref="C37" ca="1">INDEX('Rooms Master'!U:U,MATCH(B37,'Rooms Master'!D:D,0))</f>
        <v>N</v>
      </c>
      <c r="D37" s="15">
        <v>36</v>
      </c>
      <c r="E37" s="15">
        <v>66</v>
      </c>
      <c r="F37" s="15">
        <v>33</v>
      </c>
      <c r="G37" s="15">
        <v>0</v>
      </c>
      <c r="H37" s="15">
        <v>2</v>
      </c>
      <c r="I37" s="15"/>
      <c r="J37" s="15"/>
      <c r="K37" s="15"/>
      <c r="L37" s="1" t="s">
        <v>20</v>
      </c>
      <c r="M37" s="17">
        <f t="shared" si="1"/>
        <v>0.5</v>
      </c>
      <c r="N37" s="18">
        <f t="shared" si="8"/>
        <v>3.0303030303030304E-2</v>
      </c>
      <c r="O37" s="17">
        <f t="shared" si="9"/>
        <v>0</v>
      </c>
      <c r="P37" s="17" t="str">
        <f t="shared" si="11"/>
        <v xml:space="preserve"> </v>
      </c>
      <c r="Q37" s="17" t="str">
        <f t="shared" si="10"/>
        <v xml:space="preserve"> </v>
      </c>
      <c r="R37" s="17">
        <f t="shared" si="6"/>
        <v>1.9689737470167064E-2</v>
      </c>
    </row>
    <row r="38" spans="1:18" ht="12.75">
      <c r="A38" s="12">
        <f t="shared" si="0"/>
        <v>37</v>
      </c>
      <c r="B38" s="13" t="s">
        <v>129</v>
      </c>
      <c r="C38" s="14" t="str">
        <f t="array" aca="1" ref="C38" ca="1">INDEX('Rooms Master'!U:U,MATCH(B38,'Rooms Master'!D:D,0))</f>
        <v>N</v>
      </c>
      <c r="D38" s="15">
        <v>37</v>
      </c>
      <c r="E38" s="15">
        <v>33</v>
      </c>
      <c r="F38" s="15">
        <v>4</v>
      </c>
      <c r="G38" s="15">
        <v>5</v>
      </c>
      <c r="H38" s="15">
        <v>0</v>
      </c>
      <c r="I38" s="15"/>
      <c r="J38" s="15"/>
      <c r="K38" s="15"/>
      <c r="L38" s="1" t="s">
        <v>20</v>
      </c>
      <c r="M38" s="17">
        <f t="shared" si="1"/>
        <v>0.12121212121212122</v>
      </c>
      <c r="N38" s="18">
        <f t="shared" si="8"/>
        <v>0</v>
      </c>
      <c r="O38" s="17" t="str">
        <f t="shared" si="9"/>
        <v xml:space="preserve"> </v>
      </c>
      <c r="P38" s="17" t="str">
        <f t="shared" si="11"/>
        <v xml:space="preserve"> </v>
      </c>
      <c r="Q38" s="17" t="str">
        <f t="shared" si="10"/>
        <v xml:space="preserve"> </v>
      </c>
      <c r="R38" s="17">
        <f t="shared" si="6"/>
        <v>9.8448687350835319E-3</v>
      </c>
    </row>
    <row r="39" spans="1:18" ht="12.75">
      <c r="A39" s="12">
        <f t="shared" si="0"/>
        <v>38</v>
      </c>
      <c r="B39" s="13" t="s">
        <v>90</v>
      </c>
      <c r="C39" s="14" t="str">
        <f t="array" aca="1" ref="C39" ca="1">INDEX('Rooms Master'!U:U,MATCH(B39,'Rooms Master'!D:D,0))</f>
        <v>N</v>
      </c>
      <c r="D39" s="15">
        <v>38</v>
      </c>
      <c r="E39" s="15">
        <v>71</v>
      </c>
      <c r="F39" s="15">
        <v>23</v>
      </c>
      <c r="G39" s="15">
        <v>3</v>
      </c>
      <c r="H39" s="15">
        <v>2</v>
      </c>
      <c r="I39" s="15">
        <v>1</v>
      </c>
      <c r="J39" s="15">
        <v>1</v>
      </c>
      <c r="K39" s="15">
        <v>1</v>
      </c>
      <c r="L39" s="1" t="s">
        <v>20</v>
      </c>
      <c r="M39" s="17">
        <f t="shared" si="1"/>
        <v>0.323943661971831</v>
      </c>
      <c r="N39" s="18">
        <f t="shared" si="8"/>
        <v>2.8169014084507043E-2</v>
      </c>
      <c r="O39" s="17">
        <f t="shared" si="9"/>
        <v>0.5</v>
      </c>
      <c r="P39" s="17">
        <f t="shared" si="11"/>
        <v>1</v>
      </c>
      <c r="Q39" s="17">
        <f t="shared" si="10"/>
        <v>1</v>
      </c>
      <c r="R39" s="17">
        <f t="shared" si="6"/>
        <v>2.1181384248210023E-2</v>
      </c>
    </row>
    <row r="40" spans="1:18" ht="12.75">
      <c r="A40" s="12">
        <f t="shared" si="0"/>
        <v>39</v>
      </c>
      <c r="B40" s="13" t="s">
        <v>33</v>
      </c>
      <c r="C40" s="14" t="str">
        <f t="array" aca="1" ref="C40" ca="1">INDEX('Rooms Master'!U:U,MATCH(B40,'Rooms Master'!D:D,0))</f>
        <v>Y</v>
      </c>
      <c r="D40" s="15">
        <v>39</v>
      </c>
      <c r="E40" s="15">
        <v>47</v>
      </c>
      <c r="F40" s="15">
        <v>9</v>
      </c>
      <c r="G40" s="15">
        <v>1</v>
      </c>
      <c r="H40" s="15">
        <v>1</v>
      </c>
      <c r="I40" s="15"/>
      <c r="J40" s="15"/>
      <c r="K40" s="15"/>
      <c r="L40" s="1" t="s">
        <v>34</v>
      </c>
      <c r="M40" s="17">
        <f t="shared" si="1"/>
        <v>0.19148936170212766</v>
      </c>
      <c r="N40" s="18">
        <f t="shared" si="8"/>
        <v>2.1276595744680851E-2</v>
      </c>
      <c r="O40" s="17">
        <f t="shared" si="9"/>
        <v>0</v>
      </c>
      <c r="P40" s="17" t="str">
        <f t="shared" si="11"/>
        <v xml:space="preserve"> </v>
      </c>
      <c r="Q40" s="17" t="str">
        <f t="shared" si="10"/>
        <v xml:space="preserve"> </v>
      </c>
      <c r="R40" s="17">
        <f t="shared" si="6"/>
        <v>1.4021479713603818E-2</v>
      </c>
    </row>
    <row r="41" spans="1:18" ht="12.75">
      <c r="A41" s="12">
        <f t="shared" si="0"/>
        <v>40</v>
      </c>
      <c r="B41" s="13" t="s">
        <v>103</v>
      </c>
      <c r="C41" s="14" t="str">
        <f t="array" aca="1" ref="C41" ca="1">INDEX('Rooms Master'!U:U,MATCH(B41,'Rooms Master'!D:D,0))</f>
        <v>N</v>
      </c>
      <c r="D41" s="15">
        <v>40</v>
      </c>
      <c r="E41" s="15">
        <v>26</v>
      </c>
      <c r="F41" s="15">
        <v>4</v>
      </c>
      <c r="G41" s="15">
        <v>0</v>
      </c>
      <c r="H41" s="15">
        <v>1</v>
      </c>
      <c r="I41" s="15"/>
      <c r="J41" s="15"/>
      <c r="K41" s="15"/>
      <c r="L41" s="1" t="s">
        <v>20</v>
      </c>
      <c r="M41" s="17">
        <f t="shared" si="1"/>
        <v>0.15384615384615385</v>
      </c>
      <c r="N41" s="18">
        <f t="shared" si="8"/>
        <v>3.8461538461538464E-2</v>
      </c>
      <c r="O41" s="17">
        <f t="shared" si="9"/>
        <v>0</v>
      </c>
      <c r="P41" s="17" t="str">
        <f t="shared" si="11"/>
        <v xml:space="preserve"> </v>
      </c>
      <c r="Q41" s="17" t="str">
        <f t="shared" si="10"/>
        <v xml:space="preserve"> </v>
      </c>
      <c r="R41" s="17">
        <f t="shared" si="6"/>
        <v>7.7565632458233887E-3</v>
      </c>
    </row>
    <row r="42" spans="1:18" ht="12.75">
      <c r="A42" s="12">
        <f t="shared" si="0"/>
        <v>41</v>
      </c>
      <c r="B42" s="13" t="s">
        <v>117</v>
      </c>
      <c r="C42" s="14" t="str">
        <f t="array" aca="1" ref="C42" ca="1">INDEX('Rooms Master'!U:U,MATCH(B42,'Rooms Master'!D:D,0))</f>
        <v>N</v>
      </c>
      <c r="D42" s="15">
        <v>41</v>
      </c>
      <c r="E42" s="15">
        <v>82</v>
      </c>
      <c r="F42" s="15">
        <v>35</v>
      </c>
      <c r="G42" s="15">
        <v>0</v>
      </c>
      <c r="H42" s="15">
        <v>4</v>
      </c>
      <c r="I42" s="15"/>
      <c r="J42" s="15"/>
      <c r="K42" s="15"/>
      <c r="L42" s="1" t="s">
        <v>20</v>
      </c>
      <c r="M42" s="17">
        <f t="shared" si="1"/>
        <v>0.42682926829268292</v>
      </c>
      <c r="N42" s="18">
        <f t="shared" si="8"/>
        <v>4.878048780487805E-2</v>
      </c>
      <c r="O42" s="17">
        <f t="shared" si="9"/>
        <v>0</v>
      </c>
      <c r="P42" s="17" t="str">
        <f t="shared" si="11"/>
        <v xml:space="preserve"> </v>
      </c>
      <c r="Q42" s="17" t="str">
        <f t="shared" si="10"/>
        <v xml:space="preserve"> </v>
      </c>
      <c r="R42" s="17">
        <f t="shared" si="6"/>
        <v>2.4463007159904536E-2</v>
      </c>
    </row>
    <row r="43" spans="1:18" ht="12.75">
      <c r="A43" s="12">
        <f t="shared" si="0"/>
        <v>42</v>
      </c>
      <c r="B43" s="13" t="s">
        <v>25</v>
      </c>
      <c r="C43" s="14" t="str">
        <f t="array" aca="1" ref="C43" ca="1">INDEX('Rooms Master'!U:U,MATCH(B43,'Rooms Master'!D:D,0))</f>
        <v>Y</v>
      </c>
      <c r="D43" s="15">
        <v>42</v>
      </c>
      <c r="E43" s="15">
        <v>57</v>
      </c>
      <c r="F43" s="15">
        <v>14</v>
      </c>
      <c r="G43" s="15">
        <v>0</v>
      </c>
      <c r="H43" s="15">
        <v>0</v>
      </c>
      <c r="I43" s="15"/>
      <c r="J43" s="15"/>
      <c r="K43" s="15"/>
      <c r="L43" s="1" t="s">
        <v>34</v>
      </c>
      <c r="M43" s="17">
        <f t="shared" si="1"/>
        <v>0.24561403508771928</v>
      </c>
      <c r="N43" s="18">
        <f t="shared" si="8"/>
        <v>0</v>
      </c>
      <c r="O43" s="17" t="str">
        <f t="shared" si="9"/>
        <v xml:space="preserve"> </v>
      </c>
      <c r="P43" s="17" t="str">
        <f t="shared" si="11"/>
        <v xml:space="preserve"> </v>
      </c>
      <c r="Q43" s="17" t="str">
        <f t="shared" si="10"/>
        <v xml:space="preserve"> </v>
      </c>
      <c r="R43" s="17">
        <f t="shared" si="6"/>
        <v>1.7004773269689737E-2</v>
      </c>
    </row>
    <row r="44" spans="1:18" ht="12.75">
      <c r="A44" s="12">
        <f t="shared" si="0"/>
        <v>43</v>
      </c>
      <c r="B44" s="13" t="s">
        <v>51</v>
      </c>
      <c r="C44" s="14" t="str">
        <f t="array" aca="1" ref="C44" ca="1">INDEX('Rooms Master'!U:U,MATCH(B44,'Rooms Master'!D:D,0))</f>
        <v>Y</v>
      </c>
      <c r="D44" s="15">
        <v>43</v>
      </c>
      <c r="E44" s="15">
        <v>6</v>
      </c>
      <c r="F44" s="15">
        <v>0</v>
      </c>
      <c r="G44" s="15">
        <v>0</v>
      </c>
      <c r="H44" s="15">
        <v>2</v>
      </c>
      <c r="I44" s="15"/>
      <c r="J44" s="15"/>
      <c r="K44" s="15"/>
      <c r="L44" s="1" t="s">
        <v>20</v>
      </c>
      <c r="M44" s="17">
        <f t="shared" si="1"/>
        <v>0</v>
      </c>
      <c r="N44" s="18">
        <f t="shared" si="8"/>
        <v>0.33333333333333331</v>
      </c>
      <c r="O44" s="17">
        <f t="shared" si="9"/>
        <v>0</v>
      </c>
      <c r="P44" s="17" t="str">
        <f t="shared" si="11"/>
        <v xml:space="preserve"> </v>
      </c>
      <c r="Q44" s="17" t="str">
        <f t="shared" si="10"/>
        <v xml:space="preserve"> </v>
      </c>
      <c r="R44" s="17">
        <f t="shared" si="6"/>
        <v>1.7899761336515514E-3</v>
      </c>
    </row>
    <row r="45" spans="1:18" ht="12.75">
      <c r="A45" s="12">
        <f t="shared" si="0"/>
        <v>44</v>
      </c>
      <c r="B45" s="13" t="s">
        <v>67</v>
      </c>
      <c r="C45" s="14" t="str">
        <f t="array" aca="1" ref="C45" ca="1">INDEX('Rooms Master'!U:U,MATCH(B45,'Rooms Master'!D:D,0))</f>
        <v>Y</v>
      </c>
      <c r="D45" s="15">
        <v>44</v>
      </c>
      <c r="E45" s="15">
        <v>26</v>
      </c>
      <c r="F45" s="15">
        <v>6</v>
      </c>
      <c r="G45" s="15">
        <v>1</v>
      </c>
      <c r="H45" s="15">
        <v>0</v>
      </c>
      <c r="I45" s="15"/>
      <c r="J45" s="15"/>
      <c r="K45" s="15"/>
      <c r="L45" s="1" t="s">
        <v>34</v>
      </c>
      <c r="M45" s="17">
        <f t="shared" si="1"/>
        <v>0.23076923076923078</v>
      </c>
      <c r="N45" s="18">
        <f t="shared" si="8"/>
        <v>0</v>
      </c>
      <c r="O45" s="17" t="str">
        <f t="shared" si="9"/>
        <v xml:space="preserve"> </v>
      </c>
      <c r="P45" s="17" t="str">
        <f t="shared" si="11"/>
        <v xml:space="preserve"> </v>
      </c>
      <c r="Q45" s="17" t="str">
        <f t="shared" si="10"/>
        <v xml:space="preserve"> </v>
      </c>
      <c r="R45" s="17">
        <f t="shared" si="6"/>
        <v>7.7565632458233887E-3</v>
      </c>
    </row>
    <row r="46" spans="1:18" ht="12.75">
      <c r="A46" s="12">
        <f t="shared" si="0"/>
        <v>45</v>
      </c>
      <c r="B46" s="13" t="s">
        <v>47</v>
      </c>
      <c r="C46" s="14" t="str">
        <f t="array" aca="1" ref="C46" ca="1">INDEX('Rooms Master'!U:U,MATCH(B46,'Rooms Master'!D:D,0))</f>
        <v>Y</v>
      </c>
      <c r="D46" s="15">
        <v>45</v>
      </c>
      <c r="E46" s="15">
        <v>24</v>
      </c>
      <c r="F46" s="15">
        <v>2</v>
      </c>
      <c r="G46" s="15">
        <v>2</v>
      </c>
      <c r="H46" s="15">
        <v>2</v>
      </c>
      <c r="I46" s="15"/>
      <c r="J46" s="15"/>
      <c r="K46" s="15"/>
      <c r="L46" s="1" t="s">
        <v>20</v>
      </c>
      <c r="M46" s="17">
        <f t="shared" si="1"/>
        <v>8.3333333333333329E-2</v>
      </c>
      <c r="N46" s="18">
        <f t="shared" si="8"/>
        <v>8.3333333333333329E-2</v>
      </c>
      <c r="O46" s="17">
        <f t="shared" si="9"/>
        <v>0</v>
      </c>
      <c r="P46" s="17" t="str">
        <f t="shared" si="11"/>
        <v xml:space="preserve"> </v>
      </c>
      <c r="Q46" s="17" t="str">
        <f t="shared" si="10"/>
        <v xml:space="preserve"> </v>
      </c>
      <c r="R46" s="17">
        <f t="shared" si="6"/>
        <v>7.1599045346062056E-3</v>
      </c>
    </row>
    <row r="47" spans="1:18" ht="12.75">
      <c r="A47" s="12">
        <f t="shared" si="0"/>
        <v>46</v>
      </c>
      <c r="B47" s="13" t="s">
        <v>95</v>
      </c>
      <c r="C47" s="14" t="str">
        <f t="array" aca="1" ref="C47" ca="1">INDEX('Rooms Master'!U:U,MATCH(B47,'Rooms Master'!D:D,0))</f>
        <v>N</v>
      </c>
      <c r="D47" s="15">
        <v>46</v>
      </c>
      <c r="E47" s="15">
        <v>27</v>
      </c>
      <c r="F47" s="15">
        <v>7</v>
      </c>
      <c r="G47" s="15">
        <v>2</v>
      </c>
      <c r="H47" s="15">
        <v>0</v>
      </c>
      <c r="I47" s="15"/>
      <c r="J47" s="15"/>
      <c r="K47" s="15"/>
      <c r="L47" s="1" t="s">
        <v>20</v>
      </c>
      <c r="M47" s="17">
        <f t="shared" si="1"/>
        <v>0.25925925925925924</v>
      </c>
      <c r="N47" s="18">
        <f t="shared" si="8"/>
        <v>0</v>
      </c>
      <c r="O47" s="17" t="str">
        <f t="shared" si="9"/>
        <v xml:space="preserve"> </v>
      </c>
      <c r="P47" s="17" t="str">
        <f t="shared" si="11"/>
        <v xml:space="preserve"> </v>
      </c>
      <c r="Q47" s="17" t="str">
        <f t="shared" si="10"/>
        <v xml:space="preserve"> </v>
      </c>
      <c r="R47" s="17">
        <f t="shared" si="6"/>
        <v>8.0548926014319816E-3</v>
      </c>
    </row>
    <row r="48" spans="1:18" ht="12.75">
      <c r="A48" s="12">
        <f t="shared" si="0"/>
        <v>47</v>
      </c>
      <c r="B48" s="13" t="s">
        <v>65</v>
      </c>
      <c r="C48" s="14" t="str">
        <f t="array" aca="1" ref="C48" ca="1">INDEX('Rooms Master'!U:U,MATCH(B48,'Rooms Master'!D:D,0))</f>
        <v>Y</v>
      </c>
      <c r="D48" s="15">
        <v>47</v>
      </c>
      <c r="E48" s="15">
        <v>50</v>
      </c>
      <c r="F48" s="15">
        <v>19</v>
      </c>
      <c r="G48" s="15">
        <v>1</v>
      </c>
      <c r="H48" s="15">
        <v>0</v>
      </c>
      <c r="I48" s="15">
        <v>1</v>
      </c>
      <c r="J48" s="15">
        <v>1</v>
      </c>
      <c r="K48" s="15"/>
      <c r="L48" s="1" t="s">
        <v>20</v>
      </c>
      <c r="M48" s="17">
        <f t="shared" si="1"/>
        <v>0.38</v>
      </c>
      <c r="N48" s="18">
        <f t="shared" si="8"/>
        <v>0</v>
      </c>
      <c r="O48" s="17" t="str">
        <f t="shared" si="9"/>
        <v xml:space="preserve"> </v>
      </c>
      <c r="P48" s="17">
        <f t="shared" si="11"/>
        <v>0</v>
      </c>
      <c r="Q48" s="17">
        <f t="shared" si="10"/>
        <v>0</v>
      </c>
      <c r="R48" s="17">
        <f t="shared" si="6"/>
        <v>1.4916467780429593E-2</v>
      </c>
    </row>
    <row r="49" spans="1:18" ht="12.75">
      <c r="A49" s="12">
        <f t="shared" si="0"/>
        <v>48</v>
      </c>
      <c r="B49" s="13" t="s">
        <v>84</v>
      </c>
      <c r="C49" s="14" t="str">
        <f t="array" aca="1" ref="C49" ca="1">INDEX('Rooms Master'!U:U,MATCH(B49,'Rooms Master'!D:D,0))</f>
        <v>Y</v>
      </c>
      <c r="D49" s="15">
        <v>48</v>
      </c>
      <c r="E49" s="15">
        <v>19</v>
      </c>
      <c r="F49" s="15">
        <v>2</v>
      </c>
      <c r="G49" s="15">
        <v>1</v>
      </c>
      <c r="H49" s="15">
        <v>0</v>
      </c>
      <c r="I49" s="15">
        <v>1</v>
      </c>
      <c r="J49" s="15"/>
      <c r="K49" s="15"/>
      <c r="L49" s="1" t="s">
        <v>20</v>
      </c>
      <c r="M49" s="17">
        <f t="shared" si="1"/>
        <v>0.10526315789473684</v>
      </c>
      <c r="N49" s="18">
        <f t="shared" si="8"/>
        <v>0</v>
      </c>
      <c r="O49" s="17" t="str">
        <f t="shared" si="9"/>
        <v xml:space="preserve"> </v>
      </c>
      <c r="P49" s="17">
        <f t="shared" si="11"/>
        <v>0</v>
      </c>
      <c r="Q49" s="17" t="str">
        <f t="shared" si="10"/>
        <v xml:space="preserve"> </v>
      </c>
      <c r="R49" s="17">
        <f t="shared" si="6"/>
        <v>5.6682577565632455E-3</v>
      </c>
    </row>
    <row r="50" spans="1:18" ht="12.75">
      <c r="A50" s="12">
        <f t="shared" si="0"/>
        <v>49</v>
      </c>
      <c r="B50" s="13" t="s">
        <v>74</v>
      </c>
      <c r="C50" s="14" t="str">
        <f t="array" aca="1" ref="C50" ca="1">INDEX('Rooms Master'!U:U,MATCH(B50,'Rooms Master'!D:D,0))</f>
        <v>Y</v>
      </c>
      <c r="D50" s="15">
        <v>49</v>
      </c>
      <c r="E50" s="15">
        <v>35</v>
      </c>
      <c r="F50" s="15">
        <v>27</v>
      </c>
      <c r="G50" s="15">
        <v>0</v>
      </c>
      <c r="H50" s="15">
        <v>2</v>
      </c>
      <c r="I50" s="15"/>
      <c r="J50" s="15"/>
      <c r="K50" s="15"/>
      <c r="L50" s="1" t="s">
        <v>20</v>
      </c>
      <c r="M50" s="17">
        <f t="shared" si="1"/>
        <v>0.77142857142857146</v>
      </c>
      <c r="N50" s="18">
        <f t="shared" si="8"/>
        <v>5.7142857142857141E-2</v>
      </c>
      <c r="O50" s="17">
        <f t="shared" si="9"/>
        <v>0</v>
      </c>
      <c r="P50" s="17" t="str">
        <f t="shared" si="11"/>
        <v xml:space="preserve"> </v>
      </c>
      <c r="Q50" s="17" t="str">
        <f t="shared" si="10"/>
        <v xml:space="preserve"> </v>
      </c>
      <c r="R50" s="17">
        <f t="shared" si="6"/>
        <v>1.0441527446300716E-2</v>
      </c>
    </row>
    <row r="51" spans="1:18" ht="12.75">
      <c r="A51" s="12">
        <f t="shared" si="0"/>
        <v>50</v>
      </c>
      <c r="B51" s="13" t="s">
        <v>69</v>
      </c>
      <c r="C51" s="14" t="str">
        <f t="array" aca="1" ref="C51" ca="1">INDEX('Rooms Master'!U:U,MATCH(B51,'Rooms Master'!D:D,0))</f>
        <v>Y</v>
      </c>
      <c r="D51" s="15">
        <v>50</v>
      </c>
      <c r="E51" s="15">
        <v>19</v>
      </c>
      <c r="F51" s="15">
        <v>5</v>
      </c>
      <c r="G51" s="15">
        <v>2</v>
      </c>
      <c r="H51" s="15">
        <v>1</v>
      </c>
      <c r="I51" s="15"/>
      <c r="J51" s="15"/>
      <c r="K51" s="15"/>
      <c r="L51" s="1" t="s">
        <v>20</v>
      </c>
      <c r="M51" s="17">
        <f t="shared" si="1"/>
        <v>0.26315789473684209</v>
      </c>
      <c r="N51" s="18">
        <f t="shared" si="8"/>
        <v>5.2631578947368418E-2</v>
      </c>
      <c r="O51" s="17">
        <f t="shared" si="9"/>
        <v>0</v>
      </c>
      <c r="P51" s="17" t="str">
        <f t="shared" si="11"/>
        <v xml:space="preserve"> </v>
      </c>
      <c r="Q51" s="17" t="str">
        <f t="shared" si="10"/>
        <v xml:space="preserve"> </v>
      </c>
      <c r="R51" s="17">
        <f t="shared" si="6"/>
        <v>5.6682577565632455E-3</v>
      </c>
    </row>
    <row r="52" spans="1:18" ht="12.75">
      <c r="A52" s="12">
        <f t="shared" si="0"/>
        <v>51</v>
      </c>
      <c r="B52" s="13" t="s">
        <v>58</v>
      </c>
      <c r="C52" s="14" t="str">
        <f t="array" aca="1" ref="C52" ca="1">INDEX('Rooms Master'!U:U,MATCH(B52,'Rooms Master'!D:D,0))</f>
        <v>Y</v>
      </c>
      <c r="D52" s="15">
        <v>51</v>
      </c>
      <c r="E52" s="15">
        <v>69</v>
      </c>
      <c r="F52" s="15">
        <v>21</v>
      </c>
      <c r="G52" s="15">
        <v>1</v>
      </c>
      <c r="H52" s="15">
        <v>5</v>
      </c>
      <c r="I52" s="15"/>
      <c r="J52" s="15"/>
      <c r="K52" s="15"/>
      <c r="L52" s="1" t="s">
        <v>20</v>
      </c>
      <c r="M52" s="17">
        <f t="shared" si="1"/>
        <v>0.30434782608695654</v>
      </c>
      <c r="N52" s="18">
        <f t="shared" si="8"/>
        <v>7.2463768115942032E-2</v>
      </c>
      <c r="O52" s="17">
        <f t="shared" si="9"/>
        <v>0</v>
      </c>
      <c r="P52" s="17" t="str">
        <f t="shared" si="11"/>
        <v xml:space="preserve"> </v>
      </c>
      <c r="Q52" s="17" t="str">
        <f t="shared" si="10"/>
        <v xml:space="preserve"> </v>
      </c>
      <c r="R52" s="17">
        <f t="shared" si="6"/>
        <v>2.0584725536992841E-2</v>
      </c>
    </row>
    <row r="53" spans="1:18" ht="12.75">
      <c r="A53" s="12">
        <f t="shared" si="0"/>
        <v>52</v>
      </c>
      <c r="B53" s="13" t="s">
        <v>22</v>
      </c>
      <c r="C53" s="14" t="str">
        <f t="array" aca="1" ref="C53" ca="1">INDEX('Rooms Master'!U:U,MATCH(B53,'Rooms Master'!D:D,0))</f>
        <v>Y</v>
      </c>
      <c r="D53" s="15">
        <v>52</v>
      </c>
      <c r="E53" s="15">
        <v>35</v>
      </c>
      <c r="F53" s="15">
        <v>9</v>
      </c>
      <c r="G53" s="15">
        <v>3</v>
      </c>
      <c r="H53" s="15">
        <v>2</v>
      </c>
      <c r="I53" s="15"/>
      <c r="J53" s="15"/>
      <c r="K53" s="15"/>
      <c r="L53" s="1" t="s">
        <v>20</v>
      </c>
      <c r="M53" s="17">
        <f t="shared" si="1"/>
        <v>0.25714285714285712</v>
      </c>
      <c r="N53" s="18">
        <f t="shared" si="8"/>
        <v>5.7142857142857141E-2</v>
      </c>
      <c r="O53" s="17">
        <f t="shared" si="9"/>
        <v>0</v>
      </c>
      <c r="P53" s="17" t="str">
        <f t="shared" si="11"/>
        <v xml:space="preserve"> </v>
      </c>
      <c r="Q53" s="17" t="str">
        <f t="shared" si="10"/>
        <v xml:space="preserve"> </v>
      </c>
      <c r="R53" s="17">
        <f t="shared" si="6"/>
        <v>1.0441527446300716E-2</v>
      </c>
    </row>
    <row r="54" spans="1:18" ht="12.75">
      <c r="A54" s="12">
        <f t="shared" si="0"/>
        <v>53</v>
      </c>
      <c r="B54" s="13" t="s">
        <v>19</v>
      </c>
      <c r="C54" s="14" t="str">
        <f t="array" aca="1" ref="C54" ca="1">INDEX('Rooms Master'!U:U,MATCH(B54,'Rooms Master'!D:D,0))</f>
        <v>N</v>
      </c>
      <c r="D54" s="15">
        <v>53</v>
      </c>
      <c r="E54" s="15">
        <v>38</v>
      </c>
      <c r="F54" s="15">
        <v>12</v>
      </c>
      <c r="G54" s="15">
        <v>2</v>
      </c>
      <c r="H54" s="15">
        <v>2</v>
      </c>
      <c r="I54" s="15">
        <v>1</v>
      </c>
      <c r="J54" s="15"/>
      <c r="K54" s="15"/>
      <c r="L54" s="1" t="s">
        <v>20</v>
      </c>
      <c r="M54" s="17">
        <f t="shared" si="1"/>
        <v>0.31578947368421051</v>
      </c>
      <c r="N54" s="18">
        <f t="shared" si="8"/>
        <v>5.2631578947368418E-2</v>
      </c>
      <c r="O54" s="17">
        <f t="shared" si="9"/>
        <v>0</v>
      </c>
      <c r="P54" s="17">
        <f t="shared" si="11"/>
        <v>0</v>
      </c>
      <c r="Q54" s="17" t="str">
        <f t="shared" si="10"/>
        <v xml:space="preserve"> </v>
      </c>
      <c r="R54" s="17">
        <f t="shared" si="6"/>
        <v>1.1336515513126491E-2</v>
      </c>
    </row>
    <row r="55" spans="1:18" ht="12.75">
      <c r="A55" s="12">
        <f t="shared" si="0"/>
        <v>54</v>
      </c>
      <c r="B55" s="13" t="s">
        <v>96</v>
      </c>
      <c r="C55" s="14" t="str">
        <f t="array" aca="1" ref="C55" ca="1">INDEX('Rooms Master'!U:U,MATCH(B55,'Rooms Master'!D:D,0))</f>
        <v>N</v>
      </c>
      <c r="D55" s="15">
        <v>54</v>
      </c>
      <c r="E55" s="15">
        <v>29</v>
      </c>
      <c r="F55" s="15">
        <v>10</v>
      </c>
      <c r="G55" s="15">
        <v>5</v>
      </c>
      <c r="H55" s="15">
        <v>0</v>
      </c>
      <c r="I55" s="15"/>
      <c r="J55" s="15"/>
      <c r="K55" s="15"/>
      <c r="L55" s="1" t="s">
        <v>20</v>
      </c>
      <c r="M55" s="17">
        <f t="shared" si="1"/>
        <v>0.34482758620689657</v>
      </c>
      <c r="N55" s="18">
        <f t="shared" si="8"/>
        <v>0</v>
      </c>
      <c r="O55" s="17" t="str">
        <f t="shared" si="9"/>
        <v xml:space="preserve"> </v>
      </c>
      <c r="P55" s="17" t="str">
        <f t="shared" si="11"/>
        <v xml:space="preserve"> </v>
      </c>
      <c r="Q55" s="17" t="str">
        <f t="shared" si="10"/>
        <v xml:space="preserve"> </v>
      </c>
      <c r="R55" s="17">
        <f t="shared" si="6"/>
        <v>8.6515513126491639E-3</v>
      </c>
    </row>
    <row r="56" spans="1:18" ht="12.75">
      <c r="A56" s="12">
        <f t="shared" si="0"/>
        <v>55</v>
      </c>
      <c r="B56" s="13" t="s">
        <v>97</v>
      </c>
      <c r="C56" s="14" t="str">
        <f t="array" aca="1" ref="C56" ca="1">INDEX('Rooms Master'!U:U,MATCH(B56,'Rooms Master'!D:D,0))</f>
        <v>N</v>
      </c>
      <c r="D56" s="15">
        <v>55</v>
      </c>
      <c r="E56" s="15">
        <v>54</v>
      </c>
      <c r="F56" s="15">
        <v>30</v>
      </c>
      <c r="G56" s="15">
        <v>2</v>
      </c>
      <c r="H56" s="15">
        <v>5</v>
      </c>
      <c r="I56" s="15">
        <v>1</v>
      </c>
      <c r="J56" s="15">
        <v>1</v>
      </c>
      <c r="K56" s="15">
        <v>1</v>
      </c>
      <c r="L56" s="1" t="s">
        <v>20</v>
      </c>
      <c r="M56" s="17">
        <f t="shared" si="1"/>
        <v>0.55555555555555558</v>
      </c>
      <c r="N56" s="18">
        <f t="shared" si="8"/>
        <v>9.2592592592592587E-2</v>
      </c>
      <c r="O56" s="17">
        <f t="shared" si="9"/>
        <v>0.2</v>
      </c>
      <c r="P56" s="17">
        <f t="shared" si="11"/>
        <v>1</v>
      </c>
      <c r="Q56" s="17">
        <f t="shared" si="10"/>
        <v>1</v>
      </c>
      <c r="R56" s="17">
        <f t="shared" si="6"/>
        <v>1.6109785202863963E-2</v>
      </c>
    </row>
    <row r="57" spans="1:18" ht="12.75">
      <c r="A57" s="12">
        <f t="shared" si="0"/>
        <v>56</v>
      </c>
      <c r="B57" s="13" t="s">
        <v>31</v>
      </c>
      <c r="C57" s="14" t="str">
        <f t="array" aca="1" ref="C57" ca="1">INDEX('Rooms Master'!U:U,MATCH(B57,'Rooms Master'!D:D,0))</f>
        <v>Y</v>
      </c>
      <c r="D57" s="15">
        <v>56</v>
      </c>
      <c r="E57" s="15">
        <v>34</v>
      </c>
      <c r="F57" s="15">
        <v>7</v>
      </c>
      <c r="G57" s="15">
        <v>1</v>
      </c>
      <c r="H57" s="15">
        <v>0</v>
      </c>
      <c r="I57" s="15"/>
      <c r="J57" s="15"/>
      <c r="K57" s="15"/>
      <c r="L57" s="1" t="s">
        <v>20</v>
      </c>
      <c r="M57" s="17">
        <f t="shared" si="1"/>
        <v>0.20588235294117646</v>
      </c>
      <c r="N57" s="18">
        <f t="shared" si="8"/>
        <v>0</v>
      </c>
      <c r="O57" s="17" t="str">
        <f t="shared" si="9"/>
        <v xml:space="preserve"> </v>
      </c>
      <c r="P57" s="17" t="str">
        <f t="shared" si="11"/>
        <v xml:space="preserve"> </v>
      </c>
      <c r="Q57" s="17" t="str">
        <f t="shared" si="10"/>
        <v xml:space="preserve"> </v>
      </c>
      <c r="R57" s="17">
        <f t="shared" si="6"/>
        <v>1.0143198090692125E-2</v>
      </c>
    </row>
    <row r="58" spans="1:18" ht="12.75">
      <c r="A58" s="12">
        <f t="shared" si="0"/>
        <v>57</v>
      </c>
      <c r="B58" s="13" t="s">
        <v>70</v>
      </c>
      <c r="C58" s="14" t="str">
        <f t="array" aca="1" ref="C58" ca="1">INDEX('Rooms Master'!U:U,MATCH(B58,'Rooms Master'!D:D,0))</f>
        <v>N</v>
      </c>
      <c r="D58" s="15">
        <v>57</v>
      </c>
      <c r="E58" s="15">
        <v>8</v>
      </c>
      <c r="F58" s="15">
        <v>4</v>
      </c>
      <c r="G58" s="15">
        <v>0</v>
      </c>
      <c r="H58" s="15">
        <v>0</v>
      </c>
      <c r="I58" s="15"/>
      <c r="J58" s="15"/>
      <c r="K58" s="15"/>
      <c r="L58" s="1" t="s">
        <v>20</v>
      </c>
      <c r="M58" s="17">
        <f t="shared" si="1"/>
        <v>0.5</v>
      </c>
      <c r="N58" s="18">
        <f t="shared" si="8"/>
        <v>0</v>
      </c>
      <c r="O58" s="17" t="str">
        <f t="shared" si="9"/>
        <v xml:space="preserve"> </v>
      </c>
      <c r="P58" s="17" t="str">
        <f t="shared" si="11"/>
        <v xml:space="preserve"> </v>
      </c>
      <c r="Q58" s="17" t="str">
        <f t="shared" si="10"/>
        <v xml:space="preserve"> </v>
      </c>
      <c r="R58" s="17">
        <f t="shared" si="6"/>
        <v>2.3866348448687352E-3</v>
      </c>
    </row>
    <row r="59" spans="1:18" ht="12.75">
      <c r="A59" s="12">
        <f t="shared" si="0"/>
        <v>58</v>
      </c>
      <c r="B59" s="13" t="s">
        <v>44</v>
      </c>
      <c r="C59" s="14" t="str">
        <f t="array" aca="1" ref="C59" ca="1">INDEX('Rooms Master'!U:U,MATCH(B59,'Rooms Master'!D:D,0))</f>
        <v>Y</v>
      </c>
      <c r="D59" s="15">
        <v>58</v>
      </c>
      <c r="E59" s="15">
        <v>55</v>
      </c>
      <c r="F59" s="15">
        <v>23</v>
      </c>
      <c r="G59" s="15">
        <v>2</v>
      </c>
      <c r="H59" s="15">
        <v>0</v>
      </c>
      <c r="I59" s="15"/>
      <c r="J59" s="15"/>
      <c r="K59" s="15"/>
      <c r="L59" s="21" t="s">
        <v>20</v>
      </c>
      <c r="M59" s="17">
        <f t="shared" si="1"/>
        <v>0.41818181818181815</v>
      </c>
      <c r="N59" s="18">
        <f t="shared" si="8"/>
        <v>0</v>
      </c>
      <c r="O59" s="17" t="str">
        <f t="shared" si="9"/>
        <v xml:space="preserve"> </v>
      </c>
      <c r="P59" s="17" t="str">
        <f t="shared" si="11"/>
        <v xml:space="preserve"> </v>
      </c>
      <c r="Q59" s="17" t="str">
        <f t="shared" si="10"/>
        <v xml:space="preserve"> </v>
      </c>
      <c r="R59" s="17">
        <f t="shared" si="6"/>
        <v>1.6408114558472554E-2</v>
      </c>
    </row>
    <row r="60" spans="1:18" ht="12.75">
      <c r="A60" s="12">
        <f t="shared" si="0"/>
        <v>59</v>
      </c>
      <c r="B60" s="13" t="s">
        <v>46</v>
      </c>
      <c r="C60" s="14" t="str">
        <f t="array" aca="1" ref="C60" ca="1">INDEX('Rooms Master'!U:U,MATCH(B60,'Rooms Master'!D:D,0))</f>
        <v>Y</v>
      </c>
      <c r="D60" s="15">
        <v>59</v>
      </c>
      <c r="E60" s="15">
        <v>14</v>
      </c>
      <c r="F60" s="15">
        <v>3</v>
      </c>
      <c r="G60" s="15">
        <v>1</v>
      </c>
      <c r="H60" s="15">
        <v>0</v>
      </c>
      <c r="I60" s="15"/>
      <c r="J60" s="15"/>
      <c r="K60" s="15"/>
      <c r="L60" s="1" t="s">
        <v>37</v>
      </c>
      <c r="M60" s="17">
        <f t="shared" si="1"/>
        <v>0.21428571428571427</v>
      </c>
      <c r="N60" s="18">
        <f t="shared" si="8"/>
        <v>0</v>
      </c>
      <c r="O60" s="17" t="str">
        <f t="shared" si="9"/>
        <v xml:space="preserve"> </v>
      </c>
      <c r="P60" s="17" t="str">
        <f t="shared" si="11"/>
        <v xml:space="preserve"> </v>
      </c>
      <c r="Q60" s="17" t="str">
        <f t="shared" si="10"/>
        <v xml:space="preserve"> </v>
      </c>
      <c r="R60" s="17">
        <f t="shared" si="6"/>
        <v>4.1766109785202864E-3</v>
      </c>
    </row>
    <row r="61" spans="1:18" ht="12.75">
      <c r="A61" s="12">
        <f t="shared" si="0"/>
        <v>60</v>
      </c>
      <c r="B61" s="13" t="s">
        <v>104</v>
      </c>
      <c r="C61" s="14" t="str">
        <f t="array" aca="1" ref="C61" ca="1">INDEX('Rooms Master'!U:U,MATCH(B61,'Rooms Master'!D:D,0))</f>
        <v>N</v>
      </c>
      <c r="D61" s="15">
        <v>60</v>
      </c>
      <c r="E61" s="15">
        <v>28</v>
      </c>
      <c r="F61" s="15">
        <v>2</v>
      </c>
      <c r="G61" s="15">
        <v>0</v>
      </c>
      <c r="H61" s="15">
        <v>0</v>
      </c>
      <c r="I61" s="15">
        <v>1</v>
      </c>
      <c r="J61" s="15"/>
      <c r="K61" s="15"/>
      <c r="L61" s="1" t="s">
        <v>20</v>
      </c>
      <c r="M61" s="17">
        <f t="shared" si="1"/>
        <v>7.1428571428571425E-2</v>
      </c>
      <c r="N61" s="18">
        <f t="shared" si="8"/>
        <v>0</v>
      </c>
      <c r="O61" s="17" t="str">
        <f t="shared" si="9"/>
        <v xml:space="preserve"> </v>
      </c>
      <c r="P61" s="17">
        <f t="shared" si="11"/>
        <v>0</v>
      </c>
      <c r="Q61" s="17" t="str">
        <f t="shared" si="10"/>
        <v xml:space="preserve"> </v>
      </c>
      <c r="R61" s="17">
        <f t="shared" si="6"/>
        <v>8.3532219570405727E-3</v>
      </c>
    </row>
    <row r="62" spans="1:18" ht="12.75">
      <c r="A62" s="12">
        <f t="shared" si="0"/>
        <v>61</v>
      </c>
      <c r="B62" s="13" t="s">
        <v>32</v>
      </c>
      <c r="C62" s="14" t="str">
        <f t="array" aca="1" ref="C62" ca="1">INDEX('Rooms Master'!U:U,MATCH(B62,'Rooms Master'!D:D,0))</f>
        <v>Y</v>
      </c>
      <c r="D62" s="15">
        <v>61</v>
      </c>
      <c r="E62" s="15">
        <v>45</v>
      </c>
      <c r="F62" s="15">
        <v>21</v>
      </c>
      <c r="G62" s="15">
        <v>1</v>
      </c>
      <c r="H62" s="15">
        <v>0</v>
      </c>
      <c r="I62" s="15"/>
      <c r="J62" s="15"/>
      <c r="K62" s="15"/>
      <c r="L62" s="1" t="s">
        <v>20</v>
      </c>
      <c r="M62" s="17">
        <f t="shared" si="1"/>
        <v>0.46666666666666667</v>
      </c>
      <c r="N62" s="18">
        <f t="shared" si="8"/>
        <v>0</v>
      </c>
      <c r="O62" s="17" t="str">
        <f t="shared" si="9"/>
        <v xml:space="preserve"> </v>
      </c>
      <c r="P62" s="17" t="str">
        <f t="shared" si="11"/>
        <v xml:space="preserve"> </v>
      </c>
      <c r="Q62" s="17" t="str">
        <f t="shared" si="10"/>
        <v xml:space="preserve"> </v>
      </c>
      <c r="R62" s="17">
        <f t="shared" si="6"/>
        <v>1.3424821002386634E-2</v>
      </c>
    </row>
    <row r="63" spans="1:18" ht="12.75">
      <c r="A63" s="12">
        <f t="shared" si="0"/>
        <v>62</v>
      </c>
      <c r="B63" s="13" t="s">
        <v>45</v>
      </c>
      <c r="C63" s="14" t="str">
        <f t="array" aca="1" ref="C63" ca="1">INDEX('Rooms Master'!U:U,MATCH(B63,'Rooms Master'!D:D,0))</f>
        <v>Y</v>
      </c>
      <c r="D63" s="15">
        <v>62</v>
      </c>
      <c r="E63" s="15">
        <v>38</v>
      </c>
      <c r="F63" s="15">
        <v>11</v>
      </c>
      <c r="G63" s="15">
        <v>3</v>
      </c>
      <c r="H63" s="15">
        <v>0</v>
      </c>
      <c r="I63" s="15"/>
      <c r="J63" s="15"/>
      <c r="K63" s="15"/>
      <c r="L63" s="1" t="s">
        <v>20</v>
      </c>
      <c r="M63" s="17">
        <f t="shared" si="1"/>
        <v>0.28947368421052633</v>
      </c>
      <c r="N63" s="18">
        <f t="shared" si="8"/>
        <v>0</v>
      </c>
      <c r="O63" s="17" t="str">
        <f t="shared" si="9"/>
        <v xml:space="preserve"> </v>
      </c>
      <c r="P63" s="17" t="str">
        <f t="shared" si="11"/>
        <v xml:space="preserve"> </v>
      </c>
      <c r="Q63" s="17" t="str">
        <f t="shared" si="10"/>
        <v xml:space="preserve"> </v>
      </c>
      <c r="R63" s="17">
        <f t="shared" si="6"/>
        <v>1.1336515513126491E-2</v>
      </c>
    </row>
    <row r="64" spans="1:18" ht="12.75">
      <c r="A64" s="12">
        <f t="shared" si="0"/>
        <v>63</v>
      </c>
      <c r="B64" s="13" t="s">
        <v>26</v>
      </c>
      <c r="C64" s="14" t="str">
        <f t="array" aca="1" ref="C64" ca="1">INDEX('Rooms Master'!U:U,MATCH(B64,'Rooms Master'!D:D,0))</f>
        <v>Y</v>
      </c>
      <c r="D64" s="15">
        <v>63</v>
      </c>
      <c r="E64" s="15">
        <v>31</v>
      </c>
      <c r="F64" s="15">
        <v>7</v>
      </c>
      <c r="G64" s="15">
        <v>2</v>
      </c>
      <c r="H64" s="15">
        <v>0</v>
      </c>
      <c r="I64" s="15"/>
      <c r="J64" s="15">
        <v>1</v>
      </c>
      <c r="K64" s="15"/>
      <c r="L64" s="1" t="s">
        <v>20</v>
      </c>
      <c r="M64" s="17">
        <f t="shared" si="1"/>
        <v>0.22580645161290322</v>
      </c>
      <c r="N64" s="18">
        <f t="shared" si="8"/>
        <v>0</v>
      </c>
      <c r="O64" s="17" t="str">
        <f t="shared" si="9"/>
        <v xml:space="preserve"> </v>
      </c>
      <c r="P64" s="17" t="str">
        <f t="shared" si="11"/>
        <v xml:space="preserve"> </v>
      </c>
      <c r="Q64" s="17">
        <f t="shared" si="10"/>
        <v>0</v>
      </c>
      <c r="R64" s="17">
        <f t="shared" si="6"/>
        <v>9.2482100238663479E-3</v>
      </c>
    </row>
    <row r="65" spans="1:18" ht="12.75">
      <c r="A65" s="12">
        <f t="shared" si="0"/>
        <v>64</v>
      </c>
      <c r="B65" s="13" t="s">
        <v>48</v>
      </c>
      <c r="C65" s="14" t="str">
        <f t="array" aca="1" ref="C65" ca="1">INDEX('Rooms Master'!U:U,MATCH(B65,'Rooms Master'!D:D,0))</f>
        <v>Y</v>
      </c>
      <c r="D65" s="15">
        <v>64</v>
      </c>
      <c r="E65" s="15">
        <v>23</v>
      </c>
      <c r="F65" s="15">
        <v>7</v>
      </c>
      <c r="G65" s="15">
        <v>3</v>
      </c>
      <c r="H65" s="15">
        <v>1</v>
      </c>
      <c r="I65" s="15"/>
      <c r="J65" s="15"/>
      <c r="K65" s="15"/>
      <c r="L65" s="1" t="s">
        <v>20</v>
      </c>
      <c r="M65" s="17">
        <f t="shared" si="1"/>
        <v>0.30434782608695654</v>
      </c>
      <c r="N65" s="18">
        <f t="shared" si="8"/>
        <v>4.3478260869565216E-2</v>
      </c>
      <c r="O65" s="17">
        <f t="shared" si="9"/>
        <v>0</v>
      </c>
      <c r="P65" s="17" t="str">
        <f t="shared" si="11"/>
        <v xml:space="preserve"> </v>
      </c>
      <c r="Q65" s="17" t="str">
        <f t="shared" si="10"/>
        <v xml:space="preserve"> </v>
      </c>
      <c r="R65" s="17">
        <f t="shared" si="6"/>
        <v>6.8615751789976136E-3</v>
      </c>
    </row>
    <row r="66" spans="1:18" ht="12.75">
      <c r="A66" s="12">
        <f t="shared" si="0"/>
        <v>65</v>
      </c>
      <c r="B66" s="13" t="s">
        <v>94</v>
      </c>
      <c r="C66" s="14" t="str">
        <f t="array" aca="1" ref="C66" ca="1">INDEX('Rooms Master'!U:U,MATCH(B66,'Rooms Master'!D:D,0))</f>
        <v>Y</v>
      </c>
      <c r="D66" s="15">
        <v>65</v>
      </c>
      <c r="E66" s="15">
        <v>31</v>
      </c>
      <c r="F66" s="15">
        <v>18</v>
      </c>
      <c r="G66" s="15">
        <v>2</v>
      </c>
      <c r="H66" s="15">
        <v>0</v>
      </c>
      <c r="I66" s="15">
        <v>1</v>
      </c>
      <c r="J66" s="15">
        <v>1</v>
      </c>
      <c r="K66" s="15">
        <v>1</v>
      </c>
      <c r="L66" s="27" t="s">
        <v>24</v>
      </c>
      <c r="M66" s="17">
        <f t="shared" si="1"/>
        <v>0.58064516129032262</v>
      </c>
      <c r="N66" s="18">
        <f t="shared" si="8"/>
        <v>0</v>
      </c>
      <c r="O66" s="17" t="str">
        <f t="shared" si="9"/>
        <v xml:space="preserve"> </v>
      </c>
      <c r="P66" s="17">
        <f t="shared" si="11"/>
        <v>1</v>
      </c>
      <c r="Q66" s="17">
        <f t="shared" si="10"/>
        <v>1</v>
      </c>
      <c r="R66" s="17">
        <f t="shared" si="6"/>
        <v>9.2482100238663479E-3</v>
      </c>
    </row>
    <row r="67" spans="1:18" ht="12.75">
      <c r="A67" s="12">
        <f t="shared" si="0"/>
        <v>66</v>
      </c>
      <c r="B67" s="13" t="s">
        <v>62</v>
      </c>
      <c r="C67" s="14" t="str">
        <f t="array" aca="1" ref="C67" ca="1">INDEX('Rooms Master'!U:U,MATCH(B67,'Rooms Master'!D:D,0))</f>
        <v>N</v>
      </c>
      <c r="D67" s="15">
        <v>66</v>
      </c>
      <c r="E67" s="15">
        <v>16</v>
      </c>
      <c r="F67" s="15">
        <v>6</v>
      </c>
      <c r="G67" s="15">
        <v>2</v>
      </c>
      <c r="H67" s="15">
        <v>1</v>
      </c>
      <c r="I67" s="15"/>
      <c r="J67" s="15"/>
      <c r="K67" s="15"/>
      <c r="L67" s="1" t="s">
        <v>20</v>
      </c>
      <c r="M67" s="17">
        <f t="shared" si="1"/>
        <v>0.375</v>
      </c>
      <c r="N67" s="18">
        <f t="shared" si="8"/>
        <v>6.25E-2</v>
      </c>
      <c r="O67" s="17">
        <f t="shared" si="9"/>
        <v>0</v>
      </c>
      <c r="P67" s="18" t="str">
        <f t="shared" si="11"/>
        <v xml:space="preserve"> </v>
      </c>
      <c r="Q67" s="18" t="str">
        <f t="shared" si="10"/>
        <v xml:space="preserve"> </v>
      </c>
      <c r="R67" s="17">
        <f t="shared" si="6"/>
        <v>4.7732696897374704E-3</v>
      </c>
    </row>
    <row r="68" spans="1:18" ht="12.75">
      <c r="A68" s="12">
        <f t="shared" si="0"/>
        <v>67</v>
      </c>
      <c r="B68" s="13" t="s">
        <v>123</v>
      </c>
      <c r="C68" s="14" t="str">
        <f t="array" aca="1" ref="C68" ca="1">INDEX('Rooms Master'!U:U,MATCH(B68,'Rooms Master'!D:D,0))</f>
        <v>N</v>
      </c>
      <c r="D68" s="15">
        <v>67</v>
      </c>
      <c r="E68" s="15">
        <v>26</v>
      </c>
      <c r="F68" s="15">
        <v>8</v>
      </c>
      <c r="G68" s="15">
        <v>0</v>
      </c>
      <c r="H68" s="15">
        <v>0</v>
      </c>
      <c r="I68" s="15"/>
      <c r="J68" s="15"/>
      <c r="K68" s="15"/>
      <c r="L68" s="1" t="s">
        <v>34</v>
      </c>
      <c r="M68" s="17">
        <f t="shared" si="1"/>
        <v>0.30769230769230771</v>
      </c>
      <c r="N68" s="18">
        <f t="shared" si="8"/>
        <v>0</v>
      </c>
      <c r="O68" s="17" t="str">
        <f t="shared" si="9"/>
        <v xml:space="preserve"> </v>
      </c>
      <c r="P68" s="17" t="str">
        <f t="shared" si="11"/>
        <v xml:space="preserve"> </v>
      </c>
      <c r="Q68" s="17" t="str">
        <f t="shared" si="10"/>
        <v xml:space="preserve"> </v>
      </c>
      <c r="R68" s="17">
        <f t="shared" si="6"/>
        <v>7.7565632458233887E-3</v>
      </c>
    </row>
    <row r="69" spans="1:18" ht="12.75">
      <c r="A69" s="12">
        <f t="shared" si="0"/>
        <v>68</v>
      </c>
      <c r="B69" s="13" t="s">
        <v>27</v>
      </c>
      <c r="C69" s="14" t="str">
        <f t="array" aca="1" ref="C69" ca="1">INDEX('Rooms Master'!U:U,MATCH(B69,'Rooms Master'!D:D,0))</f>
        <v>Y</v>
      </c>
      <c r="D69" s="15">
        <v>68</v>
      </c>
      <c r="E69" s="15">
        <v>39</v>
      </c>
      <c r="F69" s="15">
        <v>24</v>
      </c>
      <c r="G69" s="15">
        <v>2</v>
      </c>
      <c r="H69" s="15">
        <v>0</v>
      </c>
      <c r="I69" s="15"/>
      <c r="J69" s="15"/>
      <c r="K69" s="15"/>
      <c r="L69" s="1" t="s">
        <v>20</v>
      </c>
      <c r="M69" s="17">
        <f t="shared" si="1"/>
        <v>0.61538461538461542</v>
      </c>
      <c r="N69" s="18">
        <f t="shared" si="8"/>
        <v>0</v>
      </c>
      <c r="O69" s="17" t="str">
        <f t="shared" si="9"/>
        <v xml:space="preserve"> </v>
      </c>
      <c r="P69" s="17" t="str">
        <f t="shared" si="11"/>
        <v xml:space="preserve"> </v>
      </c>
      <c r="Q69" s="17" t="str">
        <f t="shared" si="10"/>
        <v xml:space="preserve"> </v>
      </c>
      <c r="R69" s="17">
        <f t="shared" si="6"/>
        <v>1.1634844868735084E-2</v>
      </c>
    </row>
    <row r="70" spans="1:18" ht="12.75">
      <c r="A70" s="12">
        <f t="shared" si="0"/>
        <v>69</v>
      </c>
      <c r="B70" s="13" t="s">
        <v>61</v>
      </c>
      <c r="C70" s="14" t="str">
        <f t="array" aca="1" ref="C70" ca="1">INDEX('Rooms Master'!U:U,MATCH(B70,'Rooms Master'!D:D,0))</f>
        <v>Y</v>
      </c>
      <c r="D70" s="15">
        <v>69</v>
      </c>
      <c r="E70" s="15">
        <v>27</v>
      </c>
      <c r="F70" s="15">
        <v>8</v>
      </c>
      <c r="G70" s="15">
        <v>1</v>
      </c>
      <c r="H70" s="15">
        <v>0</v>
      </c>
      <c r="I70" s="15">
        <v>1</v>
      </c>
      <c r="J70" s="15"/>
      <c r="K70" s="15"/>
      <c r="L70" s="1" t="s">
        <v>20</v>
      </c>
      <c r="M70" s="17">
        <f t="shared" si="1"/>
        <v>0.29629629629629628</v>
      </c>
      <c r="N70" s="18">
        <f t="shared" si="8"/>
        <v>0</v>
      </c>
      <c r="O70" s="17" t="str">
        <f t="shared" si="9"/>
        <v xml:space="preserve"> </v>
      </c>
      <c r="P70" s="17">
        <f t="shared" si="11"/>
        <v>0</v>
      </c>
      <c r="Q70" s="17" t="str">
        <f t="shared" si="10"/>
        <v xml:space="preserve"> </v>
      </c>
      <c r="R70" s="17">
        <f t="shared" si="6"/>
        <v>8.0548926014319816E-3</v>
      </c>
    </row>
    <row r="71" spans="1:18" ht="12.75">
      <c r="A71" s="12">
        <f t="shared" si="0"/>
        <v>70</v>
      </c>
      <c r="B71" s="13" t="s">
        <v>112</v>
      </c>
      <c r="C71" s="14" t="str">
        <f t="array" aca="1" ref="C71" ca="1">INDEX('Rooms Master'!U:U,MATCH(B71,'Rooms Master'!D:D,0))</f>
        <v>Y</v>
      </c>
      <c r="D71" s="15">
        <v>70</v>
      </c>
      <c r="E71" s="15">
        <v>4</v>
      </c>
      <c r="F71" s="15">
        <v>0</v>
      </c>
      <c r="G71" s="15">
        <v>0</v>
      </c>
      <c r="H71" s="15">
        <v>2</v>
      </c>
      <c r="I71" s="15"/>
      <c r="J71" s="15"/>
      <c r="K71" s="15"/>
      <c r="L71" s="1" t="s">
        <v>37</v>
      </c>
      <c r="M71" s="17">
        <f t="shared" si="1"/>
        <v>0</v>
      </c>
      <c r="N71" s="18">
        <f t="shared" si="8"/>
        <v>0.5</v>
      </c>
      <c r="O71" s="17">
        <f t="shared" si="9"/>
        <v>0</v>
      </c>
      <c r="P71" s="17" t="str">
        <f t="shared" si="11"/>
        <v xml:space="preserve"> </v>
      </c>
      <c r="Q71" s="17" t="str">
        <f t="shared" si="10"/>
        <v xml:space="preserve"> </v>
      </c>
      <c r="R71" s="17">
        <f t="shared" si="6"/>
        <v>1.1933174224343676E-3</v>
      </c>
    </row>
    <row r="72" spans="1:18" ht="12.75">
      <c r="A72" s="12">
        <f t="shared" si="0"/>
        <v>71</v>
      </c>
      <c r="B72" s="13" t="s">
        <v>101</v>
      </c>
      <c r="C72" s="14" t="str">
        <f t="array" aca="1" ref="C72" ca="1">INDEX('Rooms Master'!U:U,MATCH(B72,'Rooms Master'!D:D,0))</f>
        <v>N</v>
      </c>
      <c r="D72" s="15">
        <v>71</v>
      </c>
      <c r="E72" s="15">
        <v>31</v>
      </c>
      <c r="F72" s="15">
        <v>14</v>
      </c>
      <c r="G72" s="15">
        <v>0</v>
      </c>
      <c r="H72" s="15">
        <v>0</v>
      </c>
      <c r="I72" s="15"/>
      <c r="J72" s="15"/>
      <c r="K72" s="15"/>
      <c r="L72" s="1" t="s">
        <v>34</v>
      </c>
      <c r="M72" s="17">
        <f t="shared" si="1"/>
        <v>0.45161290322580644</v>
      </c>
      <c r="N72" s="18">
        <f t="shared" si="8"/>
        <v>0</v>
      </c>
      <c r="O72" s="17" t="str">
        <f t="shared" si="9"/>
        <v xml:space="preserve"> </v>
      </c>
      <c r="P72" s="17" t="str">
        <f t="shared" si="11"/>
        <v xml:space="preserve"> </v>
      </c>
      <c r="Q72" s="17" t="str">
        <f t="shared" si="10"/>
        <v xml:space="preserve"> </v>
      </c>
      <c r="R72" s="17">
        <f t="shared" si="6"/>
        <v>9.2482100238663479E-3</v>
      </c>
    </row>
    <row r="73" spans="1:18" ht="12.75">
      <c r="A73" s="12">
        <f t="shared" si="0"/>
        <v>72</v>
      </c>
      <c r="B73" s="13" t="s">
        <v>60</v>
      </c>
      <c r="C73" s="14" t="str">
        <f t="array" aca="1" ref="C73" ca="1">INDEX('Rooms Master'!U:U,MATCH(B73,'Rooms Master'!D:D,0))</f>
        <v>Y</v>
      </c>
      <c r="D73" s="15">
        <v>72</v>
      </c>
      <c r="E73" s="15">
        <v>32</v>
      </c>
      <c r="F73" s="15">
        <v>5</v>
      </c>
      <c r="G73" s="15">
        <v>1</v>
      </c>
      <c r="H73" s="15">
        <v>1</v>
      </c>
      <c r="I73" s="15"/>
      <c r="J73" s="15"/>
      <c r="K73" s="15"/>
      <c r="L73" s="1" t="s">
        <v>20</v>
      </c>
      <c r="M73" s="17">
        <f t="shared" si="1"/>
        <v>0.15625</v>
      </c>
      <c r="N73" s="18">
        <f t="shared" si="8"/>
        <v>3.125E-2</v>
      </c>
      <c r="O73" s="17">
        <f t="shared" si="9"/>
        <v>0</v>
      </c>
      <c r="P73" s="17" t="str">
        <f t="shared" si="11"/>
        <v xml:space="preserve"> </v>
      </c>
      <c r="Q73" s="17" t="str">
        <f t="shared" si="10"/>
        <v xml:space="preserve"> </v>
      </c>
      <c r="R73" s="17">
        <f t="shared" si="6"/>
        <v>9.5465393794749408E-3</v>
      </c>
    </row>
    <row r="74" spans="1:18" ht="12.75">
      <c r="A74" s="12">
        <f t="shared" si="0"/>
        <v>73</v>
      </c>
      <c r="B74" s="13" t="s">
        <v>79</v>
      </c>
      <c r="C74" s="14" t="str">
        <f t="array" aca="1" ref="C74" ca="1">INDEX('Rooms Master'!U:U,MATCH(B74,'Rooms Master'!D:D,0))</f>
        <v>Y</v>
      </c>
      <c r="D74" s="15">
        <v>73</v>
      </c>
      <c r="E74" s="15">
        <v>7</v>
      </c>
      <c r="F74" s="15">
        <v>3</v>
      </c>
      <c r="G74" s="15">
        <v>1</v>
      </c>
      <c r="H74" s="15"/>
      <c r="I74" s="15"/>
      <c r="J74" s="15"/>
      <c r="K74" s="15"/>
      <c r="L74" s="1" t="s">
        <v>64</v>
      </c>
      <c r="M74" s="17">
        <f t="shared" si="1"/>
        <v>0.42857142857142855</v>
      </c>
      <c r="N74" s="18">
        <f t="shared" si="8"/>
        <v>0</v>
      </c>
      <c r="O74" s="17" t="str">
        <f t="shared" si="9"/>
        <v xml:space="preserve"> </v>
      </c>
      <c r="P74" s="17" t="str">
        <f t="shared" si="11"/>
        <v xml:space="preserve"> </v>
      </c>
      <c r="Q74" s="17" t="str">
        <f t="shared" si="10"/>
        <v xml:space="preserve"> </v>
      </c>
      <c r="R74" s="17">
        <f t="shared" si="6"/>
        <v>2.0883054892601432E-3</v>
      </c>
    </row>
    <row r="75" spans="1:18" ht="12.75">
      <c r="A75" s="12">
        <f t="shared" si="0"/>
        <v>74</v>
      </c>
      <c r="B75" s="13" t="s">
        <v>81</v>
      </c>
      <c r="C75" s="14" t="str">
        <f t="array" aca="1" ref="C75" ca="1">INDEX('Rooms Master'!U:U,MATCH(B75,'Rooms Master'!D:D,0))</f>
        <v>Y</v>
      </c>
      <c r="D75" s="15">
        <v>74</v>
      </c>
      <c r="E75" s="15">
        <v>10</v>
      </c>
      <c r="F75" s="15">
        <v>1</v>
      </c>
      <c r="G75" s="15">
        <v>0</v>
      </c>
      <c r="H75" s="15">
        <v>0</v>
      </c>
      <c r="I75" s="15"/>
      <c r="J75" s="15"/>
      <c r="K75" s="15"/>
      <c r="L75" s="1" t="s">
        <v>64</v>
      </c>
      <c r="M75" s="17">
        <f t="shared" si="1"/>
        <v>0.1</v>
      </c>
      <c r="N75" s="18">
        <f t="shared" si="8"/>
        <v>0</v>
      </c>
      <c r="O75" s="17" t="str">
        <f t="shared" si="9"/>
        <v xml:space="preserve"> </v>
      </c>
      <c r="P75" s="17" t="str">
        <f t="shared" si="11"/>
        <v xml:space="preserve"> </v>
      </c>
      <c r="Q75" s="17" t="str">
        <f t="shared" si="10"/>
        <v xml:space="preserve"> </v>
      </c>
      <c r="R75" s="17">
        <f t="shared" si="6"/>
        <v>2.9832935560859188E-3</v>
      </c>
    </row>
    <row r="76" spans="1:18" ht="12.75">
      <c r="A76" s="12">
        <f t="shared" si="0"/>
        <v>75</v>
      </c>
      <c r="B76" s="13" t="s">
        <v>36</v>
      </c>
      <c r="C76" s="14" t="str">
        <f t="array" aca="1" ref="C76" ca="1">INDEX('Rooms Master'!U:U,MATCH(B76,'Rooms Master'!D:D,0))</f>
        <v>Y</v>
      </c>
      <c r="D76" s="15">
        <v>75</v>
      </c>
      <c r="E76" s="15">
        <v>19</v>
      </c>
      <c r="F76" s="15">
        <v>6</v>
      </c>
      <c r="G76" s="15">
        <v>2</v>
      </c>
      <c r="H76" s="15">
        <v>1</v>
      </c>
      <c r="I76" s="15"/>
      <c r="J76" s="15"/>
      <c r="K76" s="15"/>
      <c r="L76" s="1" t="s">
        <v>37</v>
      </c>
      <c r="M76" s="17">
        <f t="shared" si="1"/>
        <v>0.31578947368421051</v>
      </c>
      <c r="N76" s="18">
        <f t="shared" si="8"/>
        <v>5.2631578947368418E-2</v>
      </c>
      <c r="O76" s="17">
        <f t="shared" si="9"/>
        <v>0</v>
      </c>
      <c r="P76" s="17" t="str">
        <f t="shared" si="11"/>
        <v xml:space="preserve"> </v>
      </c>
      <c r="Q76" s="17" t="str">
        <f t="shared" si="10"/>
        <v xml:space="preserve"> </v>
      </c>
      <c r="R76" s="17">
        <f t="shared" si="6"/>
        <v>5.6682577565632455E-3</v>
      </c>
    </row>
    <row r="77" spans="1:18" ht="12.75">
      <c r="A77" s="12">
        <f t="shared" si="0"/>
        <v>76</v>
      </c>
      <c r="B77" s="13" t="s">
        <v>87</v>
      </c>
      <c r="C77" s="14" t="str">
        <f t="array" aca="1" ref="C77" ca="1">INDEX('Rooms Master'!U:U,MATCH(B77,'Rooms Master'!D:D,0))</f>
        <v>Y</v>
      </c>
      <c r="D77" s="15">
        <v>76</v>
      </c>
      <c r="E77" s="15">
        <v>15</v>
      </c>
      <c r="F77" s="15">
        <v>1</v>
      </c>
      <c r="G77" s="15">
        <v>0</v>
      </c>
      <c r="H77" s="15">
        <v>0</v>
      </c>
      <c r="I77" s="15"/>
      <c r="J77" s="15"/>
      <c r="K77" s="15"/>
      <c r="L77" s="1" t="s">
        <v>34</v>
      </c>
      <c r="M77" s="17">
        <f t="shared" si="1"/>
        <v>6.6666666666666666E-2</v>
      </c>
      <c r="N77" s="18">
        <f t="shared" si="8"/>
        <v>0</v>
      </c>
      <c r="O77" s="17" t="str">
        <f t="shared" si="9"/>
        <v xml:space="preserve"> </v>
      </c>
      <c r="P77" s="17" t="str">
        <f t="shared" si="11"/>
        <v xml:space="preserve"> </v>
      </c>
      <c r="Q77" s="17" t="str">
        <f t="shared" si="10"/>
        <v xml:space="preserve"> </v>
      </c>
      <c r="R77" s="17">
        <f t="shared" si="6"/>
        <v>4.4749403341288784E-3</v>
      </c>
    </row>
    <row r="78" spans="1:18" ht="12.75">
      <c r="A78" s="21">
        <v>1</v>
      </c>
      <c r="B78" s="13" t="s">
        <v>57</v>
      </c>
      <c r="C78" s="14" t="str">
        <f t="array" aca="1" ref="C78" ca="1">INDEX('Rooms Master'!U:U,MATCH(B78,'Rooms Master'!D:D,0))</f>
        <v>Y</v>
      </c>
      <c r="D78" s="15">
        <v>77</v>
      </c>
      <c r="E78" s="15">
        <v>23</v>
      </c>
      <c r="F78" s="15">
        <v>3</v>
      </c>
      <c r="G78" s="15">
        <v>0</v>
      </c>
      <c r="H78" s="15">
        <v>0</v>
      </c>
      <c r="I78" s="15"/>
      <c r="J78" s="15"/>
      <c r="K78" s="15"/>
      <c r="L78" s="1"/>
      <c r="M78" s="17">
        <f t="shared" si="1"/>
        <v>0.13043478260869565</v>
      </c>
      <c r="N78" s="18">
        <f t="shared" si="8"/>
        <v>0</v>
      </c>
      <c r="O78" s="24" t="str">
        <f t="shared" si="9"/>
        <v xml:space="preserve"> </v>
      </c>
      <c r="P78" s="18" t="str">
        <f t="shared" si="11"/>
        <v xml:space="preserve"> </v>
      </c>
      <c r="Q78" s="18" t="str">
        <f t="shared" si="10"/>
        <v xml:space="preserve"> </v>
      </c>
      <c r="R78" s="17">
        <f t="shared" si="6"/>
        <v>6.8615751789976136E-3</v>
      </c>
    </row>
    <row r="79" spans="1:18" ht="12.75">
      <c r="A79" s="12">
        <f t="shared" ref="A79:A113" si="12">A78+1</f>
        <v>2</v>
      </c>
      <c r="B79" s="13" t="s">
        <v>40</v>
      </c>
      <c r="C79" s="14" t="str">
        <f t="array" aca="1" ref="C79" ca="1">INDEX('Rooms Master'!U:U,MATCH(B79,'Rooms Master'!D:D,0))</f>
        <v>Y</v>
      </c>
      <c r="D79" s="15">
        <v>78</v>
      </c>
      <c r="E79" s="15">
        <v>15</v>
      </c>
      <c r="F79" s="15">
        <v>10</v>
      </c>
      <c r="G79" s="15">
        <v>0</v>
      </c>
      <c r="H79" s="15">
        <v>0</v>
      </c>
      <c r="I79" s="15"/>
      <c r="J79" s="15"/>
      <c r="K79" s="15"/>
      <c r="L79" s="1" t="s">
        <v>20</v>
      </c>
      <c r="M79" s="17">
        <f t="shared" si="1"/>
        <v>0.66666666666666663</v>
      </c>
      <c r="N79" s="18">
        <f t="shared" si="8"/>
        <v>0</v>
      </c>
      <c r="O79" s="17" t="str">
        <f t="shared" si="9"/>
        <v xml:space="preserve"> </v>
      </c>
      <c r="P79" s="17" t="str">
        <f t="shared" si="11"/>
        <v xml:space="preserve"> </v>
      </c>
      <c r="Q79" s="17" t="str">
        <f t="shared" si="10"/>
        <v xml:space="preserve"> </v>
      </c>
      <c r="R79" s="17">
        <f t="shared" si="6"/>
        <v>4.4749403341288784E-3</v>
      </c>
    </row>
    <row r="80" spans="1:18" ht="12.75">
      <c r="A80" s="12">
        <f t="shared" si="12"/>
        <v>3</v>
      </c>
      <c r="B80" s="13" t="s">
        <v>85</v>
      </c>
      <c r="C80" s="14" t="str">
        <f t="array" aca="1" ref="C80" ca="1">INDEX('Rooms Master'!U:U,MATCH(B80,'Rooms Master'!D:D,0))</f>
        <v>N</v>
      </c>
      <c r="D80" s="15">
        <v>79</v>
      </c>
      <c r="E80" s="15">
        <v>28</v>
      </c>
      <c r="F80" s="15">
        <v>6</v>
      </c>
      <c r="G80" s="15">
        <v>3</v>
      </c>
      <c r="H80" s="15">
        <v>0</v>
      </c>
      <c r="I80" s="15"/>
      <c r="J80" s="15">
        <v>1</v>
      </c>
      <c r="K80" s="15">
        <v>1</v>
      </c>
      <c r="L80" s="1" t="s">
        <v>37</v>
      </c>
      <c r="M80" s="17">
        <f t="shared" si="1"/>
        <v>0.21428571428571427</v>
      </c>
      <c r="N80" s="18">
        <f t="shared" si="8"/>
        <v>0</v>
      </c>
      <c r="O80" s="17" t="str">
        <f t="shared" si="9"/>
        <v xml:space="preserve"> </v>
      </c>
      <c r="P80" s="17" t="str">
        <f t="shared" si="11"/>
        <v xml:space="preserve"> </v>
      </c>
      <c r="Q80" s="17">
        <f t="shared" si="10"/>
        <v>1</v>
      </c>
      <c r="R80" s="17">
        <f t="shared" si="6"/>
        <v>8.3532219570405727E-3</v>
      </c>
    </row>
    <row r="81" spans="1:18" ht="12.75">
      <c r="A81" s="12">
        <f t="shared" si="12"/>
        <v>4</v>
      </c>
      <c r="B81" s="13" t="s">
        <v>55</v>
      </c>
      <c r="C81" s="14" t="str">
        <f t="array" aca="1" ref="C81" ca="1">INDEX('Rooms Master'!U:U,MATCH(B81,'Rooms Master'!D:D,0))</f>
        <v>Y</v>
      </c>
      <c r="D81" s="15">
        <v>80</v>
      </c>
      <c r="E81" s="15">
        <v>20</v>
      </c>
      <c r="F81" s="15">
        <v>9</v>
      </c>
      <c r="G81" s="15">
        <v>2</v>
      </c>
      <c r="H81" s="15">
        <v>0</v>
      </c>
      <c r="I81" s="15"/>
      <c r="J81" s="15"/>
      <c r="K81" s="15"/>
      <c r="L81" s="1" t="s">
        <v>24</v>
      </c>
      <c r="M81" s="17">
        <f t="shared" si="1"/>
        <v>0.45</v>
      </c>
      <c r="N81" s="18">
        <f t="shared" si="8"/>
        <v>0</v>
      </c>
      <c r="O81" s="17" t="str">
        <f t="shared" si="9"/>
        <v xml:space="preserve"> </v>
      </c>
      <c r="P81" s="17" t="str">
        <f t="shared" si="11"/>
        <v xml:space="preserve"> </v>
      </c>
      <c r="Q81" s="17" t="str">
        <f t="shared" si="10"/>
        <v xml:space="preserve"> </v>
      </c>
      <c r="R81" s="17">
        <f t="shared" si="6"/>
        <v>5.9665871121718375E-3</v>
      </c>
    </row>
    <row r="82" spans="1:18" ht="12.75">
      <c r="A82" s="12">
        <f t="shared" si="12"/>
        <v>5</v>
      </c>
      <c r="B82" s="13" t="s">
        <v>108</v>
      </c>
      <c r="C82" s="14" t="str">
        <f t="array" aca="1" ref="C82" ca="1">INDEX('Rooms Master'!U:U,MATCH(B82,'Rooms Master'!D:D,0))</f>
        <v>Y</v>
      </c>
      <c r="D82" s="15">
        <v>81</v>
      </c>
      <c r="E82" s="15">
        <v>9</v>
      </c>
      <c r="F82" s="15">
        <v>1</v>
      </c>
      <c r="G82" s="15">
        <v>1</v>
      </c>
      <c r="H82" s="15">
        <v>0</v>
      </c>
      <c r="I82" s="15"/>
      <c r="J82" s="15"/>
      <c r="K82" s="15"/>
      <c r="L82" s="1" t="s">
        <v>24</v>
      </c>
      <c r="M82" s="17">
        <f t="shared" si="1"/>
        <v>0.1111111111111111</v>
      </c>
      <c r="N82" s="18">
        <f t="shared" si="8"/>
        <v>0</v>
      </c>
      <c r="O82" s="17" t="str">
        <f t="shared" si="9"/>
        <v xml:space="preserve"> </v>
      </c>
      <c r="P82" s="17" t="str">
        <f t="shared" si="11"/>
        <v xml:space="preserve"> </v>
      </c>
      <c r="Q82" s="17" t="str">
        <f t="shared" si="10"/>
        <v xml:space="preserve"> </v>
      </c>
      <c r="R82" s="17">
        <f t="shared" si="6"/>
        <v>2.6849642004773268E-3</v>
      </c>
    </row>
    <row r="83" spans="1:18" ht="12.75">
      <c r="A83" s="12">
        <f t="shared" si="12"/>
        <v>6</v>
      </c>
      <c r="B83" s="13" t="s">
        <v>109</v>
      </c>
      <c r="C83" s="14" t="str">
        <f t="array" aca="1" ref="C83" ca="1">INDEX('Rooms Master'!U:U,MATCH(B83,'Rooms Master'!D:D,0))</f>
        <v>Y</v>
      </c>
      <c r="D83" s="15">
        <v>82</v>
      </c>
      <c r="E83" s="15">
        <v>10</v>
      </c>
      <c r="F83" s="15">
        <v>1</v>
      </c>
      <c r="G83" s="15">
        <v>0</v>
      </c>
      <c r="H83" s="15">
        <v>0</v>
      </c>
      <c r="I83" s="15"/>
      <c r="J83" s="15"/>
      <c r="K83" s="15"/>
      <c r="L83" s="1" t="s">
        <v>37</v>
      </c>
      <c r="M83" s="17">
        <f t="shared" si="1"/>
        <v>0.1</v>
      </c>
      <c r="N83" s="18">
        <f t="shared" si="8"/>
        <v>0</v>
      </c>
      <c r="O83" s="17" t="str">
        <f t="shared" si="9"/>
        <v xml:space="preserve"> </v>
      </c>
      <c r="P83" s="17" t="str">
        <f t="shared" si="11"/>
        <v xml:space="preserve"> </v>
      </c>
      <c r="Q83" s="17" t="str">
        <f t="shared" si="10"/>
        <v xml:space="preserve"> </v>
      </c>
      <c r="R83" s="17">
        <f t="shared" si="6"/>
        <v>2.9832935560859188E-3</v>
      </c>
    </row>
    <row r="84" spans="1:18" ht="12.75">
      <c r="A84" s="12">
        <f t="shared" si="12"/>
        <v>7</v>
      </c>
      <c r="B84" s="13" t="s">
        <v>52</v>
      </c>
      <c r="C84" s="14" t="str">
        <f t="array" aca="1" ref="C84" ca="1">INDEX('Rooms Master'!U:U,MATCH(B84,'Rooms Master'!D:D,0))</f>
        <v>Y</v>
      </c>
      <c r="D84" s="15">
        <v>83</v>
      </c>
      <c r="E84" s="15">
        <v>15</v>
      </c>
      <c r="F84" s="15">
        <v>2</v>
      </c>
      <c r="G84" s="15">
        <v>1</v>
      </c>
      <c r="H84" s="15">
        <v>0</v>
      </c>
      <c r="I84" s="15"/>
      <c r="J84" s="15"/>
      <c r="K84" s="15"/>
      <c r="L84" s="1" t="s">
        <v>24</v>
      </c>
      <c r="M84" s="17">
        <f t="shared" si="1"/>
        <v>0.13333333333333333</v>
      </c>
      <c r="N84" s="18">
        <f t="shared" si="8"/>
        <v>0</v>
      </c>
      <c r="O84" s="17" t="str">
        <f t="shared" si="9"/>
        <v xml:space="preserve"> </v>
      </c>
      <c r="P84" s="17" t="str">
        <f t="shared" si="11"/>
        <v xml:space="preserve"> </v>
      </c>
      <c r="Q84" s="17" t="str">
        <f t="shared" si="10"/>
        <v xml:space="preserve"> </v>
      </c>
      <c r="R84" s="17">
        <f t="shared" si="6"/>
        <v>4.4749403341288784E-3</v>
      </c>
    </row>
    <row r="85" spans="1:18" ht="12.75">
      <c r="A85" s="12">
        <f t="shared" si="12"/>
        <v>8</v>
      </c>
      <c r="B85" s="13" t="s">
        <v>41</v>
      </c>
      <c r="C85" s="14" t="str">
        <f t="array" aca="1" ref="C85" ca="1">INDEX('Rooms Master'!U:U,MATCH(B85,'Rooms Master'!D:D,0))</f>
        <v>Y</v>
      </c>
      <c r="D85" s="15">
        <v>84</v>
      </c>
      <c r="E85" s="15">
        <v>20</v>
      </c>
      <c r="F85" s="15">
        <v>1</v>
      </c>
      <c r="G85" s="15">
        <v>0</v>
      </c>
      <c r="H85" s="15">
        <v>2</v>
      </c>
      <c r="I85" s="15"/>
      <c r="J85" s="15"/>
      <c r="K85" s="15"/>
      <c r="L85" s="1" t="s">
        <v>34</v>
      </c>
      <c r="M85" s="17">
        <f t="shared" si="1"/>
        <v>0.05</v>
      </c>
      <c r="N85" s="18">
        <f t="shared" si="8"/>
        <v>0.1</v>
      </c>
      <c r="O85" s="17">
        <f t="shared" si="9"/>
        <v>0</v>
      </c>
      <c r="P85" s="17" t="str">
        <f t="shared" si="11"/>
        <v xml:space="preserve"> </v>
      </c>
      <c r="Q85" s="17" t="str">
        <f t="shared" si="10"/>
        <v xml:space="preserve"> </v>
      </c>
      <c r="R85" s="17">
        <f t="shared" si="6"/>
        <v>5.9665871121718375E-3</v>
      </c>
    </row>
    <row r="86" spans="1:18" ht="12.75">
      <c r="A86" s="12">
        <f t="shared" si="12"/>
        <v>9</v>
      </c>
      <c r="B86" s="13" t="s">
        <v>88</v>
      </c>
      <c r="C86" s="14" t="str">
        <f t="array" aca="1" ref="C86" ca="1">INDEX('Rooms Master'!U:U,MATCH(B86,'Rooms Master'!D:D,0))</f>
        <v>N</v>
      </c>
      <c r="D86" s="15">
        <v>85</v>
      </c>
      <c r="E86" s="15">
        <v>29</v>
      </c>
      <c r="F86" s="15">
        <v>14</v>
      </c>
      <c r="G86" s="15">
        <v>2</v>
      </c>
      <c r="H86" s="15">
        <v>0</v>
      </c>
      <c r="I86" s="15"/>
      <c r="J86" s="15"/>
      <c r="K86" s="15"/>
      <c r="L86" s="1" t="s">
        <v>24</v>
      </c>
      <c r="M86" s="17">
        <f t="shared" si="1"/>
        <v>0.48275862068965519</v>
      </c>
      <c r="N86" s="18">
        <f t="shared" si="8"/>
        <v>0</v>
      </c>
      <c r="O86" s="17" t="str">
        <f t="shared" si="9"/>
        <v xml:space="preserve"> </v>
      </c>
      <c r="P86" s="17" t="str">
        <f t="shared" si="11"/>
        <v xml:space="preserve"> </v>
      </c>
      <c r="Q86" s="17" t="str">
        <f t="shared" si="10"/>
        <v xml:space="preserve"> </v>
      </c>
      <c r="R86" s="17">
        <f t="shared" si="6"/>
        <v>8.6515513126491639E-3</v>
      </c>
    </row>
    <row r="87" spans="1:18" ht="12.75">
      <c r="A87" s="12">
        <f t="shared" si="12"/>
        <v>10</v>
      </c>
      <c r="B87" s="13" t="s">
        <v>49</v>
      </c>
      <c r="C87" s="14" t="str">
        <f t="array" aca="1" ref="C87" ca="1">INDEX('Rooms Master'!U:U,MATCH(B87,'Rooms Master'!D:D,0))</f>
        <v>Y</v>
      </c>
      <c r="D87" s="15">
        <v>86</v>
      </c>
      <c r="E87" s="15">
        <v>50</v>
      </c>
      <c r="F87" s="15">
        <v>20</v>
      </c>
      <c r="G87" s="15">
        <v>1</v>
      </c>
      <c r="H87" s="15">
        <v>1</v>
      </c>
      <c r="I87" s="15"/>
      <c r="J87" s="15"/>
      <c r="K87" s="15"/>
      <c r="L87" s="1" t="s">
        <v>37</v>
      </c>
      <c r="M87" s="17">
        <f t="shared" si="1"/>
        <v>0.4</v>
      </c>
      <c r="N87" s="18">
        <f t="shared" si="8"/>
        <v>0.02</v>
      </c>
      <c r="O87" s="17">
        <f t="shared" si="9"/>
        <v>0</v>
      </c>
      <c r="P87" s="17" t="str">
        <f t="shared" si="11"/>
        <v xml:space="preserve"> </v>
      </c>
      <c r="Q87" s="17" t="str">
        <f t="shared" si="10"/>
        <v xml:space="preserve"> </v>
      </c>
      <c r="R87" s="17">
        <f t="shared" si="6"/>
        <v>1.4916467780429593E-2</v>
      </c>
    </row>
    <row r="88" spans="1:18" ht="12.75">
      <c r="A88" s="12">
        <f t="shared" si="12"/>
        <v>11</v>
      </c>
      <c r="B88" s="13" t="s">
        <v>100</v>
      </c>
      <c r="C88" s="14" t="str">
        <f t="array" aca="1" ref="C88" ca="1">INDEX('Rooms Master'!U:U,MATCH(B88,'Rooms Master'!D:D,0))</f>
        <v>N</v>
      </c>
      <c r="D88" s="14"/>
      <c r="E88" s="15">
        <v>0</v>
      </c>
      <c r="F88" s="15">
        <v>0</v>
      </c>
      <c r="G88" s="15">
        <v>0</v>
      </c>
      <c r="H88" s="15">
        <v>0</v>
      </c>
      <c r="I88" s="15"/>
      <c r="J88" s="15"/>
      <c r="K88" s="15"/>
      <c r="L88" s="1" t="s">
        <v>24</v>
      </c>
      <c r="M88" s="17" t="str">
        <f t="shared" si="1"/>
        <v xml:space="preserve"> </v>
      </c>
      <c r="N88" s="18" t="str">
        <f t="shared" si="8"/>
        <v xml:space="preserve"> </v>
      </c>
      <c r="O88" s="17" t="str">
        <f t="shared" si="9"/>
        <v xml:space="preserve"> </v>
      </c>
      <c r="P88" s="17" t="str">
        <f t="shared" si="11"/>
        <v xml:space="preserve"> </v>
      </c>
      <c r="Q88" s="17" t="str">
        <f t="shared" si="10"/>
        <v xml:space="preserve"> </v>
      </c>
      <c r="R88" s="17">
        <f t="shared" si="6"/>
        <v>0</v>
      </c>
    </row>
    <row r="89" spans="1:18" ht="12.75">
      <c r="A89" s="12">
        <f t="shared" si="12"/>
        <v>12</v>
      </c>
      <c r="B89" s="13" t="s">
        <v>75</v>
      </c>
      <c r="C89" s="14" t="str">
        <f t="array" aca="1" ref="C89" ca="1">INDEX('Rooms Master'!U:U,MATCH(B89,'Rooms Master'!D:D,0))</f>
        <v>N</v>
      </c>
      <c r="D89" s="14"/>
      <c r="E89" s="15">
        <v>4</v>
      </c>
      <c r="F89" s="15">
        <v>1</v>
      </c>
      <c r="G89" s="15">
        <v>0</v>
      </c>
      <c r="H89" s="15">
        <v>0</v>
      </c>
      <c r="I89" s="15"/>
      <c r="J89" s="15"/>
      <c r="K89" s="15"/>
      <c r="L89" s="1" t="s">
        <v>24</v>
      </c>
      <c r="M89" s="17">
        <f t="shared" si="1"/>
        <v>0.25</v>
      </c>
      <c r="N89" s="18">
        <f t="shared" si="8"/>
        <v>0</v>
      </c>
      <c r="O89" s="17" t="str">
        <f t="shared" si="9"/>
        <v xml:space="preserve"> </v>
      </c>
      <c r="P89" s="17" t="str">
        <f t="shared" si="11"/>
        <v xml:space="preserve"> </v>
      </c>
      <c r="Q89" s="17" t="str">
        <f t="shared" si="10"/>
        <v xml:space="preserve"> </v>
      </c>
      <c r="R89" s="17">
        <f t="shared" si="6"/>
        <v>1.1933174224343676E-3</v>
      </c>
    </row>
    <row r="90" spans="1:18" ht="12.75">
      <c r="A90" s="12">
        <f t="shared" si="12"/>
        <v>13</v>
      </c>
      <c r="B90" s="13" t="s">
        <v>118</v>
      </c>
      <c r="C90" s="14" t="str">
        <f t="array" aca="1" ref="C90" ca="1">INDEX('Rooms Master'!U:U,MATCH(B90,'Rooms Master'!D:D,0))</f>
        <v>N</v>
      </c>
      <c r="D90" s="14"/>
      <c r="E90" s="15">
        <v>1</v>
      </c>
      <c r="F90" s="15">
        <v>1</v>
      </c>
      <c r="G90" s="15">
        <v>0</v>
      </c>
      <c r="H90" s="15">
        <v>0</v>
      </c>
      <c r="I90" s="15"/>
      <c r="J90" s="15"/>
      <c r="K90" s="15"/>
      <c r="L90" s="1" t="s">
        <v>24</v>
      </c>
      <c r="M90" s="17">
        <f t="shared" si="1"/>
        <v>1</v>
      </c>
      <c r="N90" s="18">
        <f t="shared" si="8"/>
        <v>0</v>
      </c>
      <c r="O90" s="17" t="str">
        <f t="shared" si="9"/>
        <v xml:space="preserve"> </v>
      </c>
      <c r="P90" s="17" t="str">
        <f t="shared" si="11"/>
        <v xml:space="preserve"> </v>
      </c>
      <c r="Q90" s="17" t="str">
        <f t="shared" si="10"/>
        <v xml:space="preserve"> </v>
      </c>
      <c r="R90" s="17">
        <f t="shared" si="6"/>
        <v>2.983293556085919E-4</v>
      </c>
    </row>
    <row r="91" spans="1:18" ht="12.75">
      <c r="A91" s="12">
        <f t="shared" si="12"/>
        <v>14</v>
      </c>
      <c r="B91" s="13" t="s">
        <v>114</v>
      </c>
      <c r="C91" s="14" t="str">
        <f t="array" aca="1" ref="C91" ca="1">INDEX('Rooms Master'!U:U,MATCH(B91,'Rooms Master'!D:D,0))</f>
        <v>Y</v>
      </c>
      <c r="D91" s="14"/>
      <c r="E91" s="15">
        <v>0</v>
      </c>
      <c r="F91" s="15">
        <v>0</v>
      </c>
      <c r="G91" s="15">
        <v>0</v>
      </c>
      <c r="H91" s="15">
        <v>0</v>
      </c>
      <c r="I91" s="15"/>
      <c r="J91" s="15"/>
      <c r="K91" s="15"/>
      <c r="L91" s="1" t="s">
        <v>24</v>
      </c>
      <c r="M91" s="17" t="str">
        <f t="shared" si="1"/>
        <v xml:space="preserve"> </v>
      </c>
      <c r="N91" s="18" t="str">
        <f t="shared" si="8"/>
        <v xml:space="preserve"> </v>
      </c>
      <c r="O91" s="17" t="str">
        <f t="shared" si="9"/>
        <v xml:space="preserve"> </v>
      </c>
      <c r="P91" s="17" t="str">
        <f t="shared" si="11"/>
        <v xml:space="preserve"> </v>
      </c>
      <c r="Q91" s="17" t="str">
        <f t="shared" si="10"/>
        <v xml:space="preserve"> </v>
      </c>
      <c r="R91" s="17">
        <f t="shared" si="6"/>
        <v>0</v>
      </c>
    </row>
    <row r="92" spans="1:18" ht="12.75">
      <c r="A92" s="12">
        <f t="shared" si="12"/>
        <v>15</v>
      </c>
      <c r="B92" s="13" t="s">
        <v>122</v>
      </c>
      <c r="C92" s="14" t="str">
        <f t="array" aca="1" ref="C92" ca="1">INDEX('Rooms Master'!U:U,MATCH(B92,'Rooms Master'!D:D,0))</f>
        <v>N</v>
      </c>
      <c r="D92" s="15"/>
      <c r="E92" s="15">
        <v>6</v>
      </c>
      <c r="F92" s="15">
        <v>3</v>
      </c>
      <c r="G92" s="15">
        <v>0</v>
      </c>
      <c r="H92" s="15">
        <v>0</v>
      </c>
      <c r="I92" s="15"/>
      <c r="J92" s="15"/>
      <c r="K92" s="15"/>
      <c r="L92" s="21" t="s">
        <v>20</v>
      </c>
      <c r="M92" s="17">
        <f t="shared" si="1"/>
        <v>0.5</v>
      </c>
      <c r="N92" s="18">
        <f t="shared" si="8"/>
        <v>0</v>
      </c>
      <c r="O92" s="18" t="str">
        <f t="shared" si="9"/>
        <v xml:space="preserve"> </v>
      </c>
      <c r="P92" s="17" t="str">
        <f t="shared" si="11"/>
        <v xml:space="preserve"> </v>
      </c>
      <c r="Q92" s="17" t="str">
        <f t="shared" si="10"/>
        <v xml:space="preserve"> </v>
      </c>
      <c r="R92" s="17">
        <f t="shared" si="6"/>
        <v>1.7899761336515514E-3</v>
      </c>
    </row>
    <row r="93" spans="1:18" ht="12.75">
      <c r="A93" s="12">
        <f t="shared" si="12"/>
        <v>16</v>
      </c>
      <c r="B93" s="13" t="s">
        <v>125</v>
      </c>
      <c r="C93" s="14" t="str">
        <f t="array" aca="1" ref="C93" ca="1">INDEX('Rooms Master'!U:U,MATCH(B93,'Rooms Master'!D:D,0))</f>
        <v>N</v>
      </c>
      <c r="D93" s="15"/>
      <c r="E93" s="15">
        <v>90</v>
      </c>
      <c r="F93" s="15">
        <v>68</v>
      </c>
      <c r="G93" s="15">
        <v>7</v>
      </c>
      <c r="H93" s="15">
        <v>1</v>
      </c>
      <c r="I93" s="15"/>
      <c r="J93" s="15">
        <v>5</v>
      </c>
      <c r="K93" s="15">
        <v>5</v>
      </c>
      <c r="L93" s="1" t="s">
        <v>126</v>
      </c>
      <c r="M93" s="17">
        <f t="shared" si="1"/>
        <v>0.75555555555555554</v>
      </c>
      <c r="N93" s="18">
        <f t="shared" si="8"/>
        <v>1.1111111111111112E-2</v>
      </c>
      <c r="O93" s="17">
        <f t="shared" si="9"/>
        <v>5</v>
      </c>
      <c r="P93" s="17" t="str">
        <f t="shared" si="11"/>
        <v xml:space="preserve"> </v>
      </c>
      <c r="Q93" s="17">
        <f t="shared" si="10"/>
        <v>1</v>
      </c>
      <c r="R93" s="17">
        <f t="shared" si="6"/>
        <v>2.6849642004773269E-2</v>
      </c>
    </row>
    <row r="94" spans="1:18" ht="12.75">
      <c r="A94" s="12">
        <f t="shared" si="12"/>
        <v>17</v>
      </c>
      <c r="B94" s="13" t="s">
        <v>127</v>
      </c>
      <c r="C94" s="14" t="str">
        <f t="array" aca="1" ref="C94" ca="1">INDEX('Rooms Master'!U:U,MATCH(B94,'Rooms Master'!D:D,0))</f>
        <v>N</v>
      </c>
      <c r="D94" s="14"/>
      <c r="E94" s="15">
        <v>0</v>
      </c>
      <c r="F94" s="15">
        <v>0</v>
      </c>
      <c r="G94" s="15">
        <v>0</v>
      </c>
      <c r="H94" s="15">
        <v>0</v>
      </c>
      <c r="I94" s="15"/>
      <c r="J94" s="15"/>
      <c r="K94" s="15"/>
      <c r="L94" s="1" t="s">
        <v>24</v>
      </c>
      <c r="M94" s="17" t="str">
        <f t="shared" si="1"/>
        <v xml:space="preserve"> </v>
      </c>
      <c r="N94" s="18" t="str">
        <f t="shared" si="8"/>
        <v xml:space="preserve"> </v>
      </c>
      <c r="O94" s="17" t="str">
        <f t="shared" si="9"/>
        <v xml:space="preserve"> </v>
      </c>
      <c r="P94" s="17" t="str">
        <f t="shared" si="11"/>
        <v xml:space="preserve"> </v>
      </c>
      <c r="Q94" s="17" t="str">
        <f t="shared" si="10"/>
        <v xml:space="preserve"> </v>
      </c>
      <c r="R94" s="17">
        <f t="shared" si="6"/>
        <v>0</v>
      </c>
    </row>
    <row r="95" spans="1:18" ht="12.75">
      <c r="A95" s="12">
        <f t="shared" si="12"/>
        <v>18</v>
      </c>
      <c r="B95" s="13" t="s">
        <v>128</v>
      </c>
      <c r="C95" s="14" t="str">
        <f t="array" aca="1" ref="C95" ca="1">INDEX('Rooms Master'!U:U,MATCH(B95,'Rooms Master'!D:D,0))</f>
        <v>N</v>
      </c>
      <c r="D95" s="14"/>
      <c r="E95" s="15">
        <v>0</v>
      </c>
      <c r="F95" s="15">
        <v>0</v>
      </c>
      <c r="G95" s="15">
        <v>0</v>
      </c>
      <c r="H95" s="15">
        <v>0</v>
      </c>
      <c r="I95" s="15"/>
      <c r="J95" s="15"/>
      <c r="K95" s="15"/>
      <c r="L95" s="1" t="s">
        <v>24</v>
      </c>
      <c r="M95" s="17" t="str">
        <f t="shared" si="1"/>
        <v xml:space="preserve"> </v>
      </c>
      <c r="N95" s="18" t="str">
        <f t="shared" si="8"/>
        <v xml:space="preserve"> </v>
      </c>
      <c r="O95" s="17" t="str">
        <f t="shared" si="9"/>
        <v xml:space="preserve"> </v>
      </c>
      <c r="P95" s="17" t="str">
        <f t="shared" si="11"/>
        <v xml:space="preserve"> </v>
      </c>
      <c r="Q95" s="17" t="str">
        <f t="shared" si="10"/>
        <v xml:space="preserve"> </v>
      </c>
      <c r="R95" s="17">
        <f t="shared" si="6"/>
        <v>0</v>
      </c>
    </row>
    <row r="96" spans="1:18" ht="12.75">
      <c r="A96" s="12">
        <f t="shared" si="12"/>
        <v>19</v>
      </c>
      <c r="B96" s="13" t="s">
        <v>130</v>
      </c>
      <c r="C96" s="14" t="str">
        <f t="array" aca="1" ref="C96" ca="1">INDEX('Rooms Master'!U:U,MATCH(B96,'Rooms Master'!D:D,0))</f>
        <v>N</v>
      </c>
      <c r="D96" s="15"/>
      <c r="E96" s="15">
        <v>0</v>
      </c>
      <c r="F96" s="15">
        <v>0</v>
      </c>
      <c r="G96" s="15">
        <v>0</v>
      </c>
      <c r="H96" s="15">
        <v>0</v>
      </c>
      <c r="I96" s="15"/>
      <c r="J96" s="15"/>
      <c r="K96" s="15"/>
      <c r="L96" s="21" t="s">
        <v>20</v>
      </c>
      <c r="M96" s="17" t="str">
        <f t="shared" si="1"/>
        <v xml:space="preserve"> </v>
      </c>
      <c r="N96" s="18" t="str">
        <f t="shared" si="8"/>
        <v xml:space="preserve"> </v>
      </c>
      <c r="O96" s="17" t="str">
        <f t="shared" si="9"/>
        <v xml:space="preserve"> </v>
      </c>
      <c r="P96" s="18" t="str">
        <f t="shared" si="11"/>
        <v xml:space="preserve"> </v>
      </c>
      <c r="Q96" s="18" t="str">
        <f t="shared" si="10"/>
        <v xml:space="preserve"> </v>
      </c>
      <c r="R96" s="17">
        <f t="shared" si="6"/>
        <v>0</v>
      </c>
    </row>
    <row r="97" spans="1:18" ht="12.75">
      <c r="A97" s="12">
        <f t="shared" si="12"/>
        <v>20</v>
      </c>
      <c r="B97" s="13" t="s">
        <v>131</v>
      </c>
      <c r="C97" s="14" t="str">
        <f t="array" aca="1" ref="C97" ca="1">INDEX('Rooms Master'!U:U,MATCH(B97,'Rooms Master'!D:D,0))</f>
        <v>N</v>
      </c>
      <c r="D97" s="14"/>
      <c r="E97" s="15">
        <v>0</v>
      </c>
      <c r="F97" s="15">
        <v>0</v>
      </c>
      <c r="G97" s="15">
        <v>0</v>
      </c>
      <c r="H97" s="15">
        <v>0</v>
      </c>
      <c r="I97" s="15"/>
      <c r="J97" s="15"/>
      <c r="K97" s="15"/>
      <c r="L97" s="1" t="s">
        <v>24</v>
      </c>
      <c r="M97" s="17" t="str">
        <f t="shared" si="1"/>
        <v xml:space="preserve"> </v>
      </c>
      <c r="N97" s="18" t="str">
        <f t="shared" si="8"/>
        <v xml:space="preserve"> </v>
      </c>
      <c r="O97" s="17" t="str">
        <f t="shared" si="9"/>
        <v xml:space="preserve"> </v>
      </c>
      <c r="P97" s="17" t="str">
        <f t="shared" si="11"/>
        <v xml:space="preserve"> </v>
      </c>
      <c r="Q97" s="17" t="str">
        <f t="shared" si="10"/>
        <v xml:space="preserve"> </v>
      </c>
      <c r="R97" s="17">
        <f t="shared" si="6"/>
        <v>0</v>
      </c>
    </row>
    <row r="98" spans="1:18" ht="12.75">
      <c r="A98" s="12">
        <f t="shared" si="12"/>
        <v>21</v>
      </c>
      <c r="B98" s="13" t="s">
        <v>132</v>
      </c>
      <c r="C98" s="14" t="str">
        <f t="array" aca="1" ref="C98" ca="1">INDEX('Rooms Master'!U:U,MATCH(B98,'Rooms Master'!D:D,0))</f>
        <v>N</v>
      </c>
      <c r="D98" s="15"/>
      <c r="E98" s="15">
        <v>12</v>
      </c>
      <c r="F98" s="15">
        <v>0</v>
      </c>
      <c r="G98" s="15">
        <v>0</v>
      </c>
      <c r="H98" s="15">
        <v>0</v>
      </c>
      <c r="I98" s="15"/>
      <c r="J98" s="15"/>
      <c r="K98" s="15"/>
      <c r="L98" s="1" t="s">
        <v>24</v>
      </c>
      <c r="M98" s="17">
        <f t="shared" si="1"/>
        <v>0</v>
      </c>
      <c r="N98" s="18">
        <f t="shared" si="8"/>
        <v>0</v>
      </c>
      <c r="O98" s="17" t="str">
        <f t="shared" si="9"/>
        <v xml:space="preserve"> </v>
      </c>
      <c r="P98" s="17" t="str">
        <f t="shared" si="11"/>
        <v xml:space="preserve"> </v>
      </c>
      <c r="Q98" s="17" t="str">
        <f t="shared" si="10"/>
        <v xml:space="preserve"> </v>
      </c>
      <c r="R98" s="17">
        <f t="shared" si="6"/>
        <v>3.5799522673031028E-3</v>
      </c>
    </row>
    <row r="99" spans="1:18" ht="12.75">
      <c r="A99" s="12">
        <f t="shared" si="12"/>
        <v>22</v>
      </c>
      <c r="B99" s="13" t="s">
        <v>119</v>
      </c>
      <c r="C99" s="14" t="str">
        <f t="array" aca="1" ref="C99" ca="1">INDEX('Rooms Master'!U:U,MATCH(B99,'Rooms Master'!D:D,0))</f>
        <v>N</v>
      </c>
      <c r="D99" s="14"/>
      <c r="E99" s="15">
        <v>1</v>
      </c>
      <c r="F99" s="15">
        <v>1</v>
      </c>
      <c r="G99" s="15">
        <v>0</v>
      </c>
      <c r="H99" s="15">
        <v>0</v>
      </c>
      <c r="I99" s="15"/>
      <c r="J99" s="15"/>
      <c r="K99" s="15"/>
      <c r="L99" s="1" t="s">
        <v>24</v>
      </c>
      <c r="M99" s="17">
        <f t="shared" si="1"/>
        <v>1</v>
      </c>
      <c r="N99" s="18">
        <f t="shared" si="8"/>
        <v>0</v>
      </c>
      <c r="O99" s="17" t="str">
        <f t="shared" si="9"/>
        <v xml:space="preserve"> </v>
      </c>
      <c r="P99" s="17" t="str">
        <f t="shared" si="11"/>
        <v xml:space="preserve"> </v>
      </c>
      <c r="Q99" s="17" t="str">
        <f t="shared" si="10"/>
        <v xml:space="preserve"> </v>
      </c>
      <c r="R99" s="17">
        <f t="shared" si="6"/>
        <v>2.983293556085919E-4</v>
      </c>
    </row>
    <row r="100" spans="1:18" ht="12.75">
      <c r="A100" s="12">
        <f t="shared" si="12"/>
        <v>23</v>
      </c>
      <c r="B100" s="13" t="s">
        <v>133</v>
      </c>
      <c r="C100" s="14" t="str">
        <f t="array" aca="1" ref="C100" ca="1">INDEX('Rooms Master'!U:U,MATCH(B100,'Rooms Master'!D:D,0))</f>
        <v>N</v>
      </c>
      <c r="D100" s="14"/>
      <c r="E100" s="15">
        <v>0</v>
      </c>
      <c r="F100" s="15">
        <v>0</v>
      </c>
      <c r="G100" s="15">
        <v>0</v>
      </c>
      <c r="H100" s="15">
        <v>0</v>
      </c>
      <c r="I100" s="15"/>
      <c r="J100" s="15"/>
      <c r="K100" s="15"/>
      <c r="L100" s="1" t="s">
        <v>24</v>
      </c>
      <c r="M100" s="17" t="str">
        <f t="shared" si="1"/>
        <v xml:space="preserve"> </v>
      </c>
      <c r="N100" s="18" t="str">
        <f t="shared" si="8"/>
        <v xml:space="preserve"> </v>
      </c>
      <c r="O100" s="17" t="str">
        <f t="shared" si="9"/>
        <v xml:space="preserve"> </v>
      </c>
      <c r="P100" s="17" t="str">
        <f t="shared" si="11"/>
        <v xml:space="preserve"> </v>
      </c>
      <c r="Q100" s="17" t="str">
        <f t="shared" si="10"/>
        <v xml:space="preserve"> </v>
      </c>
      <c r="R100" s="17">
        <f t="shared" si="6"/>
        <v>0</v>
      </c>
    </row>
    <row r="101" spans="1:18" ht="12.75">
      <c r="A101" s="12">
        <f t="shared" si="12"/>
        <v>24</v>
      </c>
      <c r="B101" s="13" t="s">
        <v>134</v>
      </c>
      <c r="C101" s="14" t="str">
        <f t="array" aca="1" ref="C101" ca="1">INDEX('Rooms Master'!U:U,MATCH(B101,'Rooms Master'!D:D,0))</f>
        <v>N</v>
      </c>
      <c r="D101" s="14"/>
      <c r="E101" s="15">
        <v>0</v>
      </c>
      <c r="F101" s="15">
        <v>0</v>
      </c>
      <c r="G101" s="15">
        <v>0</v>
      </c>
      <c r="H101" s="15">
        <v>0</v>
      </c>
      <c r="I101" s="15"/>
      <c r="J101" s="15"/>
      <c r="K101" s="15"/>
      <c r="L101" s="1" t="s">
        <v>24</v>
      </c>
      <c r="M101" s="17" t="str">
        <f t="shared" si="1"/>
        <v xml:space="preserve"> </v>
      </c>
      <c r="N101" s="18" t="str">
        <f t="shared" si="8"/>
        <v xml:space="preserve"> </v>
      </c>
      <c r="O101" s="17" t="str">
        <f t="shared" si="9"/>
        <v xml:space="preserve"> </v>
      </c>
      <c r="P101" s="17" t="str">
        <f t="shared" si="11"/>
        <v xml:space="preserve"> </v>
      </c>
      <c r="Q101" s="17" t="str">
        <f t="shared" si="10"/>
        <v xml:space="preserve"> </v>
      </c>
      <c r="R101" s="17">
        <f t="shared" si="6"/>
        <v>0</v>
      </c>
    </row>
    <row r="102" spans="1:18" ht="12.75">
      <c r="A102" s="12">
        <f t="shared" si="12"/>
        <v>25</v>
      </c>
      <c r="B102" s="13" t="s">
        <v>137</v>
      </c>
      <c r="C102" s="14" t="str">
        <f t="array" aca="1" ref="C102" ca="1">INDEX('Rooms Master'!U:U,MATCH(B102,'Rooms Master'!D:D,0))</f>
        <v>N</v>
      </c>
      <c r="D102" s="15"/>
      <c r="E102" s="15">
        <v>2</v>
      </c>
      <c r="F102" s="15">
        <v>1</v>
      </c>
      <c r="G102" s="15">
        <v>0</v>
      </c>
      <c r="H102" s="15">
        <v>0</v>
      </c>
      <c r="I102" s="15"/>
      <c r="J102" s="15"/>
      <c r="K102" s="15"/>
      <c r="L102" s="1" t="s">
        <v>138</v>
      </c>
      <c r="M102" s="17">
        <f t="shared" si="1"/>
        <v>0.5</v>
      </c>
      <c r="N102" s="18">
        <f t="shared" si="8"/>
        <v>0</v>
      </c>
      <c r="O102" s="17" t="str">
        <f t="shared" si="9"/>
        <v xml:space="preserve"> </v>
      </c>
      <c r="P102" s="17" t="str">
        <f t="shared" si="11"/>
        <v xml:space="preserve"> </v>
      </c>
      <c r="Q102" s="17" t="str">
        <f t="shared" si="10"/>
        <v xml:space="preserve"> </v>
      </c>
      <c r="R102" s="17">
        <f t="shared" si="6"/>
        <v>5.966587112171838E-4</v>
      </c>
    </row>
    <row r="103" spans="1:18" ht="12.75">
      <c r="A103" s="12">
        <f t="shared" si="12"/>
        <v>26</v>
      </c>
      <c r="B103" s="13" t="s">
        <v>76</v>
      </c>
      <c r="C103" s="14" t="str">
        <f t="array" aca="1" ref="C103" ca="1">INDEX('Rooms Master'!U:U,MATCH(B103,'Rooms Master'!D:D,0))</f>
        <v>N</v>
      </c>
      <c r="D103" s="15"/>
      <c r="E103" s="15">
        <v>190</v>
      </c>
      <c r="F103" s="15">
        <v>84</v>
      </c>
      <c r="G103" s="15">
        <v>12</v>
      </c>
      <c r="H103" s="15">
        <v>2</v>
      </c>
      <c r="I103" s="15">
        <v>0</v>
      </c>
      <c r="J103" s="15">
        <v>6</v>
      </c>
      <c r="K103" s="15">
        <v>6</v>
      </c>
      <c r="L103" s="1" t="s">
        <v>34</v>
      </c>
      <c r="M103" s="17">
        <f t="shared" si="1"/>
        <v>0.44210526315789472</v>
      </c>
      <c r="N103" s="18">
        <f t="shared" si="8"/>
        <v>1.0526315789473684E-2</v>
      </c>
      <c r="O103" s="17">
        <f t="shared" si="9"/>
        <v>3</v>
      </c>
      <c r="P103" s="17" t="str">
        <f t="shared" si="11"/>
        <v xml:space="preserve"> </v>
      </c>
      <c r="Q103" s="17">
        <f t="shared" si="10"/>
        <v>1</v>
      </c>
      <c r="R103" s="17">
        <f t="shared" si="6"/>
        <v>5.6682577565632455E-2</v>
      </c>
    </row>
    <row r="104" spans="1:18" ht="12.75">
      <c r="A104" s="12">
        <f t="shared" si="12"/>
        <v>27</v>
      </c>
      <c r="B104" s="13" t="s">
        <v>66</v>
      </c>
      <c r="C104" s="14" t="str">
        <f t="array" aca="1" ref="C104" ca="1">INDEX('Rooms Master'!U:U,MATCH(B104,'Rooms Master'!D:D,0))</f>
        <v>Y</v>
      </c>
      <c r="D104" s="15"/>
      <c r="E104" s="15">
        <v>10</v>
      </c>
      <c r="F104" s="15">
        <v>9</v>
      </c>
      <c r="G104" s="15">
        <v>0</v>
      </c>
      <c r="H104" s="15">
        <v>0</v>
      </c>
      <c r="I104" s="15"/>
      <c r="J104" s="15"/>
      <c r="K104" s="15"/>
      <c r="L104" s="1" t="s">
        <v>34</v>
      </c>
      <c r="M104" s="17">
        <f t="shared" si="1"/>
        <v>0.9</v>
      </c>
      <c r="N104" s="18">
        <f t="shared" si="8"/>
        <v>0</v>
      </c>
      <c r="O104" s="17" t="str">
        <f t="shared" si="9"/>
        <v xml:space="preserve"> </v>
      </c>
      <c r="P104" s="17" t="str">
        <f t="shared" si="11"/>
        <v xml:space="preserve"> </v>
      </c>
      <c r="Q104" s="17" t="str">
        <f t="shared" si="10"/>
        <v xml:space="preserve"> </v>
      </c>
      <c r="R104" s="17">
        <f t="shared" si="6"/>
        <v>2.9832935560859188E-3</v>
      </c>
    </row>
    <row r="105" spans="1:18" ht="12.75">
      <c r="A105" s="12">
        <f t="shared" si="12"/>
        <v>28</v>
      </c>
      <c r="B105" s="13" t="s">
        <v>139</v>
      </c>
      <c r="C105" s="14" t="str">
        <f t="array" aca="1" ref="C105" ca="1">INDEX('Rooms Master'!U:U,MATCH(B105,'Rooms Master'!D:D,0))</f>
        <v>N</v>
      </c>
      <c r="D105" s="14"/>
      <c r="E105" s="15">
        <v>1</v>
      </c>
      <c r="F105" s="15">
        <v>0</v>
      </c>
      <c r="G105" s="15">
        <v>0</v>
      </c>
      <c r="H105" s="15">
        <v>0</v>
      </c>
      <c r="I105" s="15"/>
      <c r="J105" s="15"/>
      <c r="K105" s="15"/>
      <c r="L105" s="1" t="s">
        <v>24</v>
      </c>
      <c r="M105" s="17">
        <f t="shared" si="1"/>
        <v>0</v>
      </c>
      <c r="N105" s="18">
        <f t="shared" si="8"/>
        <v>0</v>
      </c>
      <c r="O105" s="17" t="str">
        <f t="shared" si="9"/>
        <v xml:space="preserve"> </v>
      </c>
      <c r="P105" s="17" t="str">
        <f t="shared" si="11"/>
        <v xml:space="preserve"> </v>
      </c>
      <c r="Q105" s="17" t="str">
        <f t="shared" si="10"/>
        <v xml:space="preserve"> </v>
      </c>
      <c r="R105" s="17">
        <f t="shared" si="6"/>
        <v>2.983293556085919E-4</v>
      </c>
    </row>
    <row r="106" spans="1:18" ht="12.75">
      <c r="A106" s="12">
        <f t="shared" si="12"/>
        <v>29</v>
      </c>
      <c r="B106" s="13" t="s">
        <v>140</v>
      </c>
      <c r="C106" s="14" t="str">
        <f t="array" aca="1" ref="C106" ca="1">INDEX('Rooms Master'!U:U,MATCH(B106,'Rooms Master'!D:D,0))</f>
        <v>N</v>
      </c>
      <c r="D106" s="14"/>
      <c r="E106" s="15">
        <v>0</v>
      </c>
      <c r="F106" s="15">
        <v>0</v>
      </c>
      <c r="G106" s="15">
        <v>0</v>
      </c>
      <c r="H106" s="15">
        <v>0</v>
      </c>
      <c r="I106" s="15"/>
      <c r="J106" s="15"/>
      <c r="K106" s="15"/>
      <c r="L106" s="1" t="s">
        <v>24</v>
      </c>
      <c r="M106" s="17" t="str">
        <f t="shared" si="1"/>
        <v xml:space="preserve"> </v>
      </c>
      <c r="N106" s="18" t="str">
        <f t="shared" si="8"/>
        <v xml:space="preserve"> </v>
      </c>
      <c r="O106" s="17" t="str">
        <f t="shared" si="9"/>
        <v xml:space="preserve"> </v>
      </c>
      <c r="P106" s="17" t="str">
        <f t="shared" si="11"/>
        <v xml:space="preserve"> </v>
      </c>
      <c r="Q106" s="17" t="str">
        <f t="shared" si="10"/>
        <v xml:space="preserve"> </v>
      </c>
      <c r="R106" s="17">
        <f t="shared" si="6"/>
        <v>0</v>
      </c>
    </row>
    <row r="107" spans="1:18" ht="12.75">
      <c r="A107" s="12">
        <f t="shared" si="12"/>
        <v>30</v>
      </c>
      <c r="B107" s="13" t="s">
        <v>107</v>
      </c>
      <c r="C107" s="14" t="str">
        <f t="array" aca="1" ref="C107" ca="1">INDEX('Rooms Master'!U:U,MATCH(B107,'Rooms Master'!D:D,0))</f>
        <v>Y</v>
      </c>
      <c r="D107" s="14"/>
      <c r="E107" s="15">
        <v>4</v>
      </c>
      <c r="F107" s="15">
        <v>4</v>
      </c>
      <c r="G107" s="15">
        <v>0</v>
      </c>
      <c r="H107" s="15">
        <v>0</v>
      </c>
      <c r="I107" s="15"/>
      <c r="J107" s="15"/>
      <c r="K107" s="15"/>
      <c r="L107" s="1" t="s">
        <v>24</v>
      </c>
      <c r="M107" s="17">
        <f t="shared" si="1"/>
        <v>1</v>
      </c>
      <c r="N107" s="18">
        <f t="shared" si="8"/>
        <v>0</v>
      </c>
      <c r="O107" s="17" t="str">
        <f t="shared" si="9"/>
        <v xml:space="preserve"> </v>
      </c>
      <c r="P107" s="17" t="str">
        <f t="shared" si="11"/>
        <v xml:space="preserve"> </v>
      </c>
      <c r="Q107" s="17" t="str">
        <f t="shared" si="10"/>
        <v xml:space="preserve"> </v>
      </c>
      <c r="R107" s="17">
        <f t="shared" si="6"/>
        <v>1.1933174224343676E-3</v>
      </c>
    </row>
    <row r="108" spans="1:18" ht="12.75">
      <c r="A108" s="12">
        <f t="shared" si="12"/>
        <v>31</v>
      </c>
      <c r="B108" s="13" t="s">
        <v>72</v>
      </c>
      <c r="C108" s="14" t="str">
        <f t="array" aca="1" ref="C108" ca="1">INDEX('Rooms Master'!U:U,MATCH(B108,'Rooms Master'!D:D,0))</f>
        <v>N</v>
      </c>
      <c r="D108" s="15"/>
      <c r="E108" s="15">
        <v>0</v>
      </c>
      <c r="F108" s="15">
        <v>0</v>
      </c>
      <c r="G108" s="15">
        <v>0</v>
      </c>
      <c r="H108" s="15">
        <v>0</v>
      </c>
      <c r="I108" s="15"/>
      <c r="J108" s="15"/>
      <c r="K108" s="15"/>
      <c r="M108" s="17" t="str">
        <f t="shared" si="1"/>
        <v xml:space="preserve"> </v>
      </c>
      <c r="N108" s="18" t="str">
        <f t="shared" si="8"/>
        <v xml:space="preserve"> </v>
      </c>
      <c r="O108" s="17" t="str">
        <f t="shared" si="9"/>
        <v xml:space="preserve"> </v>
      </c>
      <c r="P108" s="17" t="str">
        <f t="shared" si="11"/>
        <v xml:space="preserve"> </v>
      </c>
      <c r="Q108" s="17" t="str">
        <f t="shared" si="10"/>
        <v xml:space="preserve"> </v>
      </c>
      <c r="R108" s="17">
        <f t="shared" si="6"/>
        <v>0</v>
      </c>
    </row>
    <row r="109" spans="1:18" ht="12.75">
      <c r="A109" s="12">
        <f t="shared" si="12"/>
        <v>32</v>
      </c>
      <c r="B109" s="13" t="s">
        <v>141</v>
      </c>
      <c r="C109" s="15" t="s">
        <v>142</v>
      </c>
      <c r="D109" s="14"/>
      <c r="E109" s="15">
        <v>0</v>
      </c>
      <c r="F109" s="15">
        <v>0</v>
      </c>
      <c r="G109" s="15">
        <v>0</v>
      </c>
      <c r="H109" s="15">
        <v>0</v>
      </c>
      <c r="I109" s="15"/>
      <c r="J109" s="15"/>
      <c r="K109" s="15"/>
      <c r="L109" s="1" t="s">
        <v>24</v>
      </c>
      <c r="M109" s="17" t="str">
        <f t="shared" si="1"/>
        <v xml:space="preserve"> </v>
      </c>
      <c r="N109" s="18" t="str">
        <f t="shared" si="8"/>
        <v xml:space="preserve"> </v>
      </c>
      <c r="O109" s="17" t="str">
        <f t="shared" si="9"/>
        <v xml:space="preserve"> </v>
      </c>
      <c r="P109" s="17" t="str">
        <f t="shared" si="11"/>
        <v xml:space="preserve"> </v>
      </c>
      <c r="Q109" s="17" t="str">
        <f t="shared" si="10"/>
        <v xml:space="preserve"> </v>
      </c>
      <c r="R109" s="17">
        <f t="shared" si="6"/>
        <v>0</v>
      </c>
    </row>
    <row r="110" spans="1:18" ht="12.75">
      <c r="A110" s="12">
        <f t="shared" si="12"/>
        <v>33</v>
      </c>
      <c r="B110" s="13" t="s">
        <v>120</v>
      </c>
      <c r="C110" s="14" t="str">
        <f t="array" aca="1" ref="C110" ca="1">INDEX('Rooms Master'!U:U,MATCH(B110,'Rooms Master'!D:D,0))</f>
        <v>N</v>
      </c>
      <c r="D110" s="14"/>
      <c r="E110" s="15">
        <v>2</v>
      </c>
      <c r="F110" s="15">
        <v>1</v>
      </c>
      <c r="G110" s="15">
        <v>0</v>
      </c>
      <c r="H110" s="15">
        <v>0</v>
      </c>
      <c r="I110" s="15"/>
      <c r="J110" s="15"/>
      <c r="K110" s="15"/>
      <c r="L110" s="1" t="s">
        <v>24</v>
      </c>
      <c r="M110" s="17">
        <f t="shared" si="1"/>
        <v>0.5</v>
      </c>
      <c r="N110" s="18">
        <f t="shared" si="8"/>
        <v>0</v>
      </c>
      <c r="O110" s="17" t="str">
        <f t="shared" si="9"/>
        <v xml:space="preserve"> </v>
      </c>
      <c r="P110" s="17" t="str">
        <f t="shared" si="11"/>
        <v xml:space="preserve"> </v>
      </c>
      <c r="Q110" s="17" t="str">
        <f t="shared" si="10"/>
        <v xml:space="preserve"> </v>
      </c>
      <c r="R110" s="17">
        <f t="shared" si="6"/>
        <v>5.966587112171838E-4</v>
      </c>
    </row>
    <row r="111" spans="1:18" ht="12.75">
      <c r="A111" s="12">
        <f t="shared" si="12"/>
        <v>34</v>
      </c>
      <c r="B111" s="13" t="s">
        <v>121</v>
      </c>
      <c r="C111" s="14" t="str">
        <f t="array" aca="1" ref="C111" ca="1">INDEX('Rooms Master'!U:U,MATCH(B111,'Rooms Master'!D:D,0))</f>
        <v>N</v>
      </c>
      <c r="D111" s="14"/>
      <c r="E111" s="15">
        <v>0</v>
      </c>
      <c r="F111" s="15">
        <v>0</v>
      </c>
      <c r="G111" s="15">
        <v>0</v>
      </c>
      <c r="H111" s="15">
        <v>0</v>
      </c>
      <c r="I111" s="15"/>
      <c r="J111" s="15"/>
      <c r="K111" s="15"/>
      <c r="L111" s="1" t="s">
        <v>24</v>
      </c>
      <c r="M111" s="17" t="str">
        <f t="shared" si="1"/>
        <v xml:space="preserve"> </v>
      </c>
      <c r="N111" s="18" t="str">
        <f t="shared" si="8"/>
        <v xml:space="preserve"> </v>
      </c>
      <c r="O111" s="17" t="str">
        <f t="shared" si="9"/>
        <v xml:space="preserve"> </v>
      </c>
      <c r="P111" s="17" t="str">
        <f t="shared" si="11"/>
        <v xml:space="preserve"> </v>
      </c>
      <c r="Q111" s="17" t="str">
        <f t="shared" si="10"/>
        <v xml:space="preserve"> </v>
      </c>
      <c r="R111" s="17">
        <f t="shared" si="6"/>
        <v>0</v>
      </c>
    </row>
    <row r="112" spans="1:18" ht="12.75">
      <c r="A112" s="12">
        <f t="shared" si="12"/>
        <v>35</v>
      </c>
      <c r="B112" s="13" t="s">
        <v>91</v>
      </c>
      <c r="C112" s="14" t="str">
        <f t="array" aca="1" ref="C112" ca="1">INDEX('Rooms Master'!U:U,MATCH(B112,'Rooms Master'!D:D,0))</f>
        <v>N</v>
      </c>
      <c r="D112" s="15"/>
      <c r="E112" s="15">
        <v>1</v>
      </c>
      <c r="F112" s="15">
        <v>0</v>
      </c>
      <c r="G112" s="15">
        <v>0</v>
      </c>
      <c r="H112" s="15">
        <v>0</v>
      </c>
      <c r="I112" s="26"/>
      <c r="J112" s="15"/>
      <c r="K112" s="15">
        <v>1</v>
      </c>
      <c r="L112" s="1" t="s">
        <v>20</v>
      </c>
      <c r="M112" s="17">
        <f t="shared" si="1"/>
        <v>0</v>
      </c>
      <c r="N112" s="18">
        <f t="shared" si="8"/>
        <v>0</v>
      </c>
      <c r="O112" s="17" t="str">
        <f t="shared" si="9"/>
        <v xml:space="preserve"> </v>
      </c>
      <c r="P112" s="17" t="str">
        <f>IFERROR(K112/#REF!, " ")</f>
        <v xml:space="preserve"> </v>
      </c>
      <c r="Q112" s="17" t="str">
        <f t="shared" si="10"/>
        <v xml:space="preserve"> </v>
      </c>
      <c r="R112" s="17">
        <f t="shared" si="6"/>
        <v>2.983293556085919E-4</v>
      </c>
    </row>
    <row r="113" spans="1:29" ht="12.75">
      <c r="A113" s="12">
        <f t="shared" si="12"/>
        <v>36</v>
      </c>
      <c r="B113" s="13" t="s">
        <v>111</v>
      </c>
      <c r="C113" s="14" t="str">
        <f t="array" aca="1" ref="C113" ca="1">INDEX('Rooms Master'!U:U,MATCH(B113,'Rooms Master'!D:D,0))</f>
        <v>N</v>
      </c>
      <c r="D113" s="14"/>
      <c r="E113" s="15">
        <v>5</v>
      </c>
      <c r="F113" s="15">
        <v>3</v>
      </c>
      <c r="G113" s="15">
        <v>0</v>
      </c>
      <c r="H113" s="15">
        <v>0</v>
      </c>
      <c r="I113" s="15"/>
      <c r="J113" s="15"/>
      <c r="K113" s="15"/>
      <c r="L113" s="1" t="s">
        <v>24</v>
      </c>
      <c r="M113" s="17">
        <f t="shared" si="1"/>
        <v>0.6</v>
      </c>
      <c r="N113" s="18">
        <f t="shared" si="8"/>
        <v>0</v>
      </c>
      <c r="O113" s="17" t="str">
        <f t="shared" si="9"/>
        <v xml:space="preserve"> </v>
      </c>
      <c r="P113" s="17" t="str">
        <f>IFERROR(K113/I113, " ")</f>
        <v xml:space="preserve"> </v>
      </c>
      <c r="Q113" s="17" t="str">
        <f t="shared" si="10"/>
        <v xml:space="preserve"> </v>
      </c>
      <c r="R113" s="17">
        <f t="shared" si="6"/>
        <v>1.4916467780429594E-3</v>
      </c>
    </row>
    <row r="114" spans="1:29" ht="12.75">
      <c r="C114" s="29"/>
      <c r="D114" s="29"/>
      <c r="E114" s="29"/>
      <c r="F114" s="29"/>
      <c r="G114" s="29"/>
      <c r="H114" s="29"/>
      <c r="I114" s="29"/>
      <c r="J114" s="29"/>
      <c r="K114" s="29"/>
      <c r="M114" s="17"/>
      <c r="N114" s="18" t="str">
        <f t="shared" si="8"/>
        <v xml:space="preserve"> </v>
      </c>
      <c r="R114" s="17"/>
    </row>
    <row r="115" spans="1:29" ht="13.15">
      <c r="A115" s="30"/>
      <c r="B115" s="31" t="s">
        <v>143</v>
      </c>
      <c r="C115" s="32"/>
      <c r="D115" s="32"/>
      <c r="E115" s="32">
        <f t="shared" ref="E115:K115" si="13">SUM(E2:E113)</f>
        <v>3352</v>
      </c>
      <c r="F115" s="32">
        <f t="shared" si="13"/>
        <v>957</v>
      </c>
      <c r="G115" s="32">
        <f t="shared" si="13"/>
        <v>139</v>
      </c>
      <c r="H115" s="32">
        <f t="shared" si="13"/>
        <v>87</v>
      </c>
      <c r="I115" s="32">
        <f t="shared" si="13"/>
        <v>11</v>
      </c>
      <c r="J115" s="32">
        <f t="shared" si="13"/>
        <v>24</v>
      </c>
      <c r="K115" s="32">
        <f t="shared" si="13"/>
        <v>17</v>
      </c>
      <c r="L115" s="30"/>
      <c r="M115" s="33"/>
      <c r="N115" s="34">
        <f t="shared" si="8"/>
        <v>2.5954653937947495E-2</v>
      </c>
      <c r="O115" s="33">
        <f>K115/H115</f>
        <v>0.19540229885057472</v>
      </c>
      <c r="P115" s="33">
        <f>K115/I115</f>
        <v>1.5454545454545454</v>
      </c>
      <c r="Q115" s="33">
        <f>K115/J115</f>
        <v>0.70833333333333337</v>
      </c>
      <c r="R115" s="33"/>
      <c r="S115" s="33">
        <f>K115/E115</f>
        <v>5.0715990453460624E-3</v>
      </c>
      <c r="T115" s="30"/>
      <c r="U115" s="30"/>
      <c r="V115" s="30"/>
      <c r="W115" s="30"/>
      <c r="X115" s="30"/>
      <c r="Y115" s="30"/>
      <c r="Z115" s="30"/>
      <c r="AA115" s="30"/>
      <c r="AB115" s="30"/>
      <c r="AC115" s="30"/>
    </row>
    <row r="116" spans="1:29" ht="12.75">
      <c r="M116" s="17"/>
      <c r="N116" s="35"/>
      <c r="R116" s="17"/>
    </row>
    <row r="117" spans="1:29" ht="13.5">
      <c r="B117" s="21" t="s">
        <v>144</v>
      </c>
      <c r="C117" s="36">
        <f ca="1">IFERROR(__xludf.DUMMYFUNCTION("AVERAGE(FILTER($E$2:$E$113,$C2:$C$113=""Y""))"),30.7384615384615)</f>
        <v>30.7384615384615</v>
      </c>
      <c r="K117" s="37"/>
      <c r="M117" s="17"/>
      <c r="N117" s="35"/>
      <c r="R117" s="17"/>
    </row>
    <row r="118" spans="1:29" ht="12.75">
      <c r="M118" s="17"/>
      <c r="N118" s="35"/>
      <c r="R118" s="17"/>
    </row>
    <row r="119" spans="1:29" ht="12.75">
      <c r="M119" s="17"/>
      <c r="N119" s="35"/>
      <c r="R119" s="17"/>
    </row>
    <row r="120" spans="1:29" ht="12.75">
      <c r="M120" s="17"/>
      <c r="N120" s="35"/>
      <c r="R120" s="17"/>
    </row>
    <row r="121" spans="1:29" ht="12.75">
      <c r="B121" s="13"/>
      <c r="C121" s="25"/>
      <c r="D121" s="25"/>
      <c r="F121" s="38"/>
      <c r="G121" s="38"/>
      <c r="H121" s="38"/>
      <c r="I121" s="38"/>
      <c r="J121" s="38"/>
      <c r="K121" s="38"/>
      <c r="M121" s="17"/>
      <c r="N121" s="35"/>
      <c r="R121" s="17"/>
    </row>
    <row r="122" spans="1:29" ht="12.75">
      <c r="B122" s="13"/>
      <c r="C122" s="25"/>
      <c r="D122" s="25"/>
      <c r="F122" s="38"/>
      <c r="G122" s="38"/>
      <c r="H122" s="38"/>
      <c r="I122" s="38"/>
      <c r="J122" s="38"/>
      <c r="K122" s="38"/>
      <c r="M122" s="17"/>
      <c r="N122" s="35"/>
      <c r="R122" s="17"/>
    </row>
    <row r="123" spans="1:29" ht="12.75">
      <c r="B123" s="13"/>
      <c r="C123" s="25"/>
      <c r="D123" s="25"/>
      <c r="F123" s="38"/>
      <c r="G123" s="38"/>
      <c r="H123" s="38"/>
      <c r="I123" s="38"/>
      <c r="J123" s="38"/>
      <c r="K123" s="38"/>
      <c r="M123" s="17"/>
      <c r="N123" s="35"/>
      <c r="R123" s="17"/>
    </row>
    <row r="124" spans="1:29" ht="12.75">
      <c r="B124" s="13"/>
      <c r="C124" s="25"/>
      <c r="D124" s="25"/>
      <c r="F124" s="38"/>
      <c r="G124" s="38"/>
      <c r="H124" s="38"/>
      <c r="I124" s="38"/>
      <c r="J124" s="38"/>
      <c r="K124" s="38"/>
      <c r="M124" s="17"/>
      <c r="N124" s="35"/>
      <c r="R124" s="17"/>
    </row>
    <row r="125" spans="1:29" ht="12.75">
      <c r="B125" s="13"/>
      <c r="C125" s="25"/>
      <c r="D125" s="25"/>
      <c r="F125" s="38"/>
      <c r="G125" s="38"/>
      <c r="H125" s="38"/>
      <c r="I125" s="38"/>
      <c r="J125" s="38"/>
      <c r="K125" s="38"/>
      <c r="M125" s="17"/>
      <c r="N125" s="35"/>
      <c r="R125" s="17"/>
    </row>
    <row r="126" spans="1:29" ht="12.75">
      <c r="B126" s="13"/>
      <c r="C126" s="25"/>
      <c r="D126" s="25"/>
      <c r="F126" s="38"/>
      <c r="G126" s="38"/>
      <c r="H126" s="38"/>
      <c r="I126" s="38"/>
      <c r="J126" s="38"/>
      <c r="K126" s="38"/>
      <c r="M126" s="17"/>
      <c r="N126" s="35"/>
      <c r="R126" s="17"/>
    </row>
    <row r="127" spans="1:29" ht="12.75">
      <c r="B127" s="13"/>
      <c r="C127" s="25"/>
      <c r="D127" s="25"/>
      <c r="F127" s="38"/>
      <c r="G127" s="38"/>
      <c r="H127" s="38"/>
      <c r="I127" s="38"/>
      <c r="J127" s="38"/>
      <c r="K127" s="38"/>
      <c r="M127" s="17"/>
      <c r="N127" s="35"/>
      <c r="R127" s="17"/>
    </row>
    <row r="128" spans="1:29" ht="12.75">
      <c r="B128" s="13"/>
      <c r="C128" s="25"/>
      <c r="D128" s="25"/>
      <c r="F128" s="38"/>
      <c r="G128" s="38"/>
      <c r="H128" s="38"/>
      <c r="I128" s="38"/>
      <c r="J128" s="38"/>
      <c r="K128" s="38"/>
      <c r="M128" s="17"/>
      <c r="N128" s="35"/>
      <c r="R128" s="17"/>
    </row>
    <row r="129" spans="2:18" ht="12.75">
      <c r="B129" s="13"/>
      <c r="C129" s="25"/>
      <c r="D129" s="25"/>
      <c r="F129" s="38"/>
      <c r="G129" s="38"/>
      <c r="H129" s="38"/>
      <c r="I129" s="38"/>
      <c r="J129" s="38"/>
      <c r="K129" s="38"/>
      <c r="M129" s="17"/>
      <c r="N129" s="35"/>
      <c r="R129" s="17"/>
    </row>
    <row r="130" spans="2:18" ht="12.75">
      <c r="B130" s="13"/>
      <c r="C130" s="25"/>
      <c r="D130" s="25"/>
      <c r="F130" s="38"/>
      <c r="G130" s="38"/>
      <c r="H130" s="38"/>
      <c r="I130" s="38"/>
      <c r="J130" s="38"/>
      <c r="K130" s="38"/>
      <c r="M130" s="17"/>
      <c r="N130" s="35"/>
      <c r="R130" s="17"/>
    </row>
    <row r="131" spans="2:18" ht="12.75">
      <c r="B131" s="13"/>
      <c r="C131" s="25"/>
      <c r="D131" s="25"/>
      <c r="F131" s="38"/>
      <c r="G131" s="38"/>
      <c r="H131" s="38"/>
      <c r="I131" s="38"/>
      <c r="J131" s="38"/>
      <c r="K131" s="38"/>
      <c r="M131" s="17"/>
      <c r="N131" s="35"/>
      <c r="R131" s="17"/>
    </row>
    <row r="132" spans="2:18" ht="12.75">
      <c r="B132" s="13"/>
      <c r="C132" s="25"/>
      <c r="D132" s="25"/>
      <c r="F132" s="38"/>
      <c r="G132" s="38"/>
      <c r="H132" s="38"/>
      <c r="I132" s="38"/>
      <c r="J132" s="38"/>
      <c r="K132" s="38"/>
      <c r="M132" s="17"/>
      <c r="N132" s="35"/>
      <c r="R132" s="17"/>
    </row>
    <row r="133" spans="2:18" ht="12.75">
      <c r="B133" s="13"/>
      <c r="C133" s="25"/>
      <c r="D133" s="25"/>
      <c r="F133" s="38"/>
      <c r="G133" s="38"/>
      <c r="H133" s="38"/>
      <c r="I133" s="38"/>
      <c r="J133" s="38"/>
      <c r="K133" s="38"/>
      <c r="M133" s="17"/>
      <c r="N133" s="35"/>
      <c r="R133" s="17"/>
    </row>
    <row r="134" spans="2:18" ht="12.75">
      <c r="B134" s="13"/>
      <c r="C134" s="25"/>
      <c r="D134" s="25"/>
      <c r="F134" s="38"/>
      <c r="G134" s="38"/>
      <c r="H134" s="38"/>
      <c r="I134" s="38"/>
      <c r="J134" s="38"/>
      <c r="K134" s="38"/>
      <c r="M134" s="17"/>
      <c r="N134" s="35"/>
      <c r="R134" s="17"/>
    </row>
    <row r="135" spans="2:18" ht="12.75">
      <c r="B135" s="13"/>
      <c r="C135" s="25"/>
      <c r="D135" s="25"/>
      <c r="F135" s="38"/>
      <c r="G135" s="38"/>
      <c r="H135" s="38"/>
      <c r="I135" s="38"/>
      <c r="J135" s="38"/>
      <c r="K135" s="38"/>
      <c r="M135" s="17"/>
      <c r="N135" s="35"/>
      <c r="R135" s="17"/>
    </row>
    <row r="136" spans="2:18" ht="12.75">
      <c r="B136" s="13"/>
      <c r="C136" s="25"/>
      <c r="D136" s="25"/>
      <c r="F136" s="38"/>
      <c r="G136" s="38"/>
      <c r="H136" s="38"/>
      <c r="I136" s="38"/>
      <c r="J136" s="38"/>
      <c r="K136" s="38"/>
      <c r="M136" s="17"/>
      <c r="N136" s="35"/>
      <c r="R136" s="17"/>
    </row>
    <row r="137" spans="2:18" ht="12.75">
      <c r="B137" s="13"/>
      <c r="C137" s="13"/>
      <c r="D137" s="13"/>
      <c r="F137" s="38"/>
      <c r="G137" s="38"/>
      <c r="H137" s="38"/>
      <c r="I137" s="38"/>
      <c r="J137" s="38"/>
      <c r="K137" s="38"/>
      <c r="M137" s="17"/>
      <c r="N137" s="35"/>
      <c r="R137" s="17"/>
    </row>
    <row r="138" spans="2:18" ht="12.75">
      <c r="B138" s="13"/>
      <c r="C138" s="25"/>
      <c r="D138" s="25"/>
      <c r="F138" s="38"/>
      <c r="G138" s="38"/>
      <c r="H138" s="38"/>
      <c r="I138" s="38"/>
      <c r="J138" s="38"/>
      <c r="K138" s="38"/>
      <c r="M138" s="17"/>
      <c r="N138" s="35"/>
      <c r="R138" s="17"/>
    </row>
    <row r="139" spans="2:18" ht="12.75">
      <c r="B139" s="13"/>
      <c r="C139" s="25"/>
      <c r="D139" s="25"/>
      <c r="F139" s="38"/>
      <c r="G139" s="38"/>
      <c r="H139" s="38"/>
      <c r="I139" s="38"/>
      <c r="J139" s="38"/>
      <c r="K139" s="38"/>
      <c r="M139" s="17"/>
      <c r="N139" s="35"/>
      <c r="R139" s="17"/>
    </row>
    <row r="140" spans="2:18" ht="12.75">
      <c r="B140" s="13"/>
      <c r="C140" s="25"/>
      <c r="D140" s="25"/>
      <c r="F140" s="38"/>
      <c r="G140" s="38"/>
      <c r="H140" s="38"/>
      <c r="I140" s="38"/>
      <c r="J140" s="38"/>
      <c r="K140" s="38"/>
      <c r="M140" s="17"/>
      <c r="N140" s="35"/>
      <c r="R140" s="17"/>
    </row>
    <row r="141" spans="2:18" ht="12.75">
      <c r="B141" s="13"/>
      <c r="C141" s="25"/>
      <c r="D141" s="25"/>
      <c r="F141" s="38"/>
      <c r="G141" s="38"/>
      <c r="H141" s="38"/>
      <c r="I141" s="38"/>
      <c r="J141" s="38"/>
      <c r="K141" s="38"/>
      <c r="M141" s="17"/>
      <c r="N141" s="35"/>
      <c r="R141" s="17"/>
    </row>
    <row r="142" spans="2:18" ht="12.75">
      <c r="B142" s="13"/>
      <c r="C142" s="25"/>
      <c r="D142" s="25"/>
      <c r="F142" s="38"/>
      <c r="G142" s="38"/>
      <c r="H142" s="38"/>
      <c r="I142" s="38"/>
      <c r="J142" s="38"/>
      <c r="K142" s="38"/>
      <c r="M142" s="17"/>
      <c r="N142" s="35"/>
      <c r="R142" s="17"/>
    </row>
    <row r="143" spans="2:18" ht="12.75">
      <c r="B143" s="13"/>
      <c r="C143" s="25"/>
      <c r="D143" s="25"/>
      <c r="F143" s="38"/>
      <c r="G143" s="38"/>
      <c r="H143" s="38"/>
      <c r="I143" s="38"/>
      <c r="J143" s="38"/>
      <c r="K143" s="38"/>
      <c r="M143" s="17"/>
      <c r="N143" s="35"/>
      <c r="R143" s="17"/>
    </row>
    <row r="144" spans="2:18" ht="12.75">
      <c r="B144" s="13"/>
      <c r="C144" s="25"/>
      <c r="D144" s="25"/>
      <c r="F144" s="38"/>
      <c r="G144" s="38"/>
      <c r="H144" s="38"/>
      <c r="I144" s="38"/>
      <c r="J144" s="38"/>
      <c r="K144" s="38"/>
      <c r="M144" s="17"/>
      <c r="N144" s="35"/>
      <c r="R144" s="17"/>
    </row>
    <row r="145" spans="2:18" ht="12.75">
      <c r="B145" s="13"/>
      <c r="C145" s="13"/>
      <c r="D145" s="13"/>
      <c r="F145" s="38"/>
      <c r="G145" s="38"/>
      <c r="H145" s="38"/>
      <c r="I145" s="38"/>
      <c r="J145" s="38"/>
      <c r="K145" s="38"/>
      <c r="M145" s="17"/>
      <c r="N145" s="35"/>
      <c r="R145" s="17"/>
    </row>
    <row r="146" spans="2:18" ht="12.75">
      <c r="B146" s="13"/>
      <c r="C146" s="25"/>
      <c r="D146" s="25"/>
      <c r="F146" s="38"/>
      <c r="G146" s="38"/>
      <c r="H146" s="38"/>
      <c r="I146" s="38"/>
      <c r="J146" s="38"/>
      <c r="K146" s="38"/>
      <c r="M146" s="17"/>
      <c r="N146" s="35"/>
      <c r="R146" s="17"/>
    </row>
    <row r="147" spans="2:18" ht="12.75">
      <c r="B147" s="13"/>
      <c r="C147" s="25"/>
      <c r="D147" s="25"/>
      <c r="F147" s="38"/>
      <c r="G147" s="38"/>
      <c r="H147" s="38"/>
      <c r="I147" s="38"/>
      <c r="J147" s="38"/>
      <c r="K147" s="38"/>
      <c r="M147" s="17"/>
      <c r="N147" s="35"/>
      <c r="R147" s="17"/>
    </row>
    <row r="148" spans="2:18" ht="12.75">
      <c r="B148" s="13"/>
      <c r="C148" s="25"/>
      <c r="D148" s="25"/>
      <c r="F148" s="38"/>
      <c r="G148" s="38"/>
      <c r="H148" s="38"/>
      <c r="I148" s="38"/>
      <c r="J148" s="38"/>
      <c r="K148" s="38"/>
      <c r="M148" s="17"/>
      <c r="N148" s="35"/>
      <c r="R148" s="17"/>
    </row>
    <row r="149" spans="2:18" ht="12.75">
      <c r="B149" s="13"/>
      <c r="C149" s="25"/>
      <c r="D149" s="25"/>
      <c r="F149" s="38"/>
      <c r="G149" s="38"/>
      <c r="H149" s="38"/>
      <c r="I149" s="38"/>
      <c r="J149" s="38"/>
      <c r="K149" s="38"/>
      <c r="M149" s="17"/>
      <c r="N149" s="35"/>
      <c r="R149" s="17"/>
    </row>
    <row r="150" spans="2:18" ht="12.75">
      <c r="B150" s="13"/>
      <c r="C150" s="25"/>
      <c r="D150" s="25"/>
      <c r="F150" s="38"/>
      <c r="G150" s="38"/>
      <c r="H150" s="38"/>
      <c r="I150" s="38"/>
      <c r="J150" s="38"/>
      <c r="K150" s="38"/>
      <c r="M150" s="17"/>
      <c r="N150" s="35"/>
      <c r="R150" s="17"/>
    </row>
    <row r="151" spans="2:18" ht="12.75">
      <c r="B151" s="13"/>
      <c r="C151" s="25"/>
      <c r="D151" s="25"/>
      <c r="F151" s="38"/>
      <c r="G151" s="38"/>
      <c r="H151" s="38"/>
      <c r="I151" s="38"/>
      <c r="J151" s="38"/>
      <c r="K151" s="38"/>
      <c r="M151" s="17"/>
      <c r="N151" s="35"/>
      <c r="R151" s="17"/>
    </row>
    <row r="152" spans="2:18" ht="12.75">
      <c r="B152" s="13"/>
      <c r="C152" s="25"/>
      <c r="D152" s="25"/>
      <c r="F152" s="38"/>
      <c r="G152" s="38"/>
      <c r="H152" s="38"/>
      <c r="I152" s="38"/>
      <c r="J152" s="38"/>
      <c r="K152" s="38"/>
      <c r="M152" s="17"/>
      <c r="N152" s="35"/>
      <c r="R152" s="17"/>
    </row>
    <row r="153" spans="2:18" ht="12.75">
      <c r="B153" s="13"/>
      <c r="C153" s="25"/>
      <c r="D153" s="25"/>
      <c r="F153" s="38"/>
      <c r="G153" s="38"/>
      <c r="H153" s="38"/>
      <c r="I153" s="38"/>
      <c r="J153" s="38"/>
      <c r="K153" s="38"/>
      <c r="M153" s="17"/>
      <c r="N153" s="35"/>
      <c r="R153" s="17"/>
    </row>
    <row r="154" spans="2:18" ht="12.75">
      <c r="B154" s="13"/>
      <c r="C154" s="25"/>
      <c r="D154" s="25"/>
      <c r="F154" s="38"/>
      <c r="G154" s="38"/>
      <c r="H154" s="38"/>
      <c r="I154" s="38"/>
      <c r="J154" s="38"/>
      <c r="K154" s="38"/>
      <c r="M154" s="17"/>
      <c r="N154" s="35"/>
      <c r="R154" s="17"/>
    </row>
    <row r="155" spans="2:18" ht="12.75">
      <c r="B155" s="13"/>
      <c r="C155" s="25"/>
      <c r="D155" s="25"/>
      <c r="F155" s="38"/>
      <c r="G155" s="38"/>
      <c r="H155" s="38"/>
      <c r="I155" s="38"/>
      <c r="J155" s="38"/>
      <c r="K155" s="38"/>
      <c r="M155" s="17"/>
      <c r="N155" s="35"/>
      <c r="R155" s="17"/>
    </row>
    <row r="156" spans="2:18" ht="12.75">
      <c r="B156" s="13"/>
      <c r="C156" s="25"/>
      <c r="D156" s="25"/>
      <c r="F156" s="38"/>
      <c r="G156" s="38"/>
      <c r="H156" s="38"/>
      <c r="I156" s="38"/>
      <c r="J156" s="38"/>
      <c r="K156" s="38"/>
      <c r="M156" s="17"/>
      <c r="N156" s="35"/>
      <c r="R156" s="17"/>
    </row>
    <row r="157" spans="2:18" ht="12.75">
      <c r="B157" s="13"/>
      <c r="C157" s="25"/>
      <c r="D157" s="25"/>
      <c r="F157" s="38"/>
      <c r="G157" s="38"/>
      <c r="H157" s="38"/>
      <c r="I157" s="38"/>
      <c r="J157" s="38"/>
      <c r="K157" s="38"/>
      <c r="M157" s="17"/>
      <c r="N157" s="35"/>
      <c r="R157" s="17"/>
    </row>
    <row r="158" spans="2:18" ht="12.75">
      <c r="B158" s="13"/>
      <c r="C158" s="25"/>
      <c r="D158" s="25"/>
      <c r="F158" s="38"/>
      <c r="G158" s="38"/>
      <c r="H158" s="38"/>
      <c r="I158" s="38"/>
      <c r="J158" s="38"/>
      <c r="K158" s="38"/>
      <c r="M158" s="17"/>
      <c r="N158" s="35"/>
      <c r="R158" s="17"/>
    </row>
    <row r="159" spans="2:18" ht="12.75">
      <c r="B159" s="13"/>
      <c r="C159" s="25"/>
      <c r="D159" s="25"/>
      <c r="F159" s="38"/>
      <c r="G159" s="38"/>
      <c r="H159" s="38"/>
      <c r="I159" s="38"/>
      <c r="J159" s="38"/>
      <c r="K159" s="38"/>
      <c r="M159" s="17"/>
      <c r="N159" s="35"/>
      <c r="R159" s="17"/>
    </row>
    <row r="160" spans="2:18" ht="12.75">
      <c r="B160" s="13"/>
      <c r="C160" s="25"/>
      <c r="D160" s="25"/>
      <c r="F160" s="38"/>
      <c r="G160" s="38"/>
      <c r="H160" s="38"/>
      <c r="I160" s="38"/>
      <c r="J160" s="38"/>
      <c r="K160" s="38"/>
      <c r="M160" s="17"/>
      <c r="N160" s="35"/>
      <c r="R160" s="17"/>
    </row>
    <row r="161" spans="2:18" ht="12.75">
      <c r="B161" s="13"/>
      <c r="C161" s="25"/>
      <c r="D161" s="25"/>
      <c r="F161" s="38"/>
      <c r="G161" s="38"/>
      <c r="H161" s="38"/>
      <c r="I161" s="38"/>
      <c r="J161" s="38"/>
      <c r="K161" s="38"/>
      <c r="M161" s="17"/>
      <c r="N161" s="35"/>
      <c r="R161" s="17"/>
    </row>
    <row r="162" spans="2:18" ht="12.75">
      <c r="B162" s="13"/>
      <c r="C162" s="25"/>
      <c r="D162" s="25"/>
      <c r="F162" s="38"/>
      <c r="G162" s="38"/>
      <c r="H162" s="38"/>
      <c r="I162" s="38"/>
      <c r="J162" s="38"/>
      <c r="K162" s="38"/>
      <c r="M162" s="17"/>
      <c r="N162" s="35"/>
      <c r="R162" s="17"/>
    </row>
    <row r="163" spans="2:18" ht="12.75">
      <c r="B163" s="13"/>
      <c r="C163" s="25"/>
      <c r="D163" s="25"/>
      <c r="F163" s="38"/>
      <c r="G163" s="38"/>
      <c r="H163" s="38"/>
      <c r="I163" s="38"/>
      <c r="J163" s="38"/>
      <c r="K163" s="38"/>
      <c r="M163" s="17"/>
      <c r="N163" s="35"/>
      <c r="R163" s="17"/>
    </row>
    <row r="164" spans="2:18" ht="12.75">
      <c r="B164" s="13"/>
      <c r="C164" s="25"/>
      <c r="D164" s="25"/>
      <c r="F164" s="38"/>
      <c r="G164" s="38"/>
      <c r="H164" s="38"/>
      <c r="I164" s="38"/>
      <c r="J164" s="38"/>
      <c r="K164" s="38"/>
      <c r="M164" s="17"/>
      <c r="N164" s="35"/>
      <c r="R164" s="17"/>
    </row>
    <row r="165" spans="2:18" ht="12.75">
      <c r="B165" s="13"/>
      <c r="C165" s="25"/>
      <c r="D165" s="25"/>
      <c r="F165" s="38"/>
      <c r="G165" s="38"/>
      <c r="H165" s="38"/>
      <c r="I165" s="38"/>
      <c r="J165" s="38"/>
      <c r="K165" s="38"/>
      <c r="M165" s="17"/>
      <c r="N165" s="35"/>
      <c r="R165" s="17"/>
    </row>
    <row r="166" spans="2:18" ht="12.75">
      <c r="B166" s="13"/>
      <c r="C166" s="25"/>
      <c r="D166" s="25"/>
      <c r="F166" s="38"/>
      <c r="G166" s="38"/>
      <c r="H166" s="38"/>
      <c r="I166" s="38"/>
      <c r="J166" s="38"/>
      <c r="K166" s="38"/>
      <c r="M166" s="17"/>
      <c r="N166" s="35"/>
      <c r="R166" s="17"/>
    </row>
    <row r="167" spans="2:18" ht="12.75">
      <c r="B167" s="13"/>
      <c r="C167" s="25"/>
      <c r="D167" s="25"/>
      <c r="F167" s="38"/>
      <c r="G167" s="38"/>
      <c r="H167" s="38"/>
      <c r="I167" s="38"/>
      <c r="J167" s="38"/>
      <c r="K167" s="38"/>
      <c r="M167" s="17"/>
      <c r="N167" s="35"/>
      <c r="R167" s="17"/>
    </row>
    <row r="168" spans="2:18" ht="12.75">
      <c r="B168" s="13"/>
      <c r="C168" s="25"/>
      <c r="D168" s="25"/>
      <c r="F168" s="38"/>
      <c r="G168" s="38"/>
      <c r="H168" s="38"/>
      <c r="I168" s="38"/>
      <c r="J168" s="38"/>
      <c r="K168" s="38"/>
      <c r="M168" s="17"/>
      <c r="N168" s="35"/>
      <c r="R168" s="17"/>
    </row>
    <row r="169" spans="2:18" ht="12.75">
      <c r="B169" s="13"/>
      <c r="C169" s="25"/>
      <c r="D169" s="25"/>
      <c r="F169" s="38"/>
      <c r="G169" s="38"/>
      <c r="H169" s="38"/>
      <c r="I169" s="38"/>
      <c r="J169" s="38"/>
      <c r="K169" s="38"/>
      <c r="M169" s="17"/>
      <c r="N169" s="35"/>
      <c r="R169" s="17"/>
    </row>
    <row r="170" spans="2:18" ht="12.75">
      <c r="B170" s="13"/>
      <c r="C170" s="25"/>
      <c r="D170" s="25"/>
      <c r="F170" s="38"/>
      <c r="G170" s="38"/>
      <c r="H170" s="38"/>
      <c r="I170" s="38"/>
      <c r="J170" s="38"/>
      <c r="K170" s="38"/>
      <c r="M170" s="17"/>
      <c r="N170" s="35"/>
      <c r="R170" s="17"/>
    </row>
    <row r="171" spans="2:18" ht="12.75">
      <c r="B171" s="13"/>
      <c r="C171" s="25"/>
      <c r="D171" s="25"/>
      <c r="F171" s="38"/>
      <c r="G171" s="38"/>
      <c r="H171" s="38"/>
      <c r="I171" s="38"/>
      <c r="J171" s="38"/>
      <c r="K171" s="38"/>
      <c r="M171" s="17"/>
      <c r="N171" s="35"/>
      <c r="R171" s="17"/>
    </row>
    <row r="172" spans="2:18" ht="12.75">
      <c r="B172" s="13"/>
      <c r="C172" s="25"/>
      <c r="D172" s="25"/>
      <c r="F172" s="38"/>
      <c r="G172" s="38"/>
      <c r="H172" s="38"/>
      <c r="I172" s="38"/>
      <c r="J172" s="38"/>
      <c r="K172" s="38"/>
      <c r="M172" s="17"/>
      <c r="N172" s="35"/>
      <c r="R172" s="17"/>
    </row>
    <row r="173" spans="2:18" ht="12.75">
      <c r="B173" s="13"/>
      <c r="C173" s="25"/>
      <c r="D173" s="25"/>
      <c r="F173" s="38"/>
      <c r="G173" s="38"/>
      <c r="H173" s="38"/>
      <c r="I173" s="38"/>
      <c r="J173" s="38"/>
      <c r="K173" s="38"/>
      <c r="M173" s="17"/>
      <c r="N173" s="35"/>
      <c r="R173" s="17"/>
    </row>
    <row r="174" spans="2:18" ht="12.75">
      <c r="B174" s="13"/>
      <c r="C174" s="25"/>
      <c r="D174" s="25"/>
      <c r="F174" s="38"/>
      <c r="G174" s="38"/>
      <c r="H174" s="38"/>
      <c r="I174" s="38"/>
      <c r="J174" s="38"/>
      <c r="K174" s="38"/>
      <c r="M174" s="17"/>
      <c r="N174" s="35"/>
      <c r="R174" s="17"/>
    </row>
    <row r="175" spans="2:18" ht="12.75">
      <c r="B175" s="13"/>
      <c r="C175" s="25"/>
      <c r="D175" s="25"/>
      <c r="F175" s="38"/>
      <c r="G175" s="38"/>
      <c r="H175" s="38"/>
      <c r="I175" s="38"/>
      <c r="J175" s="38"/>
      <c r="K175" s="38"/>
      <c r="M175" s="17"/>
      <c r="N175" s="35"/>
      <c r="R175" s="17"/>
    </row>
    <row r="176" spans="2:18" ht="12.75">
      <c r="B176" s="13"/>
      <c r="C176" s="25"/>
      <c r="D176" s="25"/>
      <c r="F176" s="38"/>
      <c r="G176" s="38"/>
      <c r="H176" s="38"/>
      <c r="I176" s="38"/>
      <c r="J176" s="38"/>
      <c r="K176" s="38"/>
      <c r="M176" s="17"/>
      <c r="N176" s="35"/>
      <c r="R176" s="17"/>
    </row>
    <row r="177" spans="2:18" ht="12.75">
      <c r="B177" s="13"/>
      <c r="C177" s="25"/>
      <c r="D177" s="25"/>
      <c r="F177" s="38"/>
      <c r="G177" s="38"/>
      <c r="H177" s="38"/>
      <c r="I177" s="38"/>
      <c r="J177" s="38"/>
      <c r="K177" s="38"/>
      <c r="M177" s="17"/>
      <c r="N177" s="35"/>
      <c r="R177" s="17"/>
    </row>
    <row r="178" spans="2:18" ht="12.75">
      <c r="B178" s="13"/>
      <c r="C178" s="25"/>
      <c r="D178" s="25"/>
      <c r="F178" s="38"/>
      <c r="G178" s="38"/>
      <c r="H178" s="38"/>
      <c r="I178" s="38"/>
      <c r="J178" s="38"/>
      <c r="K178" s="38"/>
      <c r="M178" s="17"/>
      <c r="N178" s="35"/>
      <c r="R178" s="17"/>
    </row>
    <row r="179" spans="2:18" ht="12.75">
      <c r="B179" s="13"/>
      <c r="C179" s="25"/>
      <c r="D179" s="25"/>
      <c r="F179" s="38"/>
      <c r="G179" s="38"/>
      <c r="H179" s="38"/>
      <c r="I179" s="38"/>
      <c r="J179" s="38"/>
      <c r="K179" s="38"/>
      <c r="M179" s="17"/>
      <c r="N179" s="35"/>
      <c r="R179" s="17"/>
    </row>
    <row r="180" spans="2:18" ht="12.75">
      <c r="B180" s="13"/>
      <c r="C180" s="25"/>
      <c r="D180" s="25"/>
      <c r="F180" s="38"/>
      <c r="G180" s="38"/>
      <c r="H180" s="38"/>
      <c r="I180" s="38"/>
      <c r="J180" s="38"/>
      <c r="K180" s="38"/>
      <c r="M180" s="17"/>
      <c r="N180" s="35"/>
      <c r="R180" s="17"/>
    </row>
    <row r="181" spans="2:18" ht="12.75">
      <c r="B181" s="13"/>
      <c r="C181" s="25"/>
      <c r="D181" s="25"/>
      <c r="F181" s="38"/>
      <c r="G181" s="38"/>
      <c r="H181" s="38"/>
      <c r="I181" s="38"/>
      <c r="J181" s="38"/>
      <c r="K181" s="38"/>
      <c r="M181" s="17"/>
      <c r="N181" s="35"/>
      <c r="R181" s="17"/>
    </row>
    <row r="182" spans="2:18" ht="12.75">
      <c r="B182" s="13"/>
      <c r="C182" s="25"/>
      <c r="D182" s="25"/>
      <c r="F182" s="38"/>
      <c r="G182" s="38"/>
      <c r="H182" s="38"/>
      <c r="I182" s="38"/>
      <c r="J182" s="38"/>
      <c r="K182" s="38"/>
      <c r="M182" s="17"/>
      <c r="N182" s="35"/>
      <c r="R182" s="17"/>
    </row>
    <row r="183" spans="2:18" ht="12.75">
      <c r="B183" s="13"/>
      <c r="C183" s="25"/>
      <c r="D183" s="25"/>
      <c r="F183" s="38"/>
      <c r="G183" s="38"/>
      <c r="H183" s="38"/>
      <c r="I183" s="38"/>
      <c r="J183" s="38"/>
      <c r="K183" s="38"/>
      <c r="M183" s="17"/>
      <c r="N183" s="35"/>
      <c r="R183" s="17"/>
    </row>
    <row r="184" spans="2:18" ht="12.75">
      <c r="B184" s="13"/>
      <c r="C184" s="25"/>
      <c r="D184" s="25"/>
      <c r="F184" s="38"/>
      <c r="G184" s="38"/>
      <c r="H184" s="38"/>
      <c r="I184" s="38"/>
      <c r="J184" s="38"/>
      <c r="K184" s="38"/>
      <c r="M184" s="17"/>
      <c r="N184" s="35"/>
      <c r="R184" s="17"/>
    </row>
    <row r="185" spans="2:18" ht="12.75">
      <c r="B185" s="13"/>
      <c r="C185" s="25"/>
      <c r="D185" s="25"/>
      <c r="F185" s="38"/>
      <c r="G185" s="38"/>
      <c r="H185" s="38"/>
      <c r="I185" s="38"/>
      <c r="J185" s="38"/>
      <c r="K185" s="38"/>
      <c r="M185" s="17"/>
      <c r="N185" s="35"/>
      <c r="R185" s="17"/>
    </row>
    <row r="186" spans="2:18" ht="12.75">
      <c r="B186" s="13"/>
      <c r="C186" s="25"/>
      <c r="D186" s="25"/>
      <c r="F186" s="38"/>
      <c r="G186" s="38"/>
      <c r="H186" s="38"/>
      <c r="I186" s="38"/>
      <c r="J186" s="38"/>
      <c r="K186" s="38"/>
      <c r="M186" s="17"/>
      <c r="N186" s="35"/>
      <c r="R186" s="17"/>
    </row>
    <row r="187" spans="2:18" ht="12.75">
      <c r="B187" s="13"/>
      <c r="C187" s="25"/>
      <c r="D187" s="25"/>
      <c r="F187" s="38"/>
      <c r="G187" s="38"/>
      <c r="H187" s="38"/>
      <c r="I187" s="38"/>
      <c r="J187" s="38"/>
      <c r="K187" s="38"/>
      <c r="M187" s="17"/>
      <c r="N187" s="35"/>
      <c r="R187" s="17"/>
    </row>
    <row r="188" spans="2:18" ht="12.75">
      <c r="B188" s="13"/>
      <c r="C188" s="25"/>
      <c r="D188" s="25"/>
      <c r="F188" s="38"/>
      <c r="G188" s="38"/>
      <c r="H188" s="38"/>
      <c r="I188" s="38"/>
      <c r="J188" s="38"/>
      <c r="K188" s="38"/>
      <c r="M188" s="17"/>
      <c r="N188" s="35"/>
      <c r="R188" s="17"/>
    </row>
    <row r="189" spans="2:18" ht="12.75">
      <c r="B189" s="13"/>
      <c r="C189" s="25"/>
      <c r="D189" s="25"/>
      <c r="F189" s="38"/>
      <c r="G189" s="38"/>
      <c r="H189" s="38"/>
      <c r="I189" s="38"/>
      <c r="J189" s="38"/>
      <c r="K189" s="38"/>
      <c r="M189" s="17"/>
      <c r="N189" s="35"/>
      <c r="R189" s="17"/>
    </row>
    <row r="190" spans="2:18" ht="12.75">
      <c r="B190" s="13"/>
      <c r="C190" s="25"/>
      <c r="D190" s="25"/>
      <c r="F190" s="38"/>
      <c r="G190" s="38"/>
      <c r="H190" s="38"/>
      <c r="I190" s="38"/>
      <c r="J190" s="38"/>
      <c r="K190" s="38"/>
      <c r="M190" s="17"/>
      <c r="N190" s="35"/>
      <c r="R190" s="17"/>
    </row>
    <row r="191" spans="2:18" ht="12.75">
      <c r="B191" s="13"/>
      <c r="C191" s="25"/>
      <c r="D191" s="25"/>
      <c r="F191" s="38"/>
      <c r="G191" s="38"/>
      <c r="H191" s="38"/>
      <c r="I191" s="38"/>
      <c r="J191" s="38"/>
      <c r="K191" s="38"/>
      <c r="M191" s="17"/>
      <c r="N191" s="35"/>
      <c r="R191" s="17"/>
    </row>
    <row r="192" spans="2:18" ht="12.75">
      <c r="B192" s="13"/>
      <c r="C192" s="25"/>
      <c r="D192" s="25"/>
      <c r="F192" s="38"/>
      <c r="G192" s="38"/>
      <c r="H192" s="38"/>
      <c r="I192" s="38"/>
      <c r="J192" s="38"/>
      <c r="K192" s="38"/>
      <c r="M192" s="17"/>
      <c r="N192" s="35"/>
      <c r="R192" s="17"/>
    </row>
    <row r="193" spans="2:18" ht="12.75">
      <c r="B193" s="13"/>
      <c r="C193" s="25"/>
      <c r="D193" s="25"/>
      <c r="F193" s="38"/>
      <c r="G193" s="38"/>
      <c r="H193" s="38"/>
      <c r="I193" s="38"/>
      <c r="J193" s="38"/>
      <c r="K193" s="38"/>
      <c r="M193" s="17"/>
      <c r="N193" s="35"/>
      <c r="R193" s="17"/>
    </row>
    <row r="194" spans="2:18" ht="12.75">
      <c r="B194" s="13"/>
      <c r="C194" s="25"/>
      <c r="D194" s="25"/>
      <c r="F194" s="38"/>
      <c r="G194" s="38"/>
      <c r="H194" s="38"/>
      <c r="I194" s="38"/>
      <c r="J194" s="38"/>
      <c r="K194" s="38"/>
      <c r="M194" s="17"/>
      <c r="N194" s="35"/>
      <c r="R194" s="17"/>
    </row>
    <row r="195" spans="2:18" ht="12.75">
      <c r="B195" s="13"/>
      <c r="C195" s="25"/>
      <c r="D195" s="25"/>
      <c r="F195" s="38"/>
      <c r="G195" s="38"/>
      <c r="H195" s="38"/>
      <c r="I195" s="38"/>
      <c r="J195" s="38"/>
      <c r="K195" s="38"/>
      <c r="M195" s="17"/>
      <c r="N195" s="35"/>
      <c r="R195" s="17"/>
    </row>
    <row r="196" spans="2:18" ht="12.75">
      <c r="B196" s="13"/>
      <c r="C196" s="25"/>
      <c r="D196" s="25"/>
      <c r="F196" s="38"/>
      <c r="G196" s="38"/>
      <c r="H196" s="38"/>
      <c r="I196" s="38"/>
      <c r="J196" s="38"/>
      <c r="K196" s="38"/>
      <c r="M196" s="17"/>
      <c r="N196" s="35"/>
      <c r="R196" s="17"/>
    </row>
    <row r="197" spans="2:18" ht="12.75">
      <c r="B197" s="13"/>
      <c r="C197" s="13"/>
      <c r="D197" s="13"/>
      <c r="F197" s="38"/>
      <c r="G197" s="38"/>
      <c r="H197" s="38"/>
      <c r="I197" s="38"/>
      <c r="J197" s="38"/>
      <c r="K197" s="38"/>
      <c r="M197" s="17"/>
      <c r="N197" s="35"/>
      <c r="R197" s="17"/>
    </row>
    <row r="198" spans="2:18" ht="12.75">
      <c r="B198" s="13"/>
      <c r="C198" s="25"/>
      <c r="D198" s="25"/>
      <c r="F198" s="38"/>
      <c r="G198" s="38"/>
      <c r="H198" s="38"/>
      <c r="I198" s="38"/>
      <c r="J198" s="38"/>
      <c r="K198" s="38"/>
      <c r="M198" s="17"/>
      <c r="N198" s="35"/>
      <c r="R198" s="17"/>
    </row>
    <row r="199" spans="2:18" ht="12.75">
      <c r="B199" s="13"/>
      <c r="C199" s="25"/>
      <c r="D199" s="25"/>
      <c r="F199" s="38"/>
      <c r="G199" s="38"/>
      <c r="H199" s="38"/>
      <c r="I199" s="38"/>
      <c r="J199" s="38"/>
      <c r="K199" s="38"/>
      <c r="M199" s="17"/>
      <c r="N199" s="35"/>
      <c r="R199" s="17"/>
    </row>
    <row r="200" spans="2:18" ht="12.75">
      <c r="B200" s="13"/>
      <c r="C200" s="25"/>
      <c r="D200" s="25"/>
      <c r="F200" s="38"/>
      <c r="G200" s="38"/>
      <c r="H200" s="38"/>
      <c r="I200" s="38"/>
      <c r="J200" s="38"/>
      <c r="K200" s="38"/>
      <c r="M200" s="17"/>
      <c r="N200" s="35"/>
      <c r="R200" s="17"/>
    </row>
    <row r="201" spans="2:18" ht="12.75">
      <c r="B201" s="13"/>
      <c r="C201" s="25"/>
      <c r="D201" s="25"/>
      <c r="F201" s="38"/>
      <c r="G201" s="38"/>
      <c r="H201" s="38"/>
      <c r="I201" s="38"/>
      <c r="J201" s="38"/>
      <c r="K201" s="38"/>
      <c r="M201" s="17"/>
      <c r="N201" s="35"/>
      <c r="R201" s="17"/>
    </row>
    <row r="202" spans="2:18" ht="12.75">
      <c r="B202" s="13"/>
      <c r="C202" s="25"/>
      <c r="D202" s="25"/>
      <c r="F202" s="38"/>
      <c r="G202" s="38"/>
      <c r="H202" s="38"/>
      <c r="I202" s="38"/>
      <c r="J202" s="38"/>
      <c r="K202" s="38"/>
      <c r="M202" s="17"/>
      <c r="N202" s="35"/>
      <c r="R202" s="17"/>
    </row>
    <row r="203" spans="2:18" ht="12.75">
      <c r="B203" s="13"/>
      <c r="C203" s="25"/>
      <c r="D203" s="25"/>
      <c r="F203" s="38"/>
      <c r="G203" s="38"/>
      <c r="H203" s="38"/>
      <c r="I203" s="38"/>
      <c r="J203" s="38"/>
      <c r="K203" s="38"/>
      <c r="M203" s="17"/>
      <c r="N203" s="35"/>
      <c r="R203" s="17"/>
    </row>
    <row r="204" spans="2:18" ht="12.75">
      <c r="B204" s="13"/>
      <c r="C204" s="25"/>
      <c r="D204" s="25"/>
      <c r="F204" s="38"/>
      <c r="G204" s="38"/>
      <c r="H204" s="38"/>
      <c r="I204" s="38"/>
      <c r="J204" s="38"/>
      <c r="K204" s="38"/>
      <c r="M204" s="17"/>
      <c r="N204" s="35"/>
      <c r="R204" s="17"/>
    </row>
    <row r="205" spans="2:18" ht="12.75">
      <c r="B205" s="13"/>
      <c r="C205" s="25"/>
      <c r="D205" s="25"/>
      <c r="F205" s="38"/>
      <c r="G205" s="38"/>
      <c r="H205" s="38"/>
      <c r="I205" s="38"/>
      <c r="J205" s="38"/>
      <c r="K205" s="38"/>
      <c r="M205" s="17"/>
      <c r="N205" s="35"/>
      <c r="R205" s="17"/>
    </row>
    <row r="206" spans="2:18" ht="12.75">
      <c r="B206" s="13"/>
      <c r="C206" s="25"/>
      <c r="D206" s="25"/>
      <c r="F206" s="38"/>
      <c r="G206" s="38"/>
      <c r="H206" s="38"/>
      <c r="I206" s="38"/>
      <c r="J206" s="38"/>
      <c r="K206" s="38"/>
      <c r="M206" s="17"/>
      <c r="N206" s="35"/>
      <c r="R206" s="17"/>
    </row>
    <row r="207" spans="2:18" ht="12.75">
      <c r="B207" s="13"/>
      <c r="C207" s="25"/>
      <c r="D207" s="25"/>
      <c r="F207" s="38"/>
      <c r="G207" s="38"/>
      <c r="H207" s="38"/>
      <c r="I207" s="38"/>
      <c r="J207" s="38"/>
      <c r="K207" s="38"/>
      <c r="M207" s="17"/>
      <c r="N207" s="35"/>
      <c r="R207" s="17"/>
    </row>
    <row r="208" spans="2:18" ht="12.75">
      <c r="B208" s="13"/>
      <c r="C208" s="25"/>
      <c r="D208" s="25"/>
      <c r="F208" s="38"/>
      <c r="G208" s="38"/>
      <c r="H208" s="38"/>
      <c r="I208" s="38"/>
      <c r="J208" s="38"/>
      <c r="K208" s="38"/>
      <c r="M208" s="17"/>
      <c r="N208" s="35"/>
      <c r="R208" s="17"/>
    </row>
    <row r="209" spans="2:18" ht="12.75">
      <c r="B209" s="13"/>
      <c r="C209" s="25"/>
      <c r="D209" s="25"/>
      <c r="F209" s="38"/>
      <c r="G209" s="38"/>
      <c r="H209" s="38"/>
      <c r="I209" s="38"/>
      <c r="J209" s="38"/>
      <c r="K209" s="38"/>
      <c r="M209" s="17"/>
      <c r="N209" s="35"/>
      <c r="R209" s="17"/>
    </row>
    <row r="210" spans="2:18" ht="12.75">
      <c r="B210" s="13"/>
      <c r="C210" s="25"/>
      <c r="D210" s="25"/>
      <c r="F210" s="38"/>
      <c r="G210" s="38"/>
      <c r="H210" s="38"/>
      <c r="I210" s="38"/>
      <c r="J210" s="38"/>
      <c r="K210" s="38"/>
      <c r="M210" s="17"/>
      <c r="N210" s="35"/>
      <c r="R210" s="17"/>
    </row>
    <row r="211" spans="2:18" ht="12.75">
      <c r="B211" s="13"/>
      <c r="C211" s="25"/>
      <c r="D211" s="25"/>
      <c r="F211" s="38"/>
      <c r="G211" s="38"/>
      <c r="H211" s="38"/>
      <c r="I211" s="38"/>
      <c r="J211" s="38"/>
      <c r="K211" s="38"/>
      <c r="M211" s="17"/>
      <c r="N211" s="35"/>
      <c r="R211" s="17"/>
    </row>
    <row r="212" spans="2:18" ht="12.75">
      <c r="B212" s="13"/>
      <c r="C212" s="25"/>
      <c r="D212" s="25"/>
      <c r="F212" s="38"/>
      <c r="G212" s="38"/>
      <c r="H212" s="38"/>
      <c r="I212" s="38"/>
      <c r="J212" s="38"/>
      <c r="K212" s="38"/>
      <c r="M212" s="17"/>
      <c r="N212" s="35"/>
      <c r="R212" s="17"/>
    </row>
    <row r="213" spans="2:18" ht="12.75">
      <c r="B213" s="13"/>
      <c r="C213" s="25"/>
      <c r="D213" s="25"/>
      <c r="F213" s="38"/>
      <c r="G213" s="38"/>
      <c r="H213" s="38"/>
      <c r="I213" s="38"/>
      <c r="J213" s="38"/>
      <c r="K213" s="38"/>
      <c r="M213" s="17"/>
      <c r="N213" s="35"/>
      <c r="R213" s="17"/>
    </row>
    <row r="214" spans="2:18" ht="12.75">
      <c r="B214" s="13"/>
      <c r="C214" s="25"/>
      <c r="D214" s="25"/>
      <c r="F214" s="38"/>
      <c r="G214" s="38"/>
      <c r="H214" s="38"/>
      <c r="I214" s="38"/>
      <c r="J214" s="38"/>
      <c r="K214" s="38"/>
      <c r="M214" s="17"/>
      <c r="N214" s="35"/>
      <c r="R214" s="17"/>
    </row>
    <row r="215" spans="2:18" ht="12.75">
      <c r="B215" s="13"/>
      <c r="C215" s="25"/>
      <c r="D215" s="25"/>
      <c r="F215" s="38"/>
      <c r="G215" s="38"/>
      <c r="H215" s="38"/>
      <c r="I215" s="38"/>
      <c r="J215" s="38"/>
      <c r="K215" s="38"/>
      <c r="M215" s="17"/>
      <c r="N215" s="35"/>
      <c r="R215" s="17"/>
    </row>
    <row r="216" spans="2:18" ht="12.75">
      <c r="B216" s="13"/>
      <c r="C216" s="25"/>
      <c r="D216" s="25"/>
      <c r="F216" s="38"/>
      <c r="G216" s="38"/>
      <c r="H216" s="38"/>
      <c r="I216" s="38"/>
      <c r="J216" s="38"/>
      <c r="K216" s="38"/>
      <c r="M216" s="17"/>
      <c r="N216" s="35"/>
      <c r="R216" s="17"/>
    </row>
    <row r="217" spans="2:18" ht="12.75">
      <c r="B217" s="13"/>
      <c r="C217" s="25"/>
      <c r="D217" s="25"/>
      <c r="F217" s="38"/>
      <c r="G217" s="38"/>
      <c r="H217" s="38"/>
      <c r="I217" s="38"/>
      <c r="J217" s="38"/>
      <c r="K217" s="38"/>
      <c r="M217" s="17"/>
      <c r="N217" s="35"/>
      <c r="R217" s="17"/>
    </row>
    <row r="218" spans="2:18" ht="12.75">
      <c r="B218" s="13"/>
      <c r="C218" s="25"/>
      <c r="D218" s="25"/>
      <c r="F218" s="38"/>
      <c r="G218" s="38"/>
      <c r="H218" s="38"/>
      <c r="I218" s="38"/>
      <c r="J218" s="38"/>
      <c r="K218" s="38"/>
      <c r="M218" s="17"/>
      <c r="N218" s="35"/>
      <c r="R218" s="17"/>
    </row>
    <row r="219" spans="2:18" ht="12.75">
      <c r="B219" s="13"/>
      <c r="C219" s="25"/>
      <c r="D219" s="25"/>
      <c r="F219" s="38"/>
      <c r="G219" s="38"/>
      <c r="H219" s="38"/>
      <c r="I219" s="38"/>
      <c r="J219" s="38"/>
      <c r="K219" s="38"/>
      <c r="M219" s="17"/>
      <c r="N219" s="35"/>
      <c r="R219" s="17"/>
    </row>
    <row r="220" spans="2:18" ht="12.75">
      <c r="B220" s="13"/>
      <c r="C220" s="25"/>
      <c r="D220" s="25"/>
      <c r="F220" s="38"/>
      <c r="G220" s="38"/>
      <c r="H220" s="38"/>
      <c r="I220" s="38"/>
      <c r="J220" s="38"/>
      <c r="K220" s="38"/>
      <c r="M220" s="17"/>
      <c r="N220" s="35"/>
      <c r="R220" s="17"/>
    </row>
    <row r="221" spans="2:18" ht="12.75">
      <c r="B221" s="13"/>
      <c r="C221" s="25"/>
      <c r="D221" s="25"/>
      <c r="F221" s="38"/>
      <c r="G221" s="38"/>
      <c r="H221" s="38"/>
      <c r="I221" s="38"/>
      <c r="J221" s="38"/>
      <c r="K221" s="38"/>
      <c r="M221" s="17"/>
      <c r="N221" s="35"/>
      <c r="R221" s="17"/>
    </row>
    <row r="222" spans="2:18" ht="12.75">
      <c r="B222" s="13"/>
      <c r="C222" s="25"/>
      <c r="D222" s="25"/>
      <c r="F222" s="38"/>
      <c r="G222" s="38"/>
      <c r="H222" s="38"/>
      <c r="I222" s="38"/>
      <c r="J222" s="38"/>
      <c r="K222" s="38"/>
      <c r="M222" s="17"/>
      <c r="N222" s="35"/>
      <c r="R222" s="17"/>
    </row>
    <row r="223" spans="2:18" ht="12.75">
      <c r="B223" s="13"/>
      <c r="C223" s="25"/>
      <c r="D223" s="25"/>
      <c r="F223" s="38"/>
      <c r="G223" s="38"/>
      <c r="H223" s="38"/>
      <c r="I223" s="38"/>
      <c r="J223" s="38"/>
      <c r="K223" s="38"/>
      <c r="M223" s="17"/>
      <c r="N223" s="35"/>
      <c r="R223" s="17"/>
    </row>
    <row r="224" spans="2:18" ht="12.75">
      <c r="B224" s="13"/>
      <c r="C224" s="25"/>
      <c r="D224" s="25"/>
      <c r="F224" s="38"/>
      <c r="G224" s="38"/>
      <c r="H224" s="38"/>
      <c r="I224" s="38"/>
      <c r="J224" s="38"/>
      <c r="K224" s="38"/>
      <c r="M224" s="17"/>
      <c r="N224" s="35"/>
      <c r="R224" s="17"/>
    </row>
    <row r="225" spans="1:29" ht="12.75">
      <c r="B225" s="13"/>
      <c r="C225" s="25"/>
      <c r="D225" s="25"/>
      <c r="F225" s="38"/>
      <c r="G225" s="38"/>
      <c r="H225" s="38"/>
      <c r="I225" s="38"/>
      <c r="J225" s="38"/>
      <c r="K225" s="38"/>
      <c r="M225" s="17"/>
      <c r="N225" s="35"/>
      <c r="R225" s="17"/>
    </row>
    <row r="226" spans="1:29" ht="12.75">
      <c r="B226" s="13"/>
      <c r="C226" s="25"/>
      <c r="D226" s="25"/>
      <c r="F226" s="38"/>
      <c r="G226" s="38"/>
      <c r="H226" s="38"/>
      <c r="I226" s="38"/>
      <c r="J226" s="38"/>
      <c r="K226" s="38"/>
      <c r="M226" s="17"/>
      <c r="N226" s="35"/>
      <c r="R226" s="17"/>
    </row>
    <row r="227" spans="1:29" ht="12.75">
      <c r="B227" s="13"/>
      <c r="C227" s="25"/>
      <c r="D227" s="25"/>
      <c r="F227" s="38"/>
      <c r="G227" s="38"/>
      <c r="H227" s="38"/>
      <c r="I227" s="38"/>
      <c r="J227" s="38"/>
      <c r="K227" s="38"/>
      <c r="M227" s="17"/>
      <c r="N227" s="35"/>
      <c r="R227" s="17"/>
    </row>
    <row r="228" spans="1:29" ht="12.75">
      <c r="B228" s="13"/>
      <c r="C228" s="25"/>
      <c r="D228" s="25"/>
      <c r="F228" s="38"/>
      <c r="G228" s="38"/>
      <c r="H228" s="38"/>
      <c r="I228" s="38"/>
      <c r="J228" s="38"/>
      <c r="K228" s="38"/>
      <c r="M228" s="17"/>
      <c r="N228" s="35"/>
      <c r="R228" s="17"/>
    </row>
    <row r="229" spans="1:29" ht="12.75">
      <c r="B229" s="13"/>
      <c r="C229" s="25"/>
      <c r="D229" s="25"/>
      <c r="F229" s="38"/>
      <c r="G229" s="38"/>
      <c r="H229" s="38"/>
      <c r="I229" s="38"/>
      <c r="J229" s="38"/>
      <c r="K229" s="38"/>
      <c r="M229" s="17"/>
      <c r="N229" s="35"/>
      <c r="R229" s="17"/>
    </row>
    <row r="230" spans="1:29" ht="12.75">
      <c r="F230" s="38"/>
      <c r="G230" s="38"/>
      <c r="H230" s="38"/>
      <c r="I230" s="38"/>
      <c r="J230" s="38"/>
      <c r="K230" s="38"/>
      <c r="M230" s="17"/>
      <c r="N230" s="35"/>
      <c r="R230" s="17"/>
    </row>
    <row r="231" spans="1:29" ht="13.15">
      <c r="A231" s="30"/>
      <c r="B231" s="31"/>
      <c r="C231" s="30"/>
      <c r="D231" s="30"/>
      <c r="E231" s="30"/>
      <c r="F231" s="39"/>
      <c r="G231" s="39"/>
      <c r="H231" s="38"/>
      <c r="I231" s="38"/>
      <c r="J231" s="38"/>
      <c r="K231" s="38"/>
      <c r="L231" s="30"/>
      <c r="M231" s="33"/>
      <c r="N231" s="40"/>
      <c r="O231" s="30"/>
      <c r="P231" s="30"/>
      <c r="Q231" s="30"/>
      <c r="R231" s="33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</row>
    <row r="232" spans="1:29" ht="12.75">
      <c r="F232" s="38"/>
      <c r="G232" s="38"/>
      <c r="M232" s="17"/>
      <c r="N232" s="35"/>
      <c r="R232" s="17"/>
    </row>
    <row r="233" spans="1:29" ht="12.75">
      <c r="F233" s="38"/>
      <c r="G233" s="38"/>
      <c r="M233" s="17"/>
      <c r="N233" s="35"/>
      <c r="R233" s="17"/>
    </row>
    <row r="234" spans="1:29" ht="12.75">
      <c r="F234" s="38"/>
      <c r="G234" s="38"/>
      <c r="M234" s="17"/>
      <c r="N234" s="35"/>
      <c r="R234" s="17"/>
    </row>
    <row r="235" spans="1:29" ht="12.75">
      <c r="F235" s="38"/>
      <c r="G235" s="38"/>
      <c r="M235" s="17"/>
      <c r="N235" s="35"/>
      <c r="R235" s="17"/>
    </row>
    <row r="236" spans="1:29" ht="12.75">
      <c r="M236" s="17"/>
      <c r="N236" s="35"/>
      <c r="R236" s="17"/>
    </row>
    <row r="237" spans="1:29" ht="12.75">
      <c r="M237" s="17"/>
      <c r="N237" s="35"/>
      <c r="R237" s="17"/>
    </row>
    <row r="238" spans="1:29" ht="12.75">
      <c r="M238" s="17"/>
      <c r="N238" s="35"/>
      <c r="R238" s="17"/>
    </row>
    <row r="239" spans="1:29" ht="12.75">
      <c r="M239" s="17"/>
      <c r="N239" s="35"/>
      <c r="R239" s="17"/>
    </row>
    <row r="240" spans="1:29" ht="12.75">
      <c r="M240" s="17"/>
      <c r="N240" s="35"/>
      <c r="R240" s="17"/>
    </row>
    <row r="241" spans="13:18" ht="12.75">
      <c r="M241" s="17"/>
      <c r="N241" s="35"/>
      <c r="R241" s="17"/>
    </row>
    <row r="242" spans="13:18" ht="12.75">
      <c r="M242" s="17"/>
      <c r="N242" s="35"/>
      <c r="R242" s="17"/>
    </row>
    <row r="243" spans="13:18" ht="12.75">
      <c r="M243" s="17"/>
      <c r="N243" s="35"/>
      <c r="R243" s="17"/>
    </row>
    <row r="244" spans="13:18" ht="12.75">
      <c r="M244" s="17"/>
      <c r="N244" s="35"/>
      <c r="R244" s="17"/>
    </row>
    <row r="245" spans="13:18" ht="12.75">
      <c r="M245" s="17"/>
      <c r="N245" s="35"/>
      <c r="R245" s="17"/>
    </row>
    <row r="246" spans="13:18" ht="12.75">
      <c r="M246" s="17"/>
      <c r="N246" s="35"/>
      <c r="R246" s="17"/>
    </row>
    <row r="247" spans="13:18" ht="12.75">
      <c r="M247" s="17"/>
      <c r="N247" s="35"/>
      <c r="R247" s="17"/>
    </row>
    <row r="248" spans="13:18" ht="12.75">
      <c r="M248" s="17"/>
      <c r="N248" s="35"/>
      <c r="R248" s="17"/>
    </row>
    <row r="249" spans="13:18" ht="12.75">
      <c r="M249" s="17"/>
      <c r="N249" s="35"/>
      <c r="R249" s="17"/>
    </row>
    <row r="250" spans="13:18" ht="12.75">
      <c r="M250" s="17"/>
      <c r="N250" s="35"/>
      <c r="R250" s="17"/>
    </row>
    <row r="251" spans="13:18" ht="12.75">
      <c r="M251" s="17"/>
      <c r="N251" s="35"/>
      <c r="R251" s="17"/>
    </row>
    <row r="252" spans="13:18" ht="12.75">
      <c r="M252" s="17"/>
      <c r="N252" s="35"/>
      <c r="R252" s="17"/>
    </row>
    <row r="253" spans="13:18" ht="12.75">
      <c r="M253" s="17"/>
      <c r="N253" s="35"/>
      <c r="R253" s="17"/>
    </row>
    <row r="254" spans="13:18" ht="12.75">
      <c r="M254" s="17"/>
      <c r="N254" s="35"/>
      <c r="R254" s="17"/>
    </row>
    <row r="255" spans="13:18" ht="12.75">
      <c r="M255" s="17"/>
      <c r="N255" s="35"/>
      <c r="R255" s="17"/>
    </row>
    <row r="256" spans="13:18" ht="12.75">
      <c r="M256" s="17"/>
      <c r="N256" s="35"/>
      <c r="R256" s="17"/>
    </row>
    <row r="257" spans="13:18" ht="12.75">
      <c r="M257" s="17"/>
      <c r="N257" s="35"/>
      <c r="R257" s="17"/>
    </row>
    <row r="258" spans="13:18" ht="12.75">
      <c r="M258" s="17"/>
      <c r="N258" s="35"/>
      <c r="R258" s="17"/>
    </row>
    <row r="259" spans="13:18" ht="12.75">
      <c r="M259" s="17"/>
      <c r="N259" s="35"/>
      <c r="R259" s="17"/>
    </row>
    <row r="260" spans="13:18" ht="12.75">
      <c r="M260" s="17"/>
      <c r="N260" s="35"/>
      <c r="R260" s="17"/>
    </row>
    <row r="261" spans="13:18" ht="12.75">
      <c r="M261" s="17"/>
      <c r="N261" s="35"/>
      <c r="R261" s="17"/>
    </row>
    <row r="262" spans="13:18" ht="12.75">
      <c r="M262" s="17"/>
      <c r="N262" s="35"/>
      <c r="R262" s="17"/>
    </row>
    <row r="263" spans="13:18" ht="12.75">
      <c r="M263" s="17"/>
      <c r="N263" s="35"/>
      <c r="R263" s="17"/>
    </row>
    <row r="264" spans="13:18" ht="12.75">
      <c r="M264" s="17"/>
      <c r="N264" s="35"/>
      <c r="R264" s="17"/>
    </row>
    <row r="265" spans="13:18" ht="12.75">
      <c r="M265" s="17"/>
      <c r="N265" s="35"/>
      <c r="R265" s="17"/>
    </row>
    <row r="266" spans="13:18" ht="12.75">
      <c r="M266" s="17"/>
      <c r="N266" s="35"/>
      <c r="R266" s="17"/>
    </row>
    <row r="267" spans="13:18" ht="12.75">
      <c r="M267" s="17"/>
      <c r="N267" s="35"/>
      <c r="R267" s="17"/>
    </row>
    <row r="268" spans="13:18" ht="12.75">
      <c r="M268" s="17"/>
      <c r="N268" s="35"/>
      <c r="R268" s="17"/>
    </row>
    <row r="269" spans="13:18" ht="12.75">
      <c r="M269" s="17"/>
      <c r="N269" s="35"/>
      <c r="R269" s="17"/>
    </row>
    <row r="270" spans="13:18" ht="12.75">
      <c r="M270" s="17"/>
      <c r="N270" s="35"/>
      <c r="R270" s="17"/>
    </row>
    <row r="271" spans="13:18" ht="12.75">
      <c r="M271" s="17"/>
      <c r="N271" s="35"/>
      <c r="R271" s="17"/>
    </row>
    <row r="272" spans="13:18" ht="12.75">
      <c r="M272" s="17"/>
      <c r="N272" s="35"/>
      <c r="R272" s="17"/>
    </row>
    <row r="273" spans="13:18" ht="12.75">
      <c r="M273" s="17"/>
      <c r="N273" s="35"/>
      <c r="R273" s="17"/>
    </row>
    <row r="274" spans="13:18" ht="12.75">
      <c r="M274" s="17"/>
      <c r="N274" s="35"/>
      <c r="R274" s="17"/>
    </row>
    <row r="275" spans="13:18" ht="12.75">
      <c r="M275" s="17"/>
      <c r="N275" s="35"/>
      <c r="R275" s="17"/>
    </row>
    <row r="276" spans="13:18" ht="12.75">
      <c r="M276" s="17"/>
      <c r="N276" s="35"/>
      <c r="R276" s="17"/>
    </row>
    <row r="277" spans="13:18" ht="12.75">
      <c r="M277" s="17"/>
      <c r="N277" s="35"/>
      <c r="R277" s="17"/>
    </row>
    <row r="278" spans="13:18" ht="12.75">
      <c r="M278" s="17"/>
      <c r="N278" s="35"/>
      <c r="R278" s="17"/>
    </row>
    <row r="279" spans="13:18" ht="12.75">
      <c r="M279" s="17"/>
      <c r="N279" s="35"/>
      <c r="R279" s="17"/>
    </row>
    <row r="280" spans="13:18" ht="12.75">
      <c r="M280" s="17"/>
      <c r="N280" s="35"/>
      <c r="R280" s="17"/>
    </row>
    <row r="281" spans="13:18" ht="12.75">
      <c r="M281" s="17"/>
      <c r="N281" s="35"/>
      <c r="R281" s="17"/>
    </row>
    <row r="282" spans="13:18" ht="12.75">
      <c r="M282" s="17"/>
      <c r="N282" s="35"/>
      <c r="R282" s="17"/>
    </row>
    <row r="283" spans="13:18" ht="12.75">
      <c r="M283" s="17"/>
      <c r="N283" s="35"/>
      <c r="R283" s="17"/>
    </row>
    <row r="284" spans="13:18" ht="12.75">
      <c r="M284" s="17"/>
      <c r="N284" s="35"/>
      <c r="R284" s="17"/>
    </row>
    <row r="285" spans="13:18" ht="12.75">
      <c r="M285" s="17"/>
      <c r="N285" s="35"/>
      <c r="R285" s="17"/>
    </row>
    <row r="286" spans="13:18" ht="12.75">
      <c r="M286" s="17"/>
      <c r="N286" s="35"/>
      <c r="R286" s="17"/>
    </row>
    <row r="287" spans="13:18" ht="12.75">
      <c r="M287" s="17"/>
      <c r="N287" s="35"/>
      <c r="R287" s="17"/>
    </row>
    <row r="288" spans="13:18" ht="12.75">
      <c r="M288" s="17"/>
      <c r="N288" s="35"/>
      <c r="R288" s="17"/>
    </row>
    <row r="289" spans="13:18" ht="12.75">
      <c r="M289" s="17"/>
      <c r="N289" s="35"/>
      <c r="R289" s="17"/>
    </row>
    <row r="290" spans="13:18" ht="12.75">
      <c r="M290" s="17"/>
      <c r="N290" s="35"/>
      <c r="R290" s="17"/>
    </row>
    <row r="291" spans="13:18" ht="12.75">
      <c r="M291" s="17"/>
      <c r="N291" s="35"/>
      <c r="R291" s="17"/>
    </row>
    <row r="292" spans="13:18" ht="12.75">
      <c r="M292" s="17"/>
      <c r="N292" s="35"/>
      <c r="R292" s="17"/>
    </row>
    <row r="293" spans="13:18" ht="12.75">
      <c r="M293" s="17"/>
      <c r="N293" s="35"/>
      <c r="R293" s="17"/>
    </row>
    <row r="294" spans="13:18" ht="12.75">
      <c r="M294" s="17"/>
      <c r="N294" s="35"/>
      <c r="R294" s="17"/>
    </row>
    <row r="295" spans="13:18" ht="12.75">
      <c r="M295" s="17"/>
      <c r="N295" s="35"/>
      <c r="R295" s="17"/>
    </row>
    <row r="296" spans="13:18" ht="12.75">
      <c r="M296" s="17"/>
      <c r="N296" s="35"/>
      <c r="R296" s="17"/>
    </row>
    <row r="297" spans="13:18" ht="12.75">
      <c r="M297" s="17"/>
      <c r="N297" s="35"/>
      <c r="R297" s="17"/>
    </row>
    <row r="298" spans="13:18" ht="12.75">
      <c r="M298" s="17"/>
      <c r="N298" s="35"/>
      <c r="R298" s="17"/>
    </row>
    <row r="299" spans="13:18" ht="12.75">
      <c r="M299" s="17"/>
      <c r="N299" s="35"/>
      <c r="R299" s="17"/>
    </row>
    <row r="300" spans="13:18" ht="12.75">
      <c r="M300" s="17"/>
      <c r="N300" s="35"/>
      <c r="R300" s="17"/>
    </row>
    <row r="301" spans="13:18" ht="12.75">
      <c r="M301" s="17"/>
      <c r="N301" s="35"/>
      <c r="R301" s="17"/>
    </row>
    <row r="302" spans="13:18" ht="12.75">
      <c r="M302" s="17"/>
      <c r="N302" s="35"/>
      <c r="R302" s="17"/>
    </row>
    <row r="303" spans="13:18" ht="12.75">
      <c r="M303" s="17"/>
      <c r="N303" s="35"/>
      <c r="R303" s="17"/>
    </row>
    <row r="304" spans="13:18" ht="12.75">
      <c r="M304" s="17"/>
      <c r="N304" s="35"/>
      <c r="R304" s="17"/>
    </row>
    <row r="305" spans="13:18" ht="12.75">
      <c r="M305" s="17"/>
      <c r="N305" s="35"/>
      <c r="R305" s="17"/>
    </row>
    <row r="306" spans="13:18" ht="12.75">
      <c r="M306" s="17"/>
      <c r="N306" s="35"/>
      <c r="R306" s="17"/>
    </row>
    <row r="307" spans="13:18" ht="12.75">
      <c r="M307" s="17"/>
      <c r="N307" s="35"/>
      <c r="R307" s="17"/>
    </row>
    <row r="308" spans="13:18" ht="12.75">
      <c r="M308" s="17"/>
      <c r="N308" s="35"/>
      <c r="R308" s="17"/>
    </row>
    <row r="309" spans="13:18" ht="12.75">
      <c r="M309" s="17"/>
      <c r="N309" s="35"/>
      <c r="R309" s="17"/>
    </row>
    <row r="310" spans="13:18" ht="12.75">
      <c r="M310" s="17"/>
      <c r="N310" s="35"/>
      <c r="R310" s="17"/>
    </row>
    <row r="311" spans="13:18" ht="12.75">
      <c r="M311" s="17"/>
      <c r="N311" s="35"/>
      <c r="R311" s="17"/>
    </row>
    <row r="312" spans="13:18" ht="12.75">
      <c r="M312" s="17"/>
      <c r="N312" s="35"/>
      <c r="R312" s="17"/>
    </row>
    <row r="313" spans="13:18" ht="12.75">
      <c r="M313" s="17"/>
      <c r="N313" s="35"/>
      <c r="R313" s="17"/>
    </row>
    <row r="314" spans="13:18" ht="12.75">
      <c r="M314" s="17"/>
      <c r="N314" s="35"/>
      <c r="R314" s="17"/>
    </row>
    <row r="315" spans="13:18" ht="12.75">
      <c r="M315" s="17"/>
      <c r="N315" s="35"/>
      <c r="R315" s="17"/>
    </row>
    <row r="316" spans="13:18" ht="12.75">
      <c r="M316" s="17"/>
      <c r="N316" s="35"/>
      <c r="R316" s="17"/>
    </row>
    <row r="317" spans="13:18" ht="12.75">
      <c r="M317" s="17"/>
      <c r="N317" s="35"/>
      <c r="R317" s="17"/>
    </row>
    <row r="318" spans="13:18" ht="12.75">
      <c r="M318" s="17"/>
      <c r="N318" s="35"/>
      <c r="R318" s="17"/>
    </row>
    <row r="319" spans="13:18" ht="12.75">
      <c r="M319" s="17"/>
      <c r="N319" s="35"/>
      <c r="R319" s="17"/>
    </row>
    <row r="320" spans="13:18" ht="12.75">
      <c r="M320" s="17"/>
      <c r="N320" s="35"/>
      <c r="R320" s="17"/>
    </row>
    <row r="321" spans="13:18" ht="12.75">
      <c r="M321" s="17"/>
      <c r="N321" s="35"/>
      <c r="R321" s="17"/>
    </row>
    <row r="322" spans="13:18" ht="12.75">
      <c r="M322" s="17"/>
      <c r="N322" s="35"/>
      <c r="R322" s="17"/>
    </row>
    <row r="323" spans="13:18" ht="12.75">
      <c r="M323" s="17"/>
      <c r="N323" s="35"/>
      <c r="R323" s="17"/>
    </row>
    <row r="324" spans="13:18" ht="12.75">
      <c r="M324" s="17"/>
      <c r="N324" s="35"/>
      <c r="R324" s="17"/>
    </row>
    <row r="325" spans="13:18" ht="12.75">
      <c r="M325" s="17"/>
      <c r="N325" s="35"/>
      <c r="R325" s="17"/>
    </row>
    <row r="326" spans="13:18" ht="12.75">
      <c r="M326" s="17"/>
      <c r="N326" s="35"/>
      <c r="R326" s="17"/>
    </row>
    <row r="327" spans="13:18" ht="12.75">
      <c r="M327" s="17"/>
      <c r="N327" s="35"/>
      <c r="R327" s="17"/>
    </row>
    <row r="328" spans="13:18" ht="12.75">
      <c r="M328" s="17"/>
      <c r="N328" s="35"/>
      <c r="R328" s="17"/>
    </row>
    <row r="329" spans="13:18" ht="12.75">
      <c r="M329" s="17"/>
      <c r="N329" s="35"/>
      <c r="R329" s="17"/>
    </row>
    <row r="330" spans="13:18" ht="12.75">
      <c r="M330" s="17"/>
      <c r="N330" s="35"/>
      <c r="R330" s="17"/>
    </row>
    <row r="331" spans="13:18" ht="12.75">
      <c r="M331" s="17"/>
      <c r="N331" s="35"/>
      <c r="R331" s="17"/>
    </row>
    <row r="332" spans="13:18" ht="12.75">
      <c r="M332" s="17"/>
      <c r="N332" s="35"/>
      <c r="R332" s="17"/>
    </row>
    <row r="333" spans="13:18" ht="12.75">
      <c r="M333" s="17"/>
      <c r="N333" s="35"/>
      <c r="R333" s="17"/>
    </row>
    <row r="334" spans="13:18" ht="12.75">
      <c r="M334" s="17"/>
      <c r="N334" s="35"/>
      <c r="R334" s="17"/>
    </row>
    <row r="335" spans="13:18" ht="12.75">
      <c r="M335" s="17"/>
      <c r="N335" s="35"/>
      <c r="R335" s="17"/>
    </row>
    <row r="336" spans="13:18" ht="12.75">
      <c r="M336" s="17"/>
      <c r="N336" s="35"/>
      <c r="R336" s="17"/>
    </row>
    <row r="337" spans="13:18" ht="12.75">
      <c r="M337" s="17"/>
      <c r="N337" s="35"/>
      <c r="R337" s="17"/>
    </row>
    <row r="338" spans="13:18" ht="12.75">
      <c r="M338" s="17"/>
      <c r="N338" s="35"/>
      <c r="R338" s="17"/>
    </row>
    <row r="339" spans="13:18" ht="12.75">
      <c r="M339" s="17"/>
      <c r="N339" s="35"/>
      <c r="R339" s="17"/>
    </row>
    <row r="340" spans="13:18" ht="12.75">
      <c r="M340" s="17"/>
      <c r="N340" s="35"/>
      <c r="R340" s="17"/>
    </row>
    <row r="341" spans="13:18" ht="12.75">
      <c r="M341" s="17"/>
      <c r="N341" s="35"/>
      <c r="R341" s="17"/>
    </row>
    <row r="342" spans="13:18" ht="12.75">
      <c r="M342" s="17"/>
      <c r="N342" s="35"/>
      <c r="R342" s="17"/>
    </row>
    <row r="343" spans="13:18" ht="12.75">
      <c r="M343" s="17"/>
      <c r="N343" s="35"/>
      <c r="R343" s="17"/>
    </row>
    <row r="344" spans="13:18" ht="12.75">
      <c r="M344" s="17"/>
      <c r="N344" s="35"/>
      <c r="R344" s="17"/>
    </row>
    <row r="345" spans="13:18" ht="12.75">
      <c r="M345" s="17"/>
      <c r="N345" s="35"/>
      <c r="R345" s="17"/>
    </row>
    <row r="346" spans="13:18" ht="12.75">
      <c r="M346" s="17"/>
      <c r="N346" s="35"/>
      <c r="R346" s="17"/>
    </row>
    <row r="347" spans="13:18" ht="12.75">
      <c r="M347" s="17"/>
      <c r="N347" s="35"/>
      <c r="R347" s="17"/>
    </row>
    <row r="348" spans="13:18" ht="12.75">
      <c r="M348" s="17"/>
      <c r="N348" s="35"/>
      <c r="R348" s="17"/>
    </row>
    <row r="349" spans="13:18" ht="12.75">
      <c r="M349" s="17"/>
      <c r="N349" s="35"/>
      <c r="R349" s="17"/>
    </row>
    <row r="350" spans="13:18" ht="12.75">
      <c r="M350" s="17"/>
      <c r="N350" s="35"/>
      <c r="R350" s="17"/>
    </row>
    <row r="351" spans="13:18" ht="12.75">
      <c r="M351" s="17"/>
      <c r="N351" s="35"/>
      <c r="R351" s="17"/>
    </row>
    <row r="352" spans="13:18" ht="12.75">
      <c r="M352" s="17"/>
      <c r="N352" s="35"/>
      <c r="R352" s="17"/>
    </row>
    <row r="353" spans="13:18" ht="12.75">
      <c r="M353" s="17"/>
      <c r="N353" s="35"/>
      <c r="R353" s="17"/>
    </row>
    <row r="354" spans="13:18" ht="12.75">
      <c r="M354" s="17"/>
      <c r="N354" s="35"/>
      <c r="R354" s="17"/>
    </row>
    <row r="355" spans="13:18" ht="12.75">
      <c r="M355" s="17"/>
      <c r="N355" s="35"/>
      <c r="R355" s="17"/>
    </row>
    <row r="356" spans="13:18" ht="12.75">
      <c r="M356" s="17"/>
      <c r="N356" s="35"/>
      <c r="R356" s="17"/>
    </row>
    <row r="357" spans="13:18" ht="12.75">
      <c r="M357" s="17"/>
      <c r="N357" s="35"/>
      <c r="R357" s="17"/>
    </row>
    <row r="358" spans="13:18" ht="12.75">
      <c r="M358" s="17"/>
      <c r="N358" s="35"/>
      <c r="R358" s="17"/>
    </row>
    <row r="359" spans="13:18" ht="12.75">
      <c r="M359" s="17"/>
      <c r="N359" s="35"/>
      <c r="R359" s="17"/>
    </row>
    <row r="360" spans="13:18" ht="12.75">
      <c r="M360" s="17"/>
      <c r="N360" s="35"/>
      <c r="R360" s="17"/>
    </row>
    <row r="361" spans="13:18" ht="12.75">
      <c r="M361" s="17"/>
      <c r="N361" s="35"/>
      <c r="R361" s="17"/>
    </row>
    <row r="362" spans="13:18" ht="12.75">
      <c r="M362" s="17"/>
      <c r="N362" s="35"/>
      <c r="R362" s="17"/>
    </row>
    <row r="363" spans="13:18" ht="12.75">
      <c r="M363" s="17"/>
      <c r="N363" s="35"/>
      <c r="R363" s="17"/>
    </row>
    <row r="364" spans="13:18" ht="12.75">
      <c r="M364" s="17"/>
      <c r="N364" s="35"/>
      <c r="R364" s="17"/>
    </row>
    <row r="365" spans="13:18" ht="12.75">
      <c r="M365" s="17"/>
      <c r="N365" s="35"/>
      <c r="R365" s="17"/>
    </row>
    <row r="366" spans="13:18" ht="12.75">
      <c r="M366" s="17"/>
      <c r="N366" s="35"/>
      <c r="R366" s="17"/>
    </row>
    <row r="367" spans="13:18" ht="12.75">
      <c r="M367" s="17"/>
      <c r="N367" s="35"/>
      <c r="R367" s="17"/>
    </row>
    <row r="368" spans="13:18" ht="12.75">
      <c r="M368" s="17"/>
      <c r="N368" s="35"/>
      <c r="R368" s="17"/>
    </row>
    <row r="369" spans="13:18" ht="12.75">
      <c r="M369" s="17"/>
      <c r="N369" s="35"/>
      <c r="R369" s="17"/>
    </row>
    <row r="370" spans="13:18" ht="12.75">
      <c r="M370" s="17"/>
      <c r="N370" s="35"/>
      <c r="R370" s="17"/>
    </row>
    <row r="371" spans="13:18" ht="12.75">
      <c r="M371" s="17"/>
      <c r="N371" s="35"/>
      <c r="R371" s="17"/>
    </row>
    <row r="372" spans="13:18" ht="12.75">
      <c r="M372" s="17"/>
      <c r="N372" s="35"/>
      <c r="R372" s="17"/>
    </row>
    <row r="373" spans="13:18" ht="12.75">
      <c r="M373" s="17"/>
      <c r="N373" s="35"/>
      <c r="R373" s="17"/>
    </row>
    <row r="374" spans="13:18" ht="12.75">
      <c r="M374" s="17"/>
      <c r="N374" s="35"/>
      <c r="R374" s="17"/>
    </row>
    <row r="375" spans="13:18" ht="12.75">
      <c r="M375" s="17"/>
      <c r="N375" s="35"/>
      <c r="R375" s="17"/>
    </row>
    <row r="376" spans="13:18" ht="12.75">
      <c r="M376" s="17"/>
      <c r="N376" s="35"/>
      <c r="R376" s="17"/>
    </row>
    <row r="377" spans="13:18" ht="12.75">
      <c r="M377" s="17"/>
      <c r="N377" s="35"/>
      <c r="R377" s="17"/>
    </row>
    <row r="378" spans="13:18" ht="12.75">
      <c r="M378" s="17"/>
      <c r="N378" s="35"/>
      <c r="R378" s="17"/>
    </row>
    <row r="379" spans="13:18" ht="12.75">
      <c r="M379" s="17"/>
      <c r="N379" s="35"/>
      <c r="R379" s="17"/>
    </row>
    <row r="380" spans="13:18" ht="12.75">
      <c r="M380" s="17"/>
      <c r="N380" s="35"/>
      <c r="R380" s="17"/>
    </row>
    <row r="381" spans="13:18" ht="12.75">
      <c r="M381" s="17"/>
      <c r="N381" s="35"/>
      <c r="R381" s="17"/>
    </row>
    <row r="382" spans="13:18" ht="12.75">
      <c r="M382" s="17"/>
      <c r="N382" s="35"/>
      <c r="R382" s="17"/>
    </row>
    <row r="383" spans="13:18" ht="12.75">
      <c r="M383" s="17"/>
      <c r="N383" s="35"/>
      <c r="R383" s="17"/>
    </row>
    <row r="384" spans="13:18" ht="12.75">
      <c r="M384" s="17"/>
      <c r="N384" s="35"/>
      <c r="R384" s="17"/>
    </row>
    <row r="385" spans="13:18" ht="12.75">
      <c r="M385" s="17"/>
      <c r="N385" s="35"/>
      <c r="R385" s="17"/>
    </row>
    <row r="386" spans="13:18" ht="12.75">
      <c r="M386" s="17"/>
      <c r="N386" s="35"/>
      <c r="R386" s="17"/>
    </row>
    <row r="387" spans="13:18" ht="12.75">
      <c r="M387" s="17"/>
      <c r="N387" s="35"/>
      <c r="R387" s="17"/>
    </row>
    <row r="388" spans="13:18" ht="12.75">
      <c r="M388" s="17"/>
      <c r="N388" s="35"/>
      <c r="R388" s="17"/>
    </row>
    <row r="389" spans="13:18" ht="12.75">
      <c r="M389" s="17"/>
      <c r="N389" s="35"/>
      <c r="R389" s="17"/>
    </row>
    <row r="390" spans="13:18" ht="12.75">
      <c r="M390" s="17"/>
      <c r="N390" s="35"/>
      <c r="R390" s="17"/>
    </row>
    <row r="391" spans="13:18" ht="12.75">
      <c r="M391" s="17"/>
      <c r="N391" s="35"/>
      <c r="R391" s="17"/>
    </row>
    <row r="392" spans="13:18" ht="12.75">
      <c r="M392" s="17"/>
      <c r="N392" s="35"/>
      <c r="R392" s="17"/>
    </row>
    <row r="393" spans="13:18" ht="12.75">
      <c r="M393" s="17"/>
      <c r="N393" s="35"/>
      <c r="R393" s="17"/>
    </row>
    <row r="394" spans="13:18" ht="12.75">
      <c r="M394" s="17"/>
      <c r="N394" s="35"/>
      <c r="R394" s="17"/>
    </row>
    <row r="395" spans="13:18" ht="12.75">
      <c r="M395" s="17"/>
      <c r="N395" s="35"/>
      <c r="R395" s="17"/>
    </row>
    <row r="396" spans="13:18" ht="12.75">
      <c r="M396" s="17"/>
      <c r="N396" s="35"/>
      <c r="R396" s="17"/>
    </row>
    <row r="397" spans="13:18" ht="12.75">
      <c r="M397" s="17"/>
      <c r="N397" s="35"/>
      <c r="R397" s="17"/>
    </row>
    <row r="398" spans="13:18" ht="12.75">
      <c r="M398" s="17"/>
      <c r="N398" s="35"/>
      <c r="R398" s="17"/>
    </row>
    <row r="399" spans="13:18" ht="12.75">
      <c r="M399" s="17"/>
      <c r="N399" s="35"/>
      <c r="R399" s="17"/>
    </row>
    <row r="400" spans="13:18" ht="12.75">
      <c r="M400" s="17"/>
      <c r="N400" s="35"/>
      <c r="R400" s="17"/>
    </row>
    <row r="401" spans="13:18" ht="12.75">
      <c r="M401" s="17"/>
      <c r="N401" s="35"/>
      <c r="R401" s="17"/>
    </row>
    <row r="402" spans="13:18" ht="12.75">
      <c r="M402" s="17"/>
      <c r="N402" s="35"/>
      <c r="R402" s="17"/>
    </row>
    <row r="403" spans="13:18" ht="12.75">
      <c r="M403" s="17"/>
      <c r="N403" s="35"/>
      <c r="R403" s="17"/>
    </row>
    <row r="404" spans="13:18" ht="12.75">
      <c r="M404" s="17"/>
      <c r="N404" s="35"/>
      <c r="R404" s="17"/>
    </row>
    <row r="405" spans="13:18" ht="12.75">
      <c r="M405" s="17"/>
      <c r="N405" s="35"/>
      <c r="R405" s="17"/>
    </row>
    <row r="406" spans="13:18" ht="12.75">
      <c r="M406" s="17"/>
      <c r="N406" s="35"/>
      <c r="R406" s="17"/>
    </row>
    <row r="407" spans="13:18" ht="12.75">
      <c r="M407" s="17"/>
      <c r="N407" s="35"/>
      <c r="R407" s="17"/>
    </row>
    <row r="408" spans="13:18" ht="12.75">
      <c r="M408" s="17"/>
      <c r="N408" s="35"/>
      <c r="R408" s="17"/>
    </row>
    <row r="409" spans="13:18" ht="12.75">
      <c r="M409" s="17"/>
      <c r="N409" s="35"/>
      <c r="R409" s="17"/>
    </row>
    <row r="410" spans="13:18" ht="12.75">
      <c r="M410" s="17"/>
      <c r="N410" s="35"/>
      <c r="R410" s="17"/>
    </row>
    <row r="411" spans="13:18" ht="12.75">
      <c r="M411" s="17"/>
      <c r="N411" s="35"/>
      <c r="R411" s="17"/>
    </row>
    <row r="412" spans="13:18" ht="12.75">
      <c r="M412" s="17"/>
      <c r="N412" s="35"/>
      <c r="R412" s="17"/>
    </row>
    <row r="413" spans="13:18" ht="12.75">
      <c r="M413" s="17"/>
      <c r="N413" s="35"/>
      <c r="R413" s="17"/>
    </row>
    <row r="414" spans="13:18" ht="12.75">
      <c r="M414" s="17"/>
      <c r="N414" s="35"/>
      <c r="R414" s="17"/>
    </row>
    <row r="415" spans="13:18" ht="12.75">
      <c r="M415" s="17"/>
      <c r="N415" s="35"/>
      <c r="R415" s="17"/>
    </row>
    <row r="416" spans="13:18" ht="12.75">
      <c r="M416" s="17"/>
      <c r="N416" s="35"/>
      <c r="R416" s="17"/>
    </row>
    <row r="417" spans="13:18" ht="12.75">
      <c r="M417" s="17"/>
      <c r="N417" s="35"/>
      <c r="R417" s="17"/>
    </row>
    <row r="418" spans="13:18" ht="12.75">
      <c r="M418" s="17"/>
      <c r="N418" s="35"/>
      <c r="R418" s="17"/>
    </row>
    <row r="419" spans="13:18" ht="12.75">
      <c r="M419" s="17"/>
      <c r="N419" s="35"/>
      <c r="R419" s="17"/>
    </row>
    <row r="420" spans="13:18" ht="12.75">
      <c r="M420" s="17"/>
      <c r="N420" s="35"/>
      <c r="R420" s="17"/>
    </row>
    <row r="421" spans="13:18" ht="12.75">
      <c r="M421" s="17"/>
      <c r="N421" s="35"/>
      <c r="R421" s="17"/>
    </row>
    <row r="422" spans="13:18" ht="12.75">
      <c r="M422" s="17"/>
      <c r="N422" s="35"/>
      <c r="R422" s="17"/>
    </row>
    <row r="423" spans="13:18" ht="12.75">
      <c r="M423" s="17"/>
      <c r="N423" s="35"/>
      <c r="R423" s="17"/>
    </row>
    <row r="424" spans="13:18" ht="12.75">
      <c r="M424" s="17"/>
      <c r="N424" s="35"/>
      <c r="R424" s="17"/>
    </row>
    <row r="425" spans="13:18" ht="12.75">
      <c r="M425" s="17"/>
      <c r="N425" s="35"/>
      <c r="R425" s="17"/>
    </row>
    <row r="426" spans="13:18" ht="12.75">
      <c r="M426" s="17"/>
      <c r="N426" s="35"/>
      <c r="R426" s="17"/>
    </row>
    <row r="427" spans="13:18" ht="12.75">
      <c r="M427" s="17"/>
      <c r="N427" s="35"/>
      <c r="R427" s="17"/>
    </row>
    <row r="428" spans="13:18" ht="12.75">
      <c r="M428" s="17"/>
      <c r="N428" s="35"/>
      <c r="R428" s="17"/>
    </row>
    <row r="429" spans="13:18" ht="12.75">
      <c r="M429" s="17"/>
      <c r="N429" s="35"/>
      <c r="R429" s="17"/>
    </row>
    <row r="430" spans="13:18" ht="12.75">
      <c r="M430" s="17"/>
      <c r="N430" s="35"/>
      <c r="R430" s="17"/>
    </row>
    <row r="431" spans="13:18" ht="12.75">
      <c r="M431" s="17"/>
      <c r="N431" s="35"/>
      <c r="R431" s="17"/>
    </row>
    <row r="432" spans="13:18" ht="12.75">
      <c r="M432" s="17"/>
      <c r="N432" s="35"/>
      <c r="R432" s="17"/>
    </row>
    <row r="433" spans="13:18" ht="12.75">
      <c r="M433" s="17"/>
      <c r="N433" s="35"/>
      <c r="R433" s="17"/>
    </row>
    <row r="434" spans="13:18" ht="12.75">
      <c r="M434" s="17"/>
      <c r="N434" s="35"/>
      <c r="R434" s="17"/>
    </row>
    <row r="435" spans="13:18" ht="12.75">
      <c r="M435" s="17"/>
      <c r="N435" s="35"/>
      <c r="R435" s="17"/>
    </row>
    <row r="436" spans="13:18" ht="12.75">
      <c r="M436" s="17"/>
      <c r="N436" s="35"/>
      <c r="R436" s="17"/>
    </row>
    <row r="437" spans="13:18" ht="12.75">
      <c r="M437" s="17"/>
      <c r="N437" s="35"/>
      <c r="R437" s="17"/>
    </row>
    <row r="438" spans="13:18" ht="12.75">
      <c r="M438" s="17"/>
      <c r="N438" s="35"/>
      <c r="R438" s="17"/>
    </row>
    <row r="439" spans="13:18" ht="12.75">
      <c r="M439" s="17"/>
      <c r="N439" s="35"/>
      <c r="R439" s="17"/>
    </row>
    <row r="440" spans="13:18" ht="12.75">
      <c r="M440" s="17"/>
      <c r="N440" s="35"/>
      <c r="R440" s="17"/>
    </row>
    <row r="441" spans="13:18" ht="12.75">
      <c r="M441" s="17"/>
      <c r="N441" s="35"/>
      <c r="R441" s="17"/>
    </row>
    <row r="442" spans="13:18" ht="12.75">
      <c r="M442" s="17"/>
      <c r="N442" s="35"/>
      <c r="R442" s="17"/>
    </row>
    <row r="443" spans="13:18" ht="12.75">
      <c r="M443" s="17"/>
      <c r="N443" s="35"/>
      <c r="R443" s="17"/>
    </row>
    <row r="444" spans="13:18" ht="12.75">
      <c r="M444" s="17"/>
      <c r="N444" s="35"/>
      <c r="R444" s="17"/>
    </row>
    <row r="445" spans="13:18" ht="12.75">
      <c r="M445" s="17"/>
      <c r="N445" s="35"/>
      <c r="R445" s="17"/>
    </row>
    <row r="446" spans="13:18" ht="12.75">
      <c r="M446" s="17"/>
      <c r="N446" s="35"/>
      <c r="R446" s="17"/>
    </row>
    <row r="447" spans="13:18" ht="12.75">
      <c r="M447" s="17"/>
      <c r="N447" s="35"/>
      <c r="R447" s="17"/>
    </row>
    <row r="448" spans="13:18" ht="12.75">
      <c r="M448" s="17"/>
      <c r="N448" s="35"/>
      <c r="R448" s="17"/>
    </row>
    <row r="449" spans="13:18" ht="12.75">
      <c r="M449" s="17"/>
      <c r="N449" s="35"/>
      <c r="R449" s="17"/>
    </row>
    <row r="450" spans="13:18" ht="12.75">
      <c r="M450" s="17"/>
      <c r="N450" s="35"/>
      <c r="R450" s="17"/>
    </row>
    <row r="451" spans="13:18" ht="12.75">
      <c r="M451" s="17"/>
      <c r="N451" s="35"/>
      <c r="R451" s="17"/>
    </row>
    <row r="452" spans="13:18" ht="12.75">
      <c r="M452" s="17"/>
      <c r="N452" s="35"/>
      <c r="R452" s="17"/>
    </row>
    <row r="453" spans="13:18" ht="12.75">
      <c r="M453" s="17"/>
      <c r="N453" s="35"/>
      <c r="R453" s="17"/>
    </row>
    <row r="454" spans="13:18" ht="12.75">
      <c r="M454" s="17"/>
      <c r="N454" s="35"/>
      <c r="R454" s="17"/>
    </row>
    <row r="455" spans="13:18" ht="12.75">
      <c r="M455" s="17"/>
      <c r="N455" s="35"/>
      <c r="R455" s="17"/>
    </row>
    <row r="456" spans="13:18" ht="12.75">
      <c r="M456" s="17"/>
      <c r="N456" s="35"/>
      <c r="R456" s="17"/>
    </row>
    <row r="457" spans="13:18" ht="12.75">
      <c r="M457" s="17"/>
      <c r="N457" s="35"/>
      <c r="R457" s="17"/>
    </row>
    <row r="458" spans="13:18" ht="12.75">
      <c r="M458" s="17"/>
      <c r="N458" s="35"/>
      <c r="R458" s="17"/>
    </row>
    <row r="459" spans="13:18" ht="12.75">
      <c r="M459" s="17"/>
      <c r="N459" s="35"/>
      <c r="R459" s="17"/>
    </row>
    <row r="460" spans="13:18" ht="12.75">
      <c r="M460" s="17"/>
      <c r="N460" s="35"/>
      <c r="R460" s="17"/>
    </row>
    <row r="461" spans="13:18" ht="12.75">
      <c r="M461" s="17"/>
      <c r="N461" s="35"/>
      <c r="R461" s="17"/>
    </row>
    <row r="462" spans="13:18" ht="12.75">
      <c r="M462" s="17"/>
      <c r="N462" s="35"/>
      <c r="R462" s="17"/>
    </row>
    <row r="463" spans="13:18" ht="12.75">
      <c r="M463" s="17"/>
      <c r="N463" s="35"/>
      <c r="R463" s="17"/>
    </row>
    <row r="464" spans="13:18" ht="12.75">
      <c r="M464" s="17"/>
      <c r="N464" s="35"/>
      <c r="R464" s="17"/>
    </row>
    <row r="465" spans="13:18" ht="12.75">
      <c r="M465" s="17"/>
      <c r="N465" s="35"/>
      <c r="R465" s="17"/>
    </row>
    <row r="466" spans="13:18" ht="12.75">
      <c r="M466" s="17"/>
      <c r="N466" s="35"/>
      <c r="R466" s="17"/>
    </row>
    <row r="467" spans="13:18" ht="12.75">
      <c r="M467" s="17"/>
      <c r="N467" s="35"/>
      <c r="R467" s="17"/>
    </row>
    <row r="468" spans="13:18" ht="12.75">
      <c r="M468" s="17"/>
      <c r="N468" s="35"/>
      <c r="R468" s="17"/>
    </row>
    <row r="469" spans="13:18" ht="12.75">
      <c r="M469" s="17"/>
      <c r="N469" s="35"/>
      <c r="R469" s="17"/>
    </row>
    <row r="470" spans="13:18" ht="12.75">
      <c r="M470" s="17"/>
      <c r="N470" s="35"/>
      <c r="R470" s="17"/>
    </row>
    <row r="471" spans="13:18" ht="12.75">
      <c r="M471" s="17"/>
      <c r="N471" s="35"/>
      <c r="R471" s="17"/>
    </row>
    <row r="472" spans="13:18" ht="12.75">
      <c r="M472" s="17"/>
      <c r="N472" s="35"/>
      <c r="R472" s="17"/>
    </row>
    <row r="473" spans="13:18" ht="12.75">
      <c r="M473" s="17"/>
      <c r="N473" s="35"/>
      <c r="R473" s="17"/>
    </row>
    <row r="474" spans="13:18" ht="12.75">
      <c r="M474" s="17"/>
      <c r="N474" s="35"/>
      <c r="R474" s="17"/>
    </row>
    <row r="475" spans="13:18" ht="12.75">
      <c r="M475" s="17"/>
      <c r="N475" s="35"/>
      <c r="R475" s="17"/>
    </row>
    <row r="476" spans="13:18" ht="12.75">
      <c r="M476" s="17"/>
      <c r="N476" s="35"/>
      <c r="R476" s="17"/>
    </row>
    <row r="477" spans="13:18" ht="12.75">
      <c r="M477" s="17"/>
      <c r="N477" s="35"/>
      <c r="R477" s="17"/>
    </row>
    <row r="478" spans="13:18" ht="12.75">
      <c r="M478" s="17"/>
      <c r="N478" s="35"/>
      <c r="R478" s="17"/>
    </row>
    <row r="479" spans="13:18" ht="12.75">
      <c r="M479" s="17"/>
      <c r="N479" s="35"/>
      <c r="R479" s="17"/>
    </row>
    <row r="480" spans="13:18" ht="12.75">
      <c r="M480" s="17"/>
      <c r="N480" s="35"/>
      <c r="R480" s="17"/>
    </row>
    <row r="481" spans="13:18" ht="12.75">
      <c r="M481" s="17"/>
      <c r="N481" s="35"/>
      <c r="R481" s="17"/>
    </row>
    <row r="482" spans="13:18" ht="12.75">
      <c r="M482" s="17"/>
      <c r="N482" s="35"/>
      <c r="R482" s="17"/>
    </row>
    <row r="483" spans="13:18" ht="12.75">
      <c r="M483" s="17"/>
      <c r="N483" s="35"/>
      <c r="R483" s="17"/>
    </row>
    <row r="484" spans="13:18" ht="12.75">
      <c r="M484" s="17"/>
      <c r="N484" s="35"/>
      <c r="R484" s="17"/>
    </row>
    <row r="485" spans="13:18" ht="12.75">
      <c r="M485" s="17"/>
      <c r="N485" s="35"/>
      <c r="R485" s="17"/>
    </row>
    <row r="486" spans="13:18" ht="12.75">
      <c r="M486" s="17"/>
      <c r="N486" s="35"/>
      <c r="R486" s="17"/>
    </row>
    <row r="487" spans="13:18" ht="12.75">
      <c r="M487" s="17"/>
      <c r="N487" s="35"/>
      <c r="R487" s="17"/>
    </row>
    <row r="488" spans="13:18" ht="12.75">
      <c r="M488" s="17"/>
      <c r="N488" s="35"/>
      <c r="R488" s="17"/>
    </row>
    <row r="489" spans="13:18" ht="12.75">
      <c r="M489" s="17"/>
      <c r="N489" s="35"/>
      <c r="R489" s="17"/>
    </row>
    <row r="490" spans="13:18" ht="12.75">
      <c r="M490" s="17"/>
      <c r="N490" s="35"/>
      <c r="R490" s="17"/>
    </row>
    <row r="491" spans="13:18" ht="12.75">
      <c r="M491" s="17"/>
      <c r="N491" s="35"/>
      <c r="R491" s="17"/>
    </row>
    <row r="492" spans="13:18" ht="12.75">
      <c r="M492" s="17"/>
      <c r="N492" s="35"/>
      <c r="R492" s="17"/>
    </row>
    <row r="493" spans="13:18" ht="12.75">
      <c r="M493" s="17"/>
      <c r="N493" s="35"/>
      <c r="R493" s="17"/>
    </row>
    <row r="494" spans="13:18" ht="12.75">
      <c r="M494" s="17"/>
      <c r="N494" s="35"/>
      <c r="R494" s="17"/>
    </row>
    <row r="495" spans="13:18" ht="12.75">
      <c r="M495" s="17"/>
      <c r="N495" s="35"/>
      <c r="R495" s="17"/>
    </row>
    <row r="496" spans="13:18" ht="12.75">
      <c r="M496" s="17"/>
      <c r="N496" s="35"/>
      <c r="R496" s="17"/>
    </row>
    <row r="497" spans="13:18" ht="12.75">
      <c r="M497" s="17"/>
      <c r="N497" s="35"/>
      <c r="R497" s="17"/>
    </row>
    <row r="498" spans="13:18" ht="12.75">
      <c r="M498" s="17"/>
      <c r="N498" s="35"/>
      <c r="R498" s="17"/>
    </row>
    <row r="499" spans="13:18" ht="12.75">
      <c r="M499" s="17"/>
      <c r="N499" s="35"/>
      <c r="R499" s="17"/>
    </row>
    <row r="500" spans="13:18" ht="12.75">
      <c r="M500" s="17"/>
      <c r="N500" s="35"/>
      <c r="R500" s="17"/>
    </row>
    <row r="501" spans="13:18" ht="12.75">
      <c r="M501" s="17"/>
      <c r="N501" s="35"/>
      <c r="R501" s="17"/>
    </row>
    <row r="502" spans="13:18" ht="12.75">
      <c r="M502" s="17"/>
      <c r="N502" s="35"/>
      <c r="R502" s="17"/>
    </row>
    <row r="503" spans="13:18" ht="12.75">
      <c r="M503" s="17"/>
      <c r="N503" s="35"/>
      <c r="R503" s="17"/>
    </row>
    <row r="504" spans="13:18" ht="12.75">
      <c r="M504" s="17"/>
      <c r="N504" s="35"/>
      <c r="R504" s="17"/>
    </row>
    <row r="505" spans="13:18" ht="12.75">
      <c r="M505" s="17"/>
      <c r="N505" s="35"/>
      <c r="R505" s="17"/>
    </row>
    <row r="506" spans="13:18" ht="12.75">
      <c r="M506" s="17"/>
      <c r="N506" s="35"/>
      <c r="R506" s="17"/>
    </row>
    <row r="507" spans="13:18" ht="12.75">
      <c r="M507" s="17"/>
      <c r="N507" s="35"/>
      <c r="R507" s="17"/>
    </row>
    <row r="508" spans="13:18" ht="12.75">
      <c r="M508" s="17"/>
      <c r="N508" s="35"/>
      <c r="R508" s="17"/>
    </row>
    <row r="509" spans="13:18" ht="12.75">
      <c r="M509" s="17"/>
      <c r="N509" s="35"/>
      <c r="R509" s="17"/>
    </row>
    <row r="510" spans="13:18" ht="12.75">
      <c r="M510" s="17"/>
      <c r="N510" s="35"/>
      <c r="R510" s="17"/>
    </row>
    <row r="511" spans="13:18" ht="12.75">
      <c r="M511" s="17"/>
      <c r="N511" s="35"/>
      <c r="R511" s="17"/>
    </row>
    <row r="512" spans="13:18" ht="12.75">
      <c r="M512" s="17"/>
      <c r="N512" s="35"/>
      <c r="R512" s="17"/>
    </row>
    <row r="513" spans="13:18" ht="12.75">
      <c r="M513" s="17"/>
      <c r="N513" s="35"/>
      <c r="R513" s="17"/>
    </row>
    <row r="514" spans="13:18" ht="12.75">
      <c r="M514" s="17"/>
      <c r="N514" s="35"/>
      <c r="R514" s="17"/>
    </row>
    <row r="515" spans="13:18" ht="12.75">
      <c r="M515" s="17"/>
      <c r="N515" s="35"/>
      <c r="R515" s="17"/>
    </row>
    <row r="516" spans="13:18" ht="12.75">
      <c r="M516" s="17"/>
      <c r="N516" s="35"/>
      <c r="R516" s="17"/>
    </row>
    <row r="517" spans="13:18" ht="12.75">
      <c r="M517" s="17"/>
      <c r="N517" s="35"/>
      <c r="R517" s="17"/>
    </row>
    <row r="518" spans="13:18" ht="12.75">
      <c r="M518" s="17"/>
      <c r="N518" s="35"/>
      <c r="R518" s="17"/>
    </row>
    <row r="519" spans="13:18" ht="12.75">
      <c r="M519" s="17"/>
      <c r="N519" s="35"/>
      <c r="R519" s="17"/>
    </row>
    <row r="520" spans="13:18" ht="12.75">
      <c r="M520" s="17"/>
      <c r="N520" s="35"/>
      <c r="R520" s="17"/>
    </row>
    <row r="521" spans="13:18" ht="12.75">
      <c r="M521" s="17"/>
      <c r="N521" s="35"/>
      <c r="R521" s="17"/>
    </row>
    <row r="522" spans="13:18" ht="12.75">
      <c r="M522" s="17"/>
      <c r="N522" s="35"/>
      <c r="R522" s="17"/>
    </row>
    <row r="523" spans="13:18" ht="12.75">
      <c r="M523" s="17"/>
      <c r="N523" s="35"/>
      <c r="R523" s="17"/>
    </row>
    <row r="524" spans="13:18" ht="12.75">
      <c r="M524" s="17"/>
      <c r="N524" s="35"/>
      <c r="R524" s="17"/>
    </row>
    <row r="525" spans="13:18" ht="12.75">
      <c r="M525" s="17"/>
      <c r="N525" s="35"/>
      <c r="R525" s="17"/>
    </row>
    <row r="526" spans="13:18" ht="12.75">
      <c r="M526" s="17"/>
      <c r="N526" s="35"/>
      <c r="R526" s="17"/>
    </row>
    <row r="527" spans="13:18" ht="12.75">
      <c r="M527" s="17"/>
      <c r="N527" s="35"/>
      <c r="R527" s="17"/>
    </row>
    <row r="528" spans="13:18" ht="12.75">
      <c r="M528" s="17"/>
      <c r="N528" s="35"/>
      <c r="R528" s="17"/>
    </row>
    <row r="529" spans="13:18" ht="12.75">
      <c r="M529" s="17"/>
      <c r="N529" s="35"/>
      <c r="R529" s="17"/>
    </row>
    <row r="530" spans="13:18" ht="12.75">
      <c r="M530" s="17"/>
      <c r="N530" s="35"/>
      <c r="R530" s="17"/>
    </row>
    <row r="531" spans="13:18" ht="12.75">
      <c r="M531" s="17"/>
      <c r="N531" s="35"/>
      <c r="R531" s="17"/>
    </row>
    <row r="532" spans="13:18" ht="12.75">
      <c r="M532" s="17"/>
      <c r="N532" s="35"/>
      <c r="R532" s="17"/>
    </row>
    <row r="533" spans="13:18" ht="12.75">
      <c r="M533" s="17"/>
      <c r="N533" s="35"/>
      <c r="R533" s="17"/>
    </row>
    <row r="534" spans="13:18" ht="12.75">
      <c r="M534" s="17"/>
      <c r="N534" s="35"/>
      <c r="R534" s="17"/>
    </row>
    <row r="535" spans="13:18" ht="12.75">
      <c r="M535" s="17"/>
      <c r="N535" s="35"/>
      <c r="R535" s="17"/>
    </row>
    <row r="536" spans="13:18" ht="12.75">
      <c r="M536" s="17"/>
      <c r="N536" s="35"/>
      <c r="R536" s="17"/>
    </row>
    <row r="537" spans="13:18" ht="12.75">
      <c r="M537" s="17"/>
      <c r="N537" s="35"/>
      <c r="R537" s="17"/>
    </row>
    <row r="538" spans="13:18" ht="12.75">
      <c r="M538" s="17"/>
      <c r="N538" s="35"/>
      <c r="R538" s="17"/>
    </row>
    <row r="539" spans="13:18" ht="12.75">
      <c r="M539" s="17"/>
      <c r="N539" s="35"/>
      <c r="R539" s="17"/>
    </row>
    <row r="540" spans="13:18" ht="12.75">
      <c r="M540" s="17"/>
      <c r="N540" s="35"/>
      <c r="R540" s="17"/>
    </row>
    <row r="541" spans="13:18" ht="12.75">
      <c r="M541" s="17"/>
      <c r="N541" s="35"/>
      <c r="R541" s="17"/>
    </row>
    <row r="542" spans="13:18" ht="12.75">
      <c r="M542" s="17"/>
      <c r="N542" s="35"/>
      <c r="R542" s="17"/>
    </row>
    <row r="543" spans="13:18" ht="12.75">
      <c r="M543" s="17"/>
      <c r="N543" s="35"/>
      <c r="R543" s="17"/>
    </row>
    <row r="544" spans="13:18" ht="12.75">
      <c r="M544" s="17"/>
      <c r="N544" s="35"/>
      <c r="R544" s="17"/>
    </row>
    <row r="545" spans="13:18" ht="12.75">
      <c r="M545" s="17"/>
      <c r="N545" s="35"/>
      <c r="R545" s="17"/>
    </row>
    <row r="546" spans="13:18" ht="12.75">
      <c r="M546" s="17"/>
      <c r="N546" s="35"/>
      <c r="R546" s="17"/>
    </row>
    <row r="547" spans="13:18" ht="12.75">
      <c r="M547" s="17"/>
      <c r="N547" s="35"/>
      <c r="R547" s="17"/>
    </row>
    <row r="548" spans="13:18" ht="12.75">
      <c r="M548" s="17"/>
      <c r="N548" s="35"/>
      <c r="R548" s="17"/>
    </row>
    <row r="549" spans="13:18" ht="12.75">
      <c r="M549" s="17"/>
      <c r="N549" s="35"/>
      <c r="R549" s="17"/>
    </row>
    <row r="550" spans="13:18" ht="12.75">
      <c r="M550" s="17"/>
      <c r="N550" s="35"/>
      <c r="R550" s="17"/>
    </row>
    <row r="551" spans="13:18" ht="12.75">
      <c r="M551" s="17"/>
      <c r="N551" s="35"/>
      <c r="R551" s="17"/>
    </row>
    <row r="552" spans="13:18" ht="12.75">
      <c r="M552" s="17"/>
      <c r="N552" s="35"/>
      <c r="R552" s="17"/>
    </row>
    <row r="553" spans="13:18" ht="12.75">
      <c r="M553" s="17"/>
      <c r="N553" s="35"/>
      <c r="R553" s="17"/>
    </row>
    <row r="554" spans="13:18" ht="12.75">
      <c r="M554" s="17"/>
      <c r="N554" s="35"/>
      <c r="R554" s="17"/>
    </row>
    <row r="555" spans="13:18" ht="12.75">
      <c r="M555" s="17"/>
      <c r="N555" s="35"/>
      <c r="R555" s="17"/>
    </row>
    <row r="556" spans="13:18" ht="12.75">
      <c r="M556" s="17"/>
      <c r="N556" s="35"/>
      <c r="R556" s="17"/>
    </row>
    <row r="557" spans="13:18" ht="12.75">
      <c r="M557" s="17"/>
      <c r="N557" s="35"/>
      <c r="R557" s="17"/>
    </row>
    <row r="558" spans="13:18" ht="12.75">
      <c r="M558" s="17"/>
      <c r="N558" s="35"/>
      <c r="R558" s="17"/>
    </row>
    <row r="559" spans="13:18" ht="12.75">
      <c r="M559" s="17"/>
      <c r="N559" s="35"/>
      <c r="R559" s="17"/>
    </row>
    <row r="560" spans="13:18" ht="12.75">
      <c r="M560" s="17"/>
      <c r="N560" s="35"/>
      <c r="R560" s="17"/>
    </row>
    <row r="561" spans="13:18" ht="12.75">
      <c r="M561" s="17"/>
      <c r="N561" s="35"/>
      <c r="R561" s="17"/>
    </row>
    <row r="562" spans="13:18" ht="12.75">
      <c r="M562" s="17"/>
      <c r="N562" s="35"/>
      <c r="R562" s="17"/>
    </row>
    <row r="563" spans="13:18" ht="12.75">
      <c r="M563" s="17"/>
      <c r="N563" s="35"/>
      <c r="R563" s="17"/>
    </row>
    <row r="564" spans="13:18" ht="12.75">
      <c r="M564" s="17"/>
      <c r="N564" s="35"/>
      <c r="R564" s="17"/>
    </row>
    <row r="565" spans="13:18" ht="12.75">
      <c r="M565" s="17"/>
      <c r="N565" s="35"/>
      <c r="R565" s="17"/>
    </row>
    <row r="566" spans="13:18" ht="12.75">
      <c r="M566" s="17"/>
      <c r="N566" s="35"/>
      <c r="R566" s="17"/>
    </row>
    <row r="567" spans="13:18" ht="12.75">
      <c r="M567" s="17"/>
      <c r="N567" s="35"/>
      <c r="R567" s="17"/>
    </row>
    <row r="568" spans="13:18" ht="12.75">
      <c r="M568" s="17"/>
      <c r="N568" s="35"/>
      <c r="R568" s="17"/>
    </row>
    <row r="569" spans="13:18" ht="12.75">
      <c r="M569" s="17"/>
      <c r="N569" s="35"/>
      <c r="R569" s="17"/>
    </row>
    <row r="570" spans="13:18" ht="12.75">
      <c r="M570" s="17"/>
      <c r="N570" s="35"/>
      <c r="R570" s="17"/>
    </row>
    <row r="571" spans="13:18" ht="12.75">
      <c r="M571" s="17"/>
      <c r="N571" s="35"/>
      <c r="R571" s="17"/>
    </row>
    <row r="572" spans="13:18" ht="12.75">
      <c r="M572" s="17"/>
      <c r="N572" s="35"/>
      <c r="R572" s="17"/>
    </row>
    <row r="573" spans="13:18" ht="12.75">
      <c r="M573" s="17"/>
      <c r="N573" s="35"/>
      <c r="R573" s="17"/>
    </row>
    <row r="574" spans="13:18" ht="12.75">
      <c r="M574" s="17"/>
      <c r="N574" s="35"/>
      <c r="R574" s="17"/>
    </row>
    <row r="575" spans="13:18" ht="12.75">
      <c r="M575" s="17"/>
      <c r="N575" s="35"/>
      <c r="R575" s="17"/>
    </row>
    <row r="576" spans="13:18" ht="12.75">
      <c r="M576" s="17"/>
      <c r="N576" s="35"/>
      <c r="R576" s="17"/>
    </row>
    <row r="577" spans="13:18" ht="12.75">
      <c r="M577" s="17"/>
      <c r="N577" s="35"/>
      <c r="R577" s="17"/>
    </row>
    <row r="578" spans="13:18" ht="12.75">
      <c r="M578" s="17"/>
      <c r="N578" s="35"/>
      <c r="R578" s="17"/>
    </row>
    <row r="579" spans="13:18" ht="12.75">
      <c r="M579" s="17"/>
      <c r="N579" s="35"/>
      <c r="R579" s="17"/>
    </row>
    <row r="580" spans="13:18" ht="12.75">
      <c r="M580" s="17"/>
      <c r="N580" s="35"/>
      <c r="R580" s="17"/>
    </row>
    <row r="581" spans="13:18" ht="12.75">
      <c r="M581" s="17"/>
      <c r="N581" s="35"/>
      <c r="R581" s="17"/>
    </row>
    <row r="582" spans="13:18" ht="12.75">
      <c r="M582" s="17"/>
      <c r="N582" s="35"/>
      <c r="R582" s="17"/>
    </row>
    <row r="583" spans="13:18" ht="12.75">
      <c r="M583" s="17"/>
      <c r="N583" s="35"/>
      <c r="R583" s="17"/>
    </row>
    <row r="584" spans="13:18" ht="12.75">
      <c r="M584" s="17"/>
      <c r="N584" s="35"/>
      <c r="R584" s="17"/>
    </row>
    <row r="585" spans="13:18" ht="12.75">
      <c r="M585" s="17"/>
      <c r="N585" s="35"/>
      <c r="R585" s="17"/>
    </row>
    <row r="586" spans="13:18" ht="12.75">
      <c r="M586" s="17"/>
      <c r="N586" s="35"/>
      <c r="R586" s="17"/>
    </row>
    <row r="587" spans="13:18" ht="12.75">
      <c r="M587" s="17"/>
      <c r="N587" s="35"/>
      <c r="R587" s="17"/>
    </row>
    <row r="588" spans="13:18" ht="12.75">
      <c r="M588" s="17"/>
      <c r="N588" s="35"/>
      <c r="R588" s="17"/>
    </row>
    <row r="589" spans="13:18" ht="12.75">
      <c r="M589" s="17"/>
      <c r="N589" s="35"/>
      <c r="R589" s="17"/>
    </row>
    <row r="590" spans="13:18" ht="12.75">
      <c r="M590" s="17"/>
      <c r="N590" s="35"/>
      <c r="R590" s="17"/>
    </row>
    <row r="591" spans="13:18" ht="12.75">
      <c r="M591" s="17"/>
      <c r="N591" s="35"/>
      <c r="R591" s="17"/>
    </row>
    <row r="592" spans="13:18" ht="12.75">
      <c r="M592" s="17"/>
      <c r="N592" s="35"/>
      <c r="R592" s="17"/>
    </row>
    <row r="593" spans="13:18" ht="12.75">
      <c r="M593" s="17"/>
      <c r="N593" s="35"/>
      <c r="R593" s="17"/>
    </row>
    <row r="594" spans="13:18" ht="12.75">
      <c r="M594" s="17"/>
      <c r="N594" s="35"/>
      <c r="R594" s="17"/>
    </row>
    <row r="595" spans="13:18" ht="12.75">
      <c r="M595" s="17"/>
      <c r="N595" s="35"/>
      <c r="R595" s="17"/>
    </row>
    <row r="596" spans="13:18" ht="12.75">
      <c r="M596" s="17"/>
      <c r="N596" s="35"/>
      <c r="R596" s="17"/>
    </row>
    <row r="597" spans="13:18" ht="12.75">
      <c r="M597" s="17"/>
      <c r="N597" s="35"/>
      <c r="R597" s="17"/>
    </row>
    <row r="598" spans="13:18" ht="12.75">
      <c r="M598" s="17"/>
      <c r="N598" s="35"/>
      <c r="R598" s="17"/>
    </row>
    <row r="599" spans="13:18" ht="12.75">
      <c r="M599" s="17"/>
      <c r="N599" s="35"/>
      <c r="R599" s="17"/>
    </row>
    <row r="600" spans="13:18" ht="12.75">
      <c r="M600" s="17"/>
      <c r="N600" s="35"/>
      <c r="R600" s="17"/>
    </row>
    <row r="601" spans="13:18" ht="12.75">
      <c r="M601" s="17"/>
      <c r="N601" s="35"/>
      <c r="R601" s="17"/>
    </row>
    <row r="602" spans="13:18" ht="12.75">
      <c r="M602" s="17"/>
      <c r="N602" s="35"/>
      <c r="R602" s="17"/>
    </row>
    <row r="603" spans="13:18" ht="12.75">
      <c r="M603" s="17"/>
      <c r="N603" s="35"/>
      <c r="R603" s="17"/>
    </row>
    <row r="604" spans="13:18" ht="12.75">
      <c r="M604" s="17"/>
      <c r="N604" s="35"/>
      <c r="R604" s="17"/>
    </row>
    <row r="605" spans="13:18" ht="12.75">
      <c r="M605" s="17"/>
      <c r="N605" s="35"/>
      <c r="R605" s="17"/>
    </row>
    <row r="606" spans="13:18" ht="12.75">
      <c r="M606" s="17"/>
      <c r="N606" s="35"/>
      <c r="R606" s="17"/>
    </row>
    <row r="607" spans="13:18" ht="12.75">
      <c r="M607" s="17"/>
      <c r="N607" s="35"/>
      <c r="R607" s="17"/>
    </row>
    <row r="608" spans="13:18" ht="12.75">
      <c r="M608" s="17"/>
      <c r="N608" s="35"/>
      <c r="R608" s="17"/>
    </row>
    <row r="609" spans="13:18" ht="12.75">
      <c r="M609" s="17"/>
      <c r="N609" s="35"/>
      <c r="R609" s="17"/>
    </row>
    <row r="610" spans="13:18" ht="12.75">
      <c r="M610" s="17"/>
      <c r="N610" s="35"/>
      <c r="R610" s="17"/>
    </row>
    <row r="611" spans="13:18" ht="12.75">
      <c r="M611" s="17"/>
      <c r="N611" s="35"/>
      <c r="R611" s="17"/>
    </row>
    <row r="612" spans="13:18" ht="12.75">
      <c r="M612" s="17"/>
      <c r="N612" s="35"/>
      <c r="R612" s="17"/>
    </row>
    <row r="613" spans="13:18" ht="12.75">
      <c r="M613" s="17"/>
      <c r="N613" s="35"/>
      <c r="R613" s="17"/>
    </row>
    <row r="614" spans="13:18" ht="12.75">
      <c r="M614" s="17"/>
      <c r="N614" s="35"/>
      <c r="R614" s="17"/>
    </row>
    <row r="615" spans="13:18" ht="12.75">
      <c r="M615" s="17"/>
      <c r="N615" s="35"/>
      <c r="R615" s="17"/>
    </row>
    <row r="616" spans="13:18" ht="12.75">
      <c r="M616" s="17"/>
      <c r="N616" s="35"/>
      <c r="R616" s="17"/>
    </row>
    <row r="617" spans="13:18" ht="12.75">
      <c r="M617" s="17"/>
      <c r="N617" s="35"/>
      <c r="R617" s="17"/>
    </row>
    <row r="618" spans="13:18" ht="12.75">
      <c r="M618" s="17"/>
      <c r="N618" s="35"/>
      <c r="R618" s="17"/>
    </row>
    <row r="619" spans="13:18" ht="12.75">
      <c r="M619" s="17"/>
      <c r="N619" s="35"/>
      <c r="R619" s="17"/>
    </row>
    <row r="620" spans="13:18" ht="12.75">
      <c r="M620" s="17"/>
      <c r="N620" s="35"/>
      <c r="R620" s="17"/>
    </row>
    <row r="621" spans="13:18" ht="12.75">
      <c r="M621" s="17"/>
      <c r="N621" s="35"/>
      <c r="R621" s="17"/>
    </row>
    <row r="622" spans="13:18" ht="12.75">
      <c r="M622" s="17"/>
      <c r="N622" s="35"/>
      <c r="R622" s="17"/>
    </row>
    <row r="623" spans="13:18" ht="12.75">
      <c r="M623" s="17"/>
      <c r="N623" s="35"/>
      <c r="R623" s="17"/>
    </row>
    <row r="624" spans="13:18" ht="12.75">
      <c r="M624" s="17"/>
      <c r="N624" s="35"/>
      <c r="R624" s="17"/>
    </row>
    <row r="625" spans="13:18" ht="12.75">
      <c r="M625" s="17"/>
      <c r="N625" s="35"/>
      <c r="R625" s="17"/>
    </row>
    <row r="626" spans="13:18" ht="12.75">
      <c r="M626" s="17"/>
      <c r="N626" s="35"/>
      <c r="R626" s="17"/>
    </row>
    <row r="627" spans="13:18" ht="12.75">
      <c r="M627" s="17"/>
      <c r="N627" s="35"/>
      <c r="R627" s="17"/>
    </row>
    <row r="628" spans="13:18" ht="12.75">
      <c r="M628" s="17"/>
      <c r="N628" s="35"/>
      <c r="R628" s="17"/>
    </row>
    <row r="629" spans="13:18" ht="12.75">
      <c r="M629" s="17"/>
      <c r="N629" s="35"/>
      <c r="R629" s="17"/>
    </row>
    <row r="630" spans="13:18" ht="12.75">
      <c r="M630" s="17"/>
      <c r="N630" s="35"/>
      <c r="R630" s="17"/>
    </row>
    <row r="631" spans="13:18" ht="12.75">
      <c r="M631" s="17"/>
      <c r="N631" s="35"/>
      <c r="R631" s="17"/>
    </row>
    <row r="632" spans="13:18" ht="12.75">
      <c r="M632" s="17"/>
      <c r="N632" s="35"/>
      <c r="R632" s="17"/>
    </row>
    <row r="633" spans="13:18" ht="12.75">
      <c r="M633" s="17"/>
      <c r="N633" s="35"/>
      <c r="R633" s="17"/>
    </row>
    <row r="634" spans="13:18" ht="12.75">
      <c r="M634" s="17"/>
      <c r="N634" s="35"/>
      <c r="R634" s="17"/>
    </row>
    <row r="635" spans="13:18" ht="12.75">
      <c r="M635" s="17"/>
      <c r="N635" s="35"/>
      <c r="R635" s="17"/>
    </row>
    <row r="636" spans="13:18" ht="12.75">
      <c r="M636" s="17"/>
      <c r="N636" s="35"/>
      <c r="R636" s="17"/>
    </row>
    <row r="637" spans="13:18" ht="12.75">
      <c r="M637" s="17"/>
      <c r="N637" s="35"/>
      <c r="R637" s="17"/>
    </row>
    <row r="638" spans="13:18" ht="12.75">
      <c r="M638" s="17"/>
      <c r="N638" s="35"/>
      <c r="R638" s="17"/>
    </row>
    <row r="639" spans="13:18" ht="12.75">
      <c r="M639" s="17"/>
      <c r="N639" s="35"/>
      <c r="R639" s="17"/>
    </row>
    <row r="640" spans="13:18" ht="12.75">
      <c r="M640" s="17"/>
      <c r="N640" s="35"/>
      <c r="R640" s="17"/>
    </row>
    <row r="641" spans="13:18" ht="12.75">
      <c r="M641" s="17"/>
      <c r="N641" s="35"/>
      <c r="R641" s="17"/>
    </row>
    <row r="642" spans="13:18" ht="12.75">
      <c r="M642" s="17"/>
      <c r="N642" s="35"/>
      <c r="R642" s="17"/>
    </row>
    <row r="643" spans="13:18" ht="12.75">
      <c r="M643" s="17"/>
      <c r="N643" s="35"/>
      <c r="R643" s="17"/>
    </row>
    <row r="644" spans="13:18" ht="12.75">
      <c r="M644" s="17"/>
      <c r="N644" s="35"/>
      <c r="R644" s="17"/>
    </row>
    <row r="645" spans="13:18" ht="12.75">
      <c r="M645" s="17"/>
      <c r="N645" s="35"/>
      <c r="R645" s="17"/>
    </row>
    <row r="646" spans="13:18" ht="12.75">
      <c r="M646" s="17"/>
      <c r="N646" s="35"/>
      <c r="R646" s="17"/>
    </row>
    <row r="647" spans="13:18" ht="12.75">
      <c r="M647" s="17"/>
      <c r="N647" s="35"/>
      <c r="R647" s="17"/>
    </row>
    <row r="648" spans="13:18" ht="12.75">
      <c r="M648" s="17"/>
      <c r="N648" s="35"/>
      <c r="R648" s="17"/>
    </row>
    <row r="649" spans="13:18" ht="12.75">
      <c r="M649" s="17"/>
      <c r="N649" s="35"/>
      <c r="R649" s="17"/>
    </row>
    <row r="650" spans="13:18" ht="12.75">
      <c r="M650" s="17"/>
      <c r="N650" s="35"/>
      <c r="R650" s="17"/>
    </row>
    <row r="651" spans="13:18" ht="12.75">
      <c r="M651" s="17"/>
      <c r="N651" s="35"/>
      <c r="R651" s="17"/>
    </row>
    <row r="652" spans="13:18" ht="12.75">
      <c r="M652" s="17"/>
      <c r="N652" s="35"/>
      <c r="R652" s="17"/>
    </row>
    <row r="653" spans="13:18" ht="12.75">
      <c r="M653" s="17"/>
      <c r="N653" s="35"/>
      <c r="R653" s="17"/>
    </row>
    <row r="654" spans="13:18" ht="12.75">
      <c r="M654" s="17"/>
      <c r="N654" s="35"/>
      <c r="R654" s="17"/>
    </row>
    <row r="655" spans="13:18" ht="12.75">
      <c r="M655" s="17"/>
      <c r="N655" s="35"/>
      <c r="R655" s="17"/>
    </row>
    <row r="656" spans="13:18" ht="12.75">
      <c r="M656" s="17"/>
      <c r="N656" s="35"/>
      <c r="R656" s="17"/>
    </row>
    <row r="657" spans="13:18" ht="12.75">
      <c r="M657" s="17"/>
      <c r="N657" s="35"/>
      <c r="R657" s="17"/>
    </row>
    <row r="658" spans="13:18" ht="12.75">
      <c r="M658" s="17"/>
      <c r="N658" s="35"/>
      <c r="R658" s="17"/>
    </row>
    <row r="659" spans="13:18" ht="12.75">
      <c r="M659" s="17"/>
      <c r="N659" s="35"/>
      <c r="R659" s="17"/>
    </row>
    <row r="660" spans="13:18" ht="12.75">
      <c r="M660" s="17"/>
      <c r="N660" s="35"/>
      <c r="R660" s="17"/>
    </row>
    <row r="661" spans="13:18" ht="12.75">
      <c r="M661" s="17"/>
      <c r="N661" s="35"/>
      <c r="R661" s="17"/>
    </row>
    <row r="662" spans="13:18" ht="12.75">
      <c r="M662" s="17"/>
      <c r="N662" s="35"/>
      <c r="R662" s="17"/>
    </row>
    <row r="663" spans="13:18" ht="12.75">
      <c r="M663" s="17"/>
      <c r="N663" s="35"/>
      <c r="R663" s="17"/>
    </row>
    <row r="664" spans="13:18" ht="12.75">
      <c r="M664" s="17"/>
      <c r="N664" s="35"/>
      <c r="R664" s="17"/>
    </row>
    <row r="665" spans="13:18" ht="12.75">
      <c r="M665" s="17"/>
      <c r="N665" s="35"/>
      <c r="R665" s="17"/>
    </row>
    <row r="666" spans="13:18" ht="12.75">
      <c r="M666" s="17"/>
      <c r="N666" s="35"/>
      <c r="R666" s="17"/>
    </row>
    <row r="667" spans="13:18" ht="12.75">
      <c r="M667" s="17"/>
      <c r="N667" s="35"/>
      <c r="R667" s="17"/>
    </row>
    <row r="668" spans="13:18" ht="12.75">
      <c r="M668" s="17"/>
      <c r="N668" s="35"/>
      <c r="R668" s="17"/>
    </row>
    <row r="669" spans="13:18" ht="12.75">
      <c r="M669" s="17"/>
      <c r="N669" s="35"/>
      <c r="R669" s="17"/>
    </row>
    <row r="670" spans="13:18" ht="12.75">
      <c r="M670" s="17"/>
      <c r="N670" s="35"/>
      <c r="R670" s="17"/>
    </row>
    <row r="671" spans="13:18" ht="12.75">
      <c r="M671" s="17"/>
      <c r="N671" s="35"/>
      <c r="R671" s="17"/>
    </row>
    <row r="672" spans="13:18" ht="12.75">
      <c r="M672" s="17"/>
      <c r="N672" s="35"/>
      <c r="R672" s="17"/>
    </row>
    <row r="673" spans="13:18" ht="12.75">
      <c r="M673" s="17"/>
      <c r="N673" s="35"/>
      <c r="R673" s="17"/>
    </row>
    <row r="674" spans="13:18" ht="12.75">
      <c r="M674" s="17"/>
      <c r="N674" s="35"/>
      <c r="R674" s="17"/>
    </row>
    <row r="675" spans="13:18" ht="12.75">
      <c r="M675" s="17"/>
      <c r="N675" s="35"/>
      <c r="R675" s="17"/>
    </row>
    <row r="676" spans="13:18" ht="12.75">
      <c r="M676" s="17"/>
      <c r="N676" s="35"/>
      <c r="R676" s="17"/>
    </row>
    <row r="677" spans="13:18" ht="12.75">
      <c r="M677" s="17"/>
      <c r="N677" s="35"/>
      <c r="R677" s="17"/>
    </row>
    <row r="678" spans="13:18" ht="12.75">
      <c r="M678" s="17"/>
      <c r="N678" s="35"/>
      <c r="R678" s="17"/>
    </row>
    <row r="679" spans="13:18" ht="12.75">
      <c r="M679" s="17"/>
      <c r="N679" s="35"/>
      <c r="R679" s="17"/>
    </row>
    <row r="680" spans="13:18" ht="12.75">
      <c r="M680" s="17"/>
      <c r="N680" s="35"/>
      <c r="R680" s="17"/>
    </row>
    <row r="681" spans="13:18" ht="12.75">
      <c r="M681" s="17"/>
      <c r="N681" s="35"/>
      <c r="R681" s="17"/>
    </row>
    <row r="682" spans="13:18" ht="12.75">
      <c r="M682" s="17"/>
      <c r="N682" s="35"/>
      <c r="R682" s="17"/>
    </row>
    <row r="683" spans="13:18" ht="12.75">
      <c r="M683" s="17"/>
      <c r="N683" s="35"/>
      <c r="R683" s="17"/>
    </row>
    <row r="684" spans="13:18" ht="12.75">
      <c r="M684" s="17"/>
      <c r="N684" s="35"/>
      <c r="R684" s="17"/>
    </row>
    <row r="685" spans="13:18" ht="12.75">
      <c r="M685" s="17"/>
      <c r="N685" s="35"/>
      <c r="R685" s="17"/>
    </row>
    <row r="686" spans="13:18" ht="12.75">
      <c r="M686" s="17"/>
      <c r="N686" s="35"/>
      <c r="R686" s="17"/>
    </row>
    <row r="687" spans="13:18" ht="12.75">
      <c r="M687" s="17"/>
      <c r="N687" s="35"/>
      <c r="R687" s="17"/>
    </row>
    <row r="688" spans="13:18" ht="12.75">
      <c r="M688" s="17"/>
      <c r="N688" s="35"/>
      <c r="R688" s="17"/>
    </row>
    <row r="689" spans="13:18" ht="12.75">
      <c r="M689" s="17"/>
      <c r="N689" s="35"/>
      <c r="R689" s="17"/>
    </row>
    <row r="690" spans="13:18" ht="12.75">
      <c r="M690" s="17"/>
      <c r="N690" s="35"/>
      <c r="R690" s="17"/>
    </row>
    <row r="691" spans="13:18" ht="12.75">
      <c r="M691" s="17"/>
      <c r="N691" s="35"/>
      <c r="R691" s="17"/>
    </row>
    <row r="692" spans="13:18" ht="12.75">
      <c r="M692" s="17"/>
      <c r="N692" s="35"/>
      <c r="R692" s="17"/>
    </row>
    <row r="693" spans="13:18" ht="12.75">
      <c r="M693" s="17"/>
      <c r="N693" s="35"/>
      <c r="R693" s="17"/>
    </row>
    <row r="694" spans="13:18" ht="12.75">
      <c r="M694" s="17"/>
      <c r="N694" s="35"/>
      <c r="R694" s="17"/>
    </row>
    <row r="695" spans="13:18" ht="12.75">
      <c r="M695" s="17"/>
      <c r="N695" s="35"/>
      <c r="R695" s="17"/>
    </row>
    <row r="696" spans="13:18" ht="12.75">
      <c r="M696" s="17"/>
      <c r="N696" s="35"/>
      <c r="R696" s="17"/>
    </row>
    <row r="697" spans="13:18" ht="12.75">
      <c r="M697" s="17"/>
      <c r="N697" s="35"/>
      <c r="R697" s="17"/>
    </row>
    <row r="698" spans="13:18" ht="12.75">
      <c r="M698" s="17"/>
      <c r="N698" s="35"/>
      <c r="R698" s="17"/>
    </row>
    <row r="699" spans="13:18" ht="12.75">
      <c r="M699" s="17"/>
      <c r="N699" s="35"/>
      <c r="R699" s="17"/>
    </row>
    <row r="700" spans="13:18" ht="12.75">
      <c r="M700" s="17"/>
      <c r="N700" s="35"/>
      <c r="R700" s="17"/>
    </row>
    <row r="701" spans="13:18" ht="12.75">
      <c r="M701" s="17"/>
      <c r="N701" s="35"/>
      <c r="R701" s="17"/>
    </row>
    <row r="702" spans="13:18" ht="12.75">
      <c r="M702" s="17"/>
      <c r="N702" s="35"/>
      <c r="R702" s="17"/>
    </row>
    <row r="703" spans="13:18" ht="12.75">
      <c r="M703" s="17"/>
      <c r="N703" s="35"/>
      <c r="R703" s="17"/>
    </row>
    <row r="704" spans="13:18" ht="12.75">
      <c r="M704" s="17"/>
      <c r="N704" s="35"/>
      <c r="R704" s="17"/>
    </row>
    <row r="705" spans="13:18" ht="12.75">
      <c r="M705" s="17"/>
      <c r="N705" s="35"/>
      <c r="R705" s="17"/>
    </row>
    <row r="706" spans="13:18" ht="12.75">
      <c r="M706" s="17"/>
      <c r="N706" s="35"/>
      <c r="R706" s="17"/>
    </row>
    <row r="707" spans="13:18" ht="12.75">
      <c r="M707" s="17"/>
      <c r="N707" s="35"/>
      <c r="R707" s="17"/>
    </row>
    <row r="708" spans="13:18" ht="12.75">
      <c r="M708" s="17"/>
      <c r="N708" s="35"/>
      <c r="R708" s="17"/>
    </row>
    <row r="709" spans="13:18" ht="12.75">
      <c r="M709" s="17"/>
      <c r="N709" s="35"/>
      <c r="R709" s="17"/>
    </row>
    <row r="710" spans="13:18" ht="12.75">
      <c r="M710" s="17"/>
      <c r="N710" s="35"/>
      <c r="R710" s="17"/>
    </row>
    <row r="711" spans="13:18" ht="12.75">
      <c r="M711" s="17"/>
      <c r="N711" s="35"/>
      <c r="R711" s="17"/>
    </row>
    <row r="712" spans="13:18" ht="12.75">
      <c r="M712" s="17"/>
      <c r="N712" s="35"/>
      <c r="R712" s="17"/>
    </row>
    <row r="713" spans="13:18" ht="12.75">
      <c r="M713" s="17"/>
      <c r="N713" s="35"/>
      <c r="R713" s="17"/>
    </row>
    <row r="714" spans="13:18" ht="12.75">
      <c r="M714" s="17"/>
      <c r="N714" s="35"/>
      <c r="R714" s="17"/>
    </row>
    <row r="715" spans="13:18" ht="12.75">
      <c r="M715" s="17"/>
      <c r="N715" s="35"/>
      <c r="R715" s="17"/>
    </row>
    <row r="716" spans="13:18" ht="12.75">
      <c r="M716" s="17"/>
      <c r="N716" s="35"/>
      <c r="R716" s="17"/>
    </row>
    <row r="717" spans="13:18" ht="12.75">
      <c r="M717" s="17"/>
      <c r="N717" s="35"/>
      <c r="R717" s="17"/>
    </row>
    <row r="718" spans="13:18" ht="12.75">
      <c r="M718" s="17"/>
      <c r="N718" s="35"/>
      <c r="R718" s="17"/>
    </row>
    <row r="719" spans="13:18" ht="12.75">
      <c r="M719" s="17"/>
      <c r="N719" s="35"/>
      <c r="R719" s="17"/>
    </row>
    <row r="720" spans="13:18" ht="12.75">
      <c r="M720" s="17"/>
      <c r="N720" s="35"/>
      <c r="R720" s="17"/>
    </row>
    <row r="721" spans="13:18" ht="12.75">
      <c r="M721" s="17"/>
      <c r="N721" s="35"/>
      <c r="R721" s="17"/>
    </row>
    <row r="722" spans="13:18" ht="12.75">
      <c r="M722" s="17"/>
      <c r="N722" s="35"/>
      <c r="R722" s="17"/>
    </row>
    <row r="723" spans="13:18" ht="12.75">
      <c r="M723" s="17"/>
      <c r="N723" s="35"/>
      <c r="R723" s="17"/>
    </row>
    <row r="724" spans="13:18" ht="12.75">
      <c r="M724" s="17"/>
      <c r="N724" s="35"/>
      <c r="R724" s="17"/>
    </row>
    <row r="725" spans="13:18" ht="12.75">
      <c r="M725" s="17"/>
      <c r="N725" s="35"/>
      <c r="R725" s="17"/>
    </row>
    <row r="726" spans="13:18" ht="12.75">
      <c r="M726" s="17"/>
      <c r="N726" s="35"/>
      <c r="R726" s="17"/>
    </row>
    <row r="727" spans="13:18" ht="12.75">
      <c r="M727" s="17"/>
      <c r="N727" s="35"/>
      <c r="R727" s="17"/>
    </row>
    <row r="728" spans="13:18" ht="12.75">
      <c r="M728" s="17"/>
      <c r="N728" s="35"/>
      <c r="R728" s="17"/>
    </row>
    <row r="729" spans="13:18" ht="12.75">
      <c r="M729" s="17"/>
      <c r="N729" s="35"/>
      <c r="R729" s="17"/>
    </row>
    <row r="730" spans="13:18" ht="12.75">
      <c r="M730" s="17"/>
      <c r="N730" s="35"/>
      <c r="R730" s="17"/>
    </row>
    <row r="731" spans="13:18" ht="12.75">
      <c r="M731" s="17"/>
      <c r="N731" s="35"/>
      <c r="R731" s="17"/>
    </row>
    <row r="732" spans="13:18" ht="12.75">
      <c r="M732" s="17"/>
      <c r="N732" s="35"/>
      <c r="R732" s="17"/>
    </row>
    <row r="733" spans="13:18" ht="12.75">
      <c r="M733" s="17"/>
      <c r="N733" s="35"/>
      <c r="R733" s="17"/>
    </row>
    <row r="734" spans="13:18" ht="12.75">
      <c r="M734" s="17"/>
      <c r="N734" s="35"/>
      <c r="R734" s="17"/>
    </row>
    <row r="735" spans="13:18" ht="12.75">
      <c r="M735" s="17"/>
      <c r="N735" s="35"/>
      <c r="R735" s="17"/>
    </row>
    <row r="736" spans="13:18" ht="12.75">
      <c r="M736" s="17"/>
      <c r="N736" s="35"/>
      <c r="R736" s="17"/>
    </row>
    <row r="737" spans="13:18" ht="12.75">
      <c r="M737" s="17"/>
      <c r="N737" s="35"/>
      <c r="R737" s="17"/>
    </row>
    <row r="738" spans="13:18" ht="12.75">
      <c r="M738" s="17"/>
      <c r="N738" s="35"/>
      <c r="R738" s="17"/>
    </row>
    <row r="739" spans="13:18" ht="12.75">
      <c r="M739" s="17"/>
      <c r="N739" s="35"/>
      <c r="R739" s="17"/>
    </row>
    <row r="740" spans="13:18" ht="12.75">
      <c r="M740" s="17"/>
      <c r="N740" s="35"/>
      <c r="R740" s="17"/>
    </row>
    <row r="741" spans="13:18" ht="12.75">
      <c r="M741" s="17"/>
      <c r="N741" s="35"/>
      <c r="R741" s="17"/>
    </row>
    <row r="742" spans="13:18" ht="12.75">
      <c r="M742" s="17"/>
      <c r="N742" s="35"/>
      <c r="R742" s="17"/>
    </row>
    <row r="743" spans="13:18" ht="12.75">
      <c r="M743" s="17"/>
      <c r="N743" s="35"/>
      <c r="R743" s="17"/>
    </row>
    <row r="744" spans="13:18" ht="12.75">
      <c r="M744" s="17"/>
      <c r="N744" s="35"/>
      <c r="R744" s="17"/>
    </row>
    <row r="745" spans="13:18" ht="12.75">
      <c r="M745" s="17"/>
      <c r="N745" s="35"/>
      <c r="R745" s="17"/>
    </row>
    <row r="746" spans="13:18" ht="12.75">
      <c r="M746" s="17"/>
      <c r="N746" s="35"/>
      <c r="R746" s="17"/>
    </row>
    <row r="747" spans="13:18" ht="12.75">
      <c r="M747" s="17"/>
      <c r="N747" s="35"/>
      <c r="R747" s="17"/>
    </row>
    <row r="748" spans="13:18" ht="12.75">
      <c r="M748" s="17"/>
      <c r="N748" s="35"/>
      <c r="R748" s="17"/>
    </row>
    <row r="749" spans="13:18" ht="12.75">
      <c r="M749" s="17"/>
      <c r="N749" s="35"/>
      <c r="R749" s="17"/>
    </row>
    <row r="750" spans="13:18" ht="12.75">
      <c r="M750" s="17"/>
      <c r="N750" s="35"/>
      <c r="R750" s="17"/>
    </row>
    <row r="751" spans="13:18" ht="12.75">
      <c r="M751" s="17"/>
      <c r="N751" s="35"/>
      <c r="R751" s="17"/>
    </row>
    <row r="752" spans="13:18" ht="12.75">
      <c r="M752" s="17"/>
      <c r="N752" s="35"/>
      <c r="R752" s="17"/>
    </row>
    <row r="753" spans="13:18" ht="12.75">
      <c r="M753" s="17"/>
      <c r="N753" s="35"/>
      <c r="R753" s="17"/>
    </row>
    <row r="754" spans="13:18" ht="12.75">
      <c r="M754" s="17"/>
      <c r="N754" s="35"/>
      <c r="R754" s="17"/>
    </row>
    <row r="755" spans="13:18" ht="12.75">
      <c r="M755" s="17"/>
      <c r="N755" s="35"/>
      <c r="R755" s="17"/>
    </row>
    <row r="756" spans="13:18" ht="12.75">
      <c r="M756" s="17"/>
      <c r="N756" s="35"/>
      <c r="R756" s="17"/>
    </row>
    <row r="757" spans="13:18" ht="12.75">
      <c r="M757" s="17"/>
      <c r="N757" s="35"/>
      <c r="R757" s="17"/>
    </row>
    <row r="758" spans="13:18" ht="12.75">
      <c r="M758" s="17"/>
      <c r="N758" s="35"/>
      <c r="R758" s="17"/>
    </row>
    <row r="759" spans="13:18" ht="12.75">
      <c r="M759" s="17"/>
      <c r="N759" s="35"/>
      <c r="R759" s="17"/>
    </row>
    <row r="760" spans="13:18" ht="12.75">
      <c r="M760" s="17"/>
      <c r="N760" s="35"/>
      <c r="R760" s="17"/>
    </row>
    <row r="761" spans="13:18" ht="12.75">
      <c r="M761" s="17"/>
      <c r="N761" s="35"/>
      <c r="R761" s="17"/>
    </row>
    <row r="762" spans="13:18" ht="12.75">
      <c r="M762" s="17"/>
      <c r="N762" s="35"/>
      <c r="R762" s="17"/>
    </row>
    <row r="763" spans="13:18" ht="12.75">
      <c r="M763" s="17"/>
      <c r="N763" s="35"/>
      <c r="R763" s="17"/>
    </row>
    <row r="764" spans="13:18" ht="12.75">
      <c r="M764" s="17"/>
      <c r="N764" s="35"/>
      <c r="R764" s="17"/>
    </row>
    <row r="765" spans="13:18" ht="12.75">
      <c r="M765" s="17"/>
      <c r="N765" s="35"/>
      <c r="R765" s="17"/>
    </row>
    <row r="766" spans="13:18" ht="12.75">
      <c r="M766" s="17"/>
      <c r="N766" s="35"/>
      <c r="R766" s="17"/>
    </row>
    <row r="767" spans="13:18" ht="12.75">
      <c r="M767" s="17"/>
      <c r="N767" s="35"/>
      <c r="R767" s="17"/>
    </row>
    <row r="768" spans="13:18" ht="12.75">
      <c r="M768" s="17"/>
      <c r="N768" s="35"/>
      <c r="R768" s="17"/>
    </row>
    <row r="769" spans="13:18" ht="12.75">
      <c r="M769" s="17"/>
      <c r="N769" s="35"/>
      <c r="R769" s="17"/>
    </row>
    <row r="770" spans="13:18" ht="12.75">
      <c r="M770" s="17"/>
      <c r="N770" s="35"/>
      <c r="R770" s="17"/>
    </row>
    <row r="771" spans="13:18" ht="12.75">
      <c r="M771" s="17"/>
      <c r="N771" s="35"/>
      <c r="R771" s="17"/>
    </row>
    <row r="772" spans="13:18" ht="12.75">
      <c r="M772" s="17"/>
      <c r="N772" s="35"/>
      <c r="R772" s="17"/>
    </row>
    <row r="773" spans="13:18" ht="12.75">
      <c r="M773" s="17"/>
      <c r="N773" s="35"/>
      <c r="R773" s="17"/>
    </row>
    <row r="774" spans="13:18" ht="12.75">
      <c r="M774" s="17"/>
      <c r="N774" s="35"/>
      <c r="R774" s="17"/>
    </row>
    <row r="775" spans="13:18" ht="12.75">
      <c r="M775" s="17"/>
      <c r="N775" s="35"/>
      <c r="R775" s="17"/>
    </row>
    <row r="776" spans="13:18" ht="12.75">
      <c r="M776" s="17"/>
      <c r="N776" s="35"/>
      <c r="R776" s="17"/>
    </row>
    <row r="777" spans="13:18" ht="12.75">
      <c r="M777" s="17"/>
      <c r="N777" s="35"/>
      <c r="R777" s="17"/>
    </row>
    <row r="778" spans="13:18" ht="12.75">
      <c r="M778" s="17"/>
      <c r="N778" s="35"/>
      <c r="R778" s="17"/>
    </row>
    <row r="779" spans="13:18" ht="12.75">
      <c r="M779" s="17"/>
      <c r="N779" s="35"/>
      <c r="R779" s="17"/>
    </row>
    <row r="780" spans="13:18" ht="12.75">
      <c r="M780" s="17"/>
      <c r="N780" s="35"/>
      <c r="R780" s="17"/>
    </row>
    <row r="781" spans="13:18" ht="12.75">
      <c r="M781" s="17"/>
      <c r="N781" s="35"/>
      <c r="R781" s="17"/>
    </row>
    <row r="782" spans="13:18" ht="12.75">
      <c r="M782" s="17"/>
      <c r="N782" s="35"/>
      <c r="R782" s="17"/>
    </row>
    <row r="783" spans="13:18" ht="12.75">
      <c r="M783" s="17"/>
      <c r="N783" s="35"/>
      <c r="R783" s="17"/>
    </row>
    <row r="784" spans="13:18" ht="12.75">
      <c r="M784" s="17"/>
      <c r="N784" s="35"/>
      <c r="R784" s="17"/>
    </row>
    <row r="785" spans="13:18" ht="12.75">
      <c r="M785" s="17"/>
      <c r="N785" s="35"/>
      <c r="R785" s="17"/>
    </row>
    <row r="786" spans="13:18" ht="12.75">
      <c r="M786" s="17"/>
      <c r="N786" s="35"/>
      <c r="R786" s="17"/>
    </row>
    <row r="787" spans="13:18" ht="12.75">
      <c r="M787" s="17"/>
      <c r="N787" s="35"/>
      <c r="R787" s="17"/>
    </row>
    <row r="788" spans="13:18" ht="12.75">
      <c r="M788" s="17"/>
      <c r="N788" s="35"/>
      <c r="R788" s="17"/>
    </row>
    <row r="789" spans="13:18" ht="12.75">
      <c r="M789" s="17"/>
      <c r="N789" s="35"/>
      <c r="R789" s="17"/>
    </row>
    <row r="790" spans="13:18" ht="12.75">
      <c r="M790" s="17"/>
      <c r="N790" s="35"/>
      <c r="R790" s="17"/>
    </row>
    <row r="791" spans="13:18" ht="12.75">
      <c r="M791" s="17"/>
      <c r="N791" s="35"/>
      <c r="R791" s="17"/>
    </row>
    <row r="792" spans="13:18" ht="12.75">
      <c r="M792" s="17"/>
      <c r="N792" s="35"/>
      <c r="R792" s="17"/>
    </row>
    <row r="793" spans="13:18" ht="12.75">
      <c r="M793" s="17"/>
      <c r="N793" s="35"/>
      <c r="R793" s="17"/>
    </row>
    <row r="794" spans="13:18" ht="12.75">
      <c r="M794" s="17"/>
      <c r="N794" s="35"/>
      <c r="R794" s="17"/>
    </row>
    <row r="795" spans="13:18" ht="12.75">
      <c r="M795" s="17"/>
      <c r="N795" s="35"/>
      <c r="R795" s="17"/>
    </row>
    <row r="796" spans="13:18" ht="12.75">
      <c r="M796" s="17"/>
      <c r="N796" s="35"/>
      <c r="R796" s="17"/>
    </row>
    <row r="797" spans="13:18" ht="12.75">
      <c r="M797" s="17"/>
      <c r="N797" s="35"/>
      <c r="R797" s="17"/>
    </row>
    <row r="798" spans="13:18" ht="12.75">
      <c r="M798" s="17"/>
      <c r="N798" s="35"/>
      <c r="R798" s="17"/>
    </row>
    <row r="799" spans="13:18" ht="12.75">
      <c r="M799" s="17"/>
      <c r="N799" s="35"/>
      <c r="R799" s="17"/>
    </row>
    <row r="800" spans="13:18" ht="12.75">
      <c r="M800" s="17"/>
      <c r="N800" s="35"/>
      <c r="R800" s="17"/>
    </row>
    <row r="801" spans="13:18" ht="12.75">
      <c r="M801" s="17"/>
      <c r="N801" s="35"/>
      <c r="R801" s="17"/>
    </row>
    <row r="802" spans="13:18" ht="12.75">
      <c r="M802" s="17"/>
      <c r="N802" s="35"/>
      <c r="R802" s="17"/>
    </row>
    <row r="803" spans="13:18" ht="12.75">
      <c r="M803" s="17"/>
      <c r="N803" s="35"/>
      <c r="R803" s="17"/>
    </row>
    <row r="804" spans="13:18" ht="12.75">
      <c r="M804" s="17"/>
      <c r="N804" s="35"/>
      <c r="R804" s="17"/>
    </row>
    <row r="805" spans="13:18" ht="12.75">
      <c r="M805" s="17"/>
      <c r="N805" s="35"/>
      <c r="R805" s="17"/>
    </row>
    <row r="806" spans="13:18" ht="12.75">
      <c r="M806" s="17"/>
      <c r="N806" s="35"/>
      <c r="R806" s="17"/>
    </row>
    <row r="807" spans="13:18" ht="12.75">
      <c r="M807" s="17"/>
      <c r="N807" s="35"/>
      <c r="R807" s="17"/>
    </row>
    <row r="808" spans="13:18" ht="12.75">
      <c r="M808" s="17"/>
      <c r="N808" s="35"/>
      <c r="R808" s="17"/>
    </row>
    <row r="809" spans="13:18" ht="12.75">
      <c r="M809" s="17"/>
      <c r="N809" s="35"/>
      <c r="R809" s="17"/>
    </row>
    <row r="810" spans="13:18" ht="12.75">
      <c r="M810" s="17"/>
      <c r="N810" s="35"/>
      <c r="R810" s="17"/>
    </row>
    <row r="811" spans="13:18" ht="12.75">
      <c r="M811" s="17"/>
      <c r="N811" s="35"/>
      <c r="R811" s="17"/>
    </row>
    <row r="812" spans="13:18" ht="12.75">
      <c r="M812" s="17"/>
      <c r="N812" s="35"/>
      <c r="R812" s="17"/>
    </row>
    <row r="813" spans="13:18" ht="12.75">
      <c r="M813" s="17"/>
      <c r="N813" s="35"/>
      <c r="R813" s="17"/>
    </row>
    <row r="814" spans="13:18" ht="12.75">
      <c r="M814" s="17"/>
      <c r="N814" s="35"/>
      <c r="R814" s="17"/>
    </row>
    <row r="815" spans="13:18" ht="12.75">
      <c r="M815" s="17"/>
      <c r="N815" s="35"/>
      <c r="R815" s="17"/>
    </row>
    <row r="816" spans="13:18" ht="12.75">
      <c r="M816" s="17"/>
      <c r="N816" s="35"/>
      <c r="R816" s="17"/>
    </row>
    <row r="817" spans="13:18" ht="12.75">
      <c r="M817" s="17"/>
      <c r="N817" s="35"/>
      <c r="R817" s="17"/>
    </row>
    <row r="818" spans="13:18" ht="12.75">
      <c r="M818" s="17"/>
      <c r="N818" s="35"/>
      <c r="R818" s="17"/>
    </row>
    <row r="819" spans="13:18" ht="12.75">
      <c r="M819" s="17"/>
      <c r="N819" s="35"/>
      <c r="R819" s="17"/>
    </row>
    <row r="820" spans="13:18" ht="12.75">
      <c r="M820" s="17"/>
      <c r="N820" s="35"/>
      <c r="R820" s="17"/>
    </row>
    <row r="821" spans="13:18" ht="12.75">
      <c r="M821" s="17"/>
      <c r="N821" s="35"/>
      <c r="R821" s="17"/>
    </row>
    <row r="822" spans="13:18" ht="12.75">
      <c r="M822" s="17"/>
      <c r="N822" s="35"/>
      <c r="R822" s="17"/>
    </row>
    <row r="823" spans="13:18" ht="12.75">
      <c r="M823" s="17"/>
      <c r="N823" s="35"/>
      <c r="R823" s="17"/>
    </row>
    <row r="824" spans="13:18" ht="12.75">
      <c r="M824" s="17"/>
      <c r="N824" s="35"/>
      <c r="R824" s="17"/>
    </row>
    <row r="825" spans="13:18" ht="12.75">
      <c r="M825" s="17"/>
      <c r="N825" s="35"/>
      <c r="R825" s="17"/>
    </row>
    <row r="826" spans="13:18" ht="12.75">
      <c r="M826" s="17"/>
      <c r="N826" s="35"/>
      <c r="R826" s="17"/>
    </row>
    <row r="827" spans="13:18" ht="12.75">
      <c r="M827" s="17"/>
      <c r="N827" s="35"/>
      <c r="R827" s="17"/>
    </row>
    <row r="828" spans="13:18" ht="12.75">
      <c r="M828" s="17"/>
      <c r="N828" s="35"/>
      <c r="R828" s="17"/>
    </row>
    <row r="829" spans="13:18" ht="12.75">
      <c r="M829" s="17"/>
      <c r="N829" s="35"/>
      <c r="R829" s="17"/>
    </row>
    <row r="830" spans="13:18" ht="12.75">
      <c r="M830" s="17"/>
      <c r="N830" s="35"/>
      <c r="R830" s="17"/>
    </row>
    <row r="831" spans="13:18" ht="12.75">
      <c r="M831" s="17"/>
      <c r="N831" s="35"/>
      <c r="R831" s="17"/>
    </row>
    <row r="832" spans="13:18" ht="12.75">
      <c r="M832" s="17"/>
      <c r="N832" s="35"/>
      <c r="R832" s="17"/>
    </row>
    <row r="833" spans="13:18" ht="12.75">
      <c r="M833" s="17"/>
      <c r="N833" s="35"/>
      <c r="R833" s="17"/>
    </row>
    <row r="834" spans="13:18" ht="12.75">
      <c r="M834" s="17"/>
      <c r="N834" s="35"/>
      <c r="R834" s="17"/>
    </row>
    <row r="835" spans="13:18" ht="12.75">
      <c r="M835" s="17"/>
      <c r="N835" s="35"/>
      <c r="R835" s="17"/>
    </row>
    <row r="836" spans="13:18" ht="12.75">
      <c r="M836" s="17"/>
      <c r="N836" s="35"/>
      <c r="R836" s="17"/>
    </row>
    <row r="837" spans="13:18" ht="12.75">
      <c r="M837" s="17"/>
      <c r="N837" s="35"/>
      <c r="R837" s="17"/>
    </row>
    <row r="838" spans="13:18" ht="12.75">
      <c r="M838" s="17"/>
      <c r="N838" s="35"/>
      <c r="R838" s="17"/>
    </row>
    <row r="839" spans="13:18" ht="12.75">
      <c r="M839" s="17"/>
      <c r="N839" s="35"/>
      <c r="R839" s="17"/>
    </row>
    <row r="840" spans="13:18" ht="12.75">
      <c r="M840" s="17"/>
      <c r="N840" s="35"/>
      <c r="R840" s="17"/>
    </row>
    <row r="841" spans="13:18" ht="12.75">
      <c r="M841" s="17"/>
      <c r="N841" s="35"/>
      <c r="R841" s="17"/>
    </row>
    <row r="842" spans="13:18" ht="12.75">
      <c r="M842" s="17"/>
      <c r="N842" s="35"/>
      <c r="R842" s="17"/>
    </row>
    <row r="843" spans="13:18" ht="12.75">
      <c r="M843" s="17"/>
      <c r="N843" s="35"/>
      <c r="R843" s="17"/>
    </row>
    <row r="844" spans="13:18" ht="12.75">
      <c r="M844" s="17"/>
      <c r="N844" s="35"/>
      <c r="R844" s="17"/>
    </row>
    <row r="845" spans="13:18" ht="12.75">
      <c r="M845" s="17"/>
      <c r="N845" s="35"/>
      <c r="R845" s="17"/>
    </row>
    <row r="846" spans="13:18" ht="12.75">
      <c r="M846" s="17"/>
      <c r="N846" s="35"/>
      <c r="R846" s="17"/>
    </row>
    <row r="847" spans="13:18" ht="12.75">
      <c r="M847" s="17"/>
      <c r="N847" s="35"/>
      <c r="R847" s="17"/>
    </row>
    <row r="848" spans="13:18" ht="12.75">
      <c r="M848" s="17"/>
      <c r="N848" s="35"/>
      <c r="R848" s="17"/>
    </row>
    <row r="849" spans="13:18" ht="12.75">
      <c r="M849" s="17"/>
      <c r="N849" s="35"/>
      <c r="R849" s="17"/>
    </row>
    <row r="850" spans="13:18" ht="12.75">
      <c r="M850" s="17"/>
      <c r="N850" s="35"/>
      <c r="R850" s="17"/>
    </row>
    <row r="851" spans="13:18" ht="12.75">
      <c r="M851" s="17"/>
      <c r="N851" s="35"/>
      <c r="R851" s="17"/>
    </row>
    <row r="852" spans="13:18" ht="12.75">
      <c r="M852" s="17"/>
      <c r="N852" s="35"/>
      <c r="R852" s="17"/>
    </row>
    <row r="853" spans="13:18" ht="12.75">
      <c r="M853" s="17"/>
      <c r="N853" s="35"/>
      <c r="R853" s="17"/>
    </row>
    <row r="854" spans="13:18" ht="12.75">
      <c r="M854" s="17"/>
      <c r="N854" s="35"/>
      <c r="R854" s="17"/>
    </row>
    <row r="855" spans="13:18" ht="12.75">
      <c r="M855" s="17"/>
      <c r="N855" s="35"/>
      <c r="R855" s="17"/>
    </row>
    <row r="856" spans="13:18" ht="12.75">
      <c r="M856" s="17"/>
      <c r="N856" s="35"/>
      <c r="R856" s="17"/>
    </row>
    <row r="857" spans="13:18" ht="12.75">
      <c r="M857" s="17"/>
      <c r="N857" s="35"/>
      <c r="R857" s="17"/>
    </row>
    <row r="858" spans="13:18" ht="12.75">
      <c r="M858" s="17"/>
      <c r="N858" s="35"/>
      <c r="R858" s="17"/>
    </row>
    <row r="859" spans="13:18" ht="12.75">
      <c r="M859" s="17"/>
      <c r="N859" s="35"/>
      <c r="R859" s="17"/>
    </row>
    <row r="860" spans="13:18" ht="12.75">
      <c r="M860" s="17"/>
      <c r="N860" s="35"/>
      <c r="R860" s="17"/>
    </row>
    <row r="861" spans="13:18" ht="12.75">
      <c r="M861" s="17"/>
      <c r="N861" s="35"/>
      <c r="R861" s="17"/>
    </row>
    <row r="862" spans="13:18" ht="12.75">
      <c r="M862" s="17"/>
      <c r="N862" s="35"/>
      <c r="R862" s="17"/>
    </row>
    <row r="863" spans="13:18" ht="12.75">
      <c r="M863" s="17"/>
      <c r="N863" s="35"/>
      <c r="R863" s="17"/>
    </row>
    <row r="864" spans="13:18" ht="12.75">
      <c r="M864" s="17"/>
      <c r="N864" s="35"/>
      <c r="R864" s="17"/>
    </row>
    <row r="865" spans="13:18" ht="12.75">
      <c r="M865" s="17"/>
      <c r="N865" s="35"/>
      <c r="R865" s="17"/>
    </row>
    <row r="866" spans="13:18" ht="12.75">
      <c r="M866" s="17"/>
      <c r="N866" s="35"/>
      <c r="R866" s="17"/>
    </row>
    <row r="867" spans="13:18" ht="12.75">
      <c r="M867" s="17"/>
      <c r="N867" s="35"/>
      <c r="R867" s="17"/>
    </row>
    <row r="868" spans="13:18" ht="12.75">
      <c r="M868" s="17"/>
      <c r="N868" s="35"/>
      <c r="R868" s="17"/>
    </row>
    <row r="869" spans="13:18" ht="12.75">
      <c r="M869" s="17"/>
      <c r="N869" s="35"/>
      <c r="R869" s="17"/>
    </row>
    <row r="870" spans="13:18" ht="12.75">
      <c r="M870" s="17"/>
      <c r="N870" s="35"/>
      <c r="R870" s="17"/>
    </row>
    <row r="871" spans="13:18" ht="12.75">
      <c r="M871" s="17"/>
      <c r="N871" s="35"/>
      <c r="R871" s="17"/>
    </row>
    <row r="872" spans="13:18" ht="12.75">
      <c r="M872" s="17"/>
      <c r="N872" s="35"/>
      <c r="R872" s="17"/>
    </row>
    <row r="873" spans="13:18" ht="12.75">
      <c r="M873" s="17"/>
      <c r="N873" s="35"/>
      <c r="R873" s="17"/>
    </row>
    <row r="874" spans="13:18" ht="12.75">
      <c r="M874" s="17"/>
      <c r="N874" s="35"/>
      <c r="R874" s="17"/>
    </row>
    <row r="875" spans="13:18" ht="12.75">
      <c r="M875" s="17"/>
      <c r="N875" s="35"/>
      <c r="R875" s="17"/>
    </row>
    <row r="876" spans="13:18" ht="12.75">
      <c r="M876" s="17"/>
      <c r="N876" s="35"/>
      <c r="R876" s="17"/>
    </row>
    <row r="877" spans="13:18" ht="12.75">
      <c r="M877" s="17"/>
      <c r="N877" s="35"/>
      <c r="R877" s="17"/>
    </row>
    <row r="878" spans="13:18" ht="12.75">
      <c r="M878" s="17"/>
      <c r="N878" s="35"/>
      <c r="R878" s="17"/>
    </row>
    <row r="879" spans="13:18" ht="12.75">
      <c r="M879" s="17"/>
      <c r="N879" s="35"/>
      <c r="R879" s="17"/>
    </row>
    <row r="880" spans="13:18" ht="12.75">
      <c r="M880" s="17"/>
      <c r="N880" s="35"/>
      <c r="R880" s="17"/>
    </row>
    <row r="881" spans="13:18" ht="12.75">
      <c r="M881" s="17"/>
      <c r="N881" s="35"/>
      <c r="R881" s="17"/>
    </row>
    <row r="882" spans="13:18" ht="12.75">
      <c r="M882" s="17"/>
      <c r="N882" s="35"/>
      <c r="R882" s="17"/>
    </row>
    <row r="883" spans="13:18" ht="12.75">
      <c r="M883" s="17"/>
      <c r="N883" s="35"/>
      <c r="R883" s="17"/>
    </row>
    <row r="884" spans="13:18" ht="12.75">
      <c r="M884" s="17"/>
      <c r="N884" s="35"/>
      <c r="R884" s="17"/>
    </row>
    <row r="885" spans="13:18" ht="12.75">
      <c r="M885" s="17"/>
      <c r="N885" s="35"/>
      <c r="R885" s="17"/>
    </row>
    <row r="886" spans="13:18" ht="12.75">
      <c r="M886" s="17"/>
      <c r="N886" s="35"/>
      <c r="R886" s="17"/>
    </row>
    <row r="887" spans="13:18" ht="12.75">
      <c r="M887" s="17"/>
      <c r="N887" s="35"/>
      <c r="R887" s="17"/>
    </row>
    <row r="888" spans="13:18" ht="12.75">
      <c r="M888" s="17"/>
      <c r="N888" s="35"/>
      <c r="R888" s="17"/>
    </row>
    <row r="889" spans="13:18" ht="12.75">
      <c r="M889" s="17"/>
      <c r="N889" s="35"/>
      <c r="R889" s="17"/>
    </row>
    <row r="890" spans="13:18" ht="12.75">
      <c r="M890" s="17"/>
      <c r="N890" s="35"/>
      <c r="R890" s="17"/>
    </row>
    <row r="891" spans="13:18" ht="12.75">
      <c r="M891" s="17"/>
      <c r="N891" s="35"/>
      <c r="R891" s="17"/>
    </row>
    <row r="892" spans="13:18" ht="12.75">
      <c r="M892" s="17"/>
      <c r="N892" s="35"/>
      <c r="R892" s="17"/>
    </row>
    <row r="893" spans="13:18" ht="12.75">
      <c r="M893" s="17"/>
      <c r="N893" s="35"/>
      <c r="R893" s="17"/>
    </row>
    <row r="894" spans="13:18" ht="12.75">
      <c r="M894" s="17"/>
      <c r="N894" s="35"/>
      <c r="R894" s="17"/>
    </row>
    <row r="895" spans="13:18" ht="12.75">
      <c r="M895" s="17"/>
      <c r="N895" s="35"/>
      <c r="R895" s="17"/>
    </row>
    <row r="896" spans="13:18" ht="12.75">
      <c r="M896" s="17"/>
      <c r="N896" s="35"/>
      <c r="R896" s="17"/>
    </row>
    <row r="897" spans="13:18" ht="12.75">
      <c r="M897" s="17"/>
      <c r="N897" s="35"/>
      <c r="R897" s="17"/>
    </row>
    <row r="898" spans="13:18" ht="12.75">
      <c r="M898" s="17"/>
      <c r="N898" s="35"/>
      <c r="R898" s="17"/>
    </row>
    <row r="899" spans="13:18" ht="12.75">
      <c r="M899" s="17"/>
      <c r="N899" s="35"/>
      <c r="R899" s="17"/>
    </row>
    <row r="900" spans="13:18" ht="12.75">
      <c r="M900" s="17"/>
      <c r="N900" s="35"/>
      <c r="R900" s="17"/>
    </row>
    <row r="901" spans="13:18" ht="12.75">
      <c r="M901" s="17"/>
      <c r="N901" s="35"/>
      <c r="R901" s="17"/>
    </row>
    <row r="902" spans="13:18" ht="12.75">
      <c r="M902" s="17"/>
      <c r="N902" s="35"/>
      <c r="R902" s="17"/>
    </row>
    <row r="903" spans="13:18" ht="12.75">
      <c r="M903" s="17"/>
      <c r="N903" s="35"/>
      <c r="R903" s="17"/>
    </row>
    <row r="904" spans="13:18" ht="12.75">
      <c r="M904" s="17"/>
      <c r="N904" s="35"/>
      <c r="R904" s="17"/>
    </row>
    <row r="905" spans="13:18" ht="12.75">
      <c r="M905" s="17"/>
      <c r="N905" s="35"/>
      <c r="R905" s="17"/>
    </row>
    <row r="906" spans="13:18" ht="12.75">
      <c r="M906" s="17"/>
      <c r="N906" s="35"/>
      <c r="R906" s="17"/>
    </row>
    <row r="907" spans="13:18" ht="12.75">
      <c r="M907" s="17"/>
      <c r="N907" s="35"/>
      <c r="R907" s="17"/>
    </row>
    <row r="908" spans="13:18" ht="12.75">
      <c r="M908" s="17"/>
      <c r="N908" s="35"/>
      <c r="R908" s="17"/>
    </row>
    <row r="909" spans="13:18" ht="12.75">
      <c r="M909" s="17"/>
      <c r="N909" s="35"/>
      <c r="R909" s="17"/>
    </row>
    <row r="910" spans="13:18" ht="12.75">
      <c r="M910" s="17"/>
      <c r="N910" s="35"/>
      <c r="R910" s="17"/>
    </row>
    <row r="911" spans="13:18" ht="12.75">
      <c r="M911" s="17"/>
      <c r="N911" s="35"/>
      <c r="R911" s="17"/>
    </row>
    <row r="912" spans="13:18" ht="12.75">
      <c r="M912" s="17"/>
      <c r="N912" s="35"/>
      <c r="R912" s="17"/>
    </row>
    <row r="913" spans="13:18" ht="12.75">
      <c r="M913" s="17"/>
      <c r="N913" s="35"/>
      <c r="R913" s="17"/>
    </row>
    <row r="914" spans="13:18" ht="12.75">
      <c r="M914" s="17"/>
      <c r="N914" s="35"/>
      <c r="R914" s="17"/>
    </row>
    <row r="915" spans="13:18" ht="12.75">
      <c r="M915" s="17"/>
      <c r="N915" s="35"/>
      <c r="R915" s="17"/>
    </row>
    <row r="916" spans="13:18" ht="12.75">
      <c r="M916" s="17"/>
      <c r="N916" s="35"/>
      <c r="R916" s="17"/>
    </row>
    <row r="917" spans="13:18" ht="12.75">
      <c r="M917" s="17"/>
      <c r="N917" s="35"/>
      <c r="R917" s="17"/>
    </row>
    <row r="918" spans="13:18" ht="12.75">
      <c r="M918" s="17"/>
      <c r="N918" s="35"/>
      <c r="R918" s="17"/>
    </row>
    <row r="919" spans="13:18" ht="12.75">
      <c r="M919" s="17"/>
      <c r="N919" s="35"/>
      <c r="R919" s="17"/>
    </row>
    <row r="920" spans="13:18" ht="12.75">
      <c r="M920" s="17"/>
      <c r="N920" s="35"/>
      <c r="R920" s="17"/>
    </row>
    <row r="921" spans="13:18" ht="12.75">
      <c r="M921" s="17"/>
      <c r="N921" s="35"/>
      <c r="R921" s="17"/>
    </row>
    <row r="922" spans="13:18" ht="12.75">
      <c r="M922" s="17"/>
      <c r="N922" s="35"/>
      <c r="R922" s="17"/>
    </row>
    <row r="923" spans="13:18" ht="12.75">
      <c r="M923" s="17"/>
      <c r="N923" s="35"/>
      <c r="R923" s="17"/>
    </row>
    <row r="924" spans="13:18" ht="12.75">
      <c r="M924" s="17"/>
      <c r="N924" s="35"/>
      <c r="R924" s="17"/>
    </row>
    <row r="925" spans="13:18" ht="12.75">
      <c r="M925" s="17"/>
      <c r="N925" s="35"/>
      <c r="R925" s="17"/>
    </row>
    <row r="926" spans="13:18" ht="12.75">
      <c r="M926" s="17"/>
      <c r="N926" s="35"/>
      <c r="R926" s="17"/>
    </row>
    <row r="927" spans="13:18" ht="12.75">
      <c r="M927" s="17"/>
      <c r="N927" s="35"/>
      <c r="R927" s="17"/>
    </row>
    <row r="928" spans="13:18" ht="12.75">
      <c r="M928" s="17"/>
      <c r="N928" s="35"/>
      <c r="R928" s="17"/>
    </row>
    <row r="929" spans="13:18" ht="12.75">
      <c r="M929" s="17"/>
      <c r="N929" s="35"/>
      <c r="R929" s="17"/>
    </row>
    <row r="930" spans="13:18" ht="12.75">
      <c r="M930" s="17"/>
      <c r="N930" s="35"/>
      <c r="R930" s="17"/>
    </row>
    <row r="931" spans="13:18" ht="12.75">
      <c r="M931" s="17"/>
      <c r="N931" s="35"/>
      <c r="R931" s="17"/>
    </row>
    <row r="932" spans="13:18" ht="12.75">
      <c r="M932" s="17"/>
      <c r="N932" s="35"/>
      <c r="R932" s="17"/>
    </row>
    <row r="933" spans="13:18" ht="12.75">
      <c r="M933" s="17"/>
      <c r="N933" s="35"/>
      <c r="R933" s="17"/>
    </row>
    <row r="934" spans="13:18" ht="12.75">
      <c r="M934" s="17"/>
      <c r="N934" s="35"/>
      <c r="R934" s="17"/>
    </row>
    <row r="935" spans="13:18" ht="12.75">
      <c r="M935" s="17"/>
      <c r="N935" s="35"/>
      <c r="R935" s="17"/>
    </row>
    <row r="936" spans="13:18" ht="12.75">
      <c r="M936" s="17"/>
      <c r="N936" s="35"/>
      <c r="R936" s="17"/>
    </row>
    <row r="937" spans="13:18" ht="12.75">
      <c r="M937" s="17"/>
      <c r="N937" s="35"/>
      <c r="R937" s="17"/>
    </row>
    <row r="938" spans="13:18" ht="12.75">
      <c r="M938" s="17"/>
      <c r="N938" s="35"/>
      <c r="R938" s="17"/>
    </row>
    <row r="939" spans="13:18" ht="12.75">
      <c r="M939" s="17"/>
      <c r="N939" s="35"/>
      <c r="R939" s="17"/>
    </row>
    <row r="940" spans="13:18" ht="12.75">
      <c r="M940" s="17"/>
      <c r="N940" s="35"/>
      <c r="R940" s="17"/>
    </row>
    <row r="941" spans="13:18" ht="12.75">
      <c r="M941" s="17"/>
      <c r="N941" s="35"/>
      <c r="R941" s="17"/>
    </row>
    <row r="942" spans="13:18" ht="12.75">
      <c r="M942" s="17"/>
      <c r="N942" s="35"/>
      <c r="R942" s="17"/>
    </row>
    <row r="943" spans="13:18" ht="12.75">
      <c r="M943" s="17"/>
      <c r="N943" s="35"/>
      <c r="R943" s="17"/>
    </row>
    <row r="944" spans="13:18" ht="12.75">
      <c r="M944" s="17"/>
      <c r="N944" s="35"/>
      <c r="R944" s="17"/>
    </row>
    <row r="945" spans="13:18" ht="12.75">
      <c r="M945" s="17"/>
      <c r="N945" s="35"/>
      <c r="R945" s="17"/>
    </row>
    <row r="946" spans="13:18" ht="12.75">
      <c r="M946" s="17"/>
      <c r="N946" s="35"/>
      <c r="R946" s="17"/>
    </row>
    <row r="947" spans="13:18" ht="12.75">
      <c r="M947" s="17"/>
      <c r="N947" s="35"/>
      <c r="R947" s="17"/>
    </row>
    <row r="948" spans="13:18" ht="12.75">
      <c r="M948" s="17"/>
      <c r="N948" s="35"/>
      <c r="R948" s="17"/>
    </row>
    <row r="949" spans="13:18" ht="12.75">
      <c r="M949" s="17"/>
      <c r="N949" s="35"/>
      <c r="R949" s="17"/>
    </row>
    <row r="950" spans="13:18" ht="12.75">
      <c r="M950" s="17"/>
      <c r="N950" s="35"/>
      <c r="R950" s="17"/>
    </row>
    <row r="951" spans="13:18" ht="12.75">
      <c r="M951" s="17"/>
      <c r="N951" s="35"/>
      <c r="R951" s="17"/>
    </row>
    <row r="952" spans="13:18" ht="12.75">
      <c r="M952" s="17"/>
      <c r="N952" s="35"/>
      <c r="R952" s="17"/>
    </row>
    <row r="953" spans="13:18" ht="12.75">
      <c r="M953" s="17"/>
      <c r="N953" s="35"/>
      <c r="R953" s="17"/>
    </row>
    <row r="954" spans="13:18" ht="12.75">
      <c r="M954" s="17"/>
      <c r="N954" s="35"/>
      <c r="R954" s="17"/>
    </row>
    <row r="955" spans="13:18" ht="12.75">
      <c r="M955" s="17"/>
      <c r="N955" s="35"/>
      <c r="R955" s="17"/>
    </row>
    <row r="956" spans="13:18" ht="12.75">
      <c r="M956" s="17"/>
      <c r="N956" s="35"/>
      <c r="R956" s="17"/>
    </row>
    <row r="957" spans="13:18" ht="12.75">
      <c r="M957" s="17"/>
      <c r="N957" s="35"/>
      <c r="R957" s="17"/>
    </row>
    <row r="958" spans="13:18" ht="12.75">
      <c r="M958" s="17"/>
      <c r="N958" s="35"/>
      <c r="R958" s="17"/>
    </row>
    <row r="959" spans="13:18" ht="12.75">
      <c r="M959" s="17"/>
      <c r="N959" s="35"/>
      <c r="R959" s="17"/>
    </row>
    <row r="960" spans="13:18" ht="12.75">
      <c r="M960" s="17"/>
      <c r="N960" s="35"/>
      <c r="R960" s="17"/>
    </row>
    <row r="961" spans="13:18" ht="12.75">
      <c r="M961" s="17"/>
      <c r="N961" s="35"/>
      <c r="R961" s="17"/>
    </row>
    <row r="962" spans="13:18" ht="12.75">
      <c r="M962" s="17"/>
      <c r="N962" s="35"/>
      <c r="R962" s="17"/>
    </row>
    <row r="963" spans="13:18" ht="12.75">
      <c r="M963" s="17"/>
      <c r="N963" s="35"/>
      <c r="R963" s="17"/>
    </row>
    <row r="964" spans="13:18" ht="12.75">
      <c r="M964" s="17"/>
      <c r="N964" s="35"/>
      <c r="R964" s="17"/>
    </row>
    <row r="965" spans="13:18" ht="12.75">
      <c r="M965" s="17"/>
      <c r="N965" s="35"/>
      <c r="R965" s="17"/>
    </row>
    <row r="966" spans="13:18" ht="12.75">
      <c r="M966" s="17"/>
      <c r="N966" s="35"/>
      <c r="R966" s="17"/>
    </row>
    <row r="967" spans="13:18" ht="12.75">
      <c r="M967" s="17"/>
      <c r="N967" s="35"/>
      <c r="R967" s="17"/>
    </row>
    <row r="968" spans="13:18" ht="12.75">
      <c r="M968" s="17"/>
      <c r="N968" s="35"/>
      <c r="R968" s="17"/>
    </row>
    <row r="969" spans="13:18" ht="12.75">
      <c r="M969" s="17"/>
      <c r="N969" s="35"/>
      <c r="R969" s="17"/>
    </row>
    <row r="970" spans="13:18" ht="12.75">
      <c r="M970" s="17"/>
      <c r="N970" s="35"/>
      <c r="R970" s="17"/>
    </row>
    <row r="971" spans="13:18" ht="12.75">
      <c r="M971" s="17"/>
      <c r="N971" s="35"/>
      <c r="R971" s="17"/>
    </row>
    <row r="972" spans="13:18" ht="12.75">
      <c r="M972" s="17"/>
      <c r="N972" s="35"/>
      <c r="R972" s="17"/>
    </row>
    <row r="973" spans="13:18" ht="12.75">
      <c r="M973" s="17"/>
      <c r="N973" s="35"/>
      <c r="R973" s="17"/>
    </row>
    <row r="974" spans="13:18" ht="12.75">
      <c r="M974" s="17"/>
      <c r="N974" s="35"/>
      <c r="R974" s="17"/>
    </row>
    <row r="975" spans="13:18" ht="12.75">
      <c r="M975" s="17"/>
      <c r="N975" s="35"/>
      <c r="R975" s="17"/>
    </row>
    <row r="976" spans="13:18" ht="12.75">
      <c r="M976" s="17"/>
      <c r="N976" s="35"/>
      <c r="R976" s="17"/>
    </row>
    <row r="977" spans="13:18" ht="12.75">
      <c r="M977" s="17"/>
      <c r="N977" s="35"/>
      <c r="R977" s="17"/>
    </row>
    <row r="978" spans="13:18" ht="12.75">
      <c r="M978" s="17"/>
      <c r="N978" s="35"/>
      <c r="R978" s="17"/>
    </row>
    <row r="979" spans="13:18" ht="12.75">
      <c r="M979" s="17"/>
      <c r="N979" s="35"/>
      <c r="R979" s="17"/>
    </row>
    <row r="980" spans="13:18" ht="12.75">
      <c r="M980" s="17"/>
      <c r="N980" s="35"/>
      <c r="R980" s="17"/>
    </row>
    <row r="981" spans="13:18" ht="12.75">
      <c r="M981" s="17"/>
      <c r="N981" s="35"/>
      <c r="R981" s="17"/>
    </row>
    <row r="982" spans="13:18" ht="12.75">
      <c r="M982" s="17"/>
      <c r="N982" s="35"/>
      <c r="R982" s="17"/>
    </row>
    <row r="983" spans="13:18" ht="12.75">
      <c r="M983" s="17"/>
      <c r="N983" s="35"/>
      <c r="R983" s="17"/>
    </row>
    <row r="984" spans="13:18" ht="12.75">
      <c r="M984" s="17"/>
      <c r="N984" s="35"/>
      <c r="R984" s="17"/>
    </row>
    <row r="985" spans="13:18" ht="12.75">
      <c r="M985" s="17"/>
      <c r="N985" s="35"/>
      <c r="R985" s="17"/>
    </row>
    <row r="986" spans="13:18" ht="12.75">
      <c r="M986" s="17"/>
      <c r="N986" s="35"/>
      <c r="R986" s="17"/>
    </row>
    <row r="987" spans="13:18" ht="12.75">
      <c r="M987" s="17"/>
      <c r="N987" s="35"/>
      <c r="R987" s="17"/>
    </row>
    <row r="988" spans="13:18" ht="12.75">
      <c r="M988" s="17"/>
      <c r="N988" s="35"/>
      <c r="R988" s="17"/>
    </row>
    <row r="989" spans="13:18" ht="12.75">
      <c r="M989" s="17"/>
      <c r="N989" s="35"/>
      <c r="R989" s="17"/>
    </row>
    <row r="990" spans="13:18" ht="12.75">
      <c r="M990" s="17"/>
      <c r="N990" s="35"/>
      <c r="R990" s="17"/>
    </row>
    <row r="991" spans="13:18" ht="12.75">
      <c r="M991" s="17"/>
      <c r="N991" s="35"/>
      <c r="R991" s="17"/>
    </row>
    <row r="992" spans="13:18" ht="12.75">
      <c r="M992" s="17"/>
      <c r="N992" s="35"/>
      <c r="R992" s="17"/>
    </row>
    <row r="993" spans="13:18" ht="12.75">
      <c r="M993" s="17"/>
      <c r="N993" s="35"/>
      <c r="R993" s="17"/>
    </row>
    <row r="994" spans="13:18" ht="12.75">
      <c r="M994" s="17"/>
      <c r="N994" s="35"/>
      <c r="R994" s="17"/>
    </row>
    <row r="995" spans="13:18" ht="12.75">
      <c r="M995" s="17"/>
      <c r="N995" s="35"/>
      <c r="R995" s="17"/>
    </row>
    <row r="996" spans="13:18" ht="12.75">
      <c r="M996" s="17"/>
      <c r="N996" s="35"/>
      <c r="R996" s="17"/>
    </row>
    <row r="997" spans="13:18" ht="12.75">
      <c r="M997" s="17"/>
      <c r="N997" s="35"/>
      <c r="R997" s="17"/>
    </row>
    <row r="998" spans="13:18" ht="12.75">
      <c r="M998" s="17"/>
      <c r="N998" s="35"/>
      <c r="R998" s="17"/>
    </row>
    <row r="999" spans="13:18" ht="12.75">
      <c r="M999" s="17"/>
      <c r="N999" s="35"/>
      <c r="R999" s="17"/>
    </row>
    <row r="1000" spans="13:18" ht="12.75">
      <c r="M1000" s="17"/>
      <c r="N1000" s="35"/>
      <c r="R1000" s="17"/>
    </row>
    <row r="1001" spans="13:18" ht="12.75">
      <c r="M1001" s="17"/>
      <c r="N1001" s="35"/>
      <c r="R1001" s="17"/>
    </row>
    <row r="1002" spans="13:18" ht="12.75">
      <c r="M1002" s="17"/>
      <c r="N1002" s="35"/>
      <c r="R1002" s="17"/>
    </row>
  </sheetData>
  <autoFilter ref="A1:R113" xr:uid="{00000000-0009-0000-0000-000008000000}"/>
  <customSheetViews>
    <customSheetView guid="{D4D06763-5632-4CAF-A0BD-7BAD6B3784B6}" filter="1" showAutoFilter="1">
      <pageMargins left="0.7" right="0.7" top="0.75" bottom="0.75" header="0.3" footer="0.3"/>
      <autoFilter ref="B1:L114" xr:uid="{00000000-0000-0000-0000-000000000000}"/>
    </customSheetView>
  </customSheetViews>
  <conditionalFormatting sqref="I107">
    <cfRule type="expression" dxfId="20" priority="1">
      <formula>$C105="N"</formula>
    </cfRule>
  </conditionalFormatting>
  <conditionalFormatting sqref="L1:M120 L230:M1002">
    <cfRule type="expression" dxfId="19" priority="2">
      <formula>AND(C1="Y",L1="")</formula>
    </cfRule>
  </conditionalFormatting>
  <conditionalFormatting sqref="B2:B86 C2:H113 I2:I104 J2:K113 B88:B105 B107:B113 I108:I113 B121:D229 F121:G235 H121:K231">
    <cfRule type="expression" dxfId="18" priority="3">
      <formula>$C2="N"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B1:K111"/>
  <sheetViews>
    <sheetView workbookViewId="0"/>
  </sheetViews>
  <sheetFormatPr defaultColWidth="14.3984375" defaultRowHeight="15.75" customHeight="1"/>
  <cols>
    <col min="1" max="1" width="3.3984375" customWidth="1"/>
    <col min="2" max="2" width="29.86328125" customWidth="1"/>
  </cols>
  <sheetData>
    <row r="1" spans="2:11" ht="15.75" customHeight="1">
      <c r="B1" s="6" t="s">
        <v>0</v>
      </c>
      <c r="C1" s="7" t="s">
        <v>1</v>
      </c>
      <c r="D1" s="7" t="s">
        <v>145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</row>
    <row r="2" spans="2:11">
      <c r="B2" s="13" t="s">
        <v>57</v>
      </c>
      <c r="C2" s="15" t="s">
        <v>142</v>
      </c>
      <c r="D2" s="15"/>
      <c r="E2" s="15">
        <f t="array" ref="E2">INDEX('Nov 30 - Dec 6'!E$2:E$111,MATCH($B2,'Nov 30 - Dec 6'!$B$2:$B$111,0))-INDEX('Nov 23-29'!D$3:D$111,MATCH($B2,'Nov 23-29'!$B$3:$B$111,0))</f>
        <v>-1</v>
      </c>
      <c r="F2" s="15">
        <f t="array" ref="F2">INDEX('Nov 30 - Dec 6'!F$2:F$111,MATCH($B2,'Nov 30 - Dec 6'!$B$2:$B$111,0))-INDEX('Nov 23-29'!E$3:E$111,MATCH($B2,'Nov 23-29'!$B$3:$B$111,0))</f>
        <v>-1</v>
      </c>
      <c r="G2" s="15">
        <f t="array" ref="G2">INDEX('Nov 30 - Dec 6'!G$2:G$111,MATCH($B2,'Nov 30 - Dec 6'!$B$2:$B$111,0))-INDEX('Nov 23-29'!F$3:F$111,MATCH($B2,'Nov 23-29'!$B$3:$B$111,0))</f>
        <v>0</v>
      </c>
      <c r="H2" s="15">
        <f t="array" ref="H2">INDEX('Nov 30 - Dec 6'!H$2:H$111,MATCH($B2,'Nov 30 - Dec 6'!$B$2:$B$111,0))-INDEX('Nov 23-29'!G$3:G$111,MATCH($B2,'Nov 23-29'!$B$3:$B$111,0))</f>
        <v>0</v>
      </c>
      <c r="I2" s="15">
        <f t="array" ref="I2">INDEX('Nov 30 - Dec 6'!I$2:I$111,MATCH($B2,'Nov 30 - Dec 6'!$B$2:$B$111,0))-INDEX('Nov 23-29'!H$3:H$111,MATCH($B2,'Nov 23-29'!$B$3:$B$111,0))</f>
        <v>0</v>
      </c>
      <c r="J2" s="15">
        <f t="array" ref="J2">INDEX('Nov 30 - Dec 6'!J$2:J$111,MATCH($B2,'Nov 30 - Dec 6'!$B$2:$B$111,0))-INDEX('Nov 23-29'!I$3:I$111,MATCH($B2,'Nov 23-29'!$B$3:$B$111,0))</f>
        <v>0</v>
      </c>
      <c r="K2" s="15">
        <f t="array" ref="K2">INDEX('Nov 30 - Dec 6'!K$2:K$111,MATCH($B2,'Nov 30 - Dec 6'!$B$2:$B$111,0))-INDEX('Nov 23-29'!J$3:J$111,MATCH($B2,'Nov 23-29'!$B$3:$B$111,0))</f>
        <v>0</v>
      </c>
    </row>
    <row r="3" spans="2:11">
      <c r="B3" s="13" t="s">
        <v>67</v>
      </c>
      <c r="C3" s="14" t="s">
        <v>147</v>
      </c>
      <c r="D3" s="15"/>
      <c r="E3" s="15">
        <f t="array" ref="E3">INDEX('Nov 30 - Dec 6'!E$2:E$111,MATCH($B3,'Nov 30 - Dec 6'!$B$2:$B$111,0))-INDEX('Nov 23-29'!D$3:D$111,MATCH($B3,'Nov 23-29'!$B$3:$B$111,0))</f>
        <v>8</v>
      </c>
      <c r="F3" s="15">
        <f t="array" ref="F3">INDEX('Nov 30 - Dec 6'!F$2:F$111,MATCH($B3,'Nov 30 - Dec 6'!$B$2:$B$111,0))-INDEX('Nov 23-29'!E$3:E$111,MATCH($B3,'Nov 23-29'!$B$3:$B$111,0))</f>
        <v>-2</v>
      </c>
      <c r="G3" s="15">
        <f t="array" ref="G3">INDEX('Nov 30 - Dec 6'!G$2:G$111,MATCH($B3,'Nov 30 - Dec 6'!$B$2:$B$111,0))-INDEX('Nov 23-29'!F$3:F$111,MATCH($B3,'Nov 23-29'!$B$3:$B$111,0))</f>
        <v>2</v>
      </c>
      <c r="H3" s="15">
        <f t="array" ref="H3">INDEX('Nov 30 - Dec 6'!H2:H111,MATCH($B3,'Nov 30 - Dec 6'!$B$2:$B$111,0))-INDEX('Nov 23-29'!G3:G111,MATCH($B3,'Nov 23-29'!$B$3:$B$111,0))</f>
        <v>1</v>
      </c>
      <c r="I3" s="15">
        <f t="array" ref="I3">INDEX('Nov 30 - Dec 6'!I2:I111,MATCH($B3,'Nov 30 - Dec 6'!$B$2:$B$111,0))-INDEX('Nov 23-29'!H3:H111,MATCH($B3,'Nov 23-29'!$B$3:$B$111,0))</f>
        <v>0</v>
      </c>
      <c r="J3" s="15">
        <f t="array" ref="J3">INDEX('Nov 30 - Dec 6'!J2:J111,MATCH($B3,'Nov 30 - Dec 6'!$B$2:$B$111,0))-INDEX('Nov 23-29'!I3:I111,MATCH($B3,'Nov 23-29'!$B$3:$B$111,0))</f>
        <v>0</v>
      </c>
      <c r="K3" s="15">
        <f t="array" ref="K3">INDEX('Nov 30 - Dec 6'!K2:K111,MATCH($B3,'Nov 30 - Dec 6'!$B$2:$B$111,0))-INDEX('Nov 23-29'!J3:J111,MATCH($B3,'Nov 23-29'!$B$3:$B$111,0))</f>
        <v>0</v>
      </c>
    </row>
    <row r="4" spans="2:11">
      <c r="B4" s="13" t="s">
        <v>100</v>
      </c>
      <c r="C4" s="14" t="s">
        <v>142</v>
      </c>
      <c r="D4" s="14"/>
      <c r="E4" s="15">
        <f t="array" ref="E4">INDEX('Nov 30 - Dec 6'!E$2:E$111,MATCH($B4,'Nov 30 - Dec 6'!$B$2:$B$111,0))-INDEX('Nov 23-29'!D$3:D$111,MATCH($B4,'Nov 23-29'!$B$3:$B$111,0))</f>
        <v>4</v>
      </c>
      <c r="F4" s="15"/>
      <c r="G4" s="15"/>
      <c r="H4" s="15"/>
      <c r="I4" s="15"/>
      <c r="J4" s="15"/>
      <c r="K4" s="15"/>
    </row>
    <row r="5" spans="2:11">
      <c r="B5" s="13" t="s">
        <v>75</v>
      </c>
      <c r="C5" s="14" t="s">
        <v>142</v>
      </c>
      <c r="D5" s="14"/>
      <c r="E5" s="15">
        <f t="array" ref="E5">INDEX('Nov 30 - Dec 6'!E$2:E$111,MATCH($B5,'Nov 30 - Dec 6'!$B$2:$B$111,0))-INDEX('Nov 23-29'!D$3:D$111,MATCH($B5,'Nov 23-29'!$B$3:$B$111,0))</f>
        <v>12</v>
      </c>
      <c r="F5" s="15"/>
      <c r="G5" s="15"/>
      <c r="H5" s="15"/>
      <c r="I5" s="15"/>
      <c r="J5" s="15"/>
      <c r="K5" s="15"/>
    </row>
    <row r="6" spans="2:11">
      <c r="B6" s="13" t="s">
        <v>47</v>
      </c>
      <c r="C6" s="14" t="s">
        <v>147</v>
      </c>
      <c r="D6" s="15"/>
      <c r="E6" s="15">
        <f t="array" ref="E6">INDEX('Nov 30 - Dec 6'!E$2:E$111,MATCH($B6,'Nov 30 - Dec 6'!$B$2:$B$111,0))-INDEX('Nov 23-29'!D$3:D$111,MATCH($B6,'Nov 23-29'!$B$3:$B$111,0))</f>
        <v>-18</v>
      </c>
      <c r="F6" s="15">
        <f t="array" ref="F6">INDEX('Nov 30 - Dec 6'!F$2:F$111,MATCH($B6,'Nov 30 - Dec 6'!$B$2:$B$111,0))-INDEX('Nov 23-29'!E$3:E$111,MATCH($B6,'Nov 23-29'!$B$3:$B$111,0))</f>
        <v>0</v>
      </c>
      <c r="G6" s="15">
        <f t="array" ref="G6">INDEX('Nov 30 - Dec 6'!G$2:G$111,MATCH($B6,'Nov 30 - Dec 6'!$B$2:$B$111,0))-INDEX('Nov 23-29'!F$3:F$111,MATCH($B6,'Nov 23-29'!$B$3:$B$111,0))</f>
        <v>1</v>
      </c>
      <c r="H6" s="15">
        <f t="array" ref="H6">INDEX('Nov 30 - Dec 6'!H$2:H$111,MATCH($B6,'Nov 30 - Dec 6'!$B$2:$B$111,0))-INDEX('Nov 23-29'!G$3:G$111,MATCH($B6,'Nov 23-29'!$B$3:$B$111,0))</f>
        <v>3</v>
      </c>
      <c r="I6" s="15">
        <f t="array" ref="I6">INDEX('Nov 30 - Dec 6'!I$2:I$111,MATCH($B6,'Nov 30 - Dec 6'!$B$2:$B$111,0))-INDEX('Nov 23-29'!H$3:H$111,MATCH($B6,'Nov 23-29'!$B$3:$B$111,0))</f>
        <v>1</v>
      </c>
      <c r="J6" s="15">
        <f t="array" ref="J6">INDEX('Nov 30 - Dec 6'!J$2:J$111,MATCH($B6,'Nov 30 - Dec 6'!$B$2:$B$111,0))-INDEX('Nov 23-29'!I$3:I$111,MATCH($B6,'Nov 23-29'!$B$3:$B$111,0))</f>
        <v>0</v>
      </c>
      <c r="K6" s="15">
        <f t="array" ref="K6">INDEX('Nov 30 - Dec 6'!K$2:K$111,MATCH($B6,'Nov 30 - Dec 6'!$B$2:$B$111,0))-INDEX('Nov 23-29'!J$3:J$111,MATCH($B6,'Nov 23-29'!$B$3:$B$111,0))</f>
        <v>0</v>
      </c>
    </row>
    <row r="7" spans="2:11">
      <c r="B7" s="13" t="s">
        <v>30</v>
      </c>
      <c r="C7" s="14" t="s">
        <v>147</v>
      </c>
      <c r="D7" s="15"/>
      <c r="E7" s="15">
        <f t="array" ref="E7">INDEX('Nov 30 - Dec 6'!E$2:E$111,MATCH($B7,'Nov 30 - Dec 6'!$B$2:$B$111,0))-INDEX('Nov 23-29'!D$3:D$111,MATCH($B7,'Nov 23-29'!$B$3:$B$111,0))</f>
        <v>5</v>
      </c>
      <c r="F7" s="15">
        <f t="array" ref="F7">INDEX('Nov 30 - Dec 6'!F$2:F$111,MATCH($B7,'Nov 30 - Dec 6'!$B$2:$B$111,0))-INDEX('Nov 23-29'!E$3:E$111,MATCH($B7,'Nov 23-29'!$B$3:$B$111,0))</f>
        <v>7</v>
      </c>
      <c r="G7" s="15">
        <f t="array" ref="G7">INDEX('Nov 30 - Dec 6'!G$2:G$111,MATCH($B7,'Nov 30 - Dec 6'!$B$2:$B$111,0))-INDEX('Nov 23-29'!F$3:F$111,MATCH($B7,'Nov 23-29'!$B$3:$B$111,0))</f>
        <v>2</v>
      </c>
      <c r="H7" s="15">
        <f t="array" ref="H7">INDEX('Nov 30 - Dec 6'!H$2:H$111,MATCH($B7,'Nov 30 - Dec 6'!$B$2:$B$111,0))-INDEX('Nov 23-29'!G$3:G$111,MATCH($B7,'Nov 23-29'!$B$3:$B$111,0))</f>
        <v>3</v>
      </c>
      <c r="I7" s="15">
        <f t="array" ref="I7">INDEX('Nov 30 - Dec 6'!I$2:I$111,MATCH($B7,'Nov 30 - Dec 6'!$B$2:$B$111,0))-INDEX('Nov 23-29'!H$3:H$111,MATCH($B7,'Nov 23-29'!$B$3:$B$111,0))</f>
        <v>1</v>
      </c>
      <c r="J7" s="15">
        <f t="array" ref="J7">INDEX('Nov 30 - Dec 6'!J$2:J$111,MATCH($B7,'Nov 30 - Dec 6'!$B$2:$B$111,0))-INDEX('Nov 23-29'!I$3:I$111,MATCH($B7,'Nov 23-29'!$B$3:$B$111,0))</f>
        <v>0</v>
      </c>
      <c r="K7" s="15">
        <f t="array" ref="K7">INDEX('Nov 30 - Dec 6'!K$2:K$111,MATCH($B7,'Nov 30 - Dec 6'!$B$2:$B$111,0))-INDEX('Nov 23-29'!J$3:J$111,MATCH($B7,'Nov 23-29'!$B$3:$B$111,0))</f>
        <v>0</v>
      </c>
    </row>
    <row r="8" spans="2:11">
      <c r="B8" s="13" t="s">
        <v>95</v>
      </c>
      <c r="C8" s="14" t="s">
        <v>147</v>
      </c>
      <c r="D8" s="15"/>
      <c r="E8" s="15">
        <f t="array" ref="E8">INDEX('Nov 30 - Dec 6'!E$2:E$111,MATCH($B8,'Nov 30 - Dec 6'!$B$2:$B$111,0))-INDEX('Nov 23-29'!D$3:D$111,MATCH($B8,'Nov 23-29'!$B$3:$B$111,0))</f>
        <v>9</v>
      </c>
      <c r="F8" s="15">
        <f t="array" ref="F8">INDEX('Nov 30 - Dec 6'!F$2:F$111,MATCH($B8,'Nov 30 - Dec 6'!$B$2:$B$111,0))-INDEX('Nov 23-29'!E$3:E$111,MATCH($B8,'Nov 23-29'!$B$3:$B$111,0))</f>
        <v>4</v>
      </c>
      <c r="G8" s="15">
        <f t="array" ref="G8">INDEX('Nov 30 - Dec 6'!G$2:G$111,MATCH($B8,'Nov 30 - Dec 6'!$B$2:$B$111,0))-INDEX('Nov 23-29'!F$3:F$111,MATCH($B8,'Nov 23-29'!$B$3:$B$111,0))</f>
        <v>3</v>
      </c>
      <c r="H8" s="15">
        <f t="array" ref="H8">INDEX('Nov 30 - Dec 6'!H$2:H$111,MATCH($B8,'Nov 30 - Dec 6'!$B$2:$B$111,0))-INDEX('Nov 23-29'!G$3:G$111,MATCH($B8,'Nov 23-29'!$B$3:$B$111,0))</f>
        <v>2</v>
      </c>
      <c r="I8" s="15">
        <f t="array" ref="I8">INDEX('Nov 30 - Dec 6'!I$2:I$111,MATCH($B8,'Nov 30 - Dec 6'!$B$2:$B$111,0))-INDEX('Nov 23-29'!H$3:H$111,MATCH($B8,'Nov 23-29'!$B$3:$B$111,0))</f>
        <v>0</v>
      </c>
      <c r="J8" s="15">
        <f t="array" ref="J8">INDEX('Nov 30 - Dec 6'!J$2:J$111,MATCH($B8,'Nov 30 - Dec 6'!$B$2:$B$111,0))-INDEX('Nov 23-29'!I$3:I$111,MATCH($B8,'Nov 23-29'!$B$3:$B$111,0))</f>
        <v>0</v>
      </c>
      <c r="K8" s="15">
        <f t="array" ref="K8">INDEX('Nov 30 - Dec 6'!K$2:K$111,MATCH($B8,'Nov 30 - Dec 6'!$B$2:$B$111,0))-INDEX('Nov 23-29'!J$3:J$111,MATCH($B8,'Nov 23-29'!$B$3:$B$111,0))</f>
        <v>0</v>
      </c>
    </row>
    <row r="9" spans="2:11">
      <c r="B9" s="13" t="s">
        <v>22</v>
      </c>
      <c r="C9" s="14" t="s">
        <v>147</v>
      </c>
      <c r="D9" s="15"/>
      <c r="E9" s="15">
        <f t="array" ref="E9">INDEX('Nov 30 - Dec 6'!E$2:E$111,MATCH($B9,'Nov 30 - Dec 6'!$B$2:$B$111,0))-INDEX('Nov 23-29'!D$3:D$111,MATCH($B9,'Nov 23-29'!$B$3:$B$111,0))</f>
        <v>11</v>
      </c>
      <c r="F9" s="15">
        <f t="array" ref="F9">INDEX('Nov 30 - Dec 6'!F$2:F$111,MATCH($B9,'Nov 30 - Dec 6'!$B$2:$B$111,0))-INDEX('Nov 23-29'!E$3:E$111,MATCH($B9,'Nov 23-29'!$B$3:$B$111,0))</f>
        <v>-1</v>
      </c>
      <c r="G9" s="15">
        <f t="array" ref="G9">INDEX('Nov 30 - Dec 6'!G$2:G$111,MATCH($B9,'Nov 30 - Dec 6'!$B$2:$B$111,0))-INDEX('Nov 23-29'!F$3:F$111,MATCH($B9,'Nov 23-29'!$B$3:$B$111,0))</f>
        <v>2</v>
      </c>
      <c r="H9" s="15">
        <f t="array" ref="H9">INDEX('Nov 30 - Dec 6'!H$2:H$111,MATCH($B9,'Nov 30 - Dec 6'!$B$2:$B$111,0))-INDEX('Nov 23-29'!G$3:G$111,MATCH($B9,'Nov 23-29'!$B$3:$B$111,0))</f>
        <v>2</v>
      </c>
      <c r="I9" s="15">
        <f t="array" ref="I9">INDEX('Nov 30 - Dec 6'!I$2:I$111,MATCH($B9,'Nov 30 - Dec 6'!$B$2:$B$111,0))-INDEX('Nov 23-29'!H$3:H$111,MATCH($B9,'Nov 23-29'!$B$3:$B$111,0))</f>
        <v>0</v>
      </c>
      <c r="J9" s="15">
        <f t="array" ref="J9">INDEX('Nov 30 - Dec 6'!J$2:J$111,MATCH($B9,'Nov 30 - Dec 6'!$B$2:$B$111,0))-INDEX('Nov 23-29'!I$3:I$111,MATCH($B9,'Nov 23-29'!$B$3:$B$111,0))</f>
        <v>0</v>
      </c>
      <c r="K9" s="15">
        <f t="array" ref="K9">INDEX('Nov 30 - Dec 6'!K$2:K$111,MATCH($B9,'Nov 30 - Dec 6'!$B$2:$B$111,0))-INDEX('Nov 23-29'!J$3:J$111,MATCH($B9,'Nov 23-29'!$B$3:$B$111,0))</f>
        <v>0</v>
      </c>
    </row>
    <row r="10" spans="2:11">
      <c r="B10" s="13" t="s">
        <v>110</v>
      </c>
      <c r="C10" s="14" t="s">
        <v>147</v>
      </c>
      <c r="D10" s="15"/>
      <c r="E10" s="15">
        <f t="array" ref="E10">INDEX('Nov 30 - Dec 6'!E$2:E$111,MATCH($B10,'Nov 30 - Dec 6'!$B$2:$B$111,0))-INDEX('Nov 23-29'!D$3:D$111,MATCH($B10,'Nov 23-29'!$B$3:$B$111,0))</f>
        <v>-2</v>
      </c>
      <c r="F10" s="15">
        <f t="array" ref="F10">INDEX('Nov 30 - Dec 6'!F$2:F$111,MATCH($B10,'Nov 30 - Dec 6'!$B$2:$B$111,0))-INDEX('Nov 23-29'!E$3:E$111,MATCH($B10,'Nov 23-29'!$B$3:$B$111,0))</f>
        <v>0</v>
      </c>
      <c r="G10" s="15">
        <f t="array" ref="G10">INDEX('Nov 30 - Dec 6'!G$2:G$111,MATCH($B10,'Nov 30 - Dec 6'!$B$2:$B$111,0))-INDEX('Nov 23-29'!F$3:F$111,MATCH($B10,'Nov 23-29'!$B$3:$B$111,0))</f>
        <v>0</v>
      </c>
      <c r="H10" s="15">
        <f t="array" ref="H10">INDEX('Nov 30 - Dec 6'!H$2:H$111,MATCH($B10,'Nov 30 - Dec 6'!$B$2:$B$111,0))-INDEX('Nov 23-29'!G$3:G$111,MATCH($B10,'Nov 23-29'!$B$3:$B$111,0))</f>
        <v>2</v>
      </c>
      <c r="I10" s="15">
        <f t="array" ref="I10">INDEX('Nov 30 - Dec 6'!I$2:I$111,MATCH($B10,'Nov 30 - Dec 6'!$B$2:$B$111,0))-INDEX('Nov 23-29'!H$3:H$111,MATCH($B10,'Nov 23-29'!$B$3:$B$111,0))</f>
        <v>0</v>
      </c>
      <c r="J10" s="15">
        <f t="array" ref="J10">INDEX('Nov 30 - Dec 6'!J$2:J$111,MATCH($B10,'Nov 30 - Dec 6'!$B$2:$B$111,0))-INDEX('Nov 23-29'!I$3:I$111,MATCH($B10,'Nov 23-29'!$B$3:$B$111,0))</f>
        <v>0</v>
      </c>
      <c r="K10" s="15">
        <f t="array" ref="K10">INDEX('Nov 30 - Dec 6'!K$2:K$111,MATCH($B10,'Nov 30 - Dec 6'!$B$2:$B$111,0))-INDEX('Nov 23-29'!J$3:J$111,MATCH($B10,'Nov 23-29'!$B$3:$B$111,0))</f>
        <v>0</v>
      </c>
    </row>
    <row r="11" spans="2:11">
      <c r="B11" s="13" t="s">
        <v>117</v>
      </c>
      <c r="C11" s="14" t="s">
        <v>147</v>
      </c>
      <c r="D11" s="15"/>
      <c r="E11" s="15">
        <f t="array" ref="E11">INDEX('Nov 30 - Dec 6'!E$2:E$111,MATCH($B11,'Nov 30 - Dec 6'!$B$2:$B$111,0))-INDEX('Nov 23-29'!D$3:D$111,MATCH($B11,'Nov 23-29'!$B$3:$B$111,0))</f>
        <v>52</v>
      </c>
      <c r="F11" s="15">
        <f t="array" ref="F11">INDEX('Nov 30 - Dec 6'!F$2:F$111,MATCH($B11,'Nov 30 - Dec 6'!$B$2:$B$111,0))-INDEX('Nov 23-29'!E$3:E$111,MATCH($B11,'Nov 23-29'!$B$3:$B$111,0))</f>
        <v>11</v>
      </c>
      <c r="G11" s="15">
        <f t="array" ref="G11">INDEX('Nov 30 - Dec 6'!G$2:G$111,MATCH($B11,'Nov 30 - Dec 6'!$B$2:$B$111,0))-INDEX('Nov 23-29'!F$3:F$111,MATCH($B11,'Nov 23-29'!$B$3:$B$111,0))</f>
        <v>0</v>
      </c>
      <c r="H11" s="15">
        <f t="array" ref="H11">INDEX('Nov 30 - Dec 6'!H$2:H$111,MATCH($B11,'Nov 30 - Dec 6'!$B$2:$B$111,0))-INDEX('Nov 23-29'!G$3:G$111,MATCH($B11,'Nov 23-29'!$B$3:$B$111,0))</f>
        <v>1</v>
      </c>
      <c r="I11" s="15">
        <f t="array" ref="I11">INDEX('Nov 30 - Dec 6'!I$2:I$111,MATCH($B11,'Nov 30 - Dec 6'!$B$2:$B$111,0))-INDEX('Nov 23-29'!H$3:H$111,MATCH($B11,'Nov 23-29'!$B$3:$B$111,0))</f>
        <v>0</v>
      </c>
      <c r="J11" s="15">
        <f t="array" ref="J11">INDEX('Nov 30 - Dec 6'!J$2:J$111,MATCH($B11,'Nov 30 - Dec 6'!$B$2:$B$111,0))-INDEX('Nov 23-29'!I$3:I$111,MATCH($B11,'Nov 23-29'!$B$3:$B$111,0))</f>
        <v>0</v>
      </c>
      <c r="K11" s="15">
        <f t="array" ref="K11">INDEX('Nov 30 - Dec 6'!K$2:K$111,MATCH($B11,'Nov 30 - Dec 6'!$B$2:$B$111,0))-INDEX('Nov 23-29'!J$3:J$111,MATCH($B11,'Nov 23-29'!$B$3:$B$111,0))</f>
        <v>0</v>
      </c>
    </row>
    <row r="12" spans="2:11">
      <c r="B12" s="13" t="s">
        <v>42</v>
      </c>
      <c r="C12" s="14" t="s">
        <v>147</v>
      </c>
      <c r="D12" s="15"/>
      <c r="E12" s="15">
        <f t="array" ref="E12">INDEX('Nov 30 - Dec 6'!E$2:E$111,MATCH($B12,'Nov 30 - Dec 6'!$B$2:$B$111,0))-INDEX('Nov 23-29'!D$3:D$111,MATCH($B12,'Nov 23-29'!$B$3:$B$111,0))</f>
        <v>-31</v>
      </c>
      <c r="F12" s="15">
        <f t="array" ref="F12">INDEX('Nov 30 - Dec 6'!F$2:F$111,MATCH($B12,'Nov 30 - Dec 6'!$B$2:$B$111,0))-INDEX('Nov 23-29'!E$3:E$111,MATCH($B12,'Nov 23-29'!$B$3:$B$111,0))</f>
        <v>-5</v>
      </c>
      <c r="G12" s="15">
        <f t="array" ref="G12">INDEX('Nov 30 - Dec 6'!G$2:G$111,MATCH($B12,'Nov 30 - Dec 6'!$B$2:$B$111,0))-INDEX('Nov 23-29'!F$3:F$111,MATCH($B12,'Nov 23-29'!$B$3:$B$111,0))</f>
        <v>-5</v>
      </c>
      <c r="H12" s="15">
        <f t="array" ref="H12">INDEX('Nov 30 - Dec 6'!H$2:H$111,MATCH($B12,'Nov 30 - Dec 6'!$B$2:$B$111,0))-INDEX('Nov 23-29'!G$3:G$111,MATCH($B12,'Nov 23-29'!$B$3:$B$111,0))</f>
        <v>4</v>
      </c>
      <c r="I12" s="15">
        <f t="array" ref="I12">INDEX('Nov 30 - Dec 6'!I$2:I$111,MATCH($B12,'Nov 30 - Dec 6'!$B$2:$B$111,0))-INDEX('Nov 23-29'!H$3:H$111,MATCH($B12,'Nov 23-29'!$B$3:$B$111,0))</f>
        <v>0</v>
      </c>
      <c r="J12" s="15">
        <f t="array" ref="J12">INDEX('Nov 30 - Dec 6'!J$2:J$111,MATCH($B12,'Nov 30 - Dec 6'!$B$2:$B$111,0))-INDEX('Nov 23-29'!I$3:I$111,MATCH($B12,'Nov 23-29'!$B$3:$B$111,0))</f>
        <v>0</v>
      </c>
      <c r="K12" s="15">
        <f t="array" ref="K12">INDEX('Nov 30 - Dec 6'!K$2:K$111,MATCH($B12,'Nov 30 - Dec 6'!$B$2:$B$111,0))-INDEX('Nov 23-29'!J$3:J$111,MATCH($B12,'Nov 23-29'!$B$3:$B$111,0))</f>
        <v>0</v>
      </c>
    </row>
    <row r="13" spans="2:11">
      <c r="B13" s="13" t="s">
        <v>118</v>
      </c>
      <c r="C13" s="14" t="s">
        <v>142</v>
      </c>
      <c r="D13" s="14"/>
      <c r="E13" s="15">
        <f t="array" ref="E13">INDEX('Nov 30 - Dec 6'!E$2:E$111,MATCH($B13,'Nov 30 - Dec 6'!$B$2:$B$111,0))-INDEX('Nov 23-29'!D$3:D$111,MATCH($B13,'Nov 23-29'!$B$3:$B$111,0))</f>
        <v>2</v>
      </c>
      <c r="F13" s="15">
        <f t="array" ref="F13">INDEX('Nov 30 - Dec 6'!F$2:F$111,MATCH($B13,'Nov 30 - Dec 6'!$B$2:$B$111,0))-INDEX('Nov 23-29'!E$3:E$111,MATCH($B13,'Nov 23-29'!$B$3:$B$111,0))</f>
        <v>1</v>
      </c>
      <c r="G13" s="15">
        <f t="array" ref="G13">INDEX('Nov 30 - Dec 6'!G$2:G$111,MATCH($B13,'Nov 30 - Dec 6'!$B$2:$B$111,0))-INDEX('Nov 23-29'!F$3:F$111,MATCH($B13,'Nov 23-29'!$B$3:$B$111,0))</f>
        <v>0</v>
      </c>
      <c r="H13" s="15">
        <f t="array" ref="H13">INDEX('Nov 30 - Dec 6'!H$2:H$111,MATCH($B13,'Nov 30 - Dec 6'!$B$2:$B$111,0))-INDEX('Nov 23-29'!G$3:G$111,MATCH($B13,'Nov 23-29'!$B$3:$B$111,0))</f>
        <v>0</v>
      </c>
      <c r="I13" s="15">
        <f t="array" ref="I13">INDEX('Nov 30 - Dec 6'!I$2:I$111,MATCH($B13,'Nov 30 - Dec 6'!$B$2:$B$111,0))-INDEX('Nov 23-29'!H$3:H$111,MATCH($B13,'Nov 23-29'!$B$3:$B$111,0))</f>
        <v>0</v>
      </c>
      <c r="J13" s="15">
        <f t="array" ref="J13">INDEX('Nov 30 - Dec 6'!J$2:J$111,MATCH($B13,'Nov 30 - Dec 6'!$B$2:$B$111,0))-INDEX('Nov 23-29'!I$3:I$111,MATCH($B13,'Nov 23-29'!$B$3:$B$111,0))</f>
        <v>0</v>
      </c>
      <c r="K13" s="15">
        <f t="array" ref="K13">INDEX('Nov 30 - Dec 6'!K$2:K$111,MATCH($B13,'Nov 30 - Dec 6'!$B$2:$B$111,0))-INDEX('Nov 23-29'!J$3:J$111,MATCH($B13,'Nov 23-29'!$B$3:$B$111,0))</f>
        <v>0</v>
      </c>
    </row>
    <row r="14" spans="2:11">
      <c r="B14" s="13" t="s">
        <v>25</v>
      </c>
      <c r="C14" s="14" t="s">
        <v>147</v>
      </c>
      <c r="D14" s="15"/>
      <c r="E14" s="15">
        <f t="array" ref="E14">INDEX('Nov 30 - Dec 6'!E$2:E$111,MATCH($B14,'Nov 30 - Dec 6'!$B$2:$B$111,0))-INDEX('Nov 23-29'!D$3:D$111,MATCH($B14,'Nov 23-29'!$B$3:$B$111,0))</f>
        <v>24</v>
      </c>
      <c r="F14" s="15">
        <f t="array" ref="F14">INDEX('Nov 30 - Dec 6'!F$2:F$111,MATCH($B14,'Nov 30 - Dec 6'!$B$2:$B$111,0))-INDEX('Nov 23-29'!E$3:E$111,MATCH($B14,'Nov 23-29'!$B$3:$B$111,0))</f>
        <v>-2</v>
      </c>
      <c r="G14" s="15">
        <f t="array" ref="G14">INDEX('Nov 30 - Dec 6'!G$2:G$111,MATCH($B14,'Nov 30 - Dec 6'!$B$2:$B$111,0))-INDEX('Nov 23-29'!F$3:F$111,MATCH($B14,'Nov 23-29'!$B$3:$B$111,0))</f>
        <v>-2</v>
      </c>
      <c r="H14" s="15">
        <f t="array" ref="H14">INDEX('Nov 30 - Dec 6'!H$2:H$111,MATCH($B14,'Nov 30 - Dec 6'!$B$2:$B$111,0))-INDEX('Nov 23-29'!G$3:G$111,MATCH($B14,'Nov 23-29'!$B$3:$B$111,0))</f>
        <v>0</v>
      </c>
      <c r="I14" s="15">
        <f t="array" ref="I14">INDEX('Nov 30 - Dec 6'!I$2:I$111,MATCH($B14,'Nov 30 - Dec 6'!$B$2:$B$111,0))-INDEX('Nov 23-29'!H$3:H$111,MATCH($B14,'Nov 23-29'!$B$3:$B$111,0))</f>
        <v>0</v>
      </c>
      <c r="J14" s="15">
        <f t="array" ref="J14">INDEX('Nov 30 - Dec 6'!J$2:J$111,MATCH($B14,'Nov 30 - Dec 6'!$B$2:$B$111,0))-INDEX('Nov 23-29'!I$3:I$111,MATCH($B14,'Nov 23-29'!$B$3:$B$111,0))</f>
        <v>0</v>
      </c>
      <c r="K14" s="15">
        <f t="array" ref="K14">INDEX('Nov 30 - Dec 6'!K$2:K$111,MATCH($B14,'Nov 30 - Dec 6'!$B$2:$B$111,0))-INDEX('Nov 23-29'!J$3:J$111,MATCH($B14,'Nov 23-29'!$B$3:$B$111,0))</f>
        <v>0</v>
      </c>
    </row>
    <row r="15" spans="2:11">
      <c r="B15" s="13" t="s">
        <v>38</v>
      </c>
      <c r="C15" s="14" t="s">
        <v>147</v>
      </c>
      <c r="D15" s="15"/>
      <c r="E15" s="15">
        <f t="array" ref="E15">INDEX('Nov 30 - Dec 6'!E$2:E$111,MATCH($B15,'Nov 30 - Dec 6'!$B$2:$B$111,0))-INDEX('Nov 23-29'!D$3:D$111,MATCH($B15,'Nov 23-29'!$B$3:$B$111,0))</f>
        <v>10</v>
      </c>
      <c r="F15" s="15">
        <f t="array" ref="F15">INDEX('Nov 30 - Dec 6'!F$2:F$111,MATCH($B15,'Nov 30 - Dec 6'!$B$2:$B$111,0))-INDEX('Nov 23-29'!E$3:E$111,MATCH($B15,'Nov 23-29'!$B$3:$B$111,0))</f>
        <v>0</v>
      </c>
      <c r="G15" s="15">
        <f t="array" ref="G15">INDEX('Nov 30 - Dec 6'!G$2:G$111,MATCH($B15,'Nov 30 - Dec 6'!$B$2:$B$111,0))-INDEX('Nov 23-29'!F$3:F$111,MATCH($B15,'Nov 23-29'!$B$3:$B$111,0))</f>
        <v>0</v>
      </c>
      <c r="H15" s="15">
        <f t="array" ref="H15">INDEX('Nov 30 - Dec 6'!H$2:H$111,MATCH($B15,'Nov 30 - Dec 6'!$B$2:$B$111,0))-INDEX('Nov 23-29'!G$3:G$111,MATCH($B15,'Nov 23-29'!$B$3:$B$111,0))</f>
        <v>1</v>
      </c>
      <c r="I15" s="15">
        <f t="array" ref="I15">INDEX('Nov 30 - Dec 6'!I$2:I$111,MATCH($B15,'Nov 30 - Dec 6'!$B$2:$B$111,0))-INDEX('Nov 23-29'!H$3:H$111,MATCH($B15,'Nov 23-29'!$B$3:$B$111,0))</f>
        <v>0</v>
      </c>
      <c r="J15" s="15">
        <f t="array" ref="J15">INDEX('Nov 30 - Dec 6'!J$2:J$111,MATCH($B15,'Nov 30 - Dec 6'!$B$2:$B$111,0))-INDEX('Nov 23-29'!I$3:I$111,MATCH($B15,'Nov 23-29'!$B$3:$B$111,0))</f>
        <v>0</v>
      </c>
      <c r="K15" s="15">
        <f t="array" ref="K15">INDEX('Nov 30 - Dec 6'!K$2:K$111,MATCH($B15,'Nov 30 - Dec 6'!$B$2:$B$111,0))-INDEX('Nov 23-29'!J$3:J$111,MATCH($B15,'Nov 23-29'!$B$3:$B$111,0))</f>
        <v>0</v>
      </c>
    </row>
    <row r="16" spans="2:11">
      <c r="B16" s="13" t="s">
        <v>86</v>
      </c>
      <c r="C16" s="14" t="s">
        <v>147</v>
      </c>
      <c r="D16" s="15"/>
      <c r="E16" s="15">
        <f t="array" ref="E16">INDEX('Nov 30 - Dec 6'!E$2:E$111,MATCH($B16,'Nov 30 - Dec 6'!$B$2:$B$111,0))-INDEX('Nov 23-29'!D$3:D$111,MATCH($B16,'Nov 23-29'!$B$3:$B$111,0))</f>
        <v>24</v>
      </c>
      <c r="F16" s="15">
        <f t="array" ref="F16">INDEX('Nov 30 - Dec 6'!F$2:F$111,MATCH($B16,'Nov 30 - Dec 6'!$B$2:$B$111,0))-INDEX('Nov 23-29'!E$3:E$111,MATCH($B16,'Nov 23-29'!$B$3:$B$111,0))</f>
        <v>17</v>
      </c>
      <c r="G16" s="15">
        <f t="array" ref="G16">INDEX('Nov 30 - Dec 6'!G$2:G$111,MATCH($B16,'Nov 30 - Dec 6'!$B$2:$B$111,0))-INDEX('Nov 23-29'!F$3:F$111,MATCH($B16,'Nov 23-29'!$B$3:$B$111,0))</f>
        <v>1</v>
      </c>
      <c r="H16" s="15">
        <f t="array" ref="H16">INDEX('Nov 30 - Dec 6'!H$2:H$111,MATCH($B16,'Nov 30 - Dec 6'!$B$2:$B$111,0))-INDEX('Nov 23-29'!G$3:G$111,MATCH($B16,'Nov 23-29'!$B$3:$B$111,0))</f>
        <v>2</v>
      </c>
      <c r="I16" s="15">
        <f t="array" ref="I16">INDEX('Nov 30 - Dec 6'!I$2:I$111,MATCH($B16,'Nov 30 - Dec 6'!$B$2:$B$111,0))-INDEX('Nov 23-29'!H$3:H$111,MATCH($B16,'Nov 23-29'!$B$3:$B$111,0))</f>
        <v>0</v>
      </c>
      <c r="J16" s="15">
        <f t="array" ref="J16">INDEX('Nov 30 - Dec 6'!J$2:J$111,MATCH($B16,'Nov 30 - Dec 6'!$B$2:$B$111,0))-INDEX('Nov 23-29'!I$3:I$111,MATCH($B16,'Nov 23-29'!$B$3:$B$111,0))</f>
        <v>0</v>
      </c>
      <c r="K16" s="15">
        <f t="array" ref="K16">INDEX('Nov 30 - Dec 6'!K$2:K$111,MATCH($B16,'Nov 30 - Dec 6'!$B$2:$B$111,0))-INDEX('Nov 23-29'!J$3:J$111,MATCH($B16,'Nov 23-29'!$B$3:$B$111,0))</f>
        <v>0</v>
      </c>
    </row>
    <row r="17" spans="2:11">
      <c r="B17" s="13" t="s">
        <v>78</v>
      </c>
      <c r="C17" s="14" t="s">
        <v>147</v>
      </c>
      <c r="D17" s="15"/>
      <c r="E17" s="15">
        <f t="array" ref="E17">INDEX('Nov 30 - Dec 6'!E$2:E$111,MATCH($B17,'Nov 30 - Dec 6'!$B$2:$B$111,0))-INDEX('Nov 23-29'!D$3:D$111,MATCH($B17,'Nov 23-29'!$B$3:$B$111,0))</f>
        <v>30</v>
      </c>
      <c r="F17" s="15">
        <f t="array" ref="F17">INDEX('Nov 30 - Dec 6'!F$2:F$111,MATCH($B17,'Nov 30 - Dec 6'!$B$2:$B$111,0))-INDEX('Nov 23-29'!E$3:E$111,MATCH($B17,'Nov 23-29'!$B$3:$B$111,0))</f>
        <v>2</v>
      </c>
      <c r="G17" s="15">
        <f t="array" ref="G17">INDEX('Nov 30 - Dec 6'!G$2:G$111,MATCH($B17,'Nov 30 - Dec 6'!$B$2:$B$111,0))-INDEX('Nov 23-29'!F$3:F$111,MATCH($B17,'Nov 23-29'!$B$3:$B$111,0))</f>
        <v>0</v>
      </c>
      <c r="H17" s="15">
        <f t="array" ref="H17">INDEX('Nov 30 - Dec 6'!H$2:H$111,MATCH($B17,'Nov 30 - Dec 6'!$B$2:$B$111,0))-INDEX('Nov 23-29'!G$3:G$111,MATCH($B17,'Nov 23-29'!$B$3:$B$111,0))</f>
        <v>1</v>
      </c>
      <c r="I17" s="15">
        <f t="array" ref="I17">INDEX('Nov 30 - Dec 6'!I$2:I$111,MATCH($B17,'Nov 30 - Dec 6'!$B$2:$B$111,0))-INDEX('Nov 23-29'!H$3:H$111,MATCH($B17,'Nov 23-29'!$B$3:$B$111,0))</f>
        <v>0</v>
      </c>
      <c r="J17" s="15">
        <f t="array" ref="J17">INDEX('Nov 30 - Dec 6'!J$2:J$111,MATCH($B17,'Nov 30 - Dec 6'!$B$2:$B$111,0))-INDEX('Nov 23-29'!I$3:I$111,MATCH($B17,'Nov 23-29'!$B$3:$B$111,0))</f>
        <v>0</v>
      </c>
      <c r="K17" s="15">
        <f t="array" ref="K17">INDEX('Nov 30 - Dec 6'!K$2:K$111,MATCH($B17,'Nov 30 - Dec 6'!$B$2:$B$111,0))-INDEX('Nov 23-29'!J$3:J$111,MATCH($B17,'Nov 23-29'!$B$3:$B$111,0))</f>
        <v>0</v>
      </c>
    </row>
    <row r="18" spans="2:11">
      <c r="B18" s="13" t="s">
        <v>105</v>
      </c>
      <c r="C18" s="14" t="s">
        <v>142</v>
      </c>
      <c r="D18" s="14"/>
      <c r="E18" s="15">
        <f t="array" ref="E18">INDEX('Nov 30 - Dec 6'!E$2:E$111,MATCH($B18,'Nov 30 - Dec 6'!$B$2:$B$111,0))-INDEX('Nov 23-29'!D$3:D$111,MATCH($B18,'Nov 23-29'!$B$3:$B$111,0))</f>
        <v>4</v>
      </c>
      <c r="F18" s="15">
        <f t="array" ref="F18">INDEX('Nov 30 - Dec 6'!F$2:F$111,MATCH($B18,'Nov 30 - Dec 6'!$B$2:$B$111,0))-INDEX('Nov 23-29'!E$3:E$111,MATCH($B18,'Nov 23-29'!$B$3:$B$111,0))</f>
        <v>0</v>
      </c>
      <c r="G18" s="15">
        <f t="array" ref="G18">INDEX('Nov 30 - Dec 6'!G$2:G$111,MATCH($B18,'Nov 30 - Dec 6'!$B$2:$B$111,0))-INDEX('Nov 23-29'!F$3:F$111,MATCH($B18,'Nov 23-29'!$B$3:$B$111,0))</f>
        <v>0</v>
      </c>
      <c r="H18" s="15">
        <f t="array" ref="H18">INDEX('Nov 30 - Dec 6'!H$2:H$111,MATCH($B18,'Nov 30 - Dec 6'!$B$2:$B$111,0))-INDEX('Nov 23-29'!G$3:G$111,MATCH($B18,'Nov 23-29'!$B$3:$B$111,0))</f>
        <v>0</v>
      </c>
      <c r="I18" s="15">
        <f t="array" ref="I18">INDEX('Nov 30 - Dec 6'!I$2:I$111,MATCH($B18,'Nov 30 - Dec 6'!$B$2:$B$111,0))-INDEX('Nov 23-29'!H$3:H$111,MATCH($B18,'Nov 23-29'!$B$3:$B$111,0))</f>
        <v>0</v>
      </c>
      <c r="J18" s="15">
        <f t="array" ref="J18">INDEX('Nov 30 - Dec 6'!J$2:J$111,MATCH($B18,'Nov 30 - Dec 6'!$B$2:$B$111,0))-INDEX('Nov 23-29'!I$3:I$111,MATCH($B18,'Nov 23-29'!$B$3:$B$111,0))</f>
        <v>0</v>
      </c>
      <c r="K18" s="15">
        <f t="array" ref="K18">INDEX('Nov 30 - Dec 6'!K$2:K$111,MATCH($B18,'Nov 30 - Dec 6'!$B$2:$B$111,0))-INDEX('Nov 23-29'!J$3:J$111,MATCH($B18,'Nov 23-29'!$B$3:$B$111,0))</f>
        <v>0</v>
      </c>
    </row>
    <row r="19" spans="2:11">
      <c r="B19" s="13" t="s">
        <v>19</v>
      </c>
      <c r="C19" s="14" t="s">
        <v>147</v>
      </c>
      <c r="D19" s="15"/>
      <c r="E19" s="15">
        <f t="array" ref="E19">INDEX('Nov 30 - Dec 6'!E$2:E$111,MATCH($B19,'Nov 30 - Dec 6'!$B$2:$B$111,0))-INDEX('Nov 23-29'!D$3:D$111,MATCH($B19,'Nov 23-29'!$B$3:$B$111,0))</f>
        <v>8</v>
      </c>
      <c r="F19" s="15">
        <f t="array" ref="F19">INDEX('Nov 30 - Dec 6'!F$2:F$111,MATCH($B19,'Nov 30 - Dec 6'!$B$2:$B$111,0))-INDEX('Nov 23-29'!E$3:E$111,MATCH($B19,'Nov 23-29'!$B$3:$B$111,0))</f>
        <v>13</v>
      </c>
      <c r="G19" s="15">
        <f t="array" ref="G19">INDEX('Nov 30 - Dec 6'!G$2:G$111,MATCH($B19,'Nov 30 - Dec 6'!$B$2:$B$111,0))-INDEX('Nov 23-29'!F$3:F$111,MATCH($B19,'Nov 23-29'!$B$3:$B$111,0))</f>
        <v>2</v>
      </c>
      <c r="H19" s="15">
        <f t="array" ref="H19">INDEX('Nov 30 - Dec 6'!H$2:H$111,MATCH($B19,'Nov 30 - Dec 6'!$B$2:$B$111,0))-INDEX('Nov 23-29'!G$3:G$111,MATCH($B19,'Nov 23-29'!$B$3:$B$111,0))</f>
        <v>1</v>
      </c>
      <c r="I19" s="15">
        <f t="array" ref="I19">INDEX('Nov 30 - Dec 6'!I$2:I$111,MATCH($B19,'Nov 30 - Dec 6'!$B$2:$B$111,0))-INDEX('Nov 23-29'!H$3:H$111,MATCH($B19,'Nov 23-29'!$B$3:$B$111,0))</f>
        <v>0</v>
      </c>
      <c r="J19" s="15">
        <f t="array" ref="J19">INDEX('Nov 30 - Dec 6'!J$2:J$111,MATCH($B19,'Nov 30 - Dec 6'!$B$2:$B$111,0))-INDEX('Nov 23-29'!I$3:I$111,MATCH($B19,'Nov 23-29'!$B$3:$B$111,0))</f>
        <v>0</v>
      </c>
      <c r="K19" s="15">
        <f t="array" ref="K19">INDEX('Nov 30 - Dec 6'!K$2:K$111,MATCH($B19,'Nov 30 - Dec 6'!$B$2:$B$111,0))-INDEX('Nov 23-29'!J$3:J$111,MATCH($B19,'Nov 23-29'!$B$3:$B$111,0))</f>
        <v>0</v>
      </c>
    </row>
    <row r="20" spans="2:11" ht="12.75">
      <c r="B20" s="13" t="s">
        <v>114</v>
      </c>
      <c r="C20" s="14" t="s">
        <v>142</v>
      </c>
      <c r="D20" s="14"/>
      <c r="E20" s="15">
        <f t="array" ref="E20">INDEX('Nov 30 - Dec 6'!E$2:E$111,MATCH($B20,'Nov 30 - Dec 6'!$B$2:$B$111,0))-INDEX('Nov 23-29'!D$3:D$111,MATCH($B20,'Nov 23-29'!$B$3:$B$111,0))</f>
        <v>0</v>
      </c>
      <c r="F20" s="15">
        <f t="array" ref="F20">INDEX('Nov 30 - Dec 6'!F$2:F$111,MATCH($B20,'Nov 30 - Dec 6'!$B$2:$B$111,0))-INDEX('Nov 23-29'!E$3:E$111,MATCH($B20,'Nov 23-29'!$B$3:$B$111,0))</f>
        <v>0</v>
      </c>
      <c r="G20" s="15">
        <f t="array" ref="G20">INDEX('Nov 30 - Dec 6'!G$2:G$111,MATCH($B20,'Nov 30 - Dec 6'!$B$2:$B$111,0))-INDEX('Nov 23-29'!F$3:F$111,MATCH($B20,'Nov 23-29'!$B$3:$B$111,0))</f>
        <v>0</v>
      </c>
      <c r="H20" s="15">
        <f t="array" ref="H20">INDEX('Nov 30 - Dec 6'!H$2:H$111,MATCH($B20,'Nov 30 - Dec 6'!$B$2:$B$111,0))-INDEX('Nov 23-29'!G$3:G$111,MATCH($B20,'Nov 23-29'!$B$3:$B$111,0))</f>
        <v>0</v>
      </c>
      <c r="I20" s="15">
        <f t="array" ref="I20">INDEX('Nov 30 - Dec 6'!I$2:I$111,MATCH($B20,'Nov 30 - Dec 6'!$B$2:$B$111,0))-INDEX('Nov 23-29'!H$3:H$111,MATCH($B20,'Nov 23-29'!$B$3:$B$111,0))</f>
        <v>0</v>
      </c>
      <c r="J20" s="15">
        <f t="array" ref="J20">INDEX('Nov 30 - Dec 6'!J$2:J$111,MATCH($B20,'Nov 30 - Dec 6'!$B$2:$B$111,0))-INDEX('Nov 23-29'!I$3:I$111,MATCH($B20,'Nov 23-29'!$B$3:$B$111,0))</f>
        <v>0</v>
      </c>
      <c r="K20" s="15">
        <f t="array" ref="K20">INDEX('Nov 30 - Dec 6'!K$2:K$111,MATCH($B20,'Nov 30 - Dec 6'!$B$2:$B$111,0))-INDEX('Nov 23-29'!J$3:J$111,MATCH($B20,'Nov 23-29'!$B$3:$B$111,0))</f>
        <v>0</v>
      </c>
    </row>
    <row r="21" spans="2:11" ht="12.75">
      <c r="B21" s="13" t="s">
        <v>58</v>
      </c>
      <c r="C21" s="14" t="s">
        <v>147</v>
      </c>
      <c r="D21" s="15"/>
      <c r="E21" s="15">
        <f t="array" ref="E21">INDEX('Nov 30 - Dec 6'!E$2:E$111,MATCH($B21,'Nov 30 - Dec 6'!$B$2:$B$111,0))-INDEX('Nov 23-29'!D$3:D$111,MATCH($B21,'Nov 23-29'!$B$3:$B$111,0))</f>
        <v>-5</v>
      </c>
      <c r="F21" s="15">
        <f t="array" ref="F21">INDEX('Nov 30 - Dec 6'!F$2:F$111,MATCH($B21,'Nov 30 - Dec 6'!$B$2:$B$111,0))-INDEX('Nov 23-29'!E$3:E$111,MATCH($B21,'Nov 23-29'!$B$3:$B$111,0))</f>
        <v>0</v>
      </c>
      <c r="G21" s="15">
        <f t="array" ref="G21">INDEX('Nov 30 - Dec 6'!G$2:G$111,MATCH($B21,'Nov 30 - Dec 6'!$B$2:$B$111,0))-INDEX('Nov 23-29'!F$3:F$111,MATCH($B21,'Nov 23-29'!$B$3:$B$111,0))</f>
        <v>2</v>
      </c>
      <c r="H21" s="15">
        <f t="array" ref="H21">INDEX('Nov 30 - Dec 6'!H$2:H$111,MATCH($B21,'Nov 30 - Dec 6'!$B$2:$B$111,0))-INDEX('Nov 23-29'!G$3:G$111,MATCH($B21,'Nov 23-29'!$B$3:$B$111,0))</f>
        <v>1</v>
      </c>
      <c r="I21" s="15">
        <f t="array" ref="I21">INDEX('Nov 30 - Dec 6'!I$2:I$111,MATCH($B21,'Nov 30 - Dec 6'!$B$2:$B$111,0))-INDEX('Nov 23-29'!H$3:H$111,MATCH($B21,'Nov 23-29'!$B$3:$B$111,0))</f>
        <v>-1</v>
      </c>
      <c r="J21" s="15">
        <f t="array" ref="J21">INDEX('Nov 30 - Dec 6'!J$2:J$111,MATCH($B21,'Nov 30 - Dec 6'!$B$2:$B$111,0))-INDEX('Nov 23-29'!I$3:I$111,MATCH($B21,'Nov 23-29'!$B$3:$B$111,0))</f>
        <v>0</v>
      </c>
      <c r="K21" s="15">
        <f t="array" ref="K21">INDEX('Nov 30 - Dec 6'!K$2:K$111,MATCH($B21,'Nov 30 - Dec 6'!$B$2:$B$111,0))-INDEX('Nov 23-29'!J$3:J$111,MATCH($B21,'Nov 23-29'!$B$3:$B$111,0))</f>
        <v>1</v>
      </c>
    </row>
    <row r="22" spans="2:11" ht="12.75">
      <c r="B22" s="13" t="s">
        <v>80</v>
      </c>
      <c r="C22" s="14" t="s">
        <v>147</v>
      </c>
      <c r="D22" s="15"/>
      <c r="E22" s="15">
        <f t="array" ref="E22">INDEX('Nov 30 - Dec 6'!E$2:E$111,MATCH($B22,'Nov 30 - Dec 6'!$B$2:$B$111,0))-INDEX('Nov 23-29'!D$3:D$111,MATCH($B22,'Nov 23-29'!$B$3:$B$111,0))</f>
        <v>-3</v>
      </c>
      <c r="F22" s="15">
        <f t="array" ref="F22">INDEX('Nov 30 - Dec 6'!F$2:F$111,MATCH($B22,'Nov 30 - Dec 6'!$B$2:$B$111,0))-INDEX('Nov 23-29'!E$3:E$111,MATCH($B22,'Nov 23-29'!$B$3:$B$111,0))</f>
        <v>-1</v>
      </c>
      <c r="G22" s="15">
        <f t="array" ref="G22">INDEX('Nov 30 - Dec 6'!G$2:G$111,MATCH($B22,'Nov 30 - Dec 6'!$B$2:$B$111,0))-INDEX('Nov 23-29'!F$3:F$111,MATCH($B22,'Nov 23-29'!$B$3:$B$111,0))</f>
        <v>-1</v>
      </c>
      <c r="H22" s="15">
        <f t="array" ref="H22">INDEX('Nov 30 - Dec 6'!H$2:H$111,MATCH($B22,'Nov 30 - Dec 6'!$B$2:$B$111,0))-INDEX('Nov 23-29'!G$3:G$111,MATCH($B22,'Nov 23-29'!$B$3:$B$111,0))</f>
        <v>1</v>
      </c>
      <c r="I22" s="15">
        <f t="array" ref="I22">INDEX('Nov 30 - Dec 6'!I$2:I$111,MATCH($B22,'Nov 30 - Dec 6'!$B$2:$B$111,0))-INDEX('Nov 23-29'!H$3:H$111,MATCH($B22,'Nov 23-29'!$B$3:$B$111,0))</f>
        <v>2</v>
      </c>
      <c r="J22" s="15">
        <f t="array" ref="J22">INDEX('Nov 30 - Dec 6'!J$2:J$111,MATCH($B22,'Nov 30 - Dec 6'!$B$2:$B$111,0))-INDEX('Nov 23-29'!I$3:I$111,MATCH($B22,'Nov 23-29'!$B$3:$B$111,0))</f>
        <v>3</v>
      </c>
      <c r="K22" s="15">
        <f t="array" ref="K22">INDEX('Nov 30 - Dec 6'!K$2:K$111,MATCH($B22,'Nov 30 - Dec 6'!$B$2:$B$111,0))-INDEX('Nov 23-29'!J$3:J$111,MATCH($B22,'Nov 23-29'!$B$3:$B$111,0))</f>
        <v>3</v>
      </c>
    </row>
    <row r="23" spans="2:11" ht="12.75">
      <c r="B23" s="13" t="s">
        <v>96</v>
      </c>
      <c r="C23" s="14" t="s">
        <v>147</v>
      </c>
      <c r="D23" s="15"/>
      <c r="E23" s="15">
        <f t="array" ref="E23">INDEX('Nov 30 - Dec 6'!E$2:E$111,MATCH($B23,'Nov 30 - Dec 6'!$B$2:$B$111,0))-INDEX('Nov 23-29'!D$3:D$111,MATCH($B23,'Nov 23-29'!$B$3:$B$111,0))</f>
        <v>17</v>
      </c>
      <c r="F23" s="15">
        <f t="array" ref="F23">INDEX('Nov 30 - Dec 6'!F$2:F$111,MATCH($B23,'Nov 30 - Dec 6'!$B$2:$B$111,0))-INDEX('Nov 23-29'!E$3:E$111,MATCH($B23,'Nov 23-29'!$B$3:$B$111,0))</f>
        <v>11</v>
      </c>
      <c r="G23" s="15">
        <f t="array" ref="G23">INDEX('Nov 30 - Dec 6'!G$2:G$111,MATCH($B23,'Nov 30 - Dec 6'!$B$2:$B$111,0))-INDEX('Nov 23-29'!F$3:F$111,MATCH($B23,'Nov 23-29'!$B$3:$B$111,0))</f>
        <v>0</v>
      </c>
      <c r="H23" s="15">
        <f t="array" ref="H23">INDEX('Nov 30 - Dec 6'!H$2:H$111,MATCH($B23,'Nov 30 - Dec 6'!$B$2:$B$111,0))-INDEX('Nov 23-29'!G$3:G$111,MATCH($B23,'Nov 23-29'!$B$3:$B$111,0))</f>
        <v>0</v>
      </c>
      <c r="I23" s="15">
        <f t="array" ref="I23">INDEX('Nov 30 - Dec 6'!I$2:I$111,MATCH($B23,'Nov 30 - Dec 6'!$B$2:$B$111,0))-INDEX('Nov 23-29'!H$3:H$111,MATCH($B23,'Nov 23-29'!$B$3:$B$111,0))</f>
        <v>0</v>
      </c>
      <c r="J23" s="15">
        <f t="array" ref="J23">INDEX('Nov 30 - Dec 6'!J$2:J$111,MATCH($B23,'Nov 30 - Dec 6'!$B$2:$B$111,0))-INDEX('Nov 23-29'!I$3:I$111,MATCH($B23,'Nov 23-29'!$B$3:$B$111,0))</f>
        <v>0</v>
      </c>
      <c r="K23" s="15">
        <f t="array" ref="K23">INDEX('Nov 30 - Dec 6'!K$2:K$111,MATCH($B23,'Nov 30 - Dec 6'!$B$2:$B$111,0))-INDEX('Nov 23-29'!J$3:J$111,MATCH($B23,'Nov 23-29'!$B$3:$B$111,0))</f>
        <v>0</v>
      </c>
    </row>
    <row r="24" spans="2:11" ht="12.75">
      <c r="B24" s="13" t="s">
        <v>89</v>
      </c>
      <c r="C24" s="14" t="s">
        <v>147</v>
      </c>
      <c r="D24" s="15"/>
      <c r="E24" s="15">
        <f t="array" ref="E24">INDEX('Nov 30 - Dec 6'!E$2:E$111,MATCH($B24,'Nov 30 - Dec 6'!$B$2:$B$111,0))-INDEX('Nov 23-29'!D$3:D$111,MATCH($B24,'Nov 23-29'!$B$3:$B$111,0))</f>
        <v>13</v>
      </c>
      <c r="F24" s="15">
        <f t="array" ref="F24">INDEX('Nov 30 - Dec 6'!F$2:F$111,MATCH($B24,'Nov 30 - Dec 6'!$B$2:$B$111,0))-INDEX('Nov 23-29'!E$3:E$111,MATCH($B24,'Nov 23-29'!$B$3:$B$111,0))</f>
        <v>8</v>
      </c>
      <c r="G24" s="15">
        <f t="array" ref="G24">INDEX('Nov 30 - Dec 6'!G$2:G$111,MATCH($B24,'Nov 30 - Dec 6'!$B$2:$B$111,0))-INDEX('Nov 23-29'!F$3:F$111,MATCH($B24,'Nov 23-29'!$B$3:$B$111,0))</f>
        <v>1</v>
      </c>
      <c r="H24" s="15">
        <f t="array" ref="H24">INDEX('Nov 30 - Dec 6'!H$2:H$111,MATCH($B24,'Nov 30 - Dec 6'!$B$2:$B$111,0))-INDEX('Nov 23-29'!G$3:G$111,MATCH($B24,'Nov 23-29'!$B$3:$B$111,0))</f>
        <v>0</v>
      </c>
      <c r="I24" s="15">
        <f t="array" ref="I24">INDEX('Nov 30 - Dec 6'!I$2:I$111,MATCH($B24,'Nov 30 - Dec 6'!$B$2:$B$111,0))-INDEX('Nov 23-29'!H$3:H$111,MATCH($B24,'Nov 23-29'!$B$3:$B$111,0))</f>
        <v>0</v>
      </c>
      <c r="J24" s="15">
        <f t="array" ref="J24">INDEX('Nov 30 - Dec 6'!J$2:J$111,MATCH($B24,'Nov 30 - Dec 6'!$B$2:$B$111,0))-INDEX('Nov 23-29'!I$3:I$111,MATCH($B24,'Nov 23-29'!$B$3:$B$111,0))</f>
        <v>0</v>
      </c>
      <c r="K24" s="15">
        <f t="array" ref="K24">INDEX('Nov 30 - Dec 6'!K$2:K$111,MATCH($B24,'Nov 30 - Dec 6'!$B$2:$B$111,0))-INDEX('Nov 23-29'!J$3:J$111,MATCH($B24,'Nov 23-29'!$B$3:$B$111,0))</f>
        <v>0</v>
      </c>
    </row>
    <row r="25" spans="2:11" ht="12.75">
      <c r="B25" s="13" t="s">
        <v>17</v>
      </c>
      <c r="C25" s="14" t="s">
        <v>147</v>
      </c>
      <c r="D25" s="15"/>
      <c r="E25" s="15">
        <f t="array" ref="E25">INDEX('Nov 30 - Dec 6'!E$2:E$111,MATCH($B25,'Nov 30 - Dec 6'!$B$2:$B$111,0))-INDEX('Nov 23-29'!D$3:D$111,MATCH($B25,'Nov 23-29'!$B$3:$B$111,0))</f>
        <v>7</v>
      </c>
      <c r="F25" s="15">
        <f t="array" ref="F25">INDEX('Nov 30 - Dec 6'!F$2:F$111,MATCH($B25,'Nov 30 - Dec 6'!$B$2:$B$111,0))-INDEX('Nov 23-29'!E$3:E$111,MATCH($B25,'Nov 23-29'!$B$3:$B$111,0))</f>
        <v>2</v>
      </c>
      <c r="G25" s="15">
        <f t="array" ref="G25">INDEX('Nov 30 - Dec 6'!G$2:G$111,MATCH($B25,'Nov 30 - Dec 6'!$B$2:$B$111,0))-INDEX('Nov 23-29'!F$3:F$111,MATCH($B25,'Nov 23-29'!$B$3:$B$111,0))</f>
        <v>0</v>
      </c>
      <c r="H25" s="15">
        <f t="array" ref="H25">INDEX('Nov 30 - Dec 6'!H$2:H$111,MATCH($B25,'Nov 30 - Dec 6'!$B$2:$B$111,0))-INDEX('Nov 23-29'!G$3:G$111,MATCH($B25,'Nov 23-29'!$B$3:$B$111,0))</f>
        <v>0</v>
      </c>
      <c r="I25" s="15">
        <f t="array" ref="I25">INDEX('Nov 30 - Dec 6'!I$2:I$111,MATCH($B25,'Nov 30 - Dec 6'!$B$2:$B$111,0))-INDEX('Nov 23-29'!H$3:H$111,MATCH($B25,'Nov 23-29'!$B$3:$B$111,0))</f>
        <v>0</v>
      </c>
      <c r="J25" s="15">
        <f t="array" ref="J25">INDEX('Nov 30 - Dec 6'!J$2:J$111,MATCH($B25,'Nov 30 - Dec 6'!$B$2:$B$111,0))-INDEX('Nov 23-29'!I$3:I$111,MATCH($B25,'Nov 23-29'!$B$3:$B$111,0))</f>
        <v>0</v>
      </c>
      <c r="K25" s="15">
        <f t="array" ref="K25">INDEX('Nov 30 - Dec 6'!K$2:K$111,MATCH($B25,'Nov 30 - Dec 6'!$B$2:$B$111,0))-INDEX('Nov 23-29'!J$3:J$111,MATCH($B25,'Nov 23-29'!$B$3:$B$111,0))</f>
        <v>0</v>
      </c>
    </row>
    <row r="26" spans="2:11" ht="12.75">
      <c r="B26" s="13" t="s">
        <v>97</v>
      </c>
      <c r="C26" s="14" t="s">
        <v>147</v>
      </c>
      <c r="D26" s="15"/>
      <c r="E26" s="15">
        <f t="array" ref="E26">INDEX('Nov 30 - Dec 6'!E$2:E$111,MATCH($B26,'Nov 30 - Dec 6'!$B$2:$B$111,0))-INDEX('Nov 23-29'!D$3:D$111,MATCH($B26,'Nov 23-29'!$B$3:$B$111,0))</f>
        <v>19</v>
      </c>
      <c r="F26" s="15">
        <f t="array" ref="F26">INDEX('Nov 30 - Dec 6'!F$2:F$111,MATCH($B26,'Nov 30 - Dec 6'!$B$2:$B$111,0))-INDEX('Nov 23-29'!E$3:E$111,MATCH($B26,'Nov 23-29'!$B$3:$B$111,0))</f>
        <v>-1</v>
      </c>
      <c r="G26" s="15">
        <f t="array" ref="G26">INDEX('Nov 30 - Dec 6'!G$2:G$111,MATCH($B26,'Nov 30 - Dec 6'!$B$2:$B$111,0))-INDEX('Nov 23-29'!F$3:F$111,MATCH($B26,'Nov 23-29'!$B$3:$B$111,0))</f>
        <v>3</v>
      </c>
      <c r="H26" s="15">
        <f t="array" ref="H26">INDEX('Nov 30 - Dec 6'!H$2:H$111,MATCH($B26,'Nov 30 - Dec 6'!$B$2:$B$111,0))-INDEX('Nov 23-29'!G$3:G$111,MATCH($B26,'Nov 23-29'!$B$3:$B$111,0))</f>
        <v>3</v>
      </c>
      <c r="I26" s="15">
        <f t="array" ref="I26">INDEX('Nov 30 - Dec 6'!I$2:I$111,MATCH($B26,'Nov 30 - Dec 6'!$B$2:$B$111,0))-INDEX('Nov 23-29'!H$3:H$111,MATCH($B26,'Nov 23-29'!$B$3:$B$111,0))</f>
        <v>0</v>
      </c>
      <c r="J26" s="15">
        <f t="array" ref="J26">INDEX('Nov 30 - Dec 6'!J$2:J$111,MATCH($B26,'Nov 30 - Dec 6'!$B$2:$B$111,0))-INDEX('Nov 23-29'!I$3:I$111,MATCH($B26,'Nov 23-29'!$B$3:$B$111,0))</f>
        <v>0</v>
      </c>
      <c r="K26" s="15">
        <f t="array" ref="K26">INDEX('Nov 30 - Dec 6'!K$2:K$111,MATCH($B26,'Nov 30 - Dec 6'!$B$2:$B$111,0))-INDEX('Nov 23-29'!J$3:J$111,MATCH($B26,'Nov 23-29'!$B$3:$B$111,0))</f>
        <v>0</v>
      </c>
    </row>
    <row r="27" spans="2:11" ht="12.75">
      <c r="B27" s="13" t="s">
        <v>122</v>
      </c>
      <c r="C27" s="15" t="s">
        <v>142</v>
      </c>
      <c r="D27" s="15"/>
      <c r="E27" s="15">
        <f t="array" ref="E27">INDEX('Nov 30 - Dec 6'!E$2:E$111,MATCH($B27,'Nov 30 - Dec 6'!$B$2:$B$111,0))-INDEX('Nov 23-29'!D$3:D$111,MATCH($B27,'Nov 23-29'!$B$3:$B$111,0))</f>
        <v>-7</v>
      </c>
      <c r="F27" s="15">
        <f t="array" ref="F27">INDEX('Nov 30 - Dec 6'!F$2:F$111,MATCH($B27,'Nov 30 - Dec 6'!$B$2:$B$111,0))-INDEX('Nov 23-29'!E$3:E$111,MATCH($B27,'Nov 23-29'!$B$3:$B$111,0))</f>
        <v>-8</v>
      </c>
      <c r="G27" s="15">
        <f t="array" ref="G27">INDEX('Nov 30 - Dec 6'!G$2:G$111,MATCH($B27,'Nov 30 - Dec 6'!$B$2:$B$111,0))-INDEX('Nov 23-29'!F$3:F$111,MATCH($B27,'Nov 23-29'!$B$3:$B$111,0))</f>
        <v>0</v>
      </c>
      <c r="H27" s="15">
        <f t="array" ref="H27">INDEX('Nov 30 - Dec 6'!H$2:H$111,MATCH($B27,'Nov 30 - Dec 6'!$B$2:$B$111,0))-INDEX('Nov 23-29'!G$3:G$111,MATCH($B27,'Nov 23-29'!$B$3:$B$111,0))</f>
        <v>0</v>
      </c>
      <c r="I27" s="15">
        <f t="array" ref="I27">INDEX('Nov 30 - Dec 6'!I$2:I$111,MATCH($B27,'Nov 30 - Dec 6'!$B$2:$B$111,0))-INDEX('Nov 23-29'!H$3:H$111,MATCH($B27,'Nov 23-29'!$B$3:$B$111,0))</f>
        <v>0</v>
      </c>
      <c r="J27" s="15">
        <f t="array" ref="J27">INDEX('Nov 30 - Dec 6'!J$2:J$111,MATCH($B27,'Nov 30 - Dec 6'!$B$2:$B$111,0))-INDEX('Nov 23-29'!I$3:I$111,MATCH($B27,'Nov 23-29'!$B$3:$B$111,0))</f>
        <v>0</v>
      </c>
      <c r="K27" s="15">
        <f t="array" ref="K27">INDEX('Nov 30 - Dec 6'!K$2:K$111,MATCH($B27,'Nov 30 - Dec 6'!$B$2:$B$111,0))-INDEX('Nov 23-29'!J$3:J$111,MATCH($B27,'Nov 23-29'!$B$3:$B$111,0))</f>
        <v>0</v>
      </c>
    </row>
    <row r="28" spans="2:11" ht="12.75">
      <c r="B28" s="13" t="s">
        <v>123</v>
      </c>
      <c r="C28" s="14" t="s">
        <v>147</v>
      </c>
      <c r="D28" s="15"/>
      <c r="E28" s="15">
        <f t="array" ref="E28">INDEX('Nov 30 - Dec 6'!E$2:E$111,MATCH($B28,'Nov 30 - Dec 6'!$B$2:$B$111,0))-INDEX('Nov 23-29'!D$3:D$111,MATCH($B28,'Nov 23-29'!$B$3:$B$111,0))</f>
        <v>-17</v>
      </c>
      <c r="F28" s="15">
        <f t="array" ref="F28">INDEX('Nov 30 - Dec 6'!F$2:F$111,MATCH($B28,'Nov 30 - Dec 6'!$B$2:$B$111,0))-INDEX('Nov 23-29'!E$3:E$111,MATCH($B28,'Nov 23-29'!$B$3:$B$111,0))</f>
        <v>-8</v>
      </c>
      <c r="G28" s="15">
        <f t="array" ref="G28">INDEX('Nov 30 - Dec 6'!G$2:G$111,MATCH($B28,'Nov 30 - Dec 6'!$B$2:$B$111,0))-INDEX('Nov 23-29'!F$3:F$111,MATCH($B28,'Nov 23-29'!$B$3:$B$111,0))</f>
        <v>2</v>
      </c>
      <c r="H28" s="15">
        <f t="array" ref="H28">INDEX('Nov 30 - Dec 6'!H$2:H$111,MATCH($B28,'Nov 30 - Dec 6'!$B$2:$B$111,0))-INDEX('Nov 23-29'!G$3:G$111,MATCH($B28,'Nov 23-29'!$B$3:$B$111,0))</f>
        <v>2</v>
      </c>
      <c r="I28" s="15">
        <f t="array" ref="I28">INDEX('Nov 30 - Dec 6'!I$2:I$111,MATCH($B28,'Nov 30 - Dec 6'!$B$2:$B$111,0))-INDEX('Nov 23-29'!H$3:H$111,MATCH($B28,'Nov 23-29'!$B$3:$B$111,0))</f>
        <v>1</v>
      </c>
      <c r="J28" s="15">
        <f t="array" ref="J28">INDEX('Nov 30 - Dec 6'!J$2:J$111,MATCH($B28,'Nov 30 - Dec 6'!$B$2:$B$111,0))-INDEX('Nov 23-29'!I$3:I$111,MATCH($B28,'Nov 23-29'!$B$3:$B$111,0))</f>
        <v>0</v>
      </c>
      <c r="K28" s="15">
        <f t="array" ref="K28">INDEX('Nov 30 - Dec 6'!K$2:K$111,MATCH($B28,'Nov 30 - Dec 6'!$B$2:$B$111,0))-INDEX('Nov 23-29'!J$3:J$111,MATCH($B28,'Nov 23-29'!$B$3:$B$111,0))</f>
        <v>0</v>
      </c>
    </row>
    <row r="29" spans="2:11" ht="12.75">
      <c r="B29" s="13" t="s">
        <v>112</v>
      </c>
      <c r="C29" s="14" t="s">
        <v>147</v>
      </c>
      <c r="D29" s="15"/>
      <c r="E29" s="15">
        <f t="array" ref="E29">INDEX('Nov 30 - Dec 6'!E$2:E$111,MATCH($B29,'Nov 30 - Dec 6'!$B$2:$B$111,0))-INDEX('Nov 23-29'!D$3:D$111,MATCH($B29,'Nov 23-29'!$B$3:$B$111,0))</f>
        <v>3</v>
      </c>
      <c r="F29" s="15">
        <f t="array" ref="F29">INDEX('Nov 30 - Dec 6'!F$2:F$111,MATCH($B29,'Nov 30 - Dec 6'!$B$2:$B$111,0))-INDEX('Nov 23-29'!E$3:E$111,MATCH($B29,'Nov 23-29'!$B$3:$B$111,0))</f>
        <v>0</v>
      </c>
      <c r="G29" s="15">
        <f t="array" ref="G29">INDEX('Nov 30 - Dec 6'!G$2:G$111,MATCH($B29,'Nov 30 - Dec 6'!$B$2:$B$111,0))-INDEX('Nov 23-29'!F$3:F$111,MATCH($B29,'Nov 23-29'!$B$3:$B$111,0))</f>
        <v>-1</v>
      </c>
      <c r="H29" s="15">
        <f t="array" ref="H29">INDEX('Nov 30 - Dec 6'!H$2:H$111,MATCH($B29,'Nov 30 - Dec 6'!$B$2:$B$111,0))-INDEX('Nov 23-29'!G$3:G$111,MATCH($B29,'Nov 23-29'!$B$3:$B$111,0))</f>
        <v>0</v>
      </c>
      <c r="I29" s="15">
        <f t="array" ref="I29">INDEX('Nov 30 - Dec 6'!I$2:I$111,MATCH($B29,'Nov 30 - Dec 6'!$B$2:$B$111,0))-INDEX('Nov 23-29'!H$3:H$111,MATCH($B29,'Nov 23-29'!$B$3:$B$111,0))</f>
        <v>0</v>
      </c>
      <c r="J29" s="15">
        <f t="array" ref="J29">INDEX('Nov 30 - Dec 6'!J$2:J$111,MATCH($B29,'Nov 30 - Dec 6'!$B$2:$B$111,0))-INDEX('Nov 23-29'!I$3:I$111,MATCH($B29,'Nov 23-29'!$B$3:$B$111,0))</f>
        <v>0</v>
      </c>
      <c r="K29" s="15">
        <f t="array" ref="K29">INDEX('Nov 30 - Dec 6'!K$2:K$111,MATCH($B29,'Nov 30 - Dec 6'!$B$2:$B$111,0))-INDEX('Nov 23-29'!J$3:J$111,MATCH($B29,'Nov 23-29'!$B$3:$B$111,0))</f>
        <v>0</v>
      </c>
    </row>
    <row r="30" spans="2:11" ht="12.75">
      <c r="B30" s="13" t="s">
        <v>74</v>
      </c>
      <c r="C30" s="14" t="s">
        <v>147</v>
      </c>
      <c r="D30" s="15"/>
      <c r="E30" s="15">
        <f t="array" ref="E30">INDEX('Nov 30 - Dec 6'!E$2:E$111,MATCH($B30,'Nov 30 - Dec 6'!$B$2:$B$111,0))-INDEX('Nov 23-29'!D$3:D$111,MATCH($B30,'Nov 23-29'!$B$3:$B$111,0))</f>
        <v>-11</v>
      </c>
      <c r="F30" s="15">
        <f t="array" ref="F30">INDEX('Nov 30 - Dec 6'!F$2:F$111,MATCH($B30,'Nov 30 - Dec 6'!$B$2:$B$111,0))-INDEX('Nov 23-29'!E$3:E$111,MATCH($B30,'Nov 23-29'!$B$3:$B$111,0))</f>
        <v>2</v>
      </c>
      <c r="G30" s="15">
        <f t="array" ref="G30">INDEX('Nov 30 - Dec 6'!G$2:G$111,MATCH($B30,'Nov 30 - Dec 6'!$B$2:$B$111,0))-INDEX('Nov 23-29'!F$3:F$111,MATCH($B30,'Nov 23-29'!$B$3:$B$111,0))</f>
        <v>-3</v>
      </c>
      <c r="H30" s="15">
        <f t="array" ref="H30">INDEX('Nov 30 - Dec 6'!H$2:H$111,MATCH($B30,'Nov 30 - Dec 6'!$B$2:$B$111,0))-INDEX('Nov 23-29'!G$3:G$111,MATCH($B30,'Nov 23-29'!$B$3:$B$111,0))</f>
        <v>0</v>
      </c>
      <c r="I30" s="15">
        <f t="array" ref="I30">INDEX('Nov 30 - Dec 6'!I$2:I$111,MATCH($B30,'Nov 30 - Dec 6'!$B$2:$B$111,0))-INDEX('Nov 23-29'!H$3:H$111,MATCH($B30,'Nov 23-29'!$B$3:$B$111,0))</f>
        <v>-1</v>
      </c>
      <c r="J30" s="15">
        <f t="array" ref="J30">INDEX('Nov 30 - Dec 6'!J$2:J$111,MATCH($B30,'Nov 30 - Dec 6'!$B$2:$B$111,0))-INDEX('Nov 23-29'!I$3:I$111,MATCH($B30,'Nov 23-29'!$B$3:$B$111,0))</f>
        <v>-1</v>
      </c>
      <c r="K30" s="15">
        <f t="array" ref="K30">INDEX('Nov 30 - Dec 6'!K$2:K$111,MATCH($B30,'Nov 30 - Dec 6'!$B$2:$B$111,0))-INDEX('Nov 23-29'!J$3:J$111,MATCH($B30,'Nov 23-29'!$B$3:$B$111,0))</f>
        <v>0</v>
      </c>
    </row>
    <row r="31" spans="2:11" ht="12.75">
      <c r="B31" s="13" t="s">
        <v>51</v>
      </c>
      <c r="C31" s="14" t="s">
        <v>147</v>
      </c>
      <c r="D31" s="15"/>
      <c r="E31" s="15">
        <f t="array" ref="E31">INDEX('Nov 30 - Dec 6'!E$2:E$111,MATCH($B31,'Nov 30 - Dec 6'!$B$2:$B$111,0))-INDEX('Nov 23-29'!D$3:D$111,MATCH($B31,'Nov 23-29'!$B$3:$B$111,0))</f>
        <v>10</v>
      </c>
      <c r="F31" s="15">
        <f t="array" ref="F31">INDEX('Nov 30 - Dec 6'!F$2:F$111,MATCH($B31,'Nov 30 - Dec 6'!$B$2:$B$111,0))-INDEX('Nov 23-29'!E$3:E$111,MATCH($B31,'Nov 23-29'!$B$3:$B$111,0))</f>
        <v>4</v>
      </c>
      <c r="G31" s="15">
        <f t="array" ref="G31">INDEX('Nov 30 - Dec 6'!G$2:G$111,MATCH($B31,'Nov 30 - Dec 6'!$B$2:$B$111,0))-INDEX('Nov 23-29'!F$3:F$111,MATCH($B31,'Nov 23-29'!$B$3:$B$111,0))</f>
        <v>0</v>
      </c>
      <c r="H31" s="15">
        <f t="array" ref="H31">INDEX('Nov 30 - Dec 6'!H$2:H$111,MATCH($B31,'Nov 30 - Dec 6'!$B$2:$B$111,0))-INDEX('Nov 23-29'!G$3:G$111,MATCH($B31,'Nov 23-29'!$B$3:$B$111,0))</f>
        <v>0</v>
      </c>
      <c r="I31" s="15">
        <f t="array" ref="I31">INDEX('Nov 30 - Dec 6'!I$2:I$111,MATCH($B31,'Nov 30 - Dec 6'!$B$2:$B$111,0))-INDEX('Nov 23-29'!H$3:H$111,MATCH($B31,'Nov 23-29'!$B$3:$B$111,0))</f>
        <v>0</v>
      </c>
      <c r="J31" s="15">
        <f t="array" ref="J31">INDEX('Nov 30 - Dec 6'!J$2:J$111,MATCH($B31,'Nov 30 - Dec 6'!$B$2:$B$111,0))-INDEX('Nov 23-29'!I$3:I$111,MATCH($B31,'Nov 23-29'!$B$3:$B$111,0))</f>
        <v>0</v>
      </c>
      <c r="K31" s="15">
        <f t="array" ref="K31">INDEX('Nov 30 - Dec 6'!K$2:K$111,MATCH($B31,'Nov 30 - Dec 6'!$B$2:$B$111,0))-INDEX('Nov 23-29'!J$3:J$111,MATCH($B31,'Nov 23-29'!$B$3:$B$111,0))</f>
        <v>0</v>
      </c>
    </row>
    <row r="32" spans="2:11" ht="12.75">
      <c r="B32" s="13" t="s">
        <v>27</v>
      </c>
      <c r="C32" s="14" t="s">
        <v>147</v>
      </c>
      <c r="D32" s="15"/>
      <c r="E32" s="15">
        <f t="array" ref="E32">INDEX('Nov 30 - Dec 6'!E$2:E$111,MATCH($B32,'Nov 30 - Dec 6'!$B$2:$B$111,0))-INDEX('Nov 23-29'!D$3:D$111,MATCH($B32,'Nov 23-29'!$B$3:$B$111,0))</f>
        <v>25</v>
      </c>
      <c r="F32" s="15">
        <f t="array" ref="F32">INDEX('Nov 30 - Dec 6'!F$2:F$111,MATCH($B32,'Nov 30 - Dec 6'!$B$2:$B$111,0))-INDEX('Nov 23-29'!E$3:E$111,MATCH($B32,'Nov 23-29'!$B$3:$B$111,0))</f>
        <v>17</v>
      </c>
      <c r="G32" s="15">
        <f t="array" ref="G32">INDEX('Nov 30 - Dec 6'!G$2:G$111,MATCH($B32,'Nov 30 - Dec 6'!$B$2:$B$111,0))-INDEX('Nov 23-29'!F$3:F$111,MATCH($B32,'Nov 23-29'!$B$3:$B$111,0))</f>
        <v>3</v>
      </c>
      <c r="H32" s="15">
        <f t="array" ref="H32">INDEX('Nov 30 - Dec 6'!H$2:H$111,MATCH($B32,'Nov 30 - Dec 6'!$B$2:$B$111,0))-INDEX('Nov 23-29'!G$3:G$111,MATCH($B32,'Nov 23-29'!$B$3:$B$111,0))</f>
        <v>0</v>
      </c>
      <c r="I32" s="15">
        <f t="array" ref="I32">INDEX('Nov 30 - Dec 6'!I$2:I$111,MATCH($B32,'Nov 30 - Dec 6'!$B$2:$B$111,0))-INDEX('Nov 23-29'!H$3:H$111,MATCH($B32,'Nov 23-29'!$B$3:$B$111,0))</f>
        <v>1</v>
      </c>
      <c r="J32" s="15">
        <f t="array" ref="J32">INDEX('Nov 30 - Dec 6'!J$2:J$111,MATCH($B32,'Nov 30 - Dec 6'!$B$2:$B$111,0))-INDEX('Nov 23-29'!I$3:I$111,MATCH($B32,'Nov 23-29'!$B$3:$B$111,0))</f>
        <v>1</v>
      </c>
      <c r="K32" s="15">
        <f t="array" ref="K32">INDEX('Nov 30 - Dec 6'!K$2:K$111,MATCH($B32,'Nov 30 - Dec 6'!$B$2:$B$111,0))-INDEX('Nov 23-29'!J$3:J$111,MATCH($B32,'Nov 23-29'!$B$3:$B$111,0))</f>
        <v>1</v>
      </c>
    </row>
    <row r="33" spans="2:11" ht="12.75">
      <c r="B33" s="13" t="s">
        <v>124</v>
      </c>
      <c r="C33" s="14" t="s">
        <v>147</v>
      </c>
      <c r="D33" s="15"/>
      <c r="E33" s="15">
        <f t="array" ref="E33">INDEX('Nov 30 - Dec 6'!E$2:E$111,MATCH($B33,'Nov 30 - Dec 6'!$B$2:$B$111,0))-INDEX('Nov 23-29'!D$3:D$111,MATCH($B33,'Nov 23-29'!$B$3:$B$111,0))</f>
        <v>-10</v>
      </c>
      <c r="F33" s="15">
        <f t="array" ref="F33">INDEX('Nov 30 - Dec 6'!F$2:F$111,MATCH($B33,'Nov 30 - Dec 6'!$B$2:$B$111,0))-INDEX('Nov 23-29'!E$3:E$111,MATCH($B33,'Nov 23-29'!$B$3:$B$111,0))</f>
        <v>-6</v>
      </c>
      <c r="G33" s="15">
        <f t="array" ref="G33">INDEX('Nov 30 - Dec 6'!G$2:G$111,MATCH($B33,'Nov 30 - Dec 6'!$B$2:$B$111,0))-INDEX('Nov 23-29'!F$3:F$111,MATCH($B33,'Nov 23-29'!$B$3:$B$111,0))</f>
        <v>3</v>
      </c>
      <c r="H33" s="15">
        <f t="array" ref="H33">INDEX('Nov 30 - Dec 6'!H$2:H$111,MATCH($B33,'Nov 30 - Dec 6'!$B$2:$B$111,0))-INDEX('Nov 23-29'!G$3:G$111,MATCH($B33,'Nov 23-29'!$B$3:$B$111,0))</f>
        <v>2</v>
      </c>
      <c r="I33" s="15">
        <f t="array" ref="I33">INDEX('Nov 30 - Dec 6'!I$2:I$111,MATCH($B33,'Nov 30 - Dec 6'!$B$2:$B$111,0))-INDEX('Nov 23-29'!H$3:H$111,MATCH($B33,'Nov 23-29'!$B$3:$B$111,0))</f>
        <v>0</v>
      </c>
      <c r="J33" s="15">
        <f t="array" ref="J33">INDEX('Nov 30 - Dec 6'!J$2:J$111,MATCH($B33,'Nov 30 - Dec 6'!$B$2:$B$111,0))-INDEX('Nov 23-29'!I$3:I$111,MATCH($B33,'Nov 23-29'!$B$3:$B$111,0))</f>
        <v>0</v>
      </c>
      <c r="K33" s="15">
        <f t="array" ref="K33">INDEX('Nov 30 - Dec 6'!K$2:K$111,MATCH($B33,'Nov 30 - Dec 6'!$B$2:$B$111,0))-INDEX('Nov 23-29'!J$3:J$111,MATCH($B33,'Nov 23-29'!$B$3:$B$111,0))</f>
        <v>0</v>
      </c>
    </row>
    <row r="34" spans="2:11" ht="12.75">
      <c r="B34" s="13" t="s">
        <v>69</v>
      </c>
      <c r="C34" s="14" t="s">
        <v>147</v>
      </c>
      <c r="D34" s="15"/>
      <c r="E34" s="15">
        <f t="array" ref="E34">INDEX('Nov 30 - Dec 6'!E$2:E$111,MATCH($B34,'Nov 30 - Dec 6'!$B$2:$B$111,0))-INDEX('Nov 23-29'!D$3:D$111,MATCH($B34,'Nov 23-29'!$B$3:$B$111,0))</f>
        <v>32</v>
      </c>
      <c r="F34" s="15">
        <f t="array" ref="F34">INDEX('Nov 30 - Dec 6'!F$2:F$111,MATCH($B34,'Nov 30 - Dec 6'!$B$2:$B$111,0))-INDEX('Nov 23-29'!E$3:E$111,MATCH($B34,'Nov 23-29'!$B$3:$B$111,0))</f>
        <v>20</v>
      </c>
      <c r="G34" s="15">
        <f t="array" ref="G34">INDEX('Nov 30 - Dec 6'!G$2:G$111,MATCH($B34,'Nov 30 - Dec 6'!$B$2:$B$111,0))-INDEX('Nov 23-29'!F$3:F$111,MATCH($B34,'Nov 23-29'!$B$3:$B$111,0))</f>
        <v>3</v>
      </c>
      <c r="H34" s="15">
        <f t="array" ref="H34">INDEX('Nov 30 - Dec 6'!H$2:H$111,MATCH($B34,'Nov 30 - Dec 6'!$B$2:$B$111,0))-INDEX('Nov 23-29'!G$3:G$111,MATCH($B34,'Nov 23-29'!$B$3:$B$111,0))</f>
        <v>3</v>
      </c>
      <c r="I34" s="15">
        <f t="array" ref="I34">INDEX('Nov 30 - Dec 6'!I$2:I$111,MATCH($B34,'Nov 30 - Dec 6'!$B$2:$B$111,0))-INDEX('Nov 23-29'!H$3:H$111,MATCH($B34,'Nov 23-29'!$B$3:$B$111,0))</f>
        <v>0</v>
      </c>
      <c r="J34" s="15">
        <f t="array" ref="J34">INDEX('Nov 30 - Dec 6'!J$2:J$111,MATCH($B34,'Nov 30 - Dec 6'!$B$2:$B$111,0))-INDEX('Nov 23-29'!I$3:I$111,MATCH($B34,'Nov 23-29'!$B$3:$B$111,0))</f>
        <v>0</v>
      </c>
      <c r="K34" s="15">
        <f t="array" ref="K34">INDEX('Nov 30 - Dec 6'!K$2:K$111,MATCH($B34,'Nov 30 - Dec 6'!$B$2:$B$111,0))-INDEX('Nov 23-29'!J$3:J$111,MATCH($B34,'Nov 23-29'!$B$3:$B$111,0))</f>
        <v>0</v>
      </c>
    </row>
    <row r="35" spans="2:11" ht="12.75">
      <c r="B35" s="13" t="s">
        <v>125</v>
      </c>
      <c r="C35" s="14" t="s">
        <v>147</v>
      </c>
      <c r="D35" s="15"/>
      <c r="E35" s="15">
        <f t="array" ref="E35">INDEX('Nov 30 - Dec 6'!E$2:E$111,MATCH($B35,'Nov 30 - Dec 6'!$B$2:$B$111,0))-INDEX('Nov 23-29'!D$3:D$111,MATCH($B35,'Nov 23-29'!$B$3:$B$111,0))</f>
        <v>102</v>
      </c>
      <c r="F35" s="15">
        <f t="array" ref="F35">INDEX('Nov 30 - Dec 6'!F$2:F$111,MATCH($B35,'Nov 30 - Dec 6'!$B$2:$B$111,0))-INDEX('Nov 23-29'!E$3:E$111,MATCH($B35,'Nov 23-29'!$B$3:$B$111,0))</f>
        <v>73</v>
      </c>
      <c r="G35" s="15">
        <f t="array" ref="G35">INDEX('Nov 30 - Dec 6'!G$2:G$111,MATCH($B35,'Nov 30 - Dec 6'!$B$2:$B$111,0))-INDEX('Nov 23-29'!F$3:F$111,MATCH($B35,'Nov 23-29'!$B$3:$B$111,0))</f>
        <v>8</v>
      </c>
      <c r="H35" s="15">
        <f t="array" ref="H35">INDEX('Nov 30 - Dec 6'!H$2:H$111,MATCH($B35,'Nov 30 - Dec 6'!$B$2:$B$111,0))-INDEX('Nov 23-29'!G$3:G$111,MATCH($B35,'Nov 23-29'!$B$3:$B$111,0))</f>
        <v>2</v>
      </c>
      <c r="I35" s="15">
        <f t="array" ref="I35">INDEX('Nov 30 - Dec 6'!I$2:I$111,MATCH($B35,'Nov 30 - Dec 6'!$B$2:$B$111,0))-INDEX('Nov 23-29'!H$3:H$111,MATCH($B35,'Nov 23-29'!$B$3:$B$111,0))</f>
        <v>0</v>
      </c>
      <c r="J35" s="15">
        <f t="array" ref="J35">INDEX('Nov 30 - Dec 6'!J$2:J$111,MATCH($B35,'Nov 30 - Dec 6'!$B$2:$B$111,0))-INDEX('Nov 23-29'!I$3:I$111,MATCH($B35,'Nov 23-29'!$B$3:$B$111,0))</f>
        <v>0</v>
      </c>
      <c r="K35" s="15">
        <f t="array" ref="K35">INDEX('Nov 30 - Dec 6'!K$2:K$111,MATCH($B35,'Nov 30 - Dec 6'!$B$2:$B$111,0))-INDEX('Nov 23-29'!J$3:J$111,MATCH($B35,'Nov 23-29'!$B$3:$B$111,0))</f>
        <v>0</v>
      </c>
    </row>
    <row r="36" spans="2:11" ht="12.75">
      <c r="B36" s="13" t="s">
        <v>28</v>
      </c>
      <c r="C36" s="14" t="s">
        <v>147</v>
      </c>
      <c r="D36" s="15"/>
      <c r="E36" s="15">
        <f t="array" ref="E36">INDEX('Nov 30 - Dec 6'!E$2:E$111,MATCH($B36,'Nov 30 - Dec 6'!$B$2:$B$111,0))-INDEX('Nov 23-29'!D$3:D$111,MATCH($B36,'Nov 23-29'!$B$3:$B$111,0))</f>
        <v>1</v>
      </c>
      <c r="F36" s="15">
        <f t="array" ref="F36">INDEX('Nov 30 - Dec 6'!F$2:F$111,MATCH($B36,'Nov 30 - Dec 6'!$B$2:$B$111,0))-INDEX('Nov 23-29'!E$3:E$111,MATCH($B36,'Nov 23-29'!$B$3:$B$111,0))</f>
        <v>3</v>
      </c>
      <c r="G36" s="15">
        <f t="array" ref="G36">INDEX('Nov 30 - Dec 6'!G$2:G$111,MATCH($B36,'Nov 30 - Dec 6'!$B$2:$B$111,0))-INDEX('Nov 23-29'!F$3:F$111,MATCH($B36,'Nov 23-29'!$B$3:$B$111,0))</f>
        <v>0</v>
      </c>
      <c r="H36" s="15">
        <f t="array" ref="H36">INDEX('Nov 30 - Dec 6'!H$2:H$111,MATCH($B36,'Nov 30 - Dec 6'!$B$2:$B$111,0))-INDEX('Nov 23-29'!G$3:G$111,MATCH($B36,'Nov 23-29'!$B$3:$B$111,0))</f>
        <v>1</v>
      </c>
      <c r="I36" s="15">
        <f t="array" ref="I36">INDEX('Nov 30 - Dec 6'!I$2:I$111,MATCH($B36,'Nov 30 - Dec 6'!$B$2:$B$111,0))-INDEX('Nov 23-29'!H$3:H$111,MATCH($B36,'Nov 23-29'!$B$3:$B$111,0))</f>
        <v>0</v>
      </c>
      <c r="J36" s="15">
        <f t="array" ref="J36">INDEX('Nov 30 - Dec 6'!J$2:J$111,MATCH($B36,'Nov 30 - Dec 6'!$B$2:$B$111,0))-INDEX('Nov 23-29'!I$3:I$111,MATCH($B36,'Nov 23-29'!$B$3:$B$111,0))</f>
        <v>0</v>
      </c>
      <c r="K36" s="15">
        <f t="array" ref="K36">INDEX('Nov 30 - Dec 6'!K$2:K$111,MATCH($B36,'Nov 30 - Dec 6'!$B$2:$B$111,0))-INDEX('Nov 23-29'!J$3:J$111,MATCH($B36,'Nov 23-29'!$B$3:$B$111,0))</f>
        <v>0</v>
      </c>
    </row>
    <row r="37" spans="2:11" ht="12.75">
      <c r="B37" s="13" t="s">
        <v>127</v>
      </c>
      <c r="C37" s="14" t="s">
        <v>142</v>
      </c>
      <c r="D37" s="14"/>
      <c r="E37" s="15">
        <f t="array" ref="E37">INDEX('Nov 30 - Dec 6'!E$2:E$111,MATCH($B37,'Nov 30 - Dec 6'!$B$2:$B$111,0))-INDEX('Nov 23-29'!D$3:D$111,MATCH($B37,'Nov 23-29'!$B$3:$B$111,0))</f>
        <v>0</v>
      </c>
      <c r="F37" s="15">
        <f t="array" ref="F37">INDEX('Nov 30 - Dec 6'!F$2:F$111,MATCH($B37,'Nov 30 - Dec 6'!$B$2:$B$111,0))-INDEX('Nov 23-29'!E$3:E$111,MATCH($B37,'Nov 23-29'!$B$3:$B$111,0))</f>
        <v>0</v>
      </c>
      <c r="G37" s="15">
        <f t="array" ref="G37">INDEX('Nov 30 - Dec 6'!G$2:G$111,MATCH($B37,'Nov 30 - Dec 6'!$B$2:$B$111,0))-INDEX('Nov 23-29'!F$3:F$111,MATCH($B37,'Nov 23-29'!$B$3:$B$111,0))</f>
        <v>0</v>
      </c>
      <c r="H37" s="15">
        <f t="array" ref="H37">INDEX('Nov 30 - Dec 6'!H$2:H$111,MATCH($B37,'Nov 30 - Dec 6'!$B$2:$B$111,0))-INDEX('Nov 23-29'!G$3:G$111,MATCH($B37,'Nov 23-29'!$B$3:$B$111,0))</f>
        <v>0</v>
      </c>
      <c r="I37" s="15">
        <f t="array" ref="I37">INDEX('Nov 30 - Dec 6'!I$2:I$111,MATCH($B37,'Nov 30 - Dec 6'!$B$2:$B$111,0))-INDEX('Nov 23-29'!H$3:H$111,MATCH($B37,'Nov 23-29'!$B$3:$B$111,0))</f>
        <v>0</v>
      </c>
      <c r="J37" s="15">
        <f t="array" ref="J37">INDEX('Nov 30 - Dec 6'!J$2:J$111,MATCH($B37,'Nov 30 - Dec 6'!$B$2:$B$111,0))-INDEX('Nov 23-29'!I$3:I$111,MATCH($B37,'Nov 23-29'!$B$3:$B$111,0))</f>
        <v>0</v>
      </c>
      <c r="K37" s="15">
        <f t="array" ref="K37">INDEX('Nov 30 - Dec 6'!K$2:K$111,MATCH($B37,'Nov 30 - Dec 6'!$B$2:$B$111,0))-INDEX('Nov 23-29'!J$3:J$111,MATCH($B37,'Nov 23-29'!$B$3:$B$111,0))</f>
        <v>0</v>
      </c>
    </row>
    <row r="38" spans="2:11" ht="12.75">
      <c r="B38" s="13" t="s">
        <v>128</v>
      </c>
      <c r="C38" s="14" t="s">
        <v>142</v>
      </c>
      <c r="D38" s="14"/>
      <c r="E38" s="15">
        <f t="array" ref="E38">INDEX('Nov 30 - Dec 6'!E$2:E$111,MATCH($B38,'Nov 30 - Dec 6'!$B$2:$B$111,0))-INDEX('Nov 23-29'!D$3:D$111,MATCH($B38,'Nov 23-29'!$B$3:$B$111,0))</f>
        <v>3</v>
      </c>
      <c r="F38" s="15">
        <f t="array" ref="F38">INDEX('Nov 30 - Dec 6'!F$2:F$111,MATCH($B38,'Nov 30 - Dec 6'!$B$2:$B$111,0))-INDEX('Nov 23-29'!E$3:E$111,MATCH($B38,'Nov 23-29'!$B$3:$B$111,0))</f>
        <v>2</v>
      </c>
      <c r="G38" s="15">
        <f t="array" ref="G38">INDEX('Nov 30 - Dec 6'!G$2:G$111,MATCH($B38,'Nov 30 - Dec 6'!$B$2:$B$111,0))-INDEX('Nov 23-29'!F$3:F$111,MATCH($B38,'Nov 23-29'!$B$3:$B$111,0))</f>
        <v>0</v>
      </c>
      <c r="H38" s="15">
        <f t="array" ref="H38">INDEX('Nov 30 - Dec 6'!H$2:H$111,MATCH($B38,'Nov 30 - Dec 6'!$B$2:$B$111,0))-INDEX('Nov 23-29'!G$3:G$111,MATCH($B38,'Nov 23-29'!$B$3:$B$111,0))</f>
        <v>0</v>
      </c>
      <c r="I38" s="15">
        <f t="array" ref="I38">INDEX('Nov 30 - Dec 6'!I$2:I$111,MATCH($B38,'Nov 30 - Dec 6'!$B$2:$B$111,0))-INDEX('Nov 23-29'!H$3:H$111,MATCH($B38,'Nov 23-29'!$B$3:$B$111,0))</f>
        <v>0</v>
      </c>
      <c r="J38" s="15">
        <f t="array" ref="J38">INDEX('Nov 30 - Dec 6'!J$2:J$111,MATCH($B38,'Nov 30 - Dec 6'!$B$2:$B$111,0))-INDEX('Nov 23-29'!I$3:I$111,MATCH($B38,'Nov 23-29'!$B$3:$B$111,0))</f>
        <v>0</v>
      </c>
      <c r="K38" s="15">
        <f t="array" ref="K38">INDEX('Nov 30 - Dec 6'!K$2:K$111,MATCH($B38,'Nov 30 - Dec 6'!$B$2:$B$111,0))-INDEX('Nov 23-29'!J$3:J$111,MATCH($B38,'Nov 23-29'!$B$3:$B$111,0))</f>
        <v>0</v>
      </c>
    </row>
    <row r="39" spans="2:11" ht="12.75">
      <c r="B39" s="13" t="s">
        <v>129</v>
      </c>
      <c r="C39" s="14" t="s">
        <v>147</v>
      </c>
      <c r="D39" s="15"/>
      <c r="E39" s="15">
        <f t="array" ref="E39">INDEX('Nov 30 - Dec 6'!E$2:E$111,MATCH($B39,'Nov 30 - Dec 6'!$B$2:$B$111,0))-INDEX('Nov 23-29'!D$3:D$111,MATCH($B39,'Nov 23-29'!$B$3:$B$111,0))</f>
        <v>-4</v>
      </c>
      <c r="F39" s="15">
        <f t="array" ref="F39">INDEX('Nov 30 - Dec 6'!F$2:F$111,MATCH($B39,'Nov 30 - Dec 6'!$B$2:$B$111,0))-INDEX('Nov 23-29'!E$3:E$111,MATCH($B39,'Nov 23-29'!$B$3:$B$111,0))</f>
        <v>4</v>
      </c>
      <c r="G39" s="15">
        <f t="array" ref="G39">INDEX('Nov 30 - Dec 6'!G$2:G$111,MATCH($B39,'Nov 30 - Dec 6'!$B$2:$B$111,0))-INDEX('Nov 23-29'!F$3:F$111,MATCH($B39,'Nov 23-29'!$B$3:$B$111,0))</f>
        <v>4</v>
      </c>
      <c r="H39" s="15">
        <f t="array" ref="H39">INDEX('Nov 30 - Dec 6'!H$2:H$111,MATCH($B39,'Nov 30 - Dec 6'!$B$2:$B$111,0))-INDEX('Nov 23-29'!G$3:G$111,MATCH($B39,'Nov 23-29'!$B$3:$B$111,0))</f>
        <v>3</v>
      </c>
      <c r="I39" s="15">
        <f t="array" ref="I39">INDEX('Nov 30 - Dec 6'!I$2:I$111,MATCH($B39,'Nov 30 - Dec 6'!$B$2:$B$111,0))-INDEX('Nov 23-29'!H$3:H$111,MATCH($B39,'Nov 23-29'!$B$3:$B$111,0))</f>
        <v>0</v>
      </c>
      <c r="J39" s="15">
        <f t="array" ref="J39">INDEX('Nov 30 - Dec 6'!J$2:J$111,MATCH($B39,'Nov 30 - Dec 6'!$B$2:$B$111,0))-INDEX('Nov 23-29'!I$3:I$111,MATCH($B39,'Nov 23-29'!$B$3:$B$111,0))</f>
        <v>0</v>
      </c>
      <c r="K39" s="15">
        <f t="array" ref="K39">INDEX('Nov 30 - Dec 6'!K$2:K$111,MATCH($B39,'Nov 30 - Dec 6'!$B$2:$B$111,0))-INDEX('Nov 23-29'!J$3:J$111,MATCH($B39,'Nov 23-29'!$B$3:$B$111,0))</f>
        <v>0</v>
      </c>
    </row>
    <row r="40" spans="2:11" ht="12.75">
      <c r="B40" s="13" t="s">
        <v>23</v>
      </c>
      <c r="C40" s="14" t="s">
        <v>142</v>
      </c>
      <c r="D40" s="14"/>
      <c r="E40" s="15">
        <f t="array" ref="E40">INDEX('Nov 30 - Dec 6'!E$2:E$111,MATCH($B40,'Nov 30 - Dec 6'!$B$2:$B$111,0))-INDEX('Nov 23-29'!D$3:D$111,MATCH($B40,'Nov 23-29'!$B$3:$B$111,0))</f>
        <v>9</v>
      </c>
      <c r="F40" s="15">
        <f t="array" ref="F40">INDEX('Nov 30 - Dec 6'!F$2:F$111,MATCH($B40,'Nov 30 - Dec 6'!$B$2:$B$111,0))-INDEX('Nov 23-29'!E$3:E$111,MATCH($B40,'Nov 23-29'!$B$3:$B$111,0))</f>
        <v>1</v>
      </c>
      <c r="G40" s="15">
        <f t="array" ref="G40">INDEX('Nov 30 - Dec 6'!G$2:G$111,MATCH($B40,'Nov 30 - Dec 6'!$B$2:$B$111,0))-INDEX('Nov 23-29'!F$3:F$111,MATCH($B40,'Nov 23-29'!$B$3:$B$111,0))</f>
        <v>0</v>
      </c>
      <c r="H40" s="15">
        <f t="array" ref="H40">INDEX('Nov 30 - Dec 6'!H$2:H$111,MATCH($B40,'Nov 30 - Dec 6'!$B$2:$B$111,0))-INDEX('Nov 23-29'!G$3:G$111,MATCH($B40,'Nov 23-29'!$B$3:$B$111,0))</f>
        <v>0</v>
      </c>
      <c r="I40" s="15">
        <f t="array" ref="I40">INDEX('Nov 30 - Dec 6'!I$2:I$111,MATCH($B40,'Nov 30 - Dec 6'!$B$2:$B$111,0))-INDEX('Nov 23-29'!H$3:H$111,MATCH($B40,'Nov 23-29'!$B$3:$B$111,0))</f>
        <v>0</v>
      </c>
      <c r="J40" s="15">
        <f t="array" ref="J40">INDEX('Nov 30 - Dec 6'!J$2:J$111,MATCH($B40,'Nov 30 - Dec 6'!$B$2:$B$111,0))-INDEX('Nov 23-29'!I$3:I$111,MATCH($B40,'Nov 23-29'!$B$3:$B$111,0))</f>
        <v>0</v>
      </c>
      <c r="K40" s="15">
        <f t="array" ref="K40">INDEX('Nov 30 - Dec 6'!K$2:K$111,MATCH($B40,'Nov 30 - Dec 6'!$B$2:$B$111,0))-INDEX('Nov 23-29'!J$3:J$111,MATCH($B40,'Nov 23-29'!$B$3:$B$111,0))</f>
        <v>0</v>
      </c>
    </row>
    <row r="41" spans="2:11" ht="12.75">
      <c r="B41" s="13" t="s">
        <v>130</v>
      </c>
      <c r="C41" s="15" t="s">
        <v>142</v>
      </c>
      <c r="D41" s="15"/>
      <c r="E41" s="15">
        <f t="array" ref="E41">INDEX('Nov 30 - Dec 6'!E$2:E$111,MATCH($B41,'Nov 30 - Dec 6'!$B$2:$B$111,0))-INDEX('Nov 23-29'!D$3:D$111,MATCH($B41,'Nov 23-29'!$B$3:$B$111,0))</f>
        <v>0</v>
      </c>
      <c r="F41" s="15">
        <f t="array" ref="F41">INDEX('Nov 30 - Dec 6'!F$2:F$111,MATCH($B41,'Nov 30 - Dec 6'!$B$2:$B$111,0))-INDEX('Nov 23-29'!E$3:E$111,MATCH($B41,'Nov 23-29'!$B$3:$B$111,0))</f>
        <v>0</v>
      </c>
      <c r="G41" s="15">
        <f t="array" ref="G41">INDEX('Nov 30 - Dec 6'!G$2:G$111,MATCH($B41,'Nov 30 - Dec 6'!$B$2:$B$111,0))-INDEX('Nov 23-29'!F$3:F$111,MATCH($B41,'Nov 23-29'!$B$3:$B$111,0))</f>
        <v>0</v>
      </c>
      <c r="H41" s="15">
        <f t="array" ref="H41">INDEX('Nov 30 - Dec 6'!H$2:H$111,MATCH($B41,'Nov 30 - Dec 6'!$B$2:$B$111,0))-INDEX('Nov 23-29'!G$3:G$111,MATCH($B41,'Nov 23-29'!$B$3:$B$111,0))</f>
        <v>0</v>
      </c>
      <c r="I41" s="15">
        <f t="array" ref="I41">INDEX('Nov 30 - Dec 6'!I$2:I$111,MATCH($B41,'Nov 30 - Dec 6'!$B$2:$B$111,0))-INDEX('Nov 23-29'!H$3:H$111,MATCH($B41,'Nov 23-29'!$B$3:$B$111,0))</f>
        <v>0</v>
      </c>
      <c r="J41" s="15">
        <f t="array" ref="J41">INDEX('Nov 30 - Dec 6'!J$2:J$111,MATCH($B41,'Nov 30 - Dec 6'!$B$2:$B$111,0))-INDEX('Nov 23-29'!I$3:I$111,MATCH($B41,'Nov 23-29'!$B$3:$B$111,0))</f>
        <v>0</v>
      </c>
      <c r="K41" s="15">
        <f t="array" ref="K41">INDEX('Nov 30 - Dec 6'!K$2:K$111,MATCH($B41,'Nov 30 - Dec 6'!$B$2:$B$111,0))-INDEX('Nov 23-29'!J$3:J$111,MATCH($B41,'Nov 23-29'!$B$3:$B$111,0))</f>
        <v>0</v>
      </c>
    </row>
    <row r="42" spans="2:11" ht="12.75">
      <c r="B42" s="13" t="s">
        <v>131</v>
      </c>
      <c r="C42" s="14" t="s">
        <v>142</v>
      </c>
      <c r="D42" s="14"/>
      <c r="E42" s="15">
        <f t="array" ref="E42">INDEX('Nov 30 - Dec 6'!E$2:E$111,MATCH($B42,'Nov 30 - Dec 6'!$B$2:$B$111,0))-INDEX('Nov 23-29'!D$3:D$111,MATCH($B42,'Nov 23-29'!$B$3:$B$111,0))</f>
        <v>0</v>
      </c>
      <c r="F42" s="15">
        <f t="array" ref="F42">INDEX('Nov 30 - Dec 6'!F$2:F$111,MATCH($B42,'Nov 30 - Dec 6'!$B$2:$B$111,0))-INDEX('Nov 23-29'!E$3:E$111,MATCH($B42,'Nov 23-29'!$B$3:$B$111,0))</f>
        <v>0</v>
      </c>
      <c r="G42" s="15">
        <f t="array" ref="G42">INDEX('Nov 30 - Dec 6'!G$2:G$111,MATCH($B42,'Nov 30 - Dec 6'!$B$2:$B$111,0))-INDEX('Nov 23-29'!F$3:F$111,MATCH($B42,'Nov 23-29'!$B$3:$B$111,0))</f>
        <v>0</v>
      </c>
      <c r="H42" s="15">
        <f t="array" ref="H42">INDEX('Nov 30 - Dec 6'!H$2:H$111,MATCH($B42,'Nov 30 - Dec 6'!$B$2:$B$111,0))-INDEX('Nov 23-29'!G$3:G$111,MATCH($B42,'Nov 23-29'!$B$3:$B$111,0))</f>
        <v>0</v>
      </c>
      <c r="I42" s="15">
        <f t="array" ref="I42">INDEX('Nov 30 - Dec 6'!I$2:I$111,MATCH($B42,'Nov 30 - Dec 6'!$B$2:$B$111,0))-INDEX('Nov 23-29'!H$3:H$111,MATCH($B42,'Nov 23-29'!$B$3:$B$111,0))</f>
        <v>0</v>
      </c>
      <c r="J42" s="15">
        <f t="array" ref="J42">INDEX('Nov 30 - Dec 6'!J$2:J$111,MATCH($B42,'Nov 30 - Dec 6'!$B$2:$B$111,0))-INDEX('Nov 23-29'!I$3:I$111,MATCH($B42,'Nov 23-29'!$B$3:$B$111,0))</f>
        <v>0</v>
      </c>
      <c r="K42" s="15">
        <f t="array" ref="K42">INDEX('Nov 30 - Dec 6'!K$2:K$111,MATCH($B42,'Nov 30 - Dec 6'!$B$2:$B$111,0))-INDEX('Nov 23-29'!J$3:J$111,MATCH($B42,'Nov 23-29'!$B$3:$B$111,0))</f>
        <v>0</v>
      </c>
    </row>
    <row r="43" spans="2:11" ht="12.75">
      <c r="B43" s="13" t="s">
        <v>49</v>
      </c>
      <c r="C43" s="14" t="s">
        <v>147</v>
      </c>
      <c r="D43" s="15"/>
      <c r="E43" s="15">
        <f t="array" ref="E43">INDEX('Nov 30 - Dec 6'!E$2:E$111,MATCH($B43,'Nov 30 - Dec 6'!$B$2:$B$111,0))-INDEX('Nov 23-29'!D$3:D$111,MATCH($B43,'Nov 23-29'!$B$3:$B$111,0))</f>
        <v>26</v>
      </c>
      <c r="F43" s="15">
        <f t="array" ref="F43">INDEX('Nov 30 - Dec 6'!F$2:F$111,MATCH($B43,'Nov 30 - Dec 6'!$B$2:$B$111,0))-INDEX('Nov 23-29'!E$3:E$111,MATCH($B43,'Nov 23-29'!$B$3:$B$111,0))</f>
        <v>13</v>
      </c>
      <c r="G43" s="15">
        <f t="array" ref="G43">INDEX('Nov 30 - Dec 6'!G$2:G$111,MATCH($B43,'Nov 30 - Dec 6'!$B$2:$B$111,0))-INDEX('Nov 23-29'!F$3:F$111,MATCH($B43,'Nov 23-29'!$B$3:$B$111,0))</f>
        <v>1</v>
      </c>
      <c r="H43" s="15">
        <f t="array" ref="H43">INDEX('Nov 30 - Dec 6'!H$2:H$111,MATCH($B43,'Nov 30 - Dec 6'!$B$2:$B$111,0))-INDEX('Nov 23-29'!G$3:G$111,MATCH($B43,'Nov 23-29'!$B$3:$B$111,0))</f>
        <v>0</v>
      </c>
      <c r="I43" s="15">
        <f t="array" ref="I43">INDEX('Nov 30 - Dec 6'!I$2:I$111,MATCH($B43,'Nov 30 - Dec 6'!$B$2:$B$111,0))-INDEX('Nov 23-29'!H$3:H$111,MATCH($B43,'Nov 23-29'!$B$3:$B$111,0))</f>
        <v>0</v>
      </c>
      <c r="J43" s="15">
        <f t="array" ref="J43">INDEX('Nov 30 - Dec 6'!J$2:J$111,MATCH($B43,'Nov 30 - Dec 6'!$B$2:$B$111,0))-INDEX('Nov 23-29'!I$3:I$111,MATCH($B43,'Nov 23-29'!$B$3:$B$111,0))</f>
        <v>0</v>
      </c>
      <c r="K43" s="15">
        <f t="array" ref="K43">INDEX('Nov 30 - Dec 6'!K$2:K$111,MATCH($B43,'Nov 30 - Dec 6'!$B$2:$B$111,0))-INDEX('Nov 23-29'!J$3:J$111,MATCH($B43,'Nov 23-29'!$B$3:$B$111,0))</f>
        <v>0</v>
      </c>
    </row>
    <row r="44" spans="2:11" ht="12.75">
      <c r="B44" s="13" t="s">
        <v>56</v>
      </c>
      <c r="C44" s="14" t="s">
        <v>147</v>
      </c>
      <c r="D44" s="15"/>
      <c r="E44" s="15">
        <f t="array" ref="E44">INDEX('Nov 30 - Dec 6'!E$2:E$111,MATCH($B44,'Nov 30 - Dec 6'!$B$2:$B$111,0))-INDEX('Nov 23-29'!D$3:D$111,MATCH($B44,'Nov 23-29'!$B$3:$B$111,0))</f>
        <v>1</v>
      </c>
      <c r="F44" s="15">
        <f t="array" ref="F44">INDEX('Nov 30 - Dec 6'!F$2:F$111,MATCH($B44,'Nov 30 - Dec 6'!$B$2:$B$111,0))-INDEX('Nov 23-29'!E$3:E$111,MATCH($B44,'Nov 23-29'!$B$3:$B$111,0))</f>
        <v>1</v>
      </c>
      <c r="G44" s="15">
        <f t="array" ref="G44">INDEX('Nov 30 - Dec 6'!G$2:G$111,MATCH($B44,'Nov 30 - Dec 6'!$B$2:$B$111,0))-INDEX('Nov 23-29'!F$3:F$111,MATCH($B44,'Nov 23-29'!$B$3:$B$111,0))</f>
        <v>-1</v>
      </c>
      <c r="H44" s="15">
        <f t="array" ref="H44">INDEX('Nov 30 - Dec 6'!H$2:H$111,MATCH($B44,'Nov 30 - Dec 6'!$B$2:$B$111,0))-INDEX('Nov 23-29'!G$3:G$111,MATCH($B44,'Nov 23-29'!$B$3:$B$111,0))</f>
        <v>-2</v>
      </c>
      <c r="I44" s="15">
        <f t="array" ref="I44">INDEX('Nov 30 - Dec 6'!I$2:I$111,MATCH($B44,'Nov 30 - Dec 6'!$B$2:$B$111,0))-INDEX('Nov 23-29'!H$3:H$111,MATCH($B44,'Nov 23-29'!$B$3:$B$111,0))</f>
        <v>0</v>
      </c>
      <c r="J44" s="15">
        <f t="array" ref="J44">INDEX('Nov 30 - Dec 6'!J$2:J$111,MATCH($B44,'Nov 30 - Dec 6'!$B$2:$B$111,0))-INDEX('Nov 23-29'!I$3:I$111,MATCH($B44,'Nov 23-29'!$B$3:$B$111,0))</f>
        <v>-1</v>
      </c>
      <c r="K44" s="15">
        <f t="array" ref="K44">INDEX('Nov 30 - Dec 6'!K$2:K$111,MATCH($B44,'Nov 30 - Dec 6'!$B$2:$B$111,0))-INDEX('Nov 23-29'!J$3:J$111,MATCH($B44,'Nov 23-29'!$B$3:$B$111,0))</f>
        <v>1</v>
      </c>
    </row>
    <row r="45" spans="2:11" ht="12.75">
      <c r="B45" s="13" t="s">
        <v>132</v>
      </c>
      <c r="C45" s="14" t="s">
        <v>142</v>
      </c>
      <c r="D45" s="15"/>
      <c r="E45" s="15">
        <f t="array" ref="E45">INDEX('Nov 30 - Dec 6'!E$2:E$111,MATCH($B45,'Nov 30 - Dec 6'!$B$2:$B$111,0))-INDEX('Nov 23-29'!D$3:D$111,MATCH($B45,'Nov 23-29'!$B$3:$B$111,0))</f>
        <v>0</v>
      </c>
      <c r="F45" s="15">
        <f t="array" ref="F45">INDEX('Nov 30 - Dec 6'!F$2:F$111,MATCH($B45,'Nov 30 - Dec 6'!$B$2:$B$111,0))-INDEX('Nov 23-29'!E$3:E$111,MATCH($B45,'Nov 23-29'!$B$3:$B$111,0))</f>
        <v>0</v>
      </c>
      <c r="G45" s="15">
        <f t="array" ref="G45">INDEX('Nov 30 - Dec 6'!G$2:G$111,MATCH($B45,'Nov 30 - Dec 6'!$B$2:$B$111,0))-INDEX('Nov 23-29'!F$3:F$111,MATCH($B45,'Nov 23-29'!$B$3:$B$111,0))</f>
        <v>0</v>
      </c>
      <c r="H45" s="15">
        <f t="array" ref="H45">INDEX('Nov 30 - Dec 6'!H$2:H$111,MATCH($B45,'Nov 30 - Dec 6'!$B$2:$B$111,0))-INDEX('Nov 23-29'!G$3:G$111,MATCH($B45,'Nov 23-29'!$B$3:$B$111,0))</f>
        <v>0</v>
      </c>
      <c r="I45" s="15">
        <f t="array" ref="I45">INDEX('Nov 30 - Dec 6'!I$2:I$111,MATCH($B45,'Nov 30 - Dec 6'!$B$2:$B$111,0))-INDEX('Nov 23-29'!H$3:H$111,MATCH($B45,'Nov 23-29'!$B$3:$B$111,0))</f>
        <v>0</v>
      </c>
      <c r="J45" s="15">
        <f t="array" ref="J45">INDEX('Nov 30 - Dec 6'!J$2:J$111,MATCH($B45,'Nov 30 - Dec 6'!$B$2:$B$111,0))-INDEX('Nov 23-29'!I$3:I$111,MATCH($B45,'Nov 23-29'!$B$3:$B$111,0))</f>
        <v>0</v>
      </c>
      <c r="K45" s="15">
        <f t="array" ref="K45">INDEX('Nov 30 - Dec 6'!K$2:K$111,MATCH($B45,'Nov 30 - Dec 6'!$B$2:$B$111,0))-INDEX('Nov 23-29'!J$3:J$111,MATCH($B45,'Nov 23-29'!$B$3:$B$111,0))</f>
        <v>0</v>
      </c>
    </row>
    <row r="46" spans="2:11" ht="12.75">
      <c r="B46" s="13" t="s">
        <v>106</v>
      </c>
      <c r="C46" s="14" t="s">
        <v>142</v>
      </c>
      <c r="D46" s="14"/>
      <c r="E46" s="15">
        <f t="array" ref="E46">INDEX('Nov 30 - Dec 6'!E$2:E$111,MATCH($B46,'Nov 30 - Dec 6'!$B$2:$B$111,0))-INDEX('Nov 23-29'!D$3:D$111,MATCH($B46,'Nov 23-29'!$B$3:$B$111,0))</f>
        <v>1</v>
      </c>
      <c r="F46" s="15">
        <f t="array" ref="F46">INDEX('Nov 30 - Dec 6'!F$2:F$111,MATCH($B46,'Nov 30 - Dec 6'!$B$2:$B$111,0))-INDEX('Nov 23-29'!E$3:E$111,MATCH($B46,'Nov 23-29'!$B$3:$B$111,0))</f>
        <v>1</v>
      </c>
      <c r="G46" s="15">
        <f t="array" ref="G46">INDEX('Nov 30 - Dec 6'!G$2:G$111,MATCH($B46,'Nov 30 - Dec 6'!$B$2:$B$111,0))-INDEX('Nov 23-29'!F$3:F$111,MATCH($B46,'Nov 23-29'!$B$3:$B$111,0))</f>
        <v>0</v>
      </c>
      <c r="H46" s="15">
        <f t="array" ref="H46">INDEX('Nov 30 - Dec 6'!H$2:H$111,MATCH($B46,'Nov 30 - Dec 6'!$B$2:$B$111,0))-INDEX('Nov 23-29'!G$3:G$111,MATCH($B46,'Nov 23-29'!$B$3:$B$111,0))</f>
        <v>0</v>
      </c>
      <c r="I46" s="15">
        <f t="array" ref="I46">INDEX('Nov 30 - Dec 6'!I$2:I$111,MATCH($B46,'Nov 30 - Dec 6'!$B$2:$B$111,0))-INDEX('Nov 23-29'!H$3:H$111,MATCH($B46,'Nov 23-29'!$B$3:$B$111,0))</f>
        <v>0</v>
      </c>
      <c r="J46" s="15">
        <f t="array" ref="J46">INDEX('Nov 30 - Dec 6'!J$2:J$111,MATCH($B46,'Nov 30 - Dec 6'!$B$2:$B$111,0))-INDEX('Nov 23-29'!I$3:I$111,MATCH($B46,'Nov 23-29'!$B$3:$B$111,0))</f>
        <v>0</v>
      </c>
      <c r="K46" s="15">
        <f t="array" ref="K46">INDEX('Nov 30 - Dec 6'!K$2:K$111,MATCH($B46,'Nov 30 - Dec 6'!$B$2:$B$111,0))-INDEX('Nov 23-29'!J$3:J$111,MATCH($B46,'Nov 23-29'!$B$3:$B$111,0))</f>
        <v>0</v>
      </c>
    </row>
    <row r="47" spans="2:11" ht="12.75">
      <c r="B47" s="13" t="s">
        <v>31</v>
      </c>
      <c r="C47" s="14" t="s">
        <v>147</v>
      </c>
      <c r="D47" s="15"/>
      <c r="E47" s="15">
        <f t="array" ref="E47">INDEX('Nov 30 - Dec 6'!E$2:E$111,MATCH($B47,'Nov 30 - Dec 6'!$B$2:$B$111,0))-INDEX('Nov 23-29'!D$3:D$111,MATCH($B47,'Nov 23-29'!$B$3:$B$111,0))</f>
        <v>-4</v>
      </c>
      <c r="F47" s="15">
        <f t="array" ref="F47">INDEX('Nov 30 - Dec 6'!F$2:F$111,MATCH($B47,'Nov 30 - Dec 6'!$B$2:$B$111,0))-INDEX('Nov 23-29'!E$3:E$111,MATCH($B47,'Nov 23-29'!$B$3:$B$111,0))</f>
        <v>3</v>
      </c>
      <c r="G47" s="15">
        <f t="array" ref="G47">INDEX('Nov 30 - Dec 6'!G$2:G$111,MATCH($B47,'Nov 30 - Dec 6'!$B$2:$B$111,0))-INDEX('Nov 23-29'!F$3:F$111,MATCH($B47,'Nov 23-29'!$B$3:$B$111,0))</f>
        <v>-1</v>
      </c>
      <c r="H47" s="15">
        <f t="array" ref="H47">INDEX('Nov 30 - Dec 6'!H$2:H$111,MATCH($B47,'Nov 30 - Dec 6'!$B$2:$B$111,0))-INDEX('Nov 23-29'!G$3:G$111,MATCH($B47,'Nov 23-29'!$B$3:$B$111,0))</f>
        <v>0</v>
      </c>
      <c r="I47" s="15">
        <f t="array" ref="I47">INDEX('Nov 30 - Dec 6'!I$2:I$111,MATCH($B47,'Nov 30 - Dec 6'!$B$2:$B$111,0))-INDEX('Nov 23-29'!H$3:H$111,MATCH($B47,'Nov 23-29'!$B$3:$B$111,0))</f>
        <v>0</v>
      </c>
      <c r="J47" s="15">
        <f t="array" ref="J47">INDEX('Nov 30 - Dec 6'!J$2:J$111,MATCH($B47,'Nov 30 - Dec 6'!$B$2:$B$111,0))-INDEX('Nov 23-29'!I$3:I$111,MATCH($B47,'Nov 23-29'!$B$3:$B$111,0))</f>
        <v>0</v>
      </c>
      <c r="K47" s="15">
        <f t="array" ref="K47">INDEX('Nov 30 - Dec 6'!K$2:K$111,MATCH($B47,'Nov 30 - Dec 6'!$B$2:$B$111,0))-INDEX('Nov 23-29'!J$3:J$111,MATCH($B47,'Nov 23-29'!$B$3:$B$111,0))</f>
        <v>0</v>
      </c>
    </row>
    <row r="48" spans="2:11" ht="12.75">
      <c r="B48" s="13" t="s">
        <v>98</v>
      </c>
      <c r="C48" s="14" t="s">
        <v>147</v>
      </c>
      <c r="D48" s="15"/>
      <c r="E48" s="15">
        <f t="array" ref="E48">INDEX('Nov 30 - Dec 6'!E$2:E$111,MATCH($B48,'Nov 30 - Dec 6'!$B$2:$B$111,0))-INDEX('Nov 23-29'!D$3:D$111,MATCH($B48,'Nov 23-29'!$B$3:$B$111,0))</f>
        <v>-2</v>
      </c>
      <c r="F48" s="15">
        <f t="array" ref="F48">INDEX('Nov 30 - Dec 6'!F$2:F$111,MATCH($B48,'Nov 30 - Dec 6'!$B$2:$B$111,0))-INDEX('Nov 23-29'!E$3:E$111,MATCH($B48,'Nov 23-29'!$B$3:$B$111,0))</f>
        <v>-2</v>
      </c>
      <c r="G48" s="15">
        <f t="array" ref="G48">INDEX('Nov 30 - Dec 6'!G$2:G$111,MATCH($B48,'Nov 30 - Dec 6'!$B$2:$B$111,0))-INDEX('Nov 23-29'!F$3:F$111,MATCH($B48,'Nov 23-29'!$B$3:$B$111,0))</f>
        <v>-1</v>
      </c>
      <c r="H48" s="15">
        <f t="array" ref="H48">INDEX('Nov 30 - Dec 6'!H$2:H$111,MATCH($B48,'Nov 30 - Dec 6'!$B$2:$B$111,0))-INDEX('Nov 23-29'!G$3:G$111,MATCH($B48,'Nov 23-29'!$B$3:$B$111,0))</f>
        <v>2</v>
      </c>
      <c r="I48" s="15">
        <f t="array" ref="I48">INDEX('Nov 30 - Dec 6'!I$2:I$111,MATCH($B48,'Nov 30 - Dec 6'!$B$2:$B$111,0))-INDEX('Nov 23-29'!H$3:H$111,MATCH($B48,'Nov 23-29'!$B$3:$B$111,0))</f>
        <v>0</v>
      </c>
      <c r="J48" s="15">
        <f t="array" ref="J48">INDEX('Nov 30 - Dec 6'!J$2:J$111,MATCH($B48,'Nov 30 - Dec 6'!$B$2:$B$111,0))-INDEX('Nov 23-29'!I$3:I$111,MATCH($B48,'Nov 23-29'!$B$3:$B$111,0))</f>
        <v>1</v>
      </c>
      <c r="K48" s="15">
        <f t="array" ref="K48">INDEX('Nov 30 - Dec 6'!K$2:K$111,MATCH($B48,'Nov 30 - Dec 6'!$B$2:$B$111,0))-INDEX('Nov 23-29'!J$3:J$111,MATCH($B48,'Nov 23-29'!$B$3:$B$111,0))</f>
        <v>0</v>
      </c>
    </row>
    <row r="49" spans="2:11" ht="12.75">
      <c r="B49" s="13" t="s">
        <v>59</v>
      </c>
      <c r="C49" s="14" t="s">
        <v>147</v>
      </c>
      <c r="D49" s="15"/>
      <c r="E49" s="15">
        <f t="array" ref="E49">INDEX('Nov 30 - Dec 6'!E$2:E$111,MATCH($B49,'Nov 30 - Dec 6'!$B$2:$B$111,0))-INDEX('Nov 23-29'!D$3:D$111,MATCH($B49,'Nov 23-29'!$B$3:$B$111,0))</f>
        <v>-17</v>
      </c>
      <c r="F49" s="15">
        <f t="array" ref="F49">INDEX('Nov 30 - Dec 6'!F$2:F$111,MATCH($B49,'Nov 30 - Dec 6'!$B$2:$B$111,0))-INDEX('Nov 23-29'!E$3:E$111,MATCH($B49,'Nov 23-29'!$B$3:$B$111,0))</f>
        <v>-12</v>
      </c>
      <c r="G49" s="15">
        <f t="array" ref="G49">INDEX('Nov 30 - Dec 6'!G$2:G$111,MATCH($B49,'Nov 30 - Dec 6'!$B$2:$B$111,0))-INDEX('Nov 23-29'!F$3:F$111,MATCH($B49,'Nov 23-29'!$B$3:$B$111,0))</f>
        <v>-2</v>
      </c>
      <c r="H49" s="15">
        <f t="array" ref="H49">INDEX('Nov 30 - Dec 6'!H$2:H$111,MATCH($B49,'Nov 30 - Dec 6'!$B$2:$B$111,0))-INDEX('Nov 23-29'!G$3:G$111,MATCH($B49,'Nov 23-29'!$B$3:$B$111,0))</f>
        <v>-2</v>
      </c>
      <c r="I49" s="15">
        <f t="array" ref="I49">INDEX('Nov 30 - Dec 6'!I$2:I$111,MATCH($B49,'Nov 30 - Dec 6'!$B$2:$B$111,0))-INDEX('Nov 23-29'!H$3:H$111,MATCH($B49,'Nov 23-29'!$B$3:$B$111,0))</f>
        <v>0</v>
      </c>
      <c r="J49" s="15">
        <f t="array" ref="J49">INDEX('Nov 30 - Dec 6'!J$2:J$111,MATCH($B49,'Nov 30 - Dec 6'!$B$2:$B$111,0))-INDEX('Nov 23-29'!I$3:I$111,MATCH($B49,'Nov 23-29'!$B$3:$B$111,0))</f>
        <v>0</v>
      </c>
      <c r="K49" s="15">
        <f t="array" ref="K49">INDEX('Nov 30 - Dec 6'!K$2:K$111,MATCH($B49,'Nov 30 - Dec 6'!$B$2:$B$111,0))-INDEX('Nov 23-29'!J$3:J$111,MATCH($B49,'Nov 23-29'!$B$3:$B$111,0))</f>
        <v>-1</v>
      </c>
    </row>
    <row r="50" spans="2:11" ht="12.75">
      <c r="B50" s="13" t="s">
        <v>41</v>
      </c>
      <c r="C50" s="14" t="s">
        <v>147</v>
      </c>
      <c r="D50" s="15"/>
      <c r="E50" s="15">
        <f t="array" ref="E50">INDEX('Nov 30 - Dec 6'!E$2:E$111,MATCH($B50,'Nov 30 - Dec 6'!$B$2:$B$111,0))-INDEX('Nov 23-29'!D$3:D$111,MATCH($B50,'Nov 23-29'!$B$3:$B$111,0))</f>
        <v>24</v>
      </c>
      <c r="F50" s="15">
        <f t="array" ref="F50">INDEX('Nov 30 - Dec 6'!F$2:F$111,MATCH($B50,'Nov 30 - Dec 6'!$B$2:$B$111,0))-INDEX('Nov 23-29'!E$3:E$111,MATCH($B50,'Nov 23-29'!$B$3:$B$111,0))</f>
        <v>16</v>
      </c>
      <c r="G50" s="15">
        <f t="array" ref="G50">INDEX('Nov 30 - Dec 6'!G$2:G$111,MATCH($B50,'Nov 30 - Dec 6'!$B$2:$B$111,0))-INDEX('Nov 23-29'!F$3:F$111,MATCH($B50,'Nov 23-29'!$B$3:$B$111,0))</f>
        <v>-1</v>
      </c>
      <c r="H50" s="15">
        <f t="array" ref="H50">INDEX('Nov 30 - Dec 6'!H$2:H$111,MATCH($B50,'Nov 30 - Dec 6'!$B$2:$B$111,0))-INDEX('Nov 23-29'!G$3:G$111,MATCH($B50,'Nov 23-29'!$B$3:$B$111,0))</f>
        <v>0</v>
      </c>
      <c r="I50" s="15">
        <f t="array" ref="I50">INDEX('Nov 30 - Dec 6'!I$2:I$111,MATCH($B50,'Nov 30 - Dec 6'!$B$2:$B$111,0))-INDEX('Nov 23-29'!H$3:H$111,MATCH($B50,'Nov 23-29'!$B$3:$B$111,0))</f>
        <v>0</v>
      </c>
      <c r="J50" s="15">
        <f t="array" ref="J50">INDEX('Nov 30 - Dec 6'!J$2:J$111,MATCH($B50,'Nov 30 - Dec 6'!$B$2:$B$111,0))-INDEX('Nov 23-29'!I$3:I$111,MATCH($B50,'Nov 23-29'!$B$3:$B$111,0))</f>
        <v>0</v>
      </c>
      <c r="K50" s="15">
        <f t="array" ref="K50">INDEX('Nov 30 - Dec 6'!K$2:K$111,MATCH($B50,'Nov 30 - Dec 6'!$B$2:$B$111,0))-INDEX('Nov 23-29'!J$3:J$111,MATCH($B50,'Nov 23-29'!$B$3:$B$111,0))</f>
        <v>0</v>
      </c>
    </row>
    <row r="51" spans="2:11" ht="12.75">
      <c r="B51" s="13" t="s">
        <v>70</v>
      </c>
      <c r="C51" s="14" t="s">
        <v>147</v>
      </c>
      <c r="D51" s="15"/>
      <c r="E51" s="15">
        <f t="array" ref="E51">INDEX('Nov 30 - Dec 6'!E$2:E$111,MATCH($B51,'Nov 30 - Dec 6'!$B$2:$B$111,0))-INDEX('Nov 23-29'!D$3:D$111,MATCH($B51,'Nov 23-29'!$B$3:$B$111,0))</f>
        <v>-4</v>
      </c>
      <c r="F51" s="15">
        <f t="array" ref="F51">INDEX('Nov 30 - Dec 6'!F$2:F$111,MATCH($B51,'Nov 30 - Dec 6'!$B$2:$B$111,0))-INDEX('Nov 23-29'!E$3:E$111,MATCH($B51,'Nov 23-29'!$B$3:$B$111,0))</f>
        <v>7</v>
      </c>
      <c r="G51" s="15">
        <f t="array" ref="G51">INDEX('Nov 30 - Dec 6'!G$2:G$111,MATCH($B51,'Nov 30 - Dec 6'!$B$2:$B$111,0))-INDEX('Nov 23-29'!F$3:F$111,MATCH($B51,'Nov 23-29'!$B$3:$B$111,0))</f>
        <v>-1</v>
      </c>
      <c r="H51" s="15">
        <f t="array" ref="H51">INDEX('Nov 30 - Dec 6'!H$2:H$111,MATCH($B51,'Nov 30 - Dec 6'!$B$2:$B$111,0))-INDEX('Nov 23-29'!G$3:G$111,MATCH($B51,'Nov 23-29'!$B$3:$B$111,0))</f>
        <v>1</v>
      </c>
      <c r="I51" s="15">
        <f t="array" ref="I51">INDEX('Nov 30 - Dec 6'!I$2:I$111,MATCH($B51,'Nov 30 - Dec 6'!$B$2:$B$111,0))-INDEX('Nov 23-29'!H$3:H$111,MATCH($B51,'Nov 23-29'!$B$3:$B$111,0))</f>
        <v>1</v>
      </c>
      <c r="J51" s="15">
        <f t="array" ref="J51">INDEX('Nov 30 - Dec 6'!J$2:J$111,MATCH($B51,'Nov 30 - Dec 6'!$B$2:$B$111,0))-INDEX('Nov 23-29'!I$3:I$111,MATCH($B51,'Nov 23-29'!$B$3:$B$111,0))</f>
        <v>1</v>
      </c>
      <c r="K51" s="15">
        <f t="array" ref="K51">INDEX('Nov 30 - Dec 6'!K$2:K$111,MATCH($B51,'Nov 30 - Dec 6'!$B$2:$B$111,0))-INDEX('Nov 23-29'!J$3:J$111,MATCH($B51,'Nov 23-29'!$B$3:$B$111,0))</f>
        <v>0</v>
      </c>
    </row>
    <row r="52" spans="2:11" ht="12.75">
      <c r="B52" s="13" t="s">
        <v>85</v>
      </c>
      <c r="C52" s="15" t="s">
        <v>147</v>
      </c>
      <c r="D52" s="15"/>
      <c r="E52" s="15">
        <f t="array" ref="E52">INDEX('Nov 30 - Dec 6'!E$2:E$111,MATCH($B52,'Nov 30 - Dec 6'!$B$2:$B$111,0))-INDEX('Nov 23-29'!D$3:D$111,MATCH($B52,'Nov 23-29'!$B$3:$B$111,0))</f>
        <v>10</v>
      </c>
      <c r="F52" s="15">
        <f t="array" ref="F52">INDEX('Nov 30 - Dec 6'!F$2:F$111,MATCH($B52,'Nov 30 - Dec 6'!$B$2:$B$111,0))-INDEX('Nov 23-29'!E$3:E$111,MATCH($B52,'Nov 23-29'!$B$3:$B$111,0))</f>
        <v>0</v>
      </c>
      <c r="G52" s="15">
        <f t="array" ref="G52">INDEX('Nov 30 - Dec 6'!G$2:G$111,MATCH($B52,'Nov 30 - Dec 6'!$B$2:$B$111,0))-INDEX('Nov 23-29'!F$3:F$111,MATCH($B52,'Nov 23-29'!$B$3:$B$111,0))</f>
        <v>-1</v>
      </c>
      <c r="H52" s="15">
        <f t="array" ref="H52">INDEX('Nov 30 - Dec 6'!H$2:H$111,MATCH($B52,'Nov 30 - Dec 6'!$B$2:$B$111,0))-INDEX('Nov 23-29'!G$3:G$111,MATCH($B52,'Nov 23-29'!$B$3:$B$111,0))</f>
        <v>0</v>
      </c>
      <c r="I52" s="15">
        <f t="array" ref="I52">INDEX('Nov 30 - Dec 6'!I$2:I$111,MATCH($B52,'Nov 30 - Dec 6'!$B$2:$B$111,0))-INDEX('Nov 23-29'!H$3:H$111,MATCH($B52,'Nov 23-29'!$B$3:$B$111,0))</f>
        <v>0</v>
      </c>
      <c r="J52" s="15">
        <f t="array" ref="J52">INDEX('Nov 30 - Dec 6'!J$2:J$111,MATCH($B52,'Nov 30 - Dec 6'!$B$2:$B$111,0))-INDEX('Nov 23-29'!I$3:I$111,MATCH($B52,'Nov 23-29'!$B$3:$B$111,0))</f>
        <v>0</v>
      </c>
      <c r="K52" s="15">
        <f t="array" ref="K52">INDEX('Nov 30 - Dec 6'!K$2:K$111,MATCH($B52,'Nov 30 - Dec 6'!$B$2:$B$111,0))-INDEX('Nov 23-29'!J$3:J$111,MATCH($B52,'Nov 23-29'!$B$3:$B$111,0))</f>
        <v>0</v>
      </c>
    </row>
    <row r="53" spans="2:11" ht="12.75">
      <c r="B53" s="13" t="s">
        <v>119</v>
      </c>
      <c r="C53" s="14" t="s">
        <v>142</v>
      </c>
      <c r="D53" s="14"/>
      <c r="E53" s="15">
        <f t="array" ref="E53">INDEX('Nov 30 - Dec 6'!E$2:E$111,MATCH($B53,'Nov 30 - Dec 6'!$B$2:$B$111,0))-INDEX('Nov 23-29'!D$3:D$111,MATCH($B53,'Nov 23-29'!$B$3:$B$111,0))</f>
        <v>0</v>
      </c>
      <c r="F53" s="15">
        <f t="array" ref="F53">INDEX('Nov 30 - Dec 6'!F$2:F$111,MATCH($B53,'Nov 30 - Dec 6'!$B$2:$B$111,0))-INDEX('Nov 23-29'!E$3:E$111,MATCH($B53,'Nov 23-29'!$B$3:$B$111,0))</f>
        <v>0</v>
      </c>
      <c r="G53" s="15">
        <f t="array" ref="G53">INDEX('Nov 30 - Dec 6'!G$2:G$111,MATCH($B53,'Nov 30 - Dec 6'!$B$2:$B$111,0))-INDEX('Nov 23-29'!F$3:F$111,MATCH($B53,'Nov 23-29'!$B$3:$B$111,0))</f>
        <v>0</v>
      </c>
      <c r="H53" s="15">
        <f t="array" ref="H53">INDEX('Nov 30 - Dec 6'!H$2:H$111,MATCH($B53,'Nov 30 - Dec 6'!$B$2:$B$111,0))-INDEX('Nov 23-29'!G$3:G$111,MATCH($B53,'Nov 23-29'!$B$3:$B$111,0))</f>
        <v>0</v>
      </c>
      <c r="I53" s="15">
        <f t="array" ref="I53">INDEX('Nov 30 - Dec 6'!I$2:I$111,MATCH($B53,'Nov 30 - Dec 6'!$B$2:$B$111,0))-INDEX('Nov 23-29'!H$3:H$111,MATCH($B53,'Nov 23-29'!$B$3:$B$111,0))</f>
        <v>0</v>
      </c>
      <c r="J53" s="15">
        <f t="array" ref="J53">INDEX('Nov 30 - Dec 6'!J$2:J$111,MATCH($B53,'Nov 30 - Dec 6'!$B$2:$B$111,0))-INDEX('Nov 23-29'!I$3:I$111,MATCH($B53,'Nov 23-29'!$B$3:$B$111,0))</f>
        <v>0</v>
      </c>
      <c r="K53" s="15">
        <f t="array" ref="K53">INDEX('Nov 30 - Dec 6'!K$2:K$111,MATCH($B53,'Nov 30 - Dec 6'!$B$2:$B$111,0))-INDEX('Nov 23-29'!J$3:J$111,MATCH($B53,'Nov 23-29'!$B$3:$B$111,0))</f>
        <v>0</v>
      </c>
    </row>
    <row r="54" spans="2:11" ht="12.75">
      <c r="B54" s="13" t="s">
        <v>101</v>
      </c>
      <c r="C54" s="14" t="s">
        <v>147</v>
      </c>
      <c r="D54" s="15"/>
      <c r="E54" s="15">
        <f t="array" ref="E54">INDEX('Nov 30 - Dec 6'!E$2:E$111,MATCH($B54,'Nov 30 - Dec 6'!$B$2:$B$111,0))-INDEX('Nov 23-29'!D$3:D$111,MATCH($B54,'Nov 23-29'!$B$3:$B$111,0))</f>
        <v>-3</v>
      </c>
      <c r="F54" s="15">
        <f t="array" ref="F54">INDEX('Nov 30 - Dec 6'!F$2:F$111,MATCH($B54,'Nov 30 - Dec 6'!$B$2:$B$111,0))-INDEX('Nov 23-29'!E$3:E$111,MATCH($B54,'Nov 23-29'!$B$3:$B$111,0))</f>
        <v>-3</v>
      </c>
      <c r="G54" s="15">
        <f t="array" ref="G54">INDEX('Nov 30 - Dec 6'!G$2:G$111,MATCH($B54,'Nov 30 - Dec 6'!$B$2:$B$111,0))-INDEX('Nov 23-29'!F$3:F$111,MATCH($B54,'Nov 23-29'!$B$3:$B$111,0))</f>
        <v>0</v>
      </c>
      <c r="H54" s="15">
        <f t="array" ref="H54">INDEX('Nov 30 - Dec 6'!H$2:H$111,MATCH($B54,'Nov 30 - Dec 6'!$B$2:$B$111,0))-INDEX('Nov 23-29'!G$3:G$111,MATCH($B54,'Nov 23-29'!$B$3:$B$111,0))</f>
        <v>-1</v>
      </c>
      <c r="I54" s="15">
        <f t="array" ref="I54">INDEX('Nov 30 - Dec 6'!I$2:I$111,MATCH($B54,'Nov 30 - Dec 6'!$B$2:$B$111,0))-INDEX('Nov 23-29'!H$3:H$111,MATCH($B54,'Nov 23-29'!$B$3:$B$111,0))</f>
        <v>0</v>
      </c>
      <c r="J54" s="15">
        <f t="array" ref="J54">INDEX('Nov 30 - Dec 6'!J$2:J$111,MATCH($B54,'Nov 30 - Dec 6'!$B$2:$B$111,0))-INDEX('Nov 23-29'!I$3:I$111,MATCH($B54,'Nov 23-29'!$B$3:$B$111,0))</f>
        <v>0</v>
      </c>
      <c r="K54" s="15">
        <f t="array" ref="K54">INDEX('Nov 30 - Dec 6'!K$2:K$111,MATCH($B54,'Nov 30 - Dec 6'!$B$2:$B$111,0))-INDEX('Nov 23-29'!J$3:J$111,MATCH($B54,'Nov 23-29'!$B$3:$B$111,0))</f>
        <v>0</v>
      </c>
    </row>
    <row r="55" spans="2:11" ht="12.75">
      <c r="B55" s="13" t="s">
        <v>52</v>
      </c>
      <c r="C55" s="14" t="s">
        <v>142</v>
      </c>
      <c r="D55" s="14"/>
      <c r="E55" s="15">
        <f t="array" ref="E55">INDEX('Nov 30 - Dec 6'!E$2:E$111,MATCH($B55,'Nov 30 - Dec 6'!$B$2:$B$111,0))-INDEX('Nov 23-29'!D$3:D$111,MATCH($B55,'Nov 23-29'!$B$3:$B$111,0))</f>
        <v>3</v>
      </c>
      <c r="F55" s="15">
        <f t="array" ref="F55">INDEX('Nov 30 - Dec 6'!F$2:F$111,MATCH($B55,'Nov 30 - Dec 6'!$B$2:$B$111,0))-INDEX('Nov 23-29'!E$3:E$111,MATCH($B55,'Nov 23-29'!$B$3:$B$111,0))</f>
        <v>0</v>
      </c>
      <c r="G55" s="15">
        <f t="array" ref="G55">INDEX('Nov 30 - Dec 6'!G$2:G$111,MATCH($B55,'Nov 30 - Dec 6'!$B$2:$B$111,0))-INDEX('Nov 23-29'!F$3:F$111,MATCH($B55,'Nov 23-29'!$B$3:$B$111,0))</f>
        <v>0</v>
      </c>
      <c r="H55" s="15">
        <f t="array" ref="H55">INDEX('Nov 30 - Dec 6'!H$2:H$111,MATCH($B55,'Nov 30 - Dec 6'!$B$2:$B$111,0))-INDEX('Nov 23-29'!G$3:G$111,MATCH($B55,'Nov 23-29'!$B$3:$B$111,0))</f>
        <v>0</v>
      </c>
      <c r="I55" s="15">
        <f t="array" ref="I55">INDEX('Nov 30 - Dec 6'!I$2:I$111,MATCH($B55,'Nov 30 - Dec 6'!$B$2:$B$111,0))-INDEX('Nov 23-29'!H$3:H$111,MATCH($B55,'Nov 23-29'!$B$3:$B$111,0))</f>
        <v>0</v>
      </c>
      <c r="J55" s="15">
        <f t="array" ref="J55">INDEX('Nov 30 - Dec 6'!J$2:J$111,MATCH($B55,'Nov 30 - Dec 6'!$B$2:$B$111,0))-INDEX('Nov 23-29'!I$3:I$111,MATCH($B55,'Nov 23-29'!$B$3:$B$111,0))</f>
        <v>0</v>
      </c>
      <c r="K55" s="15">
        <f t="array" ref="K55">INDEX('Nov 30 - Dec 6'!K$2:K$111,MATCH($B55,'Nov 30 - Dec 6'!$B$2:$B$111,0))-INDEX('Nov 23-29'!J$3:J$111,MATCH($B55,'Nov 23-29'!$B$3:$B$111,0))</f>
        <v>0</v>
      </c>
    </row>
    <row r="56" spans="2:11" ht="12.75">
      <c r="B56" s="13" t="s">
        <v>61</v>
      </c>
      <c r="C56" s="14" t="s">
        <v>147</v>
      </c>
      <c r="D56" s="15"/>
      <c r="E56" s="15">
        <f t="array" ref="E56">INDEX('Nov 30 - Dec 6'!E$2:E$111,MATCH($B56,'Nov 30 - Dec 6'!$B$2:$B$111,0))-INDEX('Nov 23-29'!D$3:D$111,MATCH($B56,'Nov 23-29'!$B$3:$B$111,0))</f>
        <v>27</v>
      </c>
      <c r="F56" s="15">
        <f t="array" ref="F56">INDEX('Nov 30 - Dec 6'!F$2:F$111,MATCH($B56,'Nov 30 - Dec 6'!$B$2:$B$111,0))-INDEX('Nov 23-29'!E$3:E$111,MATCH($B56,'Nov 23-29'!$B$3:$B$111,0))</f>
        <v>10</v>
      </c>
      <c r="G56" s="15">
        <f t="array" ref="G56">INDEX('Nov 30 - Dec 6'!G$2:G$111,MATCH($B56,'Nov 30 - Dec 6'!$B$2:$B$111,0))-INDEX('Nov 23-29'!F$3:F$111,MATCH($B56,'Nov 23-29'!$B$3:$B$111,0))</f>
        <v>1</v>
      </c>
      <c r="H56" s="15">
        <f t="array" ref="H56">INDEX('Nov 30 - Dec 6'!H$2:H$111,MATCH($B56,'Nov 30 - Dec 6'!$B$2:$B$111,0))-INDEX('Nov 23-29'!G$3:G$111,MATCH($B56,'Nov 23-29'!$B$3:$B$111,0))</f>
        <v>3</v>
      </c>
      <c r="I56" s="15">
        <f t="array" ref="I56">INDEX('Nov 30 - Dec 6'!I$2:I$111,MATCH($B56,'Nov 30 - Dec 6'!$B$2:$B$111,0))-INDEX('Nov 23-29'!H$3:H$111,MATCH($B56,'Nov 23-29'!$B$3:$B$111,0))</f>
        <v>-1</v>
      </c>
      <c r="J56" s="15">
        <f t="array" ref="J56">INDEX('Nov 30 - Dec 6'!J$2:J$111,MATCH($B56,'Nov 30 - Dec 6'!$B$2:$B$111,0))-INDEX('Nov 23-29'!I$3:I$111,MATCH($B56,'Nov 23-29'!$B$3:$B$111,0))</f>
        <v>-1</v>
      </c>
      <c r="K56" s="15">
        <f t="array" ref="K56">INDEX('Nov 30 - Dec 6'!K$2:K$111,MATCH($B56,'Nov 30 - Dec 6'!$B$2:$B$111,0))-INDEX('Nov 23-29'!J$3:J$111,MATCH($B56,'Nov 23-29'!$B$3:$B$111,0))</f>
        <v>1</v>
      </c>
    </row>
    <row r="57" spans="2:11" ht="12.75">
      <c r="B57" s="13" t="s">
        <v>44</v>
      </c>
      <c r="C57" s="14" t="s">
        <v>147</v>
      </c>
      <c r="D57" s="15"/>
      <c r="E57" s="15">
        <f t="array" ref="E57">INDEX('Nov 30 - Dec 6'!E$2:E$111,MATCH($B57,'Nov 30 - Dec 6'!$B$2:$B$111,0))-INDEX('Nov 23-29'!D$3:D$111,MATCH($B57,'Nov 23-29'!$B$3:$B$111,0))</f>
        <v>16</v>
      </c>
      <c r="F57" s="15">
        <f t="array" ref="F57">INDEX('Nov 30 - Dec 6'!F$2:F$111,MATCH($B57,'Nov 30 - Dec 6'!$B$2:$B$111,0))-INDEX('Nov 23-29'!E$3:E$111,MATCH($B57,'Nov 23-29'!$B$3:$B$111,0))</f>
        <v>1</v>
      </c>
      <c r="G57" s="15">
        <f t="array" ref="G57">INDEX('Nov 30 - Dec 6'!G$2:G$111,MATCH($B57,'Nov 30 - Dec 6'!$B$2:$B$111,0))-INDEX('Nov 23-29'!F$3:F$111,MATCH($B57,'Nov 23-29'!$B$3:$B$111,0))</f>
        <v>2</v>
      </c>
      <c r="H57" s="15">
        <f t="array" ref="H57">INDEX('Nov 30 - Dec 6'!H$2:H$111,MATCH($B57,'Nov 30 - Dec 6'!$B$2:$B$111,0))-INDEX('Nov 23-29'!G$3:G$111,MATCH($B57,'Nov 23-29'!$B$3:$B$111,0))</f>
        <v>-1</v>
      </c>
      <c r="I57" s="15">
        <f t="array" ref="I57">INDEX('Nov 30 - Dec 6'!I$2:I$111,MATCH($B57,'Nov 30 - Dec 6'!$B$2:$B$111,0))-INDEX('Nov 23-29'!H$3:H$111,MATCH($B57,'Nov 23-29'!$B$3:$B$111,0))</f>
        <v>0</v>
      </c>
      <c r="J57" s="15">
        <f t="array" ref="J57">INDEX('Nov 30 - Dec 6'!J$2:J$111,MATCH($B57,'Nov 30 - Dec 6'!$B$2:$B$111,0))-INDEX('Nov 23-29'!I$3:I$111,MATCH($B57,'Nov 23-29'!$B$3:$B$111,0))</f>
        <v>0</v>
      </c>
      <c r="K57" s="15">
        <f t="array" ref="K57">INDEX('Nov 30 - Dec 6'!K$2:K$111,MATCH($B57,'Nov 30 - Dec 6'!$B$2:$B$111,0))-INDEX('Nov 23-29'!J$3:J$111,MATCH($B57,'Nov 23-29'!$B$3:$B$111,0))</f>
        <v>0</v>
      </c>
    </row>
    <row r="58" spans="2:11" ht="12.75">
      <c r="B58" s="13" t="s">
        <v>108</v>
      </c>
      <c r="C58" s="14" t="s">
        <v>142</v>
      </c>
      <c r="D58" s="14"/>
      <c r="E58" s="15">
        <f t="array" ref="E58">INDEX('Nov 30 - Dec 6'!E$2:E$111,MATCH($B58,'Nov 30 - Dec 6'!$B$2:$B$111,0))-INDEX('Nov 23-29'!D$3:D$111,MATCH($B58,'Nov 23-29'!$B$3:$B$111,0))</f>
        <v>4</v>
      </c>
      <c r="F58" s="15">
        <f t="array" ref="F58">INDEX('Nov 30 - Dec 6'!F$2:F$111,MATCH($B58,'Nov 30 - Dec 6'!$B$2:$B$111,0))-INDEX('Nov 23-29'!E$3:E$111,MATCH($B58,'Nov 23-29'!$B$3:$B$111,0))</f>
        <v>0</v>
      </c>
      <c r="G58" s="15">
        <f t="array" ref="G58">INDEX('Nov 30 - Dec 6'!G$2:G$111,MATCH($B58,'Nov 30 - Dec 6'!$B$2:$B$111,0))-INDEX('Nov 23-29'!F$3:F$111,MATCH($B58,'Nov 23-29'!$B$3:$B$111,0))</f>
        <v>0</v>
      </c>
      <c r="H58" s="15">
        <f t="array" ref="H58">INDEX('Nov 30 - Dec 6'!H$2:H$111,MATCH($B58,'Nov 30 - Dec 6'!$B$2:$B$111,0))-INDEX('Nov 23-29'!G$3:G$111,MATCH($B58,'Nov 23-29'!$B$3:$B$111,0))</f>
        <v>0</v>
      </c>
      <c r="I58" s="15">
        <f t="array" ref="I58">INDEX('Nov 30 - Dec 6'!I$2:I$111,MATCH($B58,'Nov 30 - Dec 6'!$B$2:$B$111,0))-INDEX('Nov 23-29'!H$3:H$111,MATCH($B58,'Nov 23-29'!$B$3:$B$111,0))</f>
        <v>0</v>
      </c>
      <c r="J58" s="15">
        <f t="array" ref="J58">INDEX('Nov 30 - Dec 6'!J$2:J$111,MATCH($B58,'Nov 30 - Dec 6'!$B$2:$B$111,0))-INDEX('Nov 23-29'!I$3:I$111,MATCH($B58,'Nov 23-29'!$B$3:$B$111,0))</f>
        <v>0</v>
      </c>
      <c r="K58" s="15">
        <f t="array" ref="K58">INDEX('Nov 30 - Dec 6'!K$2:K$111,MATCH($B58,'Nov 30 - Dec 6'!$B$2:$B$111,0))-INDEX('Nov 23-29'!J$3:J$111,MATCH($B58,'Nov 23-29'!$B$3:$B$111,0))</f>
        <v>0</v>
      </c>
    </row>
    <row r="59" spans="2:11" ht="12.75">
      <c r="B59" s="13" t="s">
        <v>88</v>
      </c>
      <c r="C59" s="14" t="s">
        <v>142</v>
      </c>
      <c r="D59" s="15"/>
      <c r="E59" s="15">
        <f t="array" ref="E59">INDEX('Nov 30 - Dec 6'!E$2:E$111,MATCH($B59,'Nov 30 - Dec 6'!$B$2:$B$111,0))-INDEX('Nov 23-29'!D$3:D$111,MATCH($B59,'Nov 23-29'!$B$3:$B$111,0))</f>
        <v>6</v>
      </c>
      <c r="F59" s="15">
        <f t="array" ref="F59">INDEX('Nov 30 - Dec 6'!F$2:F$111,MATCH($B59,'Nov 30 - Dec 6'!$B$2:$B$111,0))-INDEX('Nov 23-29'!E$3:E$111,MATCH($B59,'Nov 23-29'!$B$3:$B$111,0))</f>
        <v>0</v>
      </c>
      <c r="G59" s="15">
        <f t="array" ref="G59">INDEX('Nov 30 - Dec 6'!G$2:G$111,MATCH($B59,'Nov 30 - Dec 6'!$B$2:$B$111,0))-INDEX('Nov 23-29'!F$3:F$111,MATCH($B59,'Nov 23-29'!$B$3:$B$111,0))</f>
        <v>0</v>
      </c>
      <c r="H59" s="15">
        <f t="array" ref="H59">INDEX('Nov 30 - Dec 6'!H$2:H$111,MATCH($B59,'Nov 30 - Dec 6'!$B$2:$B$111,0))-INDEX('Nov 23-29'!G$3:G$111,MATCH($B59,'Nov 23-29'!$B$3:$B$111,0))</f>
        <v>0</v>
      </c>
      <c r="I59" s="15">
        <f t="array" ref="I59">INDEX('Nov 30 - Dec 6'!I$2:I$111,MATCH($B59,'Nov 30 - Dec 6'!$B$2:$B$111,0))-INDEX('Nov 23-29'!H$3:H$111,MATCH($B59,'Nov 23-29'!$B$3:$B$111,0))</f>
        <v>0</v>
      </c>
      <c r="J59" s="15">
        <f t="array" ref="J59">INDEX('Nov 30 - Dec 6'!J$2:J$111,MATCH($B59,'Nov 30 - Dec 6'!$B$2:$B$111,0))-INDEX('Nov 23-29'!I$3:I$111,MATCH($B59,'Nov 23-29'!$B$3:$B$111,0))</f>
        <v>0</v>
      </c>
      <c r="K59" s="15">
        <f t="array" ref="K59">INDEX('Nov 30 - Dec 6'!K$2:K$111,MATCH($B59,'Nov 30 - Dec 6'!$B$2:$B$111,0))-INDEX('Nov 23-29'!J$3:J$111,MATCH($B59,'Nov 23-29'!$B$3:$B$111,0))</f>
        <v>0</v>
      </c>
    </row>
    <row r="60" spans="2:11" ht="12.75">
      <c r="B60" s="13" t="s">
        <v>55</v>
      </c>
      <c r="C60" s="14" t="s">
        <v>142</v>
      </c>
      <c r="D60" s="14"/>
      <c r="E60" s="15">
        <f t="array" ref="E60">INDEX('Nov 30 - Dec 6'!E$2:E$111,MATCH($B60,'Nov 30 - Dec 6'!$B$2:$B$111,0))-INDEX('Nov 23-29'!D$3:D$111,MATCH($B60,'Nov 23-29'!$B$3:$B$111,0))</f>
        <v>17</v>
      </c>
      <c r="F60" s="15">
        <f t="array" ref="F60">INDEX('Nov 30 - Dec 6'!F$2:F$111,MATCH($B60,'Nov 30 - Dec 6'!$B$2:$B$111,0))-INDEX('Nov 23-29'!E$3:E$111,MATCH($B60,'Nov 23-29'!$B$3:$B$111,0))</f>
        <v>8</v>
      </c>
      <c r="G60" s="15">
        <f t="array" ref="G60">INDEX('Nov 30 - Dec 6'!G$2:G$111,MATCH($B60,'Nov 30 - Dec 6'!$B$2:$B$111,0))-INDEX('Nov 23-29'!F$3:F$111,MATCH($B60,'Nov 23-29'!$B$3:$B$111,0))</f>
        <v>0</v>
      </c>
      <c r="H60" s="15">
        <f t="array" ref="H60">INDEX('Nov 30 - Dec 6'!H$2:H$111,MATCH($B60,'Nov 30 - Dec 6'!$B$2:$B$111,0))-INDEX('Nov 23-29'!G$3:G$111,MATCH($B60,'Nov 23-29'!$B$3:$B$111,0))</f>
        <v>0</v>
      </c>
      <c r="I60" s="15">
        <f t="array" ref="I60">INDEX('Nov 30 - Dec 6'!I$2:I$111,MATCH($B60,'Nov 30 - Dec 6'!$B$2:$B$111,0))-INDEX('Nov 23-29'!H$3:H$111,MATCH($B60,'Nov 23-29'!$B$3:$B$111,0))</f>
        <v>0</v>
      </c>
      <c r="J60" s="15">
        <f t="array" ref="J60">INDEX('Nov 30 - Dec 6'!J$2:J$111,MATCH($B60,'Nov 30 - Dec 6'!$B$2:$B$111,0))-INDEX('Nov 23-29'!I$3:I$111,MATCH($B60,'Nov 23-29'!$B$3:$B$111,0))</f>
        <v>0</v>
      </c>
      <c r="K60" s="15">
        <f t="array" ref="K60">INDEX('Nov 30 - Dec 6'!K$2:K$111,MATCH($B60,'Nov 30 - Dec 6'!$B$2:$B$111,0))-INDEX('Nov 23-29'!J$3:J$111,MATCH($B60,'Nov 23-29'!$B$3:$B$111,0))</f>
        <v>0</v>
      </c>
    </row>
    <row r="61" spans="2:11" ht="12.75">
      <c r="B61" s="13" t="s">
        <v>46</v>
      </c>
      <c r="C61" s="14" t="s">
        <v>147</v>
      </c>
      <c r="D61" s="15"/>
      <c r="E61" s="15">
        <f t="array" ref="E61">INDEX('Nov 30 - Dec 6'!E$2:E$111,MATCH($B61,'Nov 30 - Dec 6'!$B$2:$B$111,0))-INDEX('Nov 23-29'!D$3:D$111,MATCH($B61,'Nov 23-29'!$B$3:$B$111,0))</f>
        <v>-5</v>
      </c>
      <c r="F61" s="15">
        <f t="array" ref="F61">INDEX('Nov 30 - Dec 6'!F$2:F$111,MATCH($B61,'Nov 30 - Dec 6'!$B$2:$B$111,0))-INDEX('Nov 23-29'!E$3:E$111,MATCH($B61,'Nov 23-29'!$B$3:$B$111,0))</f>
        <v>-2</v>
      </c>
      <c r="G61" s="15">
        <f t="array" ref="G61">INDEX('Nov 30 - Dec 6'!G$2:G$111,MATCH($B61,'Nov 30 - Dec 6'!$B$2:$B$111,0))-INDEX('Nov 23-29'!F$3:F$111,MATCH($B61,'Nov 23-29'!$B$3:$B$111,0))</f>
        <v>-2</v>
      </c>
      <c r="H61" s="15">
        <f t="array" ref="H61">INDEX('Nov 30 - Dec 6'!H$2:H$111,MATCH($B61,'Nov 30 - Dec 6'!$B$2:$B$111,0))-INDEX('Nov 23-29'!G$3:G$111,MATCH($B61,'Nov 23-29'!$B$3:$B$111,0))</f>
        <v>-1</v>
      </c>
      <c r="I61" s="15">
        <f t="array" ref="I61">INDEX('Nov 30 - Dec 6'!I$2:I$111,MATCH($B61,'Nov 30 - Dec 6'!$B$2:$B$111,0))-INDEX('Nov 23-29'!H$3:H$111,MATCH($B61,'Nov 23-29'!$B$3:$B$111,0))</f>
        <v>1</v>
      </c>
      <c r="J61" s="15">
        <f t="array" ref="J61">INDEX('Nov 30 - Dec 6'!J$2:J$111,MATCH($B61,'Nov 30 - Dec 6'!$B$2:$B$111,0))-INDEX('Nov 23-29'!I$3:I$111,MATCH($B61,'Nov 23-29'!$B$3:$B$111,0))</f>
        <v>0</v>
      </c>
      <c r="K61" s="15">
        <f t="array" ref="K61">INDEX('Nov 30 - Dec 6'!K$2:K$111,MATCH($B61,'Nov 30 - Dec 6'!$B$2:$B$111,0))-INDEX('Nov 23-29'!J$3:J$111,MATCH($B61,'Nov 23-29'!$B$3:$B$111,0))</f>
        <v>0</v>
      </c>
    </row>
    <row r="62" spans="2:11" ht="12.75">
      <c r="B62" s="13" t="s">
        <v>133</v>
      </c>
      <c r="C62" s="14" t="s">
        <v>142</v>
      </c>
      <c r="D62" s="14"/>
      <c r="E62" s="15">
        <f t="array" ref="E62">INDEX('Nov 30 - Dec 6'!E$2:E$111,MATCH($B62,'Nov 30 - Dec 6'!$B$2:$B$111,0))-INDEX('Nov 23-29'!D$3:D$111,MATCH($B62,'Nov 23-29'!$B$3:$B$111,0))</f>
        <v>0</v>
      </c>
      <c r="F62" s="15">
        <f t="array" ref="F62">INDEX('Nov 30 - Dec 6'!F$2:F$111,MATCH($B62,'Nov 30 - Dec 6'!$B$2:$B$111,0))-INDEX('Nov 23-29'!E$3:E$111,MATCH($B62,'Nov 23-29'!$B$3:$B$111,0))</f>
        <v>0</v>
      </c>
      <c r="G62" s="15">
        <f t="array" ref="G62">INDEX('Nov 30 - Dec 6'!G$2:G$111,MATCH($B62,'Nov 30 - Dec 6'!$B$2:$B$111,0))-INDEX('Nov 23-29'!F$3:F$111,MATCH($B62,'Nov 23-29'!$B$3:$B$111,0))</f>
        <v>0</v>
      </c>
      <c r="H62" s="15">
        <f t="array" ref="H62">INDEX('Nov 30 - Dec 6'!H$2:H$111,MATCH($B62,'Nov 30 - Dec 6'!$B$2:$B$111,0))-INDEX('Nov 23-29'!G$3:G$111,MATCH($B62,'Nov 23-29'!$B$3:$B$111,0))</f>
        <v>0</v>
      </c>
      <c r="I62" s="15">
        <f t="array" ref="I62">INDEX('Nov 30 - Dec 6'!I$2:I$111,MATCH($B62,'Nov 30 - Dec 6'!$B$2:$B$111,0))-INDEX('Nov 23-29'!H$3:H$111,MATCH($B62,'Nov 23-29'!$B$3:$B$111,0))</f>
        <v>0</v>
      </c>
      <c r="J62" s="15">
        <f t="array" ref="J62">INDEX('Nov 30 - Dec 6'!J$2:J$111,MATCH($B62,'Nov 30 - Dec 6'!$B$2:$B$111,0))-INDEX('Nov 23-29'!I$3:I$111,MATCH($B62,'Nov 23-29'!$B$3:$B$111,0))</f>
        <v>0</v>
      </c>
      <c r="K62" s="15">
        <f t="array" ref="K62">INDEX('Nov 30 - Dec 6'!K$2:K$111,MATCH($B62,'Nov 30 - Dec 6'!$B$2:$B$111,0))-INDEX('Nov 23-29'!J$3:J$111,MATCH($B62,'Nov 23-29'!$B$3:$B$111,0))</f>
        <v>0</v>
      </c>
    </row>
    <row r="63" spans="2:11" ht="12.75">
      <c r="B63" s="13" t="s">
        <v>134</v>
      </c>
      <c r="C63" s="14" t="s">
        <v>142</v>
      </c>
      <c r="D63" s="14"/>
      <c r="E63" s="15">
        <f t="array" ref="E63">INDEX('Nov 30 - Dec 6'!E$2:E$111,MATCH($B63,'Nov 30 - Dec 6'!$B$2:$B$111,0))-INDEX('Nov 23-29'!D$3:D$111,MATCH($B63,'Nov 23-29'!$B$3:$B$111,0))</f>
        <v>0</v>
      </c>
      <c r="F63" s="15">
        <f t="array" ref="F63">INDEX('Nov 30 - Dec 6'!F$2:F$111,MATCH($B63,'Nov 30 - Dec 6'!$B$2:$B$111,0))-INDEX('Nov 23-29'!E$3:E$111,MATCH($B63,'Nov 23-29'!$B$3:$B$111,0))</f>
        <v>0</v>
      </c>
      <c r="G63" s="15">
        <f t="array" ref="G63">INDEX('Nov 30 - Dec 6'!G$2:G$111,MATCH($B63,'Nov 30 - Dec 6'!$B$2:$B$111,0))-INDEX('Nov 23-29'!F$3:F$111,MATCH($B63,'Nov 23-29'!$B$3:$B$111,0))</f>
        <v>0</v>
      </c>
      <c r="H63" s="15">
        <f t="array" ref="H63">INDEX('Nov 30 - Dec 6'!H$2:H$111,MATCH($B63,'Nov 30 - Dec 6'!$B$2:$B$111,0))-INDEX('Nov 23-29'!G$3:G$111,MATCH($B63,'Nov 23-29'!$B$3:$B$111,0))</f>
        <v>0</v>
      </c>
      <c r="I63" s="15">
        <f t="array" ref="I63">INDEX('Nov 30 - Dec 6'!I$2:I$111,MATCH($B63,'Nov 30 - Dec 6'!$B$2:$B$111,0))-INDEX('Nov 23-29'!H$3:H$111,MATCH($B63,'Nov 23-29'!$B$3:$B$111,0))</f>
        <v>0</v>
      </c>
      <c r="J63" s="15">
        <f t="array" ref="J63">INDEX('Nov 30 - Dec 6'!J$2:J$111,MATCH($B63,'Nov 30 - Dec 6'!$B$2:$B$111,0))-INDEX('Nov 23-29'!I$3:I$111,MATCH($B63,'Nov 23-29'!$B$3:$B$111,0))</f>
        <v>0</v>
      </c>
      <c r="K63" s="15">
        <f t="array" ref="K63">INDEX('Nov 30 - Dec 6'!K$2:K$111,MATCH($B63,'Nov 30 - Dec 6'!$B$2:$B$111,0))-INDEX('Nov 23-29'!J$3:J$111,MATCH($B63,'Nov 23-29'!$B$3:$B$111,0))</f>
        <v>0</v>
      </c>
    </row>
    <row r="64" spans="2:11" ht="12.75">
      <c r="B64" s="13" t="s">
        <v>104</v>
      </c>
      <c r="C64" s="14" t="s">
        <v>147</v>
      </c>
      <c r="D64" s="15"/>
      <c r="E64" s="15">
        <f t="array" ref="E64">INDEX('Nov 30 - Dec 6'!E$2:E$111,MATCH($B64,'Nov 30 - Dec 6'!$B$2:$B$111,0))-INDEX('Nov 23-29'!D$3:D$111,MATCH($B64,'Nov 23-29'!$B$3:$B$111,0))</f>
        <v>1</v>
      </c>
      <c r="F64" s="15">
        <f t="array" ref="F64">INDEX('Nov 30 - Dec 6'!F$2:F$111,MATCH($B64,'Nov 30 - Dec 6'!$B$2:$B$111,0))-INDEX('Nov 23-29'!E$3:E$111,MATCH($B64,'Nov 23-29'!$B$3:$B$111,0))</f>
        <v>1</v>
      </c>
      <c r="G64" s="15">
        <f t="array" ref="G64">INDEX('Nov 30 - Dec 6'!G$2:G$111,MATCH($B64,'Nov 30 - Dec 6'!$B$2:$B$111,0))-INDEX('Nov 23-29'!F$3:F$111,MATCH($B64,'Nov 23-29'!$B$3:$B$111,0))</f>
        <v>1</v>
      </c>
      <c r="H64" s="15">
        <f t="array" ref="H64">INDEX('Nov 30 - Dec 6'!H$2:H$111,MATCH($B64,'Nov 30 - Dec 6'!$B$2:$B$111,0))-INDEX('Nov 23-29'!G$3:G$111,MATCH($B64,'Nov 23-29'!$B$3:$B$111,0))</f>
        <v>1</v>
      </c>
      <c r="I64" s="15">
        <f t="array" ref="I64">INDEX('Nov 30 - Dec 6'!I$2:I$111,MATCH($B64,'Nov 30 - Dec 6'!$B$2:$B$111,0))-INDEX('Nov 23-29'!H$3:H$111,MATCH($B64,'Nov 23-29'!$B$3:$B$111,0))</f>
        <v>0</v>
      </c>
      <c r="J64" s="15">
        <f t="array" ref="J64">INDEX('Nov 30 - Dec 6'!J$2:J$111,MATCH($B64,'Nov 30 - Dec 6'!$B$2:$B$111,0))-INDEX('Nov 23-29'!I$3:I$111,MATCH($B64,'Nov 23-29'!$B$3:$B$111,0))</f>
        <v>0</v>
      </c>
      <c r="K64" s="15">
        <f t="array" ref="K64">INDEX('Nov 30 - Dec 6'!K$2:K$111,MATCH($B64,'Nov 30 - Dec 6'!$B$2:$B$111,0))-INDEX('Nov 23-29'!J$3:J$111,MATCH($B64,'Nov 23-29'!$B$3:$B$111,0))</f>
        <v>0</v>
      </c>
    </row>
    <row r="65" spans="2:11" ht="12.75">
      <c r="B65" s="13" t="s">
        <v>87</v>
      </c>
      <c r="C65" s="14" t="s">
        <v>147</v>
      </c>
      <c r="D65" s="15"/>
      <c r="E65" s="15">
        <f t="array" ref="E65">INDEX('Nov 30 - Dec 6'!E$2:E$111,MATCH($B65,'Nov 30 - Dec 6'!$B$2:$B$111,0))-INDEX('Nov 23-29'!D$3:D$111,MATCH($B65,'Nov 23-29'!$B$3:$B$111,0))</f>
        <v>2</v>
      </c>
      <c r="F65" s="15">
        <f t="array" ref="F65">INDEX('Nov 30 - Dec 6'!F$2:F$111,MATCH($B65,'Nov 30 - Dec 6'!$B$2:$B$111,0))-INDEX('Nov 23-29'!E$3:E$111,MATCH($B65,'Nov 23-29'!$B$3:$B$111,0))</f>
        <v>-5</v>
      </c>
      <c r="G65" s="15">
        <f t="array" ref="G65">INDEX('Nov 30 - Dec 6'!G$2:G$111,MATCH($B65,'Nov 30 - Dec 6'!$B$2:$B$111,0))-INDEX('Nov 23-29'!F$3:F$111,MATCH($B65,'Nov 23-29'!$B$3:$B$111,0))</f>
        <v>0</v>
      </c>
      <c r="H65" s="15">
        <f t="array" ref="H65">INDEX('Nov 30 - Dec 6'!H$2:H$111,MATCH($B65,'Nov 30 - Dec 6'!$B$2:$B$111,0))-INDEX('Nov 23-29'!G$3:G$111,MATCH($B65,'Nov 23-29'!$B$3:$B$111,0))</f>
        <v>1</v>
      </c>
      <c r="I65" s="15">
        <f t="array" ref="I65">INDEX('Nov 30 - Dec 6'!I$2:I$111,MATCH($B65,'Nov 30 - Dec 6'!$B$2:$B$111,0))-INDEX('Nov 23-29'!H$3:H$111,MATCH($B65,'Nov 23-29'!$B$3:$B$111,0))</f>
        <v>-1</v>
      </c>
      <c r="J65" s="15">
        <f t="array" ref="J65">INDEX('Nov 30 - Dec 6'!J$2:J$111,MATCH($B65,'Nov 30 - Dec 6'!$B$2:$B$111,0))-INDEX('Nov 23-29'!I$3:I$111,MATCH($B65,'Nov 23-29'!$B$3:$B$111,0))</f>
        <v>0</v>
      </c>
      <c r="K65" s="15">
        <f t="array" ref="K65">INDEX('Nov 30 - Dec 6'!K$2:K$111,MATCH($B65,'Nov 30 - Dec 6'!$B$2:$B$111,0))-INDEX('Nov 23-29'!J$3:J$111,MATCH($B65,'Nov 23-29'!$B$3:$B$111,0))</f>
        <v>0</v>
      </c>
    </row>
    <row r="66" spans="2:11" ht="12.75">
      <c r="B66" s="13" t="s">
        <v>135</v>
      </c>
      <c r="C66" s="14" t="s">
        <v>147</v>
      </c>
      <c r="D66" s="15"/>
      <c r="E66" s="15">
        <f t="array" ref="E66">INDEX('Nov 30 - Dec 6'!E$2:E$111,MATCH($B66,'Nov 30 - Dec 6'!$B$2:$B$111,0))-INDEX('Nov 23-29'!D$3:D$111,MATCH($B66,'Nov 23-29'!$B$3:$B$111,0))</f>
        <v>53</v>
      </c>
      <c r="F66" s="15">
        <f t="array" ref="F66">INDEX('Nov 30 - Dec 6'!F$2:F$111,MATCH($B66,'Nov 30 - Dec 6'!$B$2:$B$111,0))-INDEX('Nov 23-29'!E$3:E$111,MATCH($B66,'Nov 23-29'!$B$3:$B$111,0))</f>
        <v>34</v>
      </c>
      <c r="G66" s="15">
        <f t="array" ref="G66">INDEX('Nov 30 - Dec 6'!G$2:G$111,MATCH($B66,'Nov 30 - Dec 6'!$B$2:$B$111,0))-INDEX('Nov 23-29'!F$3:F$111,MATCH($B66,'Nov 23-29'!$B$3:$B$111,0))</f>
        <v>3</v>
      </c>
      <c r="H66" s="15">
        <f t="array" ref="H66">INDEX('Nov 30 - Dec 6'!H$2:H$111,MATCH($B66,'Nov 30 - Dec 6'!$B$2:$B$111,0))-INDEX('Nov 23-29'!G$3:G$111,MATCH($B66,'Nov 23-29'!$B$3:$B$111,0))</f>
        <v>2</v>
      </c>
      <c r="I66" s="15">
        <f t="array" ref="I66">INDEX('Nov 30 - Dec 6'!I$2:I$111,MATCH($B66,'Nov 30 - Dec 6'!$B$2:$B$111,0))-INDEX('Nov 23-29'!H$3:H$111,MATCH($B66,'Nov 23-29'!$B$3:$B$111,0))</f>
        <v>1</v>
      </c>
      <c r="J66" s="15">
        <f t="array" ref="J66">INDEX('Nov 30 - Dec 6'!J$2:J$111,MATCH($B66,'Nov 30 - Dec 6'!$B$2:$B$111,0))-INDEX('Nov 23-29'!I$3:I$111,MATCH($B66,'Nov 23-29'!$B$3:$B$111,0))</f>
        <v>1</v>
      </c>
      <c r="K66" s="15">
        <f t="array" ref="K66">INDEX('Nov 30 - Dec 6'!K$2:K$111,MATCH($B66,'Nov 30 - Dec 6'!$B$2:$B$111,0))-INDEX('Nov 23-29'!J$3:J$111,MATCH($B66,'Nov 23-29'!$B$3:$B$111,0))</f>
        <v>1</v>
      </c>
    </row>
    <row r="67" spans="2:11" ht="12.75">
      <c r="B67" s="13" t="s">
        <v>136</v>
      </c>
      <c r="C67" s="14" t="s">
        <v>147</v>
      </c>
      <c r="D67" s="15"/>
      <c r="E67" s="15">
        <f t="array" ref="E67">INDEX('Nov 30 - Dec 6'!E$2:E$111,MATCH($B67,'Nov 30 - Dec 6'!$B$2:$B$111,0))-INDEX('Nov 23-29'!D$3:D$111,MATCH($B67,'Nov 23-29'!$B$3:$B$111,0))</f>
        <v>32</v>
      </c>
      <c r="F67" s="15">
        <f t="array" ref="F67">INDEX('Nov 30 - Dec 6'!F$2:F$111,MATCH($B67,'Nov 30 - Dec 6'!$B$2:$B$111,0))-INDEX('Nov 23-29'!E$3:E$111,MATCH($B67,'Nov 23-29'!$B$3:$B$111,0))</f>
        <v>2</v>
      </c>
      <c r="G67" s="15">
        <f t="array" ref="G67">INDEX('Nov 30 - Dec 6'!G$2:G$111,MATCH($B67,'Nov 30 - Dec 6'!$B$2:$B$111,0))-INDEX('Nov 23-29'!F$3:F$111,MATCH($B67,'Nov 23-29'!$B$3:$B$111,0))</f>
        <v>4</v>
      </c>
      <c r="H67" s="15">
        <f t="array" ref="H67">INDEX('Nov 30 - Dec 6'!H$2:H$111,MATCH($B67,'Nov 30 - Dec 6'!$B$2:$B$111,0))-INDEX('Nov 23-29'!G$3:G$111,MATCH($B67,'Nov 23-29'!$B$3:$B$111,0))</f>
        <v>2</v>
      </c>
      <c r="I67" s="15">
        <f t="array" ref="I67">INDEX('Nov 30 - Dec 6'!I$2:I$111,MATCH($B67,'Nov 30 - Dec 6'!$B$2:$B$111,0))-INDEX('Nov 23-29'!H$3:H$111,MATCH($B67,'Nov 23-29'!$B$3:$B$111,0))</f>
        <v>0</v>
      </c>
      <c r="J67" s="15">
        <f t="array" ref="J67">INDEX('Nov 30 - Dec 6'!J$2:J$111,MATCH($B67,'Nov 30 - Dec 6'!$B$2:$B$111,0))-INDEX('Nov 23-29'!I$3:I$111,MATCH($B67,'Nov 23-29'!$B$3:$B$111,0))</f>
        <v>0</v>
      </c>
      <c r="K67" s="15">
        <f t="array" ref="K67">INDEX('Nov 30 - Dec 6'!K$2:K$111,MATCH($B67,'Nov 30 - Dec 6'!$B$2:$B$111,0))-INDEX('Nov 23-29'!J$3:J$111,MATCH($B67,'Nov 23-29'!$B$3:$B$111,0))</f>
        <v>0</v>
      </c>
    </row>
    <row r="68" spans="2:11" ht="12.75">
      <c r="B68" s="13" t="s">
        <v>137</v>
      </c>
      <c r="C68" s="15" t="s">
        <v>142</v>
      </c>
      <c r="D68" s="15"/>
      <c r="E68" s="15">
        <f t="array" ref="E68">INDEX('Nov 30 - Dec 6'!E$2:E$111,MATCH($B68,'Nov 30 - Dec 6'!$B$2:$B$111,0))-INDEX('Nov 23-29'!D$3:D$111,MATCH($B68,'Nov 23-29'!$B$3:$B$111,0))</f>
        <v>1</v>
      </c>
      <c r="F68" s="15">
        <f t="array" ref="F68">INDEX('Nov 30 - Dec 6'!F$2:F$111,MATCH($B68,'Nov 30 - Dec 6'!$B$2:$B$111,0))-INDEX('Nov 23-29'!E$3:E$111,MATCH($B68,'Nov 23-29'!$B$3:$B$111,0))</f>
        <v>0</v>
      </c>
      <c r="G68" s="15">
        <f t="array" ref="G68">INDEX('Nov 30 - Dec 6'!G$2:G$111,MATCH($B68,'Nov 30 - Dec 6'!$B$2:$B$111,0))-INDEX('Nov 23-29'!F$3:F$111,MATCH($B68,'Nov 23-29'!$B$3:$B$111,0))</f>
        <v>0</v>
      </c>
      <c r="H68" s="15">
        <f t="array" ref="H68">INDEX('Nov 30 - Dec 6'!H$2:H$111,MATCH($B68,'Nov 30 - Dec 6'!$B$2:$B$111,0))-INDEX('Nov 23-29'!G$3:G$111,MATCH($B68,'Nov 23-29'!$B$3:$B$111,0))</f>
        <v>0</v>
      </c>
      <c r="I68" s="15">
        <f t="array" ref="I68">INDEX('Nov 30 - Dec 6'!I$2:I$111,MATCH($B68,'Nov 30 - Dec 6'!$B$2:$B$111,0))-INDEX('Nov 23-29'!H$3:H$111,MATCH($B68,'Nov 23-29'!$B$3:$B$111,0))</f>
        <v>0</v>
      </c>
      <c r="J68" s="15">
        <f t="array" ref="J68">INDEX('Nov 30 - Dec 6'!J$2:J$111,MATCH($B68,'Nov 30 - Dec 6'!$B$2:$B$111,0))-INDEX('Nov 23-29'!I$3:I$111,MATCH($B68,'Nov 23-29'!$B$3:$B$111,0))</f>
        <v>0</v>
      </c>
      <c r="K68" s="15">
        <f t="array" ref="K68">INDEX('Nov 30 - Dec 6'!K$2:K$111,MATCH($B68,'Nov 30 - Dec 6'!$B$2:$B$111,0))-INDEX('Nov 23-29'!J$3:J$111,MATCH($B68,'Nov 23-29'!$B$3:$B$111,0))</f>
        <v>0</v>
      </c>
    </row>
    <row r="69" spans="2:11" ht="12.75">
      <c r="B69" s="13" t="s">
        <v>40</v>
      </c>
      <c r="C69" s="15" t="s">
        <v>142</v>
      </c>
      <c r="D69" s="15"/>
      <c r="E69" s="15">
        <f t="array" ref="E69">INDEX('Nov 30 - Dec 6'!E$2:E$111,MATCH($B69,'Nov 30 - Dec 6'!$B$2:$B$111,0))-INDEX('Nov 23-29'!D$3:D$111,MATCH($B69,'Nov 23-29'!$B$3:$B$111,0))</f>
        <v>-92</v>
      </c>
      <c r="F69" s="15">
        <f t="array" ref="F69">INDEX('Nov 30 - Dec 6'!F$2:F$111,MATCH($B69,'Nov 30 - Dec 6'!$B$2:$B$111,0))-INDEX('Nov 23-29'!E$3:E$111,MATCH($B69,'Nov 23-29'!$B$3:$B$111,0))</f>
        <v>-14</v>
      </c>
      <c r="G69" s="15">
        <f t="array" ref="G69">INDEX('Nov 30 - Dec 6'!G$2:G$111,MATCH($B69,'Nov 30 - Dec 6'!$B$2:$B$111,0))-INDEX('Nov 23-29'!F$3:F$111,MATCH($B69,'Nov 23-29'!$B$3:$B$111,0))</f>
        <v>-2</v>
      </c>
      <c r="H69" s="15">
        <f t="array" ref="H69">INDEX('Nov 30 - Dec 6'!H$2:H$111,MATCH($B69,'Nov 30 - Dec 6'!$B$2:$B$111,0))-INDEX('Nov 23-29'!G$3:G$111,MATCH($B69,'Nov 23-29'!$B$3:$B$111,0))</f>
        <v>-2</v>
      </c>
      <c r="I69" s="15">
        <f t="array" ref="I69">INDEX('Nov 30 - Dec 6'!I$2:I$111,MATCH($B69,'Nov 30 - Dec 6'!$B$2:$B$111,0))-INDEX('Nov 23-29'!H$3:H$111,MATCH($B69,'Nov 23-29'!$B$3:$B$111,0))</f>
        <v>-1</v>
      </c>
      <c r="J69" s="15">
        <f t="array" ref="J69">INDEX('Nov 30 - Dec 6'!J$2:J$111,MATCH($B69,'Nov 30 - Dec 6'!$B$2:$B$111,0))-INDEX('Nov 23-29'!I$3:I$111,MATCH($B69,'Nov 23-29'!$B$3:$B$111,0))</f>
        <v>-1</v>
      </c>
      <c r="K69" s="15">
        <f t="array" ref="K69">INDEX('Nov 30 - Dec 6'!K$2:K$111,MATCH($B69,'Nov 30 - Dec 6'!$B$2:$B$111,0))-INDEX('Nov 23-29'!J$3:J$111,MATCH($B69,'Nov 23-29'!$B$3:$B$111,0))</f>
        <v>-3</v>
      </c>
    </row>
    <row r="70" spans="2:11" ht="12.75">
      <c r="B70" s="13" t="s">
        <v>32</v>
      </c>
      <c r="C70" s="14" t="s">
        <v>147</v>
      </c>
      <c r="D70" s="15"/>
      <c r="E70" s="15">
        <f t="array" ref="E70">INDEX('Nov 30 - Dec 6'!E$2:E$111,MATCH($B70,'Nov 30 - Dec 6'!$B$2:$B$111,0))-INDEX('Nov 23-29'!D$3:D$111,MATCH($B70,'Nov 23-29'!$B$3:$B$111,0))</f>
        <v>30</v>
      </c>
      <c r="F70" s="15">
        <f t="array" ref="F70">INDEX('Nov 30 - Dec 6'!F$2:F$111,MATCH($B70,'Nov 30 - Dec 6'!$B$2:$B$111,0))-INDEX('Nov 23-29'!E$3:E$111,MATCH($B70,'Nov 23-29'!$B$3:$B$111,0))</f>
        <v>1</v>
      </c>
      <c r="G70" s="15">
        <f t="array" ref="G70">INDEX('Nov 30 - Dec 6'!G$2:G$111,MATCH($B70,'Nov 30 - Dec 6'!$B$2:$B$111,0))-INDEX('Nov 23-29'!F$3:F$111,MATCH($B70,'Nov 23-29'!$B$3:$B$111,0))</f>
        <v>2</v>
      </c>
      <c r="H70" s="15">
        <f t="array" ref="H70">INDEX('Nov 30 - Dec 6'!H$2:H$111,MATCH($B70,'Nov 30 - Dec 6'!$B$2:$B$111,0))-INDEX('Nov 23-29'!G$3:G$111,MATCH($B70,'Nov 23-29'!$B$3:$B$111,0))</f>
        <v>2</v>
      </c>
      <c r="I70" s="15">
        <f t="array" ref="I70">INDEX('Nov 30 - Dec 6'!I$2:I$111,MATCH($B70,'Nov 30 - Dec 6'!$B$2:$B$111,0))-INDEX('Nov 23-29'!H$3:H$111,MATCH($B70,'Nov 23-29'!$B$3:$B$111,0))</f>
        <v>-1</v>
      </c>
      <c r="J70" s="15">
        <f t="array" ref="J70">INDEX('Nov 30 - Dec 6'!J$2:J$111,MATCH($B70,'Nov 30 - Dec 6'!$B$2:$B$111,0))-INDEX('Nov 23-29'!I$3:I$111,MATCH($B70,'Nov 23-29'!$B$3:$B$111,0))</f>
        <v>-1</v>
      </c>
      <c r="K70" s="15">
        <f t="array" ref="K70">INDEX('Nov 30 - Dec 6'!K$2:K$111,MATCH($B70,'Nov 30 - Dec 6'!$B$2:$B$111,0))-INDEX('Nov 23-29'!J$3:J$111,MATCH($B70,'Nov 23-29'!$B$3:$B$111,0))</f>
        <v>1</v>
      </c>
    </row>
    <row r="71" spans="2:11" ht="12.75">
      <c r="B71" s="13" t="s">
        <v>45</v>
      </c>
      <c r="C71" s="14" t="s">
        <v>147</v>
      </c>
      <c r="D71" s="15"/>
      <c r="E71" s="15">
        <f t="array" ref="E71">INDEX('Nov 30 - Dec 6'!E$2:E$111,MATCH($B71,'Nov 30 - Dec 6'!$B$2:$B$111,0))-INDEX('Nov 23-29'!D$3:D$111,MATCH($B71,'Nov 23-29'!$B$3:$B$111,0))</f>
        <v>-4</v>
      </c>
      <c r="F71" s="15">
        <f t="array" ref="F71">INDEX('Nov 30 - Dec 6'!F$2:F$111,MATCH($B71,'Nov 30 - Dec 6'!$B$2:$B$111,0))-INDEX('Nov 23-29'!E$3:E$111,MATCH($B71,'Nov 23-29'!$B$3:$B$111,0))</f>
        <v>-7</v>
      </c>
      <c r="G71" s="15">
        <f t="array" ref="G71">INDEX('Nov 30 - Dec 6'!G$2:G$111,MATCH($B71,'Nov 30 - Dec 6'!$B$2:$B$111,0))-INDEX('Nov 23-29'!F$3:F$111,MATCH($B71,'Nov 23-29'!$B$3:$B$111,0))</f>
        <v>-1</v>
      </c>
      <c r="H71" s="15">
        <f t="array" ref="H71">INDEX('Nov 30 - Dec 6'!H$2:H$111,MATCH($B71,'Nov 30 - Dec 6'!$B$2:$B$111,0))-INDEX('Nov 23-29'!G$3:G$111,MATCH($B71,'Nov 23-29'!$B$3:$B$111,0))</f>
        <v>-1</v>
      </c>
      <c r="I71" s="15">
        <f t="array" ref="I71">INDEX('Nov 30 - Dec 6'!I$2:I$111,MATCH($B71,'Nov 30 - Dec 6'!$B$2:$B$111,0))-INDEX('Nov 23-29'!H$3:H$111,MATCH($B71,'Nov 23-29'!$B$3:$B$111,0))</f>
        <v>0</v>
      </c>
      <c r="J71" s="15">
        <f t="array" ref="J71">INDEX('Nov 30 - Dec 6'!J$2:J$111,MATCH($B71,'Nov 30 - Dec 6'!$B$2:$B$111,0))-INDEX('Nov 23-29'!I$3:I$111,MATCH($B71,'Nov 23-29'!$B$3:$B$111,0))</f>
        <v>1</v>
      </c>
      <c r="K71" s="15">
        <f t="array" ref="K71">INDEX('Nov 30 - Dec 6'!K$2:K$111,MATCH($B71,'Nov 30 - Dec 6'!$B$2:$B$111,0))-INDEX('Nov 23-29'!J$3:J$111,MATCH($B71,'Nov 23-29'!$B$3:$B$111,0))</f>
        <v>1</v>
      </c>
    </row>
    <row r="72" spans="2:11" ht="12.75">
      <c r="B72" s="13" t="s">
        <v>26</v>
      </c>
      <c r="C72" s="14" t="s">
        <v>147</v>
      </c>
      <c r="D72" s="15"/>
      <c r="E72" s="15">
        <f t="array" ref="E72">INDEX('Nov 30 - Dec 6'!E$2:E$111,MATCH($B72,'Nov 30 - Dec 6'!$B$2:$B$111,0))-INDEX('Nov 23-29'!D$3:D$111,MATCH($B72,'Nov 23-29'!$B$3:$B$111,0))</f>
        <v>-3</v>
      </c>
      <c r="F72" s="15">
        <f t="array" ref="F72">INDEX('Nov 30 - Dec 6'!F$2:F$111,MATCH($B72,'Nov 30 - Dec 6'!$B$2:$B$111,0))-INDEX('Nov 23-29'!E$3:E$111,MATCH($B72,'Nov 23-29'!$B$3:$B$111,0))</f>
        <v>0</v>
      </c>
      <c r="G72" s="15">
        <f t="array" ref="G72">INDEX('Nov 30 - Dec 6'!G$2:G$111,MATCH($B72,'Nov 30 - Dec 6'!$B$2:$B$111,0))-INDEX('Nov 23-29'!F$3:F$111,MATCH($B72,'Nov 23-29'!$B$3:$B$111,0))</f>
        <v>1</v>
      </c>
      <c r="H72" s="15">
        <f t="array" ref="H72">INDEX('Nov 30 - Dec 6'!H$2:H$111,MATCH($B72,'Nov 30 - Dec 6'!$B$2:$B$111,0))-INDEX('Nov 23-29'!G$3:G$111,MATCH($B72,'Nov 23-29'!$B$3:$B$111,0))</f>
        <v>-1</v>
      </c>
      <c r="I72" s="15">
        <f t="array" ref="I72">INDEX('Nov 30 - Dec 6'!I$2:I$111,MATCH($B72,'Nov 30 - Dec 6'!$B$2:$B$111,0))-INDEX('Nov 23-29'!H$3:H$111,MATCH($B72,'Nov 23-29'!$B$3:$B$111,0))</f>
        <v>0</v>
      </c>
      <c r="J72" s="15">
        <f t="array" ref="J72">INDEX('Nov 30 - Dec 6'!J$2:J$111,MATCH($B72,'Nov 30 - Dec 6'!$B$2:$B$111,0))-INDEX('Nov 23-29'!I$3:I$111,MATCH($B72,'Nov 23-29'!$B$3:$B$111,0))</f>
        <v>0</v>
      </c>
      <c r="K72" s="15">
        <f t="array" ref="K72">INDEX('Nov 30 - Dec 6'!K$2:K$111,MATCH($B72,'Nov 30 - Dec 6'!$B$2:$B$111,0))-INDEX('Nov 23-29'!J$3:J$111,MATCH($B72,'Nov 23-29'!$B$3:$B$111,0))</f>
        <v>0</v>
      </c>
    </row>
    <row r="73" spans="2:11" ht="12.75">
      <c r="B73" s="13" t="s">
        <v>84</v>
      </c>
      <c r="C73" s="14" t="s">
        <v>147</v>
      </c>
      <c r="D73" s="15"/>
      <c r="E73" s="15">
        <f t="array" ref="E73">INDEX('Nov 30 - Dec 6'!E$2:E$111,MATCH($B73,'Nov 30 - Dec 6'!$B$2:$B$111,0))-INDEX('Nov 23-29'!D$3:D$111,MATCH($B73,'Nov 23-29'!$B$3:$B$111,0))</f>
        <v>6</v>
      </c>
      <c r="F73" s="15">
        <f t="array" ref="F73">INDEX('Nov 30 - Dec 6'!F$2:F$111,MATCH($B73,'Nov 30 - Dec 6'!$B$2:$B$111,0))-INDEX('Nov 23-29'!E$3:E$111,MATCH($B73,'Nov 23-29'!$B$3:$B$111,0))</f>
        <v>0</v>
      </c>
      <c r="G73" s="15">
        <f t="array" ref="G73">INDEX('Nov 30 - Dec 6'!G$2:G$111,MATCH($B73,'Nov 30 - Dec 6'!$B$2:$B$111,0))-INDEX('Nov 23-29'!F$3:F$111,MATCH($B73,'Nov 23-29'!$B$3:$B$111,0))</f>
        <v>-1</v>
      </c>
      <c r="H73" s="15">
        <f t="array" ref="H73">INDEX('Nov 30 - Dec 6'!H$2:H$111,MATCH($B73,'Nov 30 - Dec 6'!$B$2:$B$111,0))-INDEX('Nov 23-29'!G$3:G$111,MATCH($B73,'Nov 23-29'!$B$3:$B$111,0))</f>
        <v>1</v>
      </c>
      <c r="I73" s="15">
        <f t="array" ref="I73">INDEX('Nov 30 - Dec 6'!I$2:I$111,MATCH($B73,'Nov 30 - Dec 6'!$B$2:$B$111,0))-INDEX('Nov 23-29'!H$3:H$111,MATCH($B73,'Nov 23-29'!$B$3:$B$111,0))</f>
        <v>0</v>
      </c>
      <c r="J73" s="15">
        <f t="array" ref="J73">INDEX('Nov 30 - Dec 6'!J$2:J$111,MATCH($B73,'Nov 30 - Dec 6'!$B$2:$B$111,0))-INDEX('Nov 23-29'!I$3:I$111,MATCH($B73,'Nov 23-29'!$B$3:$B$111,0))</f>
        <v>0</v>
      </c>
      <c r="K73" s="15">
        <f t="array" ref="K73">INDEX('Nov 30 - Dec 6'!K$2:K$111,MATCH($B73,'Nov 30 - Dec 6'!$B$2:$B$111,0))-INDEX('Nov 23-29'!J$3:J$111,MATCH($B73,'Nov 23-29'!$B$3:$B$111,0))</f>
        <v>0</v>
      </c>
    </row>
    <row r="74" spans="2:11" ht="12.75">
      <c r="B74" s="13" t="s">
        <v>73</v>
      </c>
      <c r="C74" s="14" t="s">
        <v>147</v>
      </c>
      <c r="D74" s="15"/>
      <c r="E74" s="15">
        <f t="array" ref="E74">INDEX('Nov 30 - Dec 6'!E$2:E$111,MATCH($B74,'Nov 30 - Dec 6'!$B$2:$B$111,0))-INDEX('Nov 23-29'!D$3:D$111,MATCH($B74,'Nov 23-29'!$B$3:$B$111,0))</f>
        <v>-7</v>
      </c>
      <c r="F74" s="15">
        <f t="array" ref="F74">INDEX('Nov 30 - Dec 6'!F$2:F$111,MATCH($B74,'Nov 30 - Dec 6'!$B$2:$B$111,0))-INDEX('Nov 23-29'!E$3:E$111,MATCH($B74,'Nov 23-29'!$B$3:$B$111,0))</f>
        <v>-2</v>
      </c>
      <c r="G74" s="15">
        <f t="array" ref="G74">INDEX('Nov 30 - Dec 6'!G$2:G$111,MATCH($B74,'Nov 30 - Dec 6'!$B$2:$B$111,0))-INDEX('Nov 23-29'!F$3:F$111,MATCH($B74,'Nov 23-29'!$B$3:$B$111,0))</f>
        <v>1</v>
      </c>
      <c r="H74" s="15">
        <f t="array" ref="H74">INDEX('Nov 30 - Dec 6'!H$2:H$111,MATCH($B74,'Nov 30 - Dec 6'!$B$2:$B$111,0))-INDEX('Nov 23-29'!G$3:G$111,MATCH($B74,'Nov 23-29'!$B$3:$B$111,0))</f>
        <v>0</v>
      </c>
      <c r="I74" s="15">
        <f t="array" ref="I74">INDEX('Nov 30 - Dec 6'!I$2:I$111,MATCH($B74,'Nov 30 - Dec 6'!$B$2:$B$111,0))-INDEX('Nov 23-29'!H$3:H$111,MATCH($B74,'Nov 23-29'!$B$3:$B$111,0))</f>
        <v>0</v>
      </c>
      <c r="J74" s="15">
        <f t="array" ref="J74">INDEX('Nov 30 - Dec 6'!J$2:J$111,MATCH($B74,'Nov 30 - Dec 6'!$B$2:$B$111,0))-INDEX('Nov 23-29'!I$3:I$111,MATCH($B74,'Nov 23-29'!$B$3:$B$111,0))</f>
        <v>0</v>
      </c>
      <c r="K74" s="15">
        <f t="array" ref="K74">INDEX('Nov 30 - Dec 6'!K$2:K$111,MATCH($B74,'Nov 30 - Dec 6'!$B$2:$B$111,0))-INDEX('Nov 23-29'!J$3:J$111,MATCH($B74,'Nov 23-29'!$B$3:$B$111,0))</f>
        <v>0</v>
      </c>
    </row>
    <row r="75" spans="2:11" ht="12.75">
      <c r="B75" s="13" t="s">
        <v>102</v>
      </c>
      <c r="C75" s="14" t="s">
        <v>147</v>
      </c>
      <c r="D75" s="15"/>
      <c r="E75" s="15">
        <f t="array" ref="E75">INDEX('Nov 30 - Dec 6'!E$2:E$111,MATCH($B75,'Nov 30 - Dec 6'!$B$2:$B$111,0))-INDEX('Nov 23-29'!D$3:D$111,MATCH($B75,'Nov 23-29'!$B$3:$B$111,0))</f>
        <v>17</v>
      </c>
      <c r="F75" s="15">
        <f t="array" ref="F75">INDEX('Nov 30 - Dec 6'!F$2:F$111,MATCH($B75,'Nov 30 - Dec 6'!$B$2:$B$111,0))-INDEX('Nov 23-29'!E$3:E$111,MATCH($B75,'Nov 23-29'!$B$3:$B$111,0))</f>
        <v>4</v>
      </c>
      <c r="G75" s="15">
        <f t="array" ref="G75">INDEX('Nov 30 - Dec 6'!G$2:G$111,MATCH($B75,'Nov 30 - Dec 6'!$B$2:$B$111,0))-INDEX('Nov 23-29'!F$3:F$111,MATCH($B75,'Nov 23-29'!$B$3:$B$111,0))</f>
        <v>1</v>
      </c>
      <c r="H75" s="15">
        <f t="array" ref="H75">INDEX('Nov 30 - Dec 6'!H$2:H$111,MATCH($B75,'Nov 30 - Dec 6'!$B$2:$B$111,0))-INDEX('Nov 23-29'!G$3:G$111,MATCH($B75,'Nov 23-29'!$B$3:$B$111,0))</f>
        <v>1</v>
      </c>
      <c r="I75" s="15">
        <f t="array" ref="I75">INDEX('Nov 30 - Dec 6'!I$2:I$111,MATCH($B75,'Nov 30 - Dec 6'!$B$2:$B$111,0))-INDEX('Nov 23-29'!H$3:H$111,MATCH($B75,'Nov 23-29'!$B$3:$B$111,0))</f>
        <v>0</v>
      </c>
      <c r="J75" s="15">
        <f t="array" ref="J75">INDEX('Nov 30 - Dec 6'!J$2:J$111,MATCH($B75,'Nov 30 - Dec 6'!$B$2:$B$111,0))-INDEX('Nov 23-29'!I$3:I$111,MATCH($B75,'Nov 23-29'!$B$3:$B$111,0))</f>
        <v>-1</v>
      </c>
      <c r="K75" s="15">
        <f t="array" ref="K75">INDEX('Nov 30 - Dec 6'!K$2:K$111,MATCH($B75,'Nov 30 - Dec 6'!$B$2:$B$111,0))-INDEX('Nov 23-29'!J$3:J$111,MATCH($B75,'Nov 23-29'!$B$3:$B$111,0))</f>
        <v>1</v>
      </c>
    </row>
    <row r="76" spans="2:11" ht="12.75">
      <c r="B76" s="13" t="s">
        <v>76</v>
      </c>
      <c r="C76" s="14" t="s">
        <v>147</v>
      </c>
      <c r="D76" s="15"/>
      <c r="E76" s="15">
        <f t="array" ref="E76">INDEX('Nov 30 - Dec 6'!E$2:E$111,MATCH($B76,'Nov 30 - Dec 6'!$B$2:$B$111,0))-INDEX('Nov 23-29'!D$3:D$111,MATCH($B76,'Nov 23-29'!$B$3:$B$111,0))</f>
        <v>59</v>
      </c>
      <c r="F76" s="15">
        <f t="array" ref="F76">INDEX('Nov 30 - Dec 6'!F$2:F$111,MATCH($B76,'Nov 30 - Dec 6'!$B$2:$B$111,0))-INDEX('Nov 23-29'!E$3:E$111,MATCH($B76,'Nov 23-29'!$B$3:$B$111,0))</f>
        <v>38</v>
      </c>
      <c r="G76" s="15">
        <f t="array" ref="G76">INDEX('Nov 30 - Dec 6'!G$2:G$111,MATCH($B76,'Nov 30 - Dec 6'!$B$2:$B$111,0))-INDEX('Nov 23-29'!F$3:F$111,MATCH($B76,'Nov 23-29'!$B$3:$B$111,0))</f>
        <v>4</v>
      </c>
      <c r="H76" s="15">
        <f t="array" ref="H76">INDEX('Nov 30 - Dec 6'!H$2:H$111,MATCH($B76,'Nov 30 - Dec 6'!$B$2:$B$111,0))-INDEX('Nov 23-29'!G$3:G$111,MATCH($B76,'Nov 23-29'!$B$3:$B$111,0))</f>
        <v>0</v>
      </c>
      <c r="I76" s="15">
        <f t="array" ref="I76">INDEX('Nov 30 - Dec 6'!I$2:I$111,MATCH($B76,'Nov 30 - Dec 6'!$B$2:$B$111,0))-INDEX('Nov 23-29'!H$3:H$111,MATCH($B76,'Nov 23-29'!$B$3:$B$111,0))</f>
        <v>0</v>
      </c>
      <c r="J76" s="15">
        <f t="array" ref="J76">INDEX('Nov 30 - Dec 6'!J$2:J$111,MATCH($B76,'Nov 30 - Dec 6'!$B$2:$B$111,0))-INDEX('Nov 23-29'!I$3:I$111,MATCH($B76,'Nov 23-29'!$B$3:$B$111,0))</f>
        <v>0</v>
      </c>
      <c r="K76" s="15">
        <f t="array" ref="K76">INDEX('Nov 30 - Dec 6'!K$2:K$111,MATCH($B76,'Nov 30 - Dec 6'!$B$2:$B$111,0))-INDEX('Nov 23-29'!J$3:J$111,MATCH($B76,'Nov 23-29'!$B$3:$B$111,0))</f>
        <v>0</v>
      </c>
    </row>
    <row r="77" spans="2:11" ht="12.75">
      <c r="B77" s="13" t="s">
        <v>63</v>
      </c>
      <c r="C77" s="14" t="s">
        <v>147</v>
      </c>
      <c r="D77" s="15"/>
      <c r="E77" s="15">
        <f t="array" ref="E77">INDEX('Nov 30 - Dec 6'!E$2:E$111,MATCH($B77,'Nov 30 - Dec 6'!$B$2:$B$111,0))-INDEX('Nov 23-29'!D$3:D$111,MATCH($B77,'Nov 23-29'!$B$3:$B$111,0))</f>
        <v>26</v>
      </c>
      <c r="F77" s="15">
        <f t="array" ref="F77">INDEX('Nov 30 - Dec 6'!F$2:F$111,MATCH($B77,'Nov 30 - Dec 6'!$B$2:$B$111,0))-INDEX('Nov 23-29'!E$3:E$111,MATCH($B77,'Nov 23-29'!$B$3:$B$111,0))</f>
        <v>3</v>
      </c>
      <c r="G77" s="15">
        <f t="array" ref="G77">INDEX('Nov 30 - Dec 6'!G$2:G$111,MATCH($B77,'Nov 30 - Dec 6'!$B$2:$B$111,0))-INDEX('Nov 23-29'!F$3:F$111,MATCH($B77,'Nov 23-29'!$B$3:$B$111,0))</f>
        <v>0</v>
      </c>
      <c r="H77" s="15">
        <f t="array" ref="H77">INDEX('Nov 30 - Dec 6'!H$2:H$111,MATCH($B77,'Nov 30 - Dec 6'!$B$2:$B$111,0))-INDEX('Nov 23-29'!G$3:G$111,MATCH($B77,'Nov 23-29'!$B$3:$B$111,0))</f>
        <v>2</v>
      </c>
      <c r="I77" s="15">
        <f t="array" ref="I77">INDEX('Nov 30 - Dec 6'!I$2:I$111,MATCH($B77,'Nov 30 - Dec 6'!$B$2:$B$111,0))-INDEX('Nov 23-29'!H$3:H$111,MATCH($B77,'Nov 23-29'!$B$3:$B$111,0))</f>
        <v>0</v>
      </c>
      <c r="J77" s="15">
        <f t="array" ref="J77">INDEX('Nov 30 - Dec 6'!J$2:J$111,MATCH($B77,'Nov 30 - Dec 6'!$B$2:$B$111,0))-INDEX('Nov 23-29'!I$3:I$111,MATCH($B77,'Nov 23-29'!$B$3:$B$111,0))</f>
        <v>0</v>
      </c>
      <c r="K77" s="15">
        <f t="array" ref="K77">INDEX('Nov 30 - Dec 6'!K$2:K$111,MATCH($B77,'Nov 30 - Dec 6'!$B$2:$B$111,0))-INDEX('Nov 23-29'!J$3:J$111,MATCH($B77,'Nov 23-29'!$B$3:$B$111,0))</f>
        <v>0</v>
      </c>
    </row>
    <row r="78" spans="2:11" ht="12.75">
      <c r="B78" s="13" t="s">
        <v>60</v>
      </c>
      <c r="C78" s="14" t="s">
        <v>147</v>
      </c>
      <c r="D78" s="15"/>
      <c r="E78" s="15">
        <f t="array" ref="E78">INDEX('Nov 30 - Dec 6'!E$2:E$111,MATCH($B78,'Nov 30 - Dec 6'!$B$2:$B$111,0))-INDEX('Nov 23-29'!D$3:D$111,MATCH($B78,'Nov 23-29'!$B$3:$B$111,0))</f>
        <v>2</v>
      </c>
      <c r="F78" s="15">
        <f t="array" ref="F78">INDEX('Nov 30 - Dec 6'!F$2:F$111,MATCH($B78,'Nov 30 - Dec 6'!$B$2:$B$111,0))-INDEX('Nov 23-29'!E$3:E$111,MATCH($B78,'Nov 23-29'!$B$3:$B$111,0))</f>
        <v>-2</v>
      </c>
      <c r="G78" s="15">
        <f t="array" ref="G78">INDEX('Nov 30 - Dec 6'!G$2:G$111,MATCH($B78,'Nov 30 - Dec 6'!$B$2:$B$111,0))-INDEX('Nov 23-29'!F$3:F$111,MATCH($B78,'Nov 23-29'!$B$3:$B$111,0))</f>
        <v>-1</v>
      </c>
      <c r="H78" s="15">
        <f t="array" ref="H78">INDEX('Nov 30 - Dec 6'!H$2:H$111,MATCH($B78,'Nov 30 - Dec 6'!$B$2:$B$111,0))-INDEX('Nov 23-29'!G$3:G$111,MATCH($B78,'Nov 23-29'!$B$3:$B$111,0))</f>
        <v>2</v>
      </c>
      <c r="I78" s="15">
        <f t="array" ref="I78">INDEX('Nov 30 - Dec 6'!I$2:I$111,MATCH($B78,'Nov 30 - Dec 6'!$B$2:$B$111,0))-INDEX('Nov 23-29'!H$3:H$111,MATCH($B78,'Nov 23-29'!$B$3:$B$111,0))</f>
        <v>0</v>
      </c>
      <c r="J78" s="15">
        <f t="array" ref="J78">INDEX('Nov 30 - Dec 6'!J$2:J$111,MATCH($B78,'Nov 30 - Dec 6'!$B$2:$B$111,0))-INDEX('Nov 23-29'!I$3:I$111,MATCH($B78,'Nov 23-29'!$B$3:$B$111,0))</f>
        <v>0</v>
      </c>
      <c r="K78" s="15">
        <f t="array" ref="K78">INDEX('Nov 30 - Dec 6'!K$2:K$111,MATCH($B78,'Nov 30 - Dec 6'!$B$2:$B$111,0))-INDEX('Nov 23-29'!J$3:J$111,MATCH($B78,'Nov 23-29'!$B$3:$B$111,0))</f>
        <v>0</v>
      </c>
    </row>
    <row r="79" spans="2:11" ht="12.75">
      <c r="B79" s="13" t="s">
        <v>54</v>
      </c>
      <c r="C79" s="14" t="s">
        <v>147</v>
      </c>
      <c r="D79" s="15"/>
      <c r="E79" s="15">
        <f t="array" ref="E79">INDEX('Nov 30 - Dec 6'!E$2:E$111,MATCH($B79,'Nov 30 - Dec 6'!$B$2:$B$111,0))-INDEX('Nov 23-29'!D$3:D$111,MATCH($B79,'Nov 23-29'!$B$3:$B$111,0))</f>
        <v>47</v>
      </c>
      <c r="F79" s="15">
        <f t="array" ref="F79">INDEX('Nov 30 - Dec 6'!F$2:F$111,MATCH($B79,'Nov 30 - Dec 6'!$B$2:$B$111,0))-INDEX('Nov 23-29'!E$3:E$111,MATCH($B79,'Nov 23-29'!$B$3:$B$111,0))</f>
        <v>19</v>
      </c>
      <c r="G79" s="15">
        <f t="array" ref="G79">INDEX('Nov 30 - Dec 6'!G$2:G$111,MATCH($B79,'Nov 30 - Dec 6'!$B$2:$B$111,0))-INDEX('Nov 23-29'!F$3:F$111,MATCH($B79,'Nov 23-29'!$B$3:$B$111,0))</f>
        <v>3</v>
      </c>
      <c r="H79" s="15">
        <f t="array" ref="H79">INDEX('Nov 30 - Dec 6'!H$2:H$111,MATCH($B79,'Nov 30 - Dec 6'!$B$2:$B$111,0))-INDEX('Nov 23-29'!G$3:G$111,MATCH($B79,'Nov 23-29'!$B$3:$B$111,0))</f>
        <v>2</v>
      </c>
      <c r="I79" s="15">
        <f t="array" ref="I79">INDEX('Nov 30 - Dec 6'!I$2:I$111,MATCH($B79,'Nov 30 - Dec 6'!$B$2:$B$111,0))-INDEX('Nov 23-29'!H$3:H$111,MATCH($B79,'Nov 23-29'!$B$3:$B$111,0))</f>
        <v>2</v>
      </c>
      <c r="J79" s="15">
        <f t="array" ref="J79">INDEX('Nov 30 - Dec 6'!J$2:J$111,MATCH($B79,'Nov 30 - Dec 6'!$B$2:$B$111,0))-INDEX('Nov 23-29'!I$3:I$111,MATCH($B79,'Nov 23-29'!$B$3:$B$111,0))</f>
        <v>0</v>
      </c>
      <c r="K79" s="15">
        <f t="array" ref="K79">INDEX('Nov 30 - Dec 6'!K$2:K$111,MATCH($B79,'Nov 30 - Dec 6'!$B$2:$B$111,0))-INDEX('Nov 23-29'!J$3:J$111,MATCH($B79,'Nov 23-29'!$B$3:$B$111,0))</f>
        <v>0</v>
      </c>
    </row>
    <row r="80" spans="2:11" ht="12.75">
      <c r="B80" s="13" t="s">
        <v>71</v>
      </c>
      <c r="C80" s="14" t="s">
        <v>147</v>
      </c>
      <c r="D80" s="15"/>
      <c r="E80" s="15">
        <f t="array" ref="E80">INDEX('Nov 30 - Dec 6'!E$2:E$111,MATCH($B80,'Nov 30 - Dec 6'!$B$2:$B$111,0))-INDEX('Nov 23-29'!D$3:D$111,MATCH($B80,'Nov 23-29'!$B$3:$B$111,0))</f>
        <v>20</v>
      </c>
      <c r="F80" s="15">
        <f t="array" ref="F80">INDEX('Nov 30 - Dec 6'!F$2:F$111,MATCH($B80,'Nov 30 - Dec 6'!$B$2:$B$111,0))-INDEX('Nov 23-29'!E$3:E$111,MATCH($B80,'Nov 23-29'!$B$3:$B$111,0))</f>
        <v>6</v>
      </c>
      <c r="G80" s="15">
        <f t="array" ref="G80">INDEX('Nov 30 - Dec 6'!G$2:G$111,MATCH($B80,'Nov 30 - Dec 6'!$B$2:$B$111,0))-INDEX('Nov 23-29'!F$3:F$111,MATCH($B80,'Nov 23-29'!$B$3:$B$111,0))</f>
        <v>1</v>
      </c>
      <c r="H80" s="15">
        <f t="array" ref="H80">INDEX('Nov 30 - Dec 6'!H$2:H$111,MATCH($B80,'Nov 30 - Dec 6'!$B$2:$B$111,0))-INDEX('Nov 23-29'!G$3:G$111,MATCH($B80,'Nov 23-29'!$B$3:$B$111,0))</f>
        <v>2</v>
      </c>
      <c r="I80" s="15">
        <f t="array" ref="I80">INDEX('Nov 30 - Dec 6'!I$2:I$111,MATCH($B80,'Nov 30 - Dec 6'!$B$2:$B$111,0))-INDEX('Nov 23-29'!H$3:H$111,MATCH($B80,'Nov 23-29'!$B$3:$B$111,0))</f>
        <v>0</v>
      </c>
      <c r="J80" s="15">
        <f t="array" ref="J80">INDEX('Nov 30 - Dec 6'!J$2:J$111,MATCH($B80,'Nov 30 - Dec 6'!$B$2:$B$111,0))-INDEX('Nov 23-29'!I$3:I$111,MATCH($B80,'Nov 23-29'!$B$3:$B$111,0))</f>
        <v>0</v>
      </c>
      <c r="K80" s="15">
        <f t="array" ref="K80">INDEX('Nov 30 - Dec 6'!K$2:K$111,MATCH($B80,'Nov 30 - Dec 6'!$B$2:$B$111,0))-INDEX('Nov 23-29'!J$3:J$111,MATCH($B80,'Nov 23-29'!$B$3:$B$111,0))</f>
        <v>0</v>
      </c>
    </row>
    <row r="81" spans="2:11" ht="12.75">
      <c r="B81" s="13" t="s">
        <v>66</v>
      </c>
      <c r="C81" s="14" t="s">
        <v>147</v>
      </c>
      <c r="D81" s="15"/>
      <c r="E81" s="15">
        <f t="array" ref="E81">INDEX('Nov 30 - Dec 6'!E$2:E$111,MATCH($B81,'Nov 30 - Dec 6'!$B$2:$B$111,0))-INDEX('Nov 23-29'!D$3:D$111,MATCH($B81,'Nov 23-29'!$B$3:$B$111,0))</f>
        <v>-37</v>
      </c>
      <c r="F81" s="15">
        <f t="array" ref="F81">INDEX('Nov 30 - Dec 6'!F$2:F$111,MATCH($B81,'Nov 30 - Dec 6'!$B$2:$B$111,0))-INDEX('Nov 23-29'!E$3:E$111,MATCH($B81,'Nov 23-29'!$B$3:$B$111,0))</f>
        <v>-18</v>
      </c>
      <c r="G81" s="15">
        <f t="array" ref="G81">INDEX('Nov 30 - Dec 6'!G$2:G$111,MATCH($B81,'Nov 30 - Dec 6'!$B$2:$B$111,0))-INDEX('Nov 23-29'!F$3:F$111,MATCH($B81,'Nov 23-29'!$B$3:$B$111,0))</f>
        <v>0</v>
      </c>
      <c r="H81" s="15">
        <f t="array" ref="H81">INDEX('Nov 30 - Dec 6'!H$2:H$111,MATCH($B81,'Nov 30 - Dec 6'!$B$2:$B$111,0))-INDEX('Nov 23-29'!G$3:G$111,MATCH($B81,'Nov 23-29'!$B$3:$B$111,0))</f>
        <v>3</v>
      </c>
      <c r="I81" s="15">
        <f t="array" ref="I81">INDEX('Nov 30 - Dec 6'!I$2:I$111,MATCH($B81,'Nov 30 - Dec 6'!$B$2:$B$111,0))-INDEX('Nov 23-29'!H$3:H$111,MATCH($B81,'Nov 23-29'!$B$3:$B$111,0))</f>
        <v>1</v>
      </c>
      <c r="J81" s="15">
        <f t="array" ref="J81">INDEX('Nov 30 - Dec 6'!J$2:J$111,MATCH($B81,'Nov 30 - Dec 6'!$B$2:$B$111,0))-INDEX('Nov 23-29'!I$3:I$111,MATCH($B81,'Nov 23-29'!$B$3:$B$111,0))</f>
        <v>1</v>
      </c>
      <c r="K81" s="15">
        <f t="array" ref="K81">INDEX('Nov 30 - Dec 6'!K$2:K$111,MATCH($B81,'Nov 30 - Dec 6'!$B$2:$B$111,0))-INDEX('Nov 23-29'!J$3:J$111,MATCH($B81,'Nov 23-29'!$B$3:$B$111,0))</f>
        <v>1</v>
      </c>
    </row>
    <row r="82" spans="2:11" ht="12.75">
      <c r="B82" s="13" t="s">
        <v>139</v>
      </c>
      <c r="C82" s="14" t="s">
        <v>142</v>
      </c>
      <c r="D82" s="14"/>
      <c r="E82" s="15">
        <f t="array" ref="E82">INDEX('Nov 30 - Dec 6'!E$2:E$111,MATCH($B82,'Nov 30 - Dec 6'!$B$2:$B$111,0))-INDEX('Nov 23-29'!D$3:D$111,MATCH($B82,'Nov 23-29'!$B$3:$B$111,0))</f>
        <v>1</v>
      </c>
      <c r="F82" s="15">
        <f t="array" ref="F82">INDEX('Nov 30 - Dec 6'!F$2:F$111,MATCH($B82,'Nov 30 - Dec 6'!$B$2:$B$111,0))-INDEX('Nov 23-29'!E$3:E$111,MATCH($B82,'Nov 23-29'!$B$3:$B$111,0))</f>
        <v>1</v>
      </c>
      <c r="G82" s="15">
        <f t="array" ref="G82">INDEX('Nov 30 - Dec 6'!G$2:G$111,MATCH($B82,'Nov 30 - Dec 6'!$B$2:$B$111,0))-INDEX('Nov 23-29'!F$3:F$111,MATCH($B82,'Nov 23-29'!$B$3:$B$111,0))</f>
        <v>0</v>
      </c>
      <c r="H82" s="15">
        <f t="array" ref="H82">INDEX('Nov 30 - Dec 6'!H$2:H$111,MATCH($B82,'Nov 30 - Dec 6'!$B$2:$B$111,0))-INDEX('Nov 23-29'!G$3:G$111,MATCH($B82,'Nov 23-29'!$B$3:$B$111,0))</f>
        <v>0</v>
      </c>
      <c r="I82" s="15">
        <f t="array" ref="I82">INDEX('Nov 30 - Dec 6'!I$2:I$111,MATCH($B82,'Nov 30 - Dec 6'!$B$2:$B$111,0))-INDEX('Nov 23-29'!H$3:H$111,MATCH($B82,'Nov 23-29'!$B$3:$B$111,0))</f>
        <v>0</v>
      </c>
      <c r="J82" s="15">
        <f t="array" ref="J82">INDEX('Nov 30 - Dec 6'!J$2:J$111,MATCH($B82,'Nov 30 - Dec 6'!$B$2:$B$111,0))-INDEX('Nov 23-29'!I$3:I$111,MATCH($B82,'Nov 23-29'!$B$3:$B$111,0))</f>
        <v>0</v>
      </c>
      <c r="K82" s="15">
        <f t="array" ref="K82">INDEX('Nov 30 - Dec 6'!K$2:K$111,MATCH($B82,'Nov 30 - Dec 6'!$B$2:$B$111,0))-INDEX('Nov 23-29'!J$3:J$111,MATCH($B82,'Nov 23-29'!$B$3:$B$111,0))</f>
        <v>0</v>
      </c>
    </row>
    <row r="83" spans="2:11" ht="12.75">
      <c r="B83" s="13" t="s">
        <v>79</v>
      </c>
      <c r="C83" s="14" t="s">
        <v>147</v>
      </c>
      <c r="D83" s="15"/>
      <c r="E83" s="15">
        <f t="array" ref="E83">INDEX('Nov 30 - Dec 6'!E$2:E$111,MATCH($B83,'Nov 30 - Dec 6'!$B$2:$B$111,0))-INDEX('Nov 23-29'!D$3:D$111,MATCH($B83,'Nov 23-29'!$B$3:$B$111,0))</f>
        <v>-3</v>
      </c>
      <c r="F83" s="15">
        <f t="array" ref="F83">INDEX('Nov 30 - Dec 6'!F$2:F$111,MATCH($B83,'Nov 30 - Dec 6'!$B$2:$B$111,0))-INDEX('Nov 23-29'!E$3:E$111,MATCH($B83,'Nov 23-29'!$B$3:$B$111,0))</f>
        <v>3</v>
      </c>
      <c r="G83" s="15">
        <f t="array" ref="G83">INDEX('Nov 30 - Dec 6'!G$2:G$111,MATCH($B83,'Nov 30 - Dec 6'!$B$2:$B$111,0))-INDEX('Nov 23-29'!F$3:F$111,MATCH($B83,'Nov 23-29'!$B$3:$B$111,0))</f>
        <v>1</v>
      </c>
      <c r="H83" s="15">
        <f t="array" ref="H83">INDEX('Nov 30 - Dec 6'!H$2:H$111,MATCH($B83,'Nov 30 - Dec 6'!$B$2:$B$111,0))-INDEX('Nov 23-29'!G$3:G$111,MATCH($B83,'Nov 23-29'!$B$3:$B$111,0))</f>
        <v>0</v>
      </c>
      <c r="I83" s="15">
        <f t="array" ref="I83">INDEX('Nov 30 - Dec 6'!I$2:I$111,MATCH($B83,'Nov 30 - Dec 6'!$B$2:$B$111,0))-INDEX('Nov 23-29'!H$3:H$111,MATCH($B83,'Nov 23-29'!$B$3:$B$111,0))</f>
        <v>0</v>
      </c>
      <c r="J83" s="15">
        <f t="array" ref="J83">INDEX('Nov 30 - Dec 6'!J$2:J$111,MATCH($B83,'Nov 30 - Dec 6'!$B$2:$B$111,0))-INDEX('Nov 23-29'!I$3:I$111,MATCH($B83,'Nov 23-29'!$B$3:$B$111,0))</f>
        <v>0</v>
      </c>
      <c r="K83" s="15">
        <f t="array" ref="K83">INDEX('Nov 30 - Dec 6'!K$2:K$111,MATCH($B83,'Nov 30 - Dec 6'!$B$2:$B$111,0))-INDEX('Nov 23-29'!J$3:J$111,MATCH($B83,'Nov 23-29'!$B$3:$B$111,0))</f>
        <v>0</v>
      </c>
    </row>
    <row r="84" spans="2:11" ht="12.75">
      <c r="B84" s="13" t="s">
        <v>50</v>
      </c>
      <c r="C84" s="14" t="s">
        <v>147</v>
      </c>
      <c r="D84" s="15"/>
      <c r="E84" s="15">
        <f t="array" ref="E84">INDEX('Nov 30 - Dec 6'!E$2:E$111,MATCH($B84,'Nov 30 - Dec 6'!$B$2:$B$111,0))-INDEX('Nov 23-29'!D$3:D$111,MATCH($B84,'Nov 23-29'!$B$3:$B$111,0))</f>
        <v>0</v>
      </c>
      <c r="F84" s="15">
        <f t="array" ref="F84">INDEX('Nov 30 - Dec 6'!F$2:F$111,MATCH($B84,'Nov 30 - Dec 6'!$B$2:$B$111,0))-INDEX('Nov 23-29'!E$3:E$111,MATCH($B84,'Nov 23-29'!$B$3:$B$111,0))</f>
        <v>-2</v>
      </c>
      <c r="G84" s="15">
        <f t="array" ref="G84">INDEX('Nov 30 - Dec 6'!G$2:G$111,MATCH($B84,'Nov 30 - Dec 6'!$B$2:$B$111,0))-INDEX('Nov 23-29'!F$3:F$111,MATCH($B84,'Nov 23-29'!$B$3:$B$111,0))</f>
        <v>3</v>
      </c>
      <c r="H84" s="15">
        <f t="array" ref="H84">INDEX('Nov 30 - Dec 6'!H$2:H$111,MATCH($B84,'Nov 30 - Dec 6'!$B$2:$B$111,0))-INDEX('Nov 23-29'!G$3:G$111,MATCH($B84,'Nov 23-29'!$B$3:$B$111,0))</f>
        <v>0</v>
      </c>
      <c r="I84" s="15">
        <f t="array" ref="I84">INDEX('Nov 30 - Dec 6'!I$2:I$111,MATCH($B84,'Nov 30 - Dec 6'!$B$2:$B$111,0))-INDEX('Nov 23-29'!H$3:H$111,MATCH($B84,'Nov 23-29'!$B$3:$B$111,0))</f>
        <v>0</v>
      </c>
      <c r="J84" s="15">
        <f t="array" ref="J84">INDEX('Nov 30 - Dec 6'!J$2:J$111,MATCH($B84,'Nov 30 - Dec 6'!$B$2:$B$111,0))-INDEX('Nov 23-29'!I$3:I$111,MATCH($B84,'Nov 23-29'!$B$3:$B$111,0))</f>
        <v>0</v>
      </c>
      <c r="K84" s="15">
        <f t="array" ref="K84">INDEX('Nov 30 - Dec 6'!K$2:K$111,MATCH($B84,'Nov 30 - Dec 6'!$B$2:$B$111,0))-INDEX('Nov 23-29'!J$3:J$111,MATCH($B84,'Nov 23-29'!$B$3:$B$111,0))</f>
        <v>0</v>
      </c>
    </row>
    <row r="85" spans="2:11" ht="12.75">
      <c r="B85" s="13" t="s">
        <v>36</v>
      </c>
      <c r="C85" s="14" t="s">
        <v>147</v>
      </c>
      <c r="D85" s="15"/>
      <c r="E85" s="15">
        <f t="array" ref="E85">INDEX('Nov 30 - Dec 6'!E$2:E$111,MATCH($B85,'Nov 30 - Dec 6'!$B$2:$B$111,0))-INDEX('Nov 23-29'!D$3:D$111,MATCH($B85,'Nov 23-29'!$B$3:$B$111,0))</f>
        <v>3</v>
      </c>
      <c r="F85" s="15">
        <f t="array" ref="F85">INDEX('Nov 30 - Dec 6'!F$2:F$111,MATCH($B85,'Nov 30 - Dec 6'!$B$2:$B$111,0))-INDEX('Nov 23-29'!E$3:E$111,MATCH($B85,'Nov 23-29'!$B$3:$B$111,0))</f>
        <v>6</v>
      </c>
      <c r="G85" s="15">
        <f t="array" ref="G85">INDEX('Nov 30 - Dec 6'!G$2:G$111,MATCH($B85,'Nov 30 - Dec 6'!$B$2:$B$111,0))-INDEX('Nov 23-29'!F$3:F$111,MATCH($B85,'Nov 23-29'!$B$3:$B$111,0))</f>
        <v>1</v>
      </c>
      <c r="H85" s="15">
        <f t="array" ref="H85">INDEX('Nov 30 - Dec 6'!H$2:H$111,MATCH($B85,'Nov 30 - Dec 6'!$B$2:$B$111,0))-INDEX('Nov 23-29'!G$3:G$111,MATCH($B85,'Nov 23-29'!$B$3:$B$111,0))</f>
        <v>0</v>
      </c>
      <c r="I85" s="15">
        <f t="array" ref="I85">INDEX('Nov 30 - Dec 6'!I$2:I$111,MATCH($B85,'Nov 30 - Dec 6'!$B$2:$B$111,0))-INDEX('Nov 23-29'!H$3:H$111,MATCH($B85,'Nov 23-29'!$B$3:$B$111,0))</f>
        <v>0</v>
      </c>
      <c r="J85" s="15">
        <f t="array" ref="J85">INDEX('Nov 30 - Dec 6'!J$2:J$111,MATCH($B85,'Nov 30 - Dec 6'!$B$2:$B$111,0))-INDEX('Nov 23-29'!I$3:I$111,MATCH($B85,'Nov 23-29'!$B$3:$B$111,0))</f>
        <v>0</v>
      </c>
      <c r="K85" s="15">
        <f t="array" ref="K85">INDEX('Nov 30 - Dec 6'!K$2:K$111,MATCH($B85,'Nov 30 - Dec 6'!$B$2:$B$111,0))-INDEX('Nov 23-29'!J$3:J$111,MATCH($B85,'Nov 23-29'!$B$3:$B$111,0))</f>
        <v>0</v>
      </c>
    </row>
    <row r="86" spans="2:11" ht="12.75">
      <c r="B86" s="13" t="s">
        <v>48</v>
      </c>
      <c r="C86" s="14" t="s">
        <v>147</v>
      </c>
      <c r="D86" s="15"/>
      <c r="E86" s="15">
        <f t="array" ref="E86">INDEX('Nov 30 - Dec 6'!E$2:E$111,MATCH($B86,'Nov 30 - Dec 6'!$B$2:$B$111,0))-INDEX('Nov 23-29'!D$3:D$111,MATCH($B86,'Nov 23-29'!$B$3:$B$111,0))</f>
        <v>-6</v>
      </c>
      <c r="F86" s="15">
        <f t="array" ref="F86">INDEX('Nov 30 - Dec 6'!F$2:F$111,MATCH($B86,'Nov 30 - Dec 6'!$B$2:$B$111,0))-INDEX('Nov 23-29'!E$3:E$111,MATCH($B86,'Nov 23-29'!$B$3:$B$111,0))</f>
        <v>1</v>
      </c>
      <c r="G86" s="15">
        <f t="array" ref="G86">INDEX('Nov 30 - Dec 6'!G$2:G$111,MATCH($B86,'Nov 30 - Dec 6'!$B$2:$B$111,0))-INDEX('Nov 23-29'!F$3:F$111,MATCH($B86,'Nov 23-29'!$B$3:$B$111,0))</f>
        <v>1</v>
      </c>
      <c r="H86" s="15">
        <f t="array" ref="H86">INDEX('Nov 30 - Dec 6'!H$2:H$111,MATCH($B86,'Nov 30 - Dec 6'!$B$2:$B$111,0))-INDEX('Nov 23-29'!G$3:G$111,MATCH($B86,'Nov 23-29'!$B$3:$B$111,0))</f>
        <v>0</v>
      </c>
      <c r="I86" s="15">
        <f t="array" ref="I86">INDEX('Nov 30 - Dec 6'!I$2:I$111,MATCH($B86,'Nov 30 - Dec 6'!$B$2:$B$111,0))-INDEX('Nov 23-29'!H$3:H$111,MATCH($B86,'Nov 23-29'!$B$3:$B$111,0))</f>
        <v>0</v>
      </c>
      <c r="J86" s="15">
        <f t="array" ref="J86">INDEX('Nov 30 - Dec 6'!J$2:J$111,MATCH($B86,'Nov 30 - Dec 6'!$B$2:$B$111,0))-INDEX('Nov 23-29'!I$3:I$111,MATCH($B86,'Nov 23-29'!$B$3:$B$111,0))</f>
        <v>0</v>
      </c>
      <c r="K86" s="15">
        <f t="array" ref="K86">INDEX('Nov 30 - Dec 6'!K$2:K$111,MATCH($B86,'Nov 30 - Dec 6'!$B$2:$B$111,0))-INDEX('Nov 23-29'!J$3:J$111,MATCH($B86,'Nov 23-29'!$B$3:$B$111,0))</f>
        <v>0</v>
      </c>
    </row>
    <row r="87" spans="2:11" ht="12.75">
      <c r="B87" s="13" t="s">
        <v>33</v>
      </c>
      <c r="C87" s="14" t="s">
        <v>147</v>
      </c>
      <c r="D87" s="15"/>
      <c r="E87" s="15">
        <f t="array" ref="E87">INDEX('Nov 30 - Dec 6'!E$2:E$111,MATCH($B87,'Nov 30 - Dec 6'!$B$2:$B$111,0))-INDEX('Nov 23-29'!D$3:D$111,MATCH($B87,'Nov 23-29'!$B$3:$B$111,0))</f>
        <v>34</v>
      </c>
      <c r="F87" s="15">
        <f t="array" ref="F87">INDEX('Nov 30 - Dec 6'!F$2:F$111,MATCH($B87,'Nov 30 - Dec 6'!$B$2:$B$111,0))-INDEX('Nov 23-29'!E$3:E$111,MATCH($B87,'Nov 23-29'!$B$3:$B$111,0))</f>
        <v>16</v>
      </c>
      <c r="G87" s="15">
        <f t="array" ref="G87">INDEX('Nov 30 - Dec 6'!G$2:G$111,MATCH($B87,'Nov 30 - Dec 6'!$B$2:$B$111,0))-INDEX('Nov 23-29'!F$3:F$111,MATCH($B87,'Nov 23-29'!$B$3:$B$111,0))</f>
        <v>1</v>
      </c>
      <c r="H87" s="15">
        <f t="array" ref="H87">INDEX('Nov 30 - Dec 6'!H$2:H$111,MATCH($B87,'Nov 30 - Dec 6'!$B$2:$B$111,0))-INDEX('Nov 23-29'!G$3:G$111,MATCH($B87,'Nov 23-29'!$B$3:$B$111,0))</f>
        <v>0</v>
      </c>
      <c r="I87" s="15">
        <f t="array" ref="I87">INDEX('Nov 30 - Dec 6'!I$2:I$111,MATCH($B87,'Nov 30 - Dec 6'!$B$2:$B$111,0))-INDEX('Nov 23-29'!H$3:H$111,MATCH($B87,'Nov 23-29'!$B$3:$B$111,0))</f>
        <v>0</v>
      </c>
      <c r="J87" s="15">
        <f t="array" ref="J87">INDEX('Nov 30 - Dec 6'!J$2:J$111,MATCH($B87,'Nov 30 - Dec 6'!$B$2:$B$111,0))-INDEX('Nov 23-29'!I$3:I$111,MATCH($B87,'Nov 23-29'!$B$3:$B$111,0))</f>
        <v>0</v>
      </c>
      <c r="K87" s="15">
        <f t="array" ref="K87">INDEX('Nov 30 - Dec 6'!K$2:K$111,MATCH($B87,'Nov 30 - Dec 6'!$B$2:$B$111,0))-INDEX('Nov 23-29'!J$3:J$111,MATCH($B87,'Nov 23-29'!$B$3:$B$111,0))</f>
        <v>0</v>
      </c>
    </row>
    <row r="88" spans="2:11" ht="12.75">
      <c r="B88" s="13" t="s">
        <v>140</v>
      </c>
      <c r="C88" s="14" t="s">
        <v>142</v>
      </c>
      <c r="D88" s="14"/>
      <c r="E88" s="15">
        <f t="array" ref="E88">INDEX('Nov 30 - Dec 6'!E$2:E$111,MATCH($B88,'Nov 30 - Dec 6'!$B$2:$B$111,0))-INDEX('Nov 23-29'!D$3:D$111,MATCH($B88,'Nov 23-29'!$B$3:$B$111,0))</f>
        <v>1</v>
      </c>
      <c r="F88" s="15">
        <f t="array" ref="F88">INDEX('Nov 30 - Dec 6'!F$2:F$111,MATCH($B88,'Nov 30 - Dec 6'!$B$2:$B$111,0))-INDEX('Nov 23-29'!E$3:E$111,MATCH($B88,'Nov 23-29'!$B$3:$B$111,0))</f>
        <v>0</v>
      </c>
      <c r="G88" s="15">
        <f t="array" ref="G88">INDEX('Nov 30 - Dec 6'!G$2:G$111,MATCH($B88,'Nov 30 - Dec 6'!$B$2:$B$111,0))-INDEX('Nov 23-29'!F$3:F$111,MATCH($B88,'Nov 23-29'!$B$3:$B$111,0))</f>
        <v>0</v>
      </c>
      <c r="H88" s="15">
        <f t="array" ref="H88">INDEX('Nov 30 - Dec 6'!H$2:H$111,MATCH($B88,'Nov 30 - Dec 6'!$B$2:$B$111,0))-INDEX('Nov 23-29'!G$3:G$111,MATCH($B88,'Nov 23-29'!$B$3:$B$111,0))</f>
        <v>0</v>
      </c>
      <c r="I88" s="15">
        <f t="array" ref="I88">INDEX('Nov 30 - Dec 6'!I$2:I$111,MATCH($B88,'Nov 30 - Dec 6'!$B$2:$B$111,0))-INDEX('Nov 23-29'!H$3:H$111,MATCH($B88,'Nov 23-29'!$B$3:$B$111,0))</f>
        <v>0</v>
      </c>
      <c r="J88" s="15">
        <f t="array" ref="J88">INDEX('Nov 30 - Dec 6'!J$2:J$111,MATCH($B88,'Nov 30 - Dec 6'!$B$2:$B$111,0))-INDEX('Nov 23-29'!I$3:I$111,MATCH($B88,'Nov 23-29'!$B$3:$B$111,0))</f>
        <v>0</v>
      </c>
      <c r="K88" s="15">
        <f t="array" ref="K88">INDEX('Nov 30 - Dec 6'!K$2:K$111,MATCH($B88,'Nov 30 - Dec 6'!$B$2:$B$111,0))-INDEX('Nov 23-29'!J$3:J$111,MATCH($B88,'Nov 23-29'!$B$3:$B$111,0))</f>
        <v>0</v>
      </c>
    </row>
    <row r="89" spans="2:11" ht="12.75">
      <c r="B89" s="13" t="s">
        <v>116</v>
      </c>
      <c r="C89" s="14" t="s">
        <v>147</v>
      </c>
      <c r="D89" s="15"/>
      <c r="E89" s="15">
        <f t="array" ref="E89">INDEX('Nov 30 - Dec 6'!E$2:E$111,MATCH($B89,'Nov 30 - Dec 6'!$B$2:$B$111,0))-INDEX('Nov 23-29'!D$3:D$111,MATCH($B89,'Nov 23-29'!$B$3:$B$111,0))</f>
        <v>10</v>
      </c>
      <c r="F89" s="15">
        <f t="array" ref="F89">INDEX('Nov 30 - Dec 6'!F$2:F$111,MATCH($B89,'Nov 30 - Dec 6'!$B$2:$B$111,0))-INDEX('Nov 23-29'!E$3:E$111,MATCH($B89,'Nov 23-29'!$B$3:$B$111,0))</f>
        <v>6</v>
      </c>
      <c r="G89" s="15">
        <f t="array" ref="G89">INDEX('Nov 30 - Dec 6'!G$2:G$111,MATCH($B89,'Nov 30 - Dec 6'!$B$2:$B$111,0))-INDEX('Nov 23-29'!F$3:F$111,MATCH($B89,'Nov 23-29'!$B$3:$B$111,0))</f>
        <v>0</v>
      </c>
      <c r="H89" s="15">
        <f t="array" ref="H89">INDEX('Nov 30 - Dec 6'!H$2:H$111,MATCH($B89,'Nov 30 - Dec 6'!$B$2:$B$111,0))-INDEX('Nov 23-29'!G$3:G$111,MATCH($B89,'Nov 23-29'!$B$3:$B$111,0))</f>
        <v>0</v>
      </c>
      <c r="I89" s="15">
        <f t="array" ref="I89">INDEX('Nov 30 - Dec 6'!I$2:I$111,MATCH($B89,'Nov 30 - Dec 6'!$B$2:$B$111,0))-INDEX('Nov 23-29'!H$3:H$111,MATCH($B89,'Nov 23-29'!$B$3:$B$111,0))</f>
        <v>0</v>
      </c>
      <c r="J89" s="15">
        <f t="array" ref="J89">INDEX('Nov 30 - Dec 6'!J$2:J$111,MATCH($B89,'Nov 30 - Dec 6'!$B$2:$B$111,0))-INDEX('Nov 23-29'!I$3:I$111,MATCH($B89,'Nov 23-29'!$B$3:$B$111,0))</f>
        <v>0</v>
      </c>
      <c r="K89" s="15">
        <f t="array" ref="K89">INDEX('Nov 30 - Dec 6'!K$2:K$111,MATCH($B89,'Nov 30 - Dec 6'!$B$2:$B$111,0))-INDEX('Nov 23-29'!J$3:J$111,MATCH($B89,'Nov 23-29'!$B$3:$B$111,0))</f>
        <v>0</v>
      </c>
    </row>
    <row r="90" spans="2:11" ht="12.75">
      <c r="B90" s="13" t="s">
        <v>107</v>
      </c>
      <c r="C90" s="14" t="s">
        <v>142</v>
      </c>
      <c r="D90" s="14"/>
      <c r="E90" s="15">
        <f t="array" ref="E90">INDEX('Nov 30 - Dec 6'!E$2:E$111,MATCH($B90,'Nov 30 - Dec 6'!$B$2:$B$111,0))-INDEX('Nov 23-29'!D$3:D$111,MATCH($B90,'Nov 23-29'!$B$3:$B$111,0))</f>
        <v>-2</v>
      </c>
      <c r="F90" s="15">
        <f t="array" ref="F90">INDEX('Nov 30 - Dec 6'!F$2:F$111,MATCH($B90,'Nov 30 - Dec 6'!$B$2:$B$111,0))-INDEX('Nov 23-29'!E$3:E$111,MATCH($B90,'Nov 23-29'!$B$3:$B$111,0))</f>
        <v>-2</v>
      </c>
      <c r="G90" s="15">
        <f t="array" ref="G90">INDEX('Nov 30 - Dec 6'!G$2:G$111,MATCH($B90,'Nov 30 - Dec 6'!$B$2:$B$111,0))-INDEX('Nov 23-29'!F$3:F$111,MATCH($B90,'Nov 23-29'!$B$3:$B$111,0))</f>
        <v>0</v>
      </c>
      <c r="H90" s="15">
        <f t="array" ref="H90">INDEX('Nov 30 - Dec 6'!H$2:H$111,MATCH($B90,'Nov 30 - Dec 6'!$B$2:$B$111,0))-INDEX('Nov 23-29'!G$3:G$111,MATCH($B90,'Nov 23-29'!$B$3:$B$111,0))</f>
        <v>0</v>
      </c>
      <c r="I90" s="15">
        <f t="array" ref="I90">INDEX('Nov 30 - Dec 6'!I$2:I$111,MATCH($B90,'Nov 30 - Dec 6'!$B$2:$B$111,0))-INDEX('Nov 23-29'!H$3:H$111,MATCH($B90,'Nov 23-29'!$B$3:$B$111,0))</f>
        <v>0</v>
      </c>
      <c r="J90" s="15">
        <f t="array" ref="J90">INDEX('Nov 30 - Dec 6'!J$2:J$111,MATCH($B90,'Nov 30 - Dec 6'!$B$2:$B$111,0))-INDEX('Nov 23-29'!I$3:I$111,MATCH($B90,'Nov 23-29'!$B$3:$B$111,0))</f>
        <v>0</v>
      </c>
      <c r="K90" s="15">
        <f t="array" ref="K90">INDEX('Nov 30 - Dec 6'!K$2:K$111,MATCH($B90,'Nov 30 - Dec 6'!$B$2:$B$111,0))-INDEX('Nov 23-29'!J$3:J$111,MATCH($B90,'Nov 23-29'!$B$3:$B$111,0))</f>
        <v>0</v>
      </c>
    </row>
    <row r="91" spans="2:11" ht="12.75">
      <c r="B91" s="13" t="s">
        <v>93</v>
      </c>
      <c r="C91" s="14" t="s">
        <v>147</v>
      </c>
      <c r="D91" s="15"/>
      <c r="E91" s="15">
        <f t="array" ref="E91">INDEX('Nov 30 - Dec 6'!E$2:E$111,MATCH($B91,'Nov 30 - Dec 6'!$B$2:$B$111,0))-INDEX('Nov 23-29'!D$3:D$111,MATCH($B91,'Nov 23-29'!$B$3:$B$111,0))</f>
        <v>0</v>
      </c>
      <c r="F91" s="15">
        <f t="array" ref="F91">INDEX('Nov 30 - Dec 6'!F$2:F$111,MATCH($B91,'Nov 30 - Dec 6'!$B$2:$B$111,0))-INDEX('Nov 23-29'!E$3:E$111,MATCH($B91,'Nov 23-29'!$B$3:$B$111,0))</f>
        <v>-1</v>
      </c>
      <c r="G91" s="15">
        <f t="array" ref="G91">INDEX('Nov 30 - Dec 6'!G$2:G$111,MATCH($B91,'Nov 30 - Dec 6'!$B$2:$B$111,0))-INDEX('Nov 23-29'!F$3:F$111,MATCH($B91,'Nov 23-29'!$B$3:$B$111,0))</f>
        <v>1</v>
      </c>
      <c r="H91" s="15">
        <f t="array" ref="H91">INDEX('Nov 30 - Dec 6'!H$2:H$111,MATCH($B91,'Nov 30 - Dec 6'!$B$2:$B$111,0))-INDEX('Nov 23-29'!G$3:G$111,MATCH($B91,'Nov 23-29'!$B$3:$B$111,0))</f>
        <v>5</v>
      </c>
      <c r="I91" s="15">
        <f t="array" ref="I91">INDEX('Nov 30 - Dec 6'!I$2:I$111,MATCH($B91,'Nov 30 - Dec 6'!$B$2:$B$111,0))-INDEX('Nov 23-29'!H$3:H$111,MATCH($B91,'Nov 23-29'!$B$3:$B$111,0))</f>
        <v>0</v>
      </c>
      <c r="J91" s="15">
        <f t="array" ref="J91">INDEX('Nov 30 - Dec 6'!J$2:J$111,MATCH($B91,'Nov 30 - Dec 6'!$B$2:$B$111,0))-INDEX('Nov 23-29'!I$3:I$111,MATCH($B91,'Nov 23-29'!$B$3:$B$111,0))</f>
        <v>0</v>
      </c>
      <c r="K91" s="15">
        <f t="array" ref="K91">INDEX('Nov 30 - Dec 6'!K$2:K$111,MATCH($B91,'Nov 30 - Dec 6'!$B$2:$B$111,0))-INDEX('Nov 23-29'!J$3:J$111,MATCH($B91,'Nov 23-29'!$B$3:$B$111,0))</f>
        <v>0</v>
      </c>
    </row>
    <row r="92" spans="2:11" ht="12.75">
      <c r="B92" s="13" t="s">
        <v>90</v>
      </c>
      <c r="C92" s="14" t="s">
        <v>147</v>
      </c>
      <c r="D92" s="15"/>
      <c r="E92" s="15">
        <f t="array" ref="E92">INDEX('Nov 30 - Dec 6'!E$2:E$111,MATCH($B92,'Nov 30 - Dec 6'!$B$2:$B$111,0))-INDEX('Nov 23-29'!D$3:D$111,MATCH($B92,'Nov 23-29'!$B$3:$B$111,0))</f>
        <v>10</v>
      </c>
      <c r="F92" s="15">
        <f t="array" ref="F92">INDEX('Nov 30 - Dec 6'!F$2:F$111,MATCH($B92,'Nov 30 - Dec 6'!$B$2:$B$111,0))-INDEX('Nov 23-29'!E$3:E$111,MATCH($B92,'Nov 23-29'!$B$3:$B$111,0))</f>
        <v>7</v>
      </c>
      <c r="G92" s="15">
        <f t="array" ref="G92">INDEX('Nov 30 - Dec 6'!G$2:G$111,MATCH($B92,'Nov 30 - Dec 6'!$B$2:$B$111,0))-INDEX('Nov 23-29'!F$3:F$111,MATCH($B92,'Nov 23-29'!$B$3:$B$111,0))</f>
        <v>1</v>
      </c>
      <c r="H92" s="15">
        <f t="array" ref="H92">INDEX('Nov 30 - Dec 6'!H$2:H$111,MATCH($B92,'Nov 30 - Dec 6'!$B$2:$B$111,0))-INDEX('Nov 23-29'!G$3:G$111,MATCH($B92,'Nov 23-29'!$B$3:$B$111,0))</f>
        <v>4</v>
      </c>
      <c r="I92" s="15">
        <f t="array" ref="I92">INDEX('Nov 30 - Dec 6'!I$2:I$111,MATCH($B92,'Nov 30 - Dec 6'!$B$2:$B$111,0))-INDEX('Nov 23-29'!H$3:H$111,MATCH($B92,'Nov 23-29'!$B$3:$B$111,0))</f>
        <v>0</v>
      </c>
      <c r="J92" s="15">
        <f t="array" ref="J92">INDEX('Nov 30 - Dec 6'!J$2:J$111,MATCH($B92,'Nov 30 - Dec 6'!$B$2:$B$111,0))-INDEX('Nov 23-29'!I$3:I$111,MATCH($B92,'Nov 23-29'!$B$3:$B$111,0))</f>
        <v>0</v>
      </c>
      <c r="K92" s="15">
        <f t="array" ref="K92">INDEX('Nov 30 - Dec 6'!K$2:K$111,MATCH($B92,'Nov 30 - Dec 6'!$B$2:$B$111,0))-INDEX('Nov 23-29'!J$3:J$111,MATCH($B92,'Nov 23-29'!$B$3:$B$111,0))</f>
        <v>0</v>
      </c>
    </row>
    <row r="93" spans="2:11" ht="12.75">
      <c r="B93" s="13" t="s">
        <v>72</v>
      </c>
      <c r="C93" s="15" t="s">
        <v>142</v>
      </c>
      <c r="D93" s="15"/>
      <c r="E93" s="15">
        <f t="array" ref="E93">INDEX('Nov 30 - Dec 6'!E$2:E$111,MATCH($B93,'Nov 30 - Dec 6'!$B$2:$B$111,0))-INDEX('Nov 23-29'!D$3:D$111,MATCH($B93,'Nov 23-29'!$B$3:$B$111,0))</f>
        <v>-4</v>
      </c>
      <c r="F93" s="15">
        <f t="array" ref="F93">INDEX('Nov 30 - Dec 6'!F$2:F$111,MATCH($B93,'Nov 30 - Dec 6'!$B$2:$B$111,0))-INDEX('Nov 23-29'!E$3:E$111,MATCH($B93,'Nov 23-29'!$B$3:$B$111,0))</f>
        <v>-2</v>
      </c>
      <c r="G93" s="15">
        <f t="array" ref="G93">INDEX('Nov 30 - Dec 6'!G$2:G$111,MATCH($B93,'Nov 30 - Dec 6'!$B$2:$B$111,0))-INDEX('Nov 23-29'!F$3:F$111,MATCH($B93,'Nov 23-29'!$B$3:$B$111,0))</f>
        <v>0</v>
      </c>
      <c r="H93" s="15">
        <f t="array" ref="H93">INDEX('Nov 30 - Dec 6'!H$2:H$111,MATCH($B93,'Nov 30 - Dec 6'!$B$2:$B$111,0))-INDEX('Nov 23-29'!G$3:G$111,MATCH($B93,'Nov 23-29'!$B$3:$B$111,0))</f>
        <v>0</v>
      </c>
      <c r="I93" s="15">
        <f t="array" ref="I93">INDEX('Nov 30 - Dec 6'!I$2:I$111,MATCH($B93,'Nov 30 - Dec 6'!$B$2:$B$111,0))-INDEX('Nov 23-29'!H$3:H$111,MATCH($B93,'Nov 23-29'!$B$3:$B$111,0))</f>
        <v>0</v>
      </c>
      <c r="J93" s="15">
        <f t="array" ref="J93">INDEX('Nov 30 - Dec 6'!J$2:J$111,MATCH($B93,'Nov 30 - Dec 6'!$B$2:$B$111,0))-INDEX('Nov 23-29'!I$3:I$111,MATCH($B93,'Nov 23-29'!$B$3:$B$111,0))</f>
        <v>0</v>
      </c>
      <c r="K93" s="15">
        <f t="array" ref="K93">INDEX('Nov 30 - Dec 6'!K$2:K$111,MATCH($B93,'Nov 30 - Dec 6'!$B$2:$B$111,0))-INDEX('Nov 23-29'!J$3:J$111,MATCH($B93,'Nov 23-29'!$B$3:$B$111,0))</f>
        <v>0</v>
      </c>
    </row>
    <row r="94" spans="2:11" ht="12.75">
      <c r="B94" s="13" t="s">
        <v>113</v>
      </c>
      <c r="C94" s="14" t="s">
        <v>142</v>
      </c>
      <c r="D94" s="14"/>
      <c r="E94" s="15">
        <f t="array" ref="E94">INDEX('Nov 30 - Dec 6'!E$2:E$111,MATCH($B94,'Nov 30 - Dec 6'!$B$2:$B$111,0))-INDEX('Nov 23-29'!D$3:D$111,MATCH($B94,'Nov 23-29'!$B$3:$B$111,0))</f>
        <v>-1</v>
      </c>
      <c r="F94" s="15">
        <f t="array" ref="F94">INDEX('Nov 30 - Dec 6'!F$2:F$111,MATCH($B94,'Nov 30 - Dec 6'!$B$2:$B$111,0))-INDEX('Nov 23-29'!E$3:E$111,MATCH($B94,'Nov 23-29'!$B$3:$B$111,0))</f>
        <v>0</v>
      </c>
      <c r="G94" s="15">
        <f t="array" ref="G94">INDEX('Nov 30 - Dec 6'!G$2:G$111,MATCH($B94,'Nov 30 - Dec 6'!$B$2:$B$111,0))-INDEX('Nov 23-29'!F$3:F$111,MATCH($B94,'Nov 23-29'!$B$3:$B$111,0))</f>
        <v>0</v>
      </c>
      <c r="H94" s="15">
        <f t="array" ref="H94">INDEX('Nov 30 - Dec 6'!H$2:H$111,MATCH($B94,'Nov 30 - Dec 6'!$B$2:$B$111,0))-INDEX('Nov 23-29'!G$3:G$111,MATCH($B94,'Nov 23-29'!$B$3:$B$111,0))</f>
        <v>0</v>
      </c>
      <c r="I94" s="15">
        <f t="array" ref="I94">INDEX('Nov 30 - Dec 6'!I$2:I$111,MATCH($B94,'Nov 30 - Dec 6'!$B$2:$B$111,0))-INDEX('Nov 23-29'!H$3:H$111,MATCH($B94,'Nov 23-29'!$B$3:$B$111,0))</f>
        <v>0</v>
      </c>
      <c r="J94" s="15">
        <f t="array" ref="J94">INDEX('Nov 30 - Dec 6'!J$2:J$111,MATCH($B94,'Nov 30 - Dec 6'!$B$2:$B$111,0))-INDEX('Nov 23-29'!I$3:I$111,MATCH($B94,'Nov 23-29'!$B$3:$B$111,0))</f>
        <v>0</v>
      </c>
      <c r="K94" s="15">
        <f t="array" ref="K94">INDEX('Nov 30 - Dec 6'!K$2:K$111,MATCH($B94,'Nov 30 - Dec 6'!$B$2:$B$111,0))-INDEX('Nov 23-29'!J$3:J$111,MATCH($B94,'Nov 23-29'!$B$3:$B$111,0))</f>
        <v>0</v>
      </c>
    </row>
    <row r="95" spans="2:11" ht="12.75">
      <c r="B95" s="13" t="s">
        <v>141</v>
      </c>
      <c r="C95" s="14" t="s">
        <v>142</v>
      </c>
      <c r="D95" s="14"/>
      <c r="E95" s="15">
        <f t="array" ref="E95">INDEX('Nov 30 - Dec 6'!E$2:E$111,MATCH($B95,'Nov 30 - Dec 6'!$B$2:$B$111,0))-INDEX('Nov 23-29'!D$3:D$111,MATCH($B95,'Nov 23-29'!$B$3:$B$111,0))</f>
        <v>0</v>
      </c>
      <c r="F95" s="15">
        <f t="array" ref="F95">INDEX('Nov 30 - Dec 6'!F$2:F$111,MATCH($B95,'Nov 30 - Dec 6'!$B$2:$B$111,0))-INDEX('Nov 23-29'!E$3:E$111,MATCH($B95,'Nov 23-29'!$B$3:$B$111,0))</f>
        <v>0</v>
      </c>
      <c r="G95" s="15">
        <f t="array" ref="G95">INDEX('Nov 30 - Dec 6'!G$2:G$111,MATCH($B95,'Nov 30 - Dec 6'!$B$2:$B$111,0))-INDEX('Nov 23-29'!F$3:F$111,MATCH($B95,'Nov 23-29'!$B$3:$B$111,0))</f>
        <v>0</v>
      </c>
      <c r="H95" s="15">
        <f t="array" ref="H95">INDEX('Nov 30 - Dec 6'!H$2:H$111,MATCH($B95,'Nov 30 - Dec 6'!$B$2:$B$111,0))-INDEX('Nov 23-29'!G$3:G$111,MATCH($B95,'Nov 23-29'!$B$3:$B$111,0))</f>
        <v>0</v>
      </c>
      <c r="I95" s="15">
        <f t="array" ref="I95">INDEX('Nov 30 - Dec 6'!I$2:I$111,MATCH($B95,'Nov 30 - Dec 6'!$B$2:$B$111,0))-INDEX('Nov 23-29'!H$3:H$111,MATCH($B95,'Nov 23-29'!$B$3:$B$111,0))</f>
        <v>0</v>
      </c>
      <c r="J95" s="15">
        <f t="array" ref="J95">INDEX('Nov 30 - Dec 6'!J$2:J$111,MATCH($B95,'Nov 30 - Dec 6'!$B$2:$B$111,0))-INDEX('Nov 23-29'!I$3:I$111,MATCH($B95,'Nov 23-29'!$B$3:$B$111,0))</f>
        <v>0</v>
      </c>
      <c r="K95" s="15">
        <f t="array" ref="K95">INDEX('Nov 30 - Dec 6'!K$2:K$111,MATCH($B95,'Nov 30 - Dec 6'!$B$2:$B$111,0))-INDEX('Nov 23-29'!J$3:J$111,MATCH($B95,'Nov 23-29'!$B$3:$B$111,0))</f>
        <v>0</v>
      </c>
    </row>
    <row r="96" spans="2:11" ht="12.75">
      <c r="B96" s="13" t="s">
        <v>148</v>
      </c>
      <c r="C96" s="15" t="s">
        <v>147</v>
      </c>
      <c r="D96" s="15"/>
      <c r="E96" s="15" t="e">
        <f t="array" ref="E96">INDEX('Nov 30 - Dec 6'!E$2:E$111,MATCH($B96,'Nov 30 - Dec 6'!$B$2:$B$111,0))-INDEX('Nov 23-29'!D$3:D$111,MATCH($B96,'Nov 23-29'!$B$3:$B$111,0))</f>
        <v>#N/A</v>
      </c>
      <c r="F96" s="15" t="e">
        <f t="array" ref="F96">INDEX('Nov 30 - Dec 6'!F$2:F$111,MATCH($B96,'Nov 30 - Dec 6'!$B$2:$B$111,0))-INDEX('Nov 23-29'!E$3:E$111,MATCH($B96,'Nov 23-29'!$B$3:$B$111,0))</f>
        <v>#N/A</v>
      </c>
      <c r="G96" s="15" t="e">
        <f t="array" ref="G96">INDEX('Nov 30 - Dec 6'!G$2:G$111,MATCH($B96,'Nov 30 - Dec 6'!$B$2:$B$111,0))-INDEX('Nov 23-29'!F$3:F$111,MATCH($B96,'Nov 23-29'!$B$3:$B$111,0))</f>
        <v>#N/A</v>
      </c>
      <c r="H96" s="15" t="e">
        <f t="array" ref="H96">INDEX('Nov 30 - Dec 6'!H$2:H$111,MATCH($B96,'Nov 30 - Dec 6'!$B$2:$B$111,0))-INDEX('Nov 23-29'!G$3:G$111,MATCH($B96,'Nov 23-29'!$B$3:$B$111,0))</f>
        <v>#N/A</v>
      </c>
      <c r="I96" s="15" t="e">
        <f t="array" ref="I96">INDEX('Nov 30 - Dec 6'!I$2:I$111,MATCH($B96,'Nov 30 - Dec 6'!$B$2:$B$111,0))-INDEX('Nov 23-29'!H$3:H$111,MATCH($B96,'Nov 23-29'!$B$3:$B$111,0))</f>
        <v>#N/A</v>
      </c>
      <c r="J96" s="15" t="e">
        <f t="array" ref="J96">INDEX('Nov 30 - Dec 6'!J$2:J$111,MATCH($B96,'Nov 30 - Dec 6'!$B$2:$B$111,0))-INDEX('Nov 23-29'!I$3:I$111,MATCH($B96,'Nov 23-29'!$B$3:$B$111,0))</f>
        <v>#N/A</v>
      </c>
      <c r="K96" s="15" t="e">
        <f t="array" ref="K96">INDEX('Nov 30 - Dec 6'!K$2:K$111,MATCH($B96,'Nov 30 - Dec 6'!$B$2:$B$111,0))-INDEX('Nov 23-29'!J$3:J$111,MATCH($B96,'Nov 23-29'!$B$3:$B$111,0))</f>
        <v>#N/A</v>
      </c>
    </row>
    <row r="97" spans="2:11" ht="12.75">
      <c r="B97" s="13" t="s">
        <v>109</v>
      </c>
      <c r="C97" s="14" t="s">
        <v>147</v>
      </c>
      <c r="D97" s="15"/>
      <c r="E97" s="15">
        <f t="array" ref="E97">INDEX('Nov 30 - Dec 6'!E$2:E$111,MATCH($B97,'Nov 30 - Dec 6'!$B$2:$B$111,0))-INDEX('Nov 23-29'!D$3:D$111,MATCH($B97,'Nov 23-29'!$B$3:$B$111,0))</f>
        <v>3</v>
      </c>
      <c r="F97" s="15">
        <f t="array" ref="F97">INDEX('Nov 30 - Dec 6'!F$2:F$111,MATCH($B97,'Nov 30 - Dec 6'!$B$2:$B$111,0))-INDEX('Nov 23-29'!E$3:E$111,MATCH($B97,'Nov 23-29'!$B$3:$B$111,0))</f>
        <v>-1</v>
      </c>
      <c r="G97" s="15">
        <f t="array" ref="G97">INDEX('Nov 30 - Dec 6'!G$2:G$111,MATCH($B97,'Nov 30 - Dec 6'!$B$2:$B$111,0))-INDEX('Nov 23-29'!F$3:F$111,MATCH($B97,'Nov 23-29'!$B$3:$B$111,0))</f>
        <v>-1</v>
      </c>
      <c r="H97" s="15">
        <f t="array" ref="H97">INDEX('Nov 30 - Dec 6'!H$2:H$111,MATCH($B97,'Nov 30 - Dec 6'!$B$2:$B$111,0))-INDEX('Nov 23-29'!G$3:G$111,MATCH($B97,'Nov 23-29'!$B$3:$B$111,0))</f>
        <v>0</v>
      </c>
      <c r="I97" s="15">
        <f t="array" ref="I97">INDEX('Nov 30 - Dec 6'!I$2:I$111,MATCH($B97,'Nov 30 - Dec 6'!$B$2:$B$111,0))-INDEX('Nov 23-29'!H$3:H$111,MATCH($B97,'Nov 23-29'!$B$3:$B$111,0))</f>
        <v>0</v>
      </c>
      <c r="J97" s="15">
        <f t="array" ref="J97">INDEX('Nov 30 - Dec 6'!J$2:J$111,MATCH($B97,'Nov 30 - Dec 6'!$B$2:$B$111,0))-INDEX('Nov 23-29'!I$3:I$111,MATCH($B97,'Nov 23-29'!$B$3:$B$111,0))</f>
        <v>0</v>
      </c>
      <c r="K97" s="15">
        <f t="array" ref="K97">INDEX('Nov 30 - Dec 6'!K$2:K$111,MATCH($B97,'Nov 30 - Dec 6'!$B$2:$B$111,0))-INDEX('Nov 23-29'!J$3:J$111,MATCH($B97,'Nov 23-29'!$B$3:$B$111,0))</f>
        <v>0</v>
      </c>
    </row>
    <row r="98" spans="2:11" ht="12.75">
      <c r="B98" s="13" t="s">
        <v>94</v>
      </c>
      <c r="C98" s="15" t="s">
        <v>147</v>
      </c>
      <c r="D98" s="15"/>
      <c r="E98" s="15">
        <f t="array" ref="E98">INDEX('Nov 30 - Dec 6'!E$2:E$111,MATCH($B98,'Nov 30 - Dec 6'!$B$2:$B$111,0))-INDEX('Nov 23-29'!D$3:D$111,MATCH($B98,'Nov 23-29'!$B$3:$B$111,0))</f>
        <v>0</v>
      </c>
      <c r="F98" s="15">
        <f t="array" ref="F98">INDEX('Nov 30 - Dec 6'!F$2:F$111,MATCH($B98,'Nov 30 - Dec 6'!$B$2:$B$111,0))-INDEX('Nov 23-29'!E$3:E$111,MATCH($B98,'Nov 23-29'!$B$3:$B$111,0))</f>
        <v>5</v>
      </c>
      <c r="G98" s="15">
        <f t="array" ref="G98">INDEX('Nov 30 - Dec 6'!G$2:G$111,MATCH($B98,'Nov 30 - Dec 6'!$B$2:$B$111,0))-INDEX('Nov 23-29'!F$3:F$111,MATCH($B98,'Nov 23-29'!$B$3:$B$111,0))</f>
        <v>1</v>
      </c>
      <c r="H98" s="15">
        <f t="array" ref="H98">INDEX('Nov 30 - Dec 6'!H$2:H$111,MATCH($B98,'Nov 30 - Dec 6'!$B$2:$B$111,0))-INDEX('Nov 23-29'!G$3:G$111,MATCH($B98,'Nov 23-29'!$B$3:$B$111,0))</f>
        <v>1</v>
      </c>
      <c r="I98" s="15">
        <f t="array" ref="I98">INDEX('Nov 30 - Dec 6'!I$2:I$111,MATCH($B98,'Nov 30 - Dec 6'!$B$2:$B$111,0))-INDEX('Nov 23-29'!H$3:H$111,MATCH($B98,'Nov 23-29'!$B$3:$B$111,0))</f>
        <v>-1</v>
      </c>
      <c r="J98" s="15">
        <f t="array" ref="J98">INDEX('Nov 30 - Dec 6'!J$2:J$111,MATCH($B98,'Nov 30 - Dec 6'!$B$2:$B$111,0))-INDEX('Nov 23-29'!I$3:I$111,MATCH($B98,'Nov 23-29'!$B$3:$B$111,0))</f>
        <v>0</v>
      </c>
      <c r="K98" s="15">
        <f t="array" ref="K98">INDEX('Nov 30 - Dec 6'!K$2:K$111,MATCH($B98,'Nov 30 - Dec 6'!$B$2:$B$111,0))-INDEX('Nov 23-29'!J$3:J$111,MATCH($B98,'Nov 23-29'!$B$3:$B$111,0))</f>
        <v>0</v>
      </c>
    </row>
    <row r="99" spans="2:11" ht="12.75">
      <c r="B99" s="13" t="s">
        <v>115</v>
      </c>
      <c r="C99" s="14" t="s">
        <v>147</v>
      </c>
      <c r="D99" s="15"/>
      <c r="E99" s="15">
        <f t="array" ref="E99">INDEX('Nov 30 - Dec 6'!E$2:E$111,MATCH($B99,'Nov 30 - Dec 6'!$B$2:$B$111,0))-INDEX('Nov 23-29'!D$3:D$111,MATCH($B99,'Nov 23-29'!$B$3:$B$111,0))</f>
        <v>24</v>
      </c>
      <c r="F99" s="15">
        <f t="array" ref="F99">INDEX('Nov 30 - Dec 6'!F$2:F$111,MATCH($B99,'Nov 30 - Dec 6'!$B$2:$B$111,0))-INDEX('Nov 23-29'!E$3:E$111,MATCH($B99,'Nov 23-29'!$B$3:$B$111,0))</f>
        <v>7</v>
      </c>
      <c r="G99" s="15">
        <f t="array" ref="G99">INDEX('Nov 30 - Dec 6'!G$2:G$111,MATCH($B99,'Nov 30 - Dec 6'!$B$2:$B$111,0))-INDEX('Nov 23-29'!F$3:F$111,MATCH($B99,'Nov 23-29'!$B$3:$B$111,0))</f>
        <v>0</v>
      </c>
      <c r="H99" s="15">
        <f t="array" ref="H99">INDEX('Nov 30 - Dec 6'!H$2:H$111,MATCH($B99,'Nov 30 - Dec 6'!$B$2:$B$111,0))-INDEX('Nov 23-29'!G$3:G$111,MATCH($B99,'Nov 23-29'!$B$3:$B$111,0))</f>
        <v>-2</v>
      </c>
      <c r="I99" s="15">
        <f t="array" ref="I99">INDEX('Nov 30 - Dec 6'!I$2:I$111,MATCH($B99,'Nov 30 - Dec 6'!$B$2:$B$111,0))-INDEX('Nov 23-29'!H$3:H$111,MATCH($B99,'Nov 23-29'!$B$3:$B$111,0))</f>
        <v>0</v>
      </c>
      <c r="J99" s="15">
        <f t="array" ref="J99">INDEX('Nov 30 - Dec 6'!J$2:J$111,MATCH($B99,'Nov 30 - Dec 6'!$B$2:$B$111,0))-INDEX('Nov 23-29'!I$3:I$111,MATCH($B99,'Nov 23-29'!$B$3:$B$111,0))</f>
        <v>0</v>
      </c>
      <c r="K99" s="15">
        <f t="array" ref="K99">INDEX('Nov 30 - Dec 6'!K$2:K$111,MATCH($B99,'Nov 30 - Dec 6'!$B$2:$B$111,0))-INDEX('Nov 23-29'!J$3:J$111,MATCH($B99,'Nov 23-29'!$B$3:$B$111,0))</f>
        <v>0</v>
      </c>
    </row>
    <row r="100" spans="2:11" ht="12.75">
      <c r="B100" s="13" t="s">
        <v>103</v>
      </c>
      <c r="C100" s="14" t="s">
        <v>147</v>
      </c>
      <c r="D100" s="15"/>
      <c r="E100" s="15">
        <f t="array" ref="E100">INDEX('Nov 30 - Dec 6'!E$2:E$111,MATCH($B100,'Nov 30 - Dec 6'!$B$2:$B$111,0))-INDEX('Nov 23-29'!D$3:D$111,MATCH($B100,'Nov 23-29'!$B$3:$B$111,0))</f>
        <v>27</v>
      </c>
      <c r="F100" s="15">
        <f t="array" ref="F100">INDEX('Nov 30 - Dec 6'!F$2:F$111,MATCH($B100,'Nov 30 - Dec 6'!$B$2:$B$111,0))-INDEX('Nov 23-29'!E$3:E$111,MATCH($B100,'Nov 23-29'!$B$3:$B$111,0))</f>
        <v>5</v>
      </c>
      <c r="G100" s="15">
        <f t="array" ref="G100">INDEX('Nov 30 - Dec 6'!G$2:G$111,MATCH($B100,'Nov 30 - Dec 6'!$B$2:$B$111,0))-INDEX('Nov 23-29'!F$3:F$111,MATCH($B100,'Nov 23-29'!$B$3:$B$111,0))</f>
        <v>1</v>
      </c>
      <c r="H100" s="15">
        <f t="array" ref="H100">INDEX('Nov 30 - Dec 6'!H$2:H$111,MATCH($B100,'Nov 30 - Dec 6'!$B$2:$B$111,0))-INDEX('Nov 23-29'!G$3:G$111,MATCH($B100,'Nov 23-29'!$B$3:$B$111,0))</f>
        <v>3</v>
      </c>
      <c r="I100" s="15">
        <f t="array" ref="I100">INDEX('Nov 30 - Dec 6'!I$2:I$111,MATCH($B100,'Nov 30 - Dec 6'!$B$2:$B$111,0))-INDEX('Nov 23-29'!H$3:H$111,MATCH($B100,'Nov 23-29'!$B$3:$B$111,0))</f>
        <v>0</v>
      </c>
      <c r="J100" s="15">
        <f t="array" ref="J100">INDEX('Nov 30 - Dec 6'!J$2:J$111,MATCH($B100,'Nov 30 - Dec 6'!$B$2:$B$111,0))-INDEX('Nov 23-29'!I$3:I$111,MATCH($B100,'Nov 23-29'!$B$3:$B$111,0))</f>
        <v>0</v>
      </c>
      <c r="K100" s="15">
        <f t="array" ref="K100">INDEX('Nov 30 - Dec 6'!K$2:K$111,MATCH($B100,'Nov 30 - Dec 6'!$B$2:$B$111,0))-INDEX('Nov 23-29'!J$3:J$111,MATCH($B100,'Nov 23-29'!$B$3:$B$111,0))</f>
        <v>0</v>
      </c>
    </row>
    <row r="101" spans="2:11" ht="12.75">
      <c r="B101" s="13" t="s">
        <v>120</v>
      </c>
      <c r="C101" s="14" t="s">
        <v>142</v>
      </c>
      <c r="D101" s="14"/>
      <c r="E101" s="15">
        <f t="array" ref="E101">INDEX('Nov 30 - Dec 6'!E$2:E$111,MATCH($B101,'Nov 30 - Dec 6'!$B$2:$B$111,0))-INDEX('Nov 23-29'!D$3:D$111,MATCH($B101,'Nov 23-29'!$B$3:$B$111,0))</f>
        <v>1</v>
      </c>
      <c r="F101" s="15">
        <f t="array" ref="F101">INDEX('Nov 30 - Dec 6'!F$2:F$111,MATCH($B101,'Nov 30 - Dec 6'!$B$2:$B$111,0))-INDEX('Nov 23-29'!E$3:E$111,MATCH($B101,'Nov 23-29'!$B$3:$B$111,0))</f>
        <v>1</v>
      </c>
      <c r="G101" s="15">
        <f t="array" ref="G101">INDEX('Nov 30 - Dec 6'!G$2:G$111,MATCH($B101,'Nov 30 - Dec 6'!$B$2:$B$111,0))-INDEX('Nov 23-29'!F$3:F$111,MATCH($B101,'Nov 23-29'!$B$3:$B$111,0))</f>
        <v>0</v>
      </c>
      <c r="H101" s="15">
        <f t="array" ref="H101">INDEX('Nov 30 - Dec 6'!H$2:H$111,MATCH($B101,'Nov 30 - Dec 6'!$B$2:$B$111,0))-INDEX('Nov 23-29'!G$3:G$111,MATCH($B101,'Nov 23-29'!$B$3:$B$111,0))</f>
        <v>0</v>
      </c>
      <c r="I101" s="15">
        <f t="array" ref="I101">INDEX('Nov 30 - Dec 6'!I$2:I$111,MATCH($B101,'Nov 30 - Dec 6'!$B$2:$B$111,0))-INDEX('Nov 23-29'!H$3:H$111,MATCH($B101,'Nov 23-29'!$B$3:$B$111,0))</f>
        <v>0</v>
      </c>
      <c r="J101" s="15">
        <f t="array" ref="J101">INDEX('Nov 30 - Dec 6'!J$2:J$111,MATCH($B101,'Nov 30 - Dec 6'!$B$2:$B$111,0))-INDEX('Nov 23-29'!I$3:I$111,MATCH($B101,'Nov 23-29'!$B$3:$B$111,0))</f>
        <v>0</v>
      </c>
      <c r="K101" s="15">
        <f t="array" ref="K101">INDEX('Nov 30 - Dec 6'!K$2:K$111,MATCH($B101,'Nov 30 - Dec 6'!$B$2:$B$111,0))-INDEX('Nov 23-29'!J$3:J$111,MATCH($B101,'Nov 23-29'!$B$3:$B$111,0))</f>
        <v>0</v>
      </c>
    </row>
    <row r="102" spans="2:11" ht="12.75">
      <c r="B102" s="13" t="s">
        <v>121</v>
      </c>
      <c r="C102" s="14" t="s">
        <v>142</v>
      </c>
      <c r="D102" s="14"/>
      <c r="E102" s="15">
        <f t="array" ref="E102">INDEX('Nov 30 - Dec 6'!E$2:E$111,MATCH($B102,'Nov 30 - Dec 6'!$B$2:$B$111,0))-INDEX('Nov 23-29'!D$3:D$111,MATCH($B102,'Nov 23-29'!$B$3:$B$111,0))</f>
        <v>-1</v>
      </c>
      <c r="F102" s="15">
        <f t="array" ref="F102">INDEX('Nov 30 - Dec 6'!F$2:F$111,MATCH($B102,'Nov 30 - Dec 6'!$B$2:$B$111,0))-INDEX('Nov 23-29'!E$3:E$111,MATCH($B102,'Nov 23-29'!$B$3:$B$111,0))</f>
        <v>-1</v>
      </c>
      <c r="G102" s="15">
        <f t="array" ref="G102">INDEX('Nov 30 - Dec 6'!G$2:G$111,MATCH($B102,'Nov 30 - Dec 6'!$B$2:$B$111,0))-INDEX('Nov 23-29'!F$3:F$111,MATCH($B102,'Nov 23-29'!$B$3:$B$111,0))</f>
        <v>-1</v>
      </c>
      <c r="H102" s="15">
        <f t="array" ref="H102">INDEX('Nov 30 - Dec 6'!H$2:H$111,MATCH($B102,'Nov 30 - Dec 6'!$B$2:$B$111,0))-INDEX('Nov 23-29'!G$3:G$111,MATCH($B102,'Nov 23-29'!$B$3:$B$111,0))</f>
        <v>0</v>
      </c>
      <c r="I102" s="15">
        <f t="array" ref="I102">INDEX('Nov 30 - Dec 6'!I$2:I$111,MATCH($B102,'Nov 30 - Dec 6'!$B$2:$B$111,0))-INDEX('Nov 23-29'!H$3:H$111,MATCH($B102,'Nov 23-29'!$B$3:$B$111,0))</f>
        <v>0</v>
      </c>
      <c r="J102" s="15">
        <f t="array" ref="J102">INDEX('Nov 30 - Dec 6'!J$2:J$111,MATCH($B102,'Nov 30 - Dec 6'!$B$2:$B$111,0))-INDEX('Nov 23-29'!I$3:I$111,MATCH($B102,'Nov 23-29'!$B$3:$B$111,0))</f>
        <v>0</v>
      </c>
      <c r="K102" s="15">
        <f t="array" ref="K102">INDEX('Nov 30 - Dec 6'!K$2:K$111,MATCH($B102,'Nov 30 - Dec 6'!$B$2:$B$111,0))-INDEX('Nov 23-29'!J$3:J$111,MATCH($B102,'Nov 23-29'!$B$3:$B$111,0))</f>
        <v>0</v>
      </c>
    </row>
    <row r="103" spans="2:11" ht="12.75">
      <c r="B103" s="13" t="s">
        <v>21</v>
      </c>
      <c r="C103" s="14" t="s">
        <v>147</v>
      </c>
      <c r="D103" s="15"/>
      <c r="E103" s="15">
        <f t="array" ref="E103">INDEX('Nov 30 - Dec 6'!E$2:E$111,MATCH($B103,'Nov 30 - Dec 6'!$B$2:$B$111,0))-INDEX('Nov 23-29'!D$3:D$111,MATCH($B103,'Nov 23-29'!$B$3:$B$111,0))</f>
        <v>22</v>
      </c>
      <c r="F103" s="15">
        <f t="array" ref="F103">INDEX('Nov 30 - Dec 6'!F$2:F$111,MATCH($B103,'Nov 30 - Dec 6'!$B$2:$B$111,0))-INDEX('Nov 23-29'!E$3:E$111,MATCH($B103,'Nov 23-29'!$B$3:$B$111,0))</f>
        <v>3</v>
      </c>
      <c r="G103" s="15">
        <f t="array" ref="G103">INDEX('Nov 30 - Dec 6'!G$2:G$111,MATCH($B103,'Nov 30 - Dec 6'!$B$2:$B$111,0))-INDEX('Nov 23-29'!F$3:F$111,MATCH($B103,'Nov 23-29'!$B$3:$B$111,0))</f>
        <v>2</v>
      </c>
      <c r="H103" s="15">
        <f t="array" ref="H103">INDEX('Nov 30 - Dec 6'!H$2:H$111,MATCH($B103,'Nov 30 - Dec 6'!$B$2:$B$111,0))-INDEX('Nov 23-29'!G$3:G$111,MATCH($B103,'Nov 23-29'!$B$3:$B$111,0))</f>
        <v>2</v>
      </c>
      <c r="I103" s="15">
        <f t="array" ref="I103">INDEX('Nov 30 - Dec 6'!I$2:I$111,MATCH($B103,'Nov 30 - Dec 6'!$B$2:$B$111,0))-INDEX('Nov 23-29'!H$3:H$111,MATCH($B103,'Nov 23-29'!$B$3:$B$111,0))</f>
        <v>0</v>
      </c>
      <c r="J103" s="15">
        <f t="array" ref="J103">INDEX('Nov 30 - Dec 6'!J$2:J$111,MATCH($B103,'Nov 30 - Dec 6'!$B$2:$B$111,0))-INDEX('Nov 23-29'!I$3:I$111,MATCH($B103,'Nov 23-29'!$B$3:$B$111,0))</f>
        <v>0</v>
      </c>
      <c r="K103" s="15">
        <f t="array" ref="K103">INDEX('Nov 30 - Dec 6'!K$2:K$111,MATCH($B103,'Nov 30 - Dec 6'!$B$2:$B$111,0))-INDEX('Nov 23-29'!J$3:J$111,MATCH($B103,'Nov 23-29'!$B$3:$B$111,0))</f>
        <v>0</v>
      </c>
    </row>
    <row r="104" spans="2:11" ht="12.75">
      <c r="B104" s="13" t="s">
        <v>99</v>
      </c>
      <c r="C104" s="14" t="s">
        <v>147</v>
      </c>
      <c r="D104" s="15"/>
      <c r="E104" s="15">
        <f t="array" ref="E104">INDEX('Nov 30 - Dec 6'!E$2:E$111,MATCH($B104,'Nov 30 - Dec 6'!$B$2:$B$111,0))-INDEX('Nov 23-29'!D$3:D$111,MATCH($B104,'Nov 23-29'!$B$3:$B$111,0))</f>
        <v>-4</v>
      </c>
      <c r="F104" s="15">
        <f t="array" ref="F104">INDEX('Nov 30 - Dec 6'!F$2:F$111,MATCH($B104,'Nov 30 - Dec 6'!$B$2:$B$111,0))-INDEX('Nov 23-29'!E$3:E$111,MATCH($B104,'Nov 23-29'!$B$3:$B$111,0))</f>
        <v>-4</v>
      </c>
      <c r="G104" s="15">
        <f t="array" ref="G104">INDEX('Nov 30 - Dec 6'!G$2:G$111,MATCH($B104,'Nov 30 - Dec 6'!$B$2:$B$111,0))-INDEX('Nov 23-29'!F$3:F$111,MATCH($B104,'Nov 23-29'!$B$3:$B$111,0))</f>
        <v>2</v>
      </c>
      <c r="H104" s="15">
        <f t="array" ref="H104">INDEX('Nov 30 - Dec 6'!H$2:H$111,MATCH($B104,'Nov 30 - Dec 6'!$B$2:$B$111,0))-INDEX('Nov 23-29'!G$3:G$111,MATCH($B104,'Nov 23-29'!$B$3:$B$111,0))</f>
        <v>2</v>
      </c>
      <c r="I104" s="15">
        <f t="array" ref="I104">INDEX('Nov 30 - Dec 6'!I$2:I$111,MATCH($B104,'Nov 30 - Dec 6'!$B$2:$B$111,0))-INDEX('Nov 23-29'!H$3:H$111,MATCH($B104,'Nov 23-29'!$B$3:$B$111,0))</f>
        <v>0</v>
      </c>
      <c r="J104" s="15">
        <f t="array" ref="J104">INDEX('Nov 30 - Dec 6'!J$2:J$111,MATCH($B104,'Nov 30 - Dec 6'!$B$2:$B$111,0))-INDEX('Nov 23-29'!I$3:I$111,MATCH($B104,'Nov 23-29'!$B$3:$B$111,0))</f>
        <v>0</v>
      </c>
      <c r="K104" s="15">
        <f t="array" ref="K104">INDEX('Nov 30 - Dec 6'!K$2:K$111,MATCH($B104,'Nov 30 - Dec 6'!$B$2:$B$111,0))-INDEX('Nov 23-29'!J$3:J$111,MATCH($B104,'Nov 23-29'!$B$3:$B$111,0))</f>
        <v>0</v>
      </c>
    </row>
    <row r="105" spans="2:11" ht="12.75">
      <c r="B105" s="13" t="s">
        <v>91</v>
      </c>
      <c r="C105" s="14" t="s">
        <v>147</v>
      </c>
      <c r="D105" s="15"/>
      <c r="E105" s="15">
        <f t="array" ref="E105">INDEX('Nov 30 - Dec 6'!E$2:E$111,MATCH($B105,'Nov 30 - Dec 6'!$B$2:$B$111,0))-INDEX('Nov 23-29'!D$3:D$111,MATCH($B105,'Nov 23-29'!$B$3:$B$111,0))</f>
        <v>49</v>
      </c>
      <c r="F105" s="15">
        <f t="array" ref="F105">INDEX('Nov 30 - Dec 6'!F$2:F$111,MATCH($B105,'Nov 30 - Dec 6'!$B$2:$B$111,0))-INDEX('Nov 23-29'!E$3:E$111,MATCH($B105,'Nov 23-29'!$B$3:$B$111,0))</f>
        <v>3</v>
      </c>
      <c r="G105" s="15">
        <f t="array" ref="G105">INDEX('Nov 30 - Dec 6'!G$2:G$111,MATCH($B105,'Nov 30 - Dec 6'!$B$2:$B$111,0))-INDEX('Nov 23-29'!F$3:F$111,MATCH($B105,'Nov 23-29'!$B$3:$B$111,0))</f>
        <v>8</v>
      </c>
      <c r="H105" s="15">
        <f t="array" ref="H105">INDEX('Nov 30 - Dec 6'!H$2:H$111,MATCH($B105,'Nov 30 - Dec 6'!$B$2:$B$111,0))-INDEX('Nov 23-29'!G$3:G$111,MATCH($B105,'Nov 23-29'!$B$3:$B$111,0))</f>
        <v>4</v>
      </c>
      <c r="I105" s="15">
        <f t="array" ref="I105">INDEX('Nov 30 - Dec 6'!I$2:I$111,MATCH($B105,'Nov 30 - Dec 6'!$B$2:$B$111,0))-INDEX('Nov 23-29'!H$3:H$111,MATCH($B105,'Nov 23-29'!$B$3:$B$111,0))</f>
        <v>0</v>
      </c>
      <c r="J105" s="15">
        <f t="array" ref="J105">INDEX('Nov 30 - Dec 6'!J$2:J$111,MATCH($B105,'Nov 30 - Dec 6'!$B$2:$B$111,0))-INDEX('Nov 23-29'!I$3:I$111,MATCH($B105,'Nov 23-29'!$B$3:$B$111,0))</f>
        <v>1</v>
      </c>
      <c r="K105" s="15">
        <f t="array" ref="K105">INDEX('Nov 30 - Dec 6'!K$2:K$111,MATCH($B105,'Nov 30 - Dec 6'!$B$2:$B$111,0))-INDEX('Nov 23-29'!J$3:J$111,MATCH($B105,'Nov 23-29'!$B$3:$B$111,0))</f>
        <v>0</v>
      </c>
    </row>
    <row r="106" spans="2:11" ht="12.75">
      <c r="B106" s="13" t="s">
        <v>81</v>
      </c>
      <c r="C106" s="14" t="s">
        <v>147</v>
      </c>
      <c r="D106" s="15"/>
      <c r="E106" s="15">
        <f t="array" ref="E106">INDEX('Nov 30 - Dec 6'!E$2:E$111,MATCH($B106,'Nov 30 - Dec 6'!$B$2:$B$111,0))-INDEX('Nov 23-29'!D$3:D$111,MATCH($B106,'Nov 23-29'!$B$3:$B$111,0))</f>
        <v>-2</v>
      </c>
      <c r="F106" s="15">
        <f t="array" ref="F106">INDEX('Nov 30 - Dec 6'!F$2:F$111,MATCH($B106,'Nov 30 - Dec 6'!$B$2:$B$111,0))-INDEX('Nov 23-29'!E$3:E$111,MATCH($B106,'Nov 23-29'!$B$3:$B$111,0))</f>
        <v>1</v>
      </c>
      <c r="G106" s="15">
        <f t="array" ref="G106">INDEX('Nov 30 - Dec 6'!G$2:G$111,MATCH($B106,'Nov 30 - Dec 6'!$B$2:$B$111,0))-INDEX('Nov 23-29'!F$3:F$111,MATCH($B106,'Nov 23-29'!$B$3:$B$111,0))</f>
        <v>1</v>
      </c>
      <c r="H106" s="15">
        <f t="array" ref="H106">INDEX('Nov 30 - Dec 6'!H$2:H$111,MATCH($B106,'Nov 30 - Dec 6'!$B$2:$B$111,0))-INDEX('Nov 23-29'!G$3:G$111,MATCH($B106,'Nov 23-29'!$B$3:$B$111,0))</f>
        <v>0</v>
      </c>
      <c r="I106" s="15">
        <f t="array" ref="I106">INDEX('Nov 30 - Dec 6'!I$2:I$111,MATCH($B106,'Nov 30 - Dec 6'!$B$2:$B$111,0))-INDEX('Nov 23-29'!H$3:H$111,MATCH($B106,'Nov 23-29'!$B$3:$B$111,0))</f>
        <v>0</v>
      </c>
      <c r="J106" s="15">
        <f t="array" ref="J106">INDEX('Nov 30 - Dec 6'!J$2:J$111,MATCH($B106,'Nov 30 - Dec 6'!$B$2:$B$111,0))-INDEX('Nov 23-29'!I$3:I$111,MATCH($B106,'Nov 23-29'!$B$3:$B$111,0))</f>
        <v>0</v>
      </c>
      <c r="K106" s="15">
        <f t="array" ref="K106">INDEX('Nov 30 - Dec 6'!K$2:K$111,MATCH($B106,'Nov 30 - Dec 6'!$B$2:$B$111,0))-INDEX('Nov 23-29'!J$3:J$111,MATCH($B106,'Nov 23-29'!$B$3:$B$111,0))</f>
        <v>0</v>
      </c>
    </row>
    <row r="107" spans="2:11" ht="12.75">
      <c r="B107" s="13" t="s">
        <v>92</v>
      </c>
      <c r="C107" s="14" t="s">
        <v>147</v>
      </c>
      <c r="D107" s="15"/>
      <c r="E107" s="15">
        <f t="array" ref="E107">INDEX('Nov 30 - Dec 6'!E$2:E$111,MATCH($B107,'Nov 30 - Dec 6'!$B$2:$B$111,0))-INDEX('Nov 23-29'!D$3:D$111,MATCH($B107,'Nov 23-29'!$B$3:$B$111,0))</f>
        <v>-4</v>
      </c>
      <c r="F107" s="15">
        <f t="array" ref="F107">INDEX('Nov 30 - Dec 6'!F$2:F$111,MATCH($B107,'Nov 30 - Dec 6'!$B$2:$B$111,0))-INDEX('Nov 23-29'!E$3:E$111,MATCH($B107,'Nov 23-29'!$B$3:$B$111,0))</f>
        <v>0</v>
      </c>
      <c r="G107" s="15">
        <f t="array" ref="G107">INDEX('Nov 30 - Dec 6'!G$2:G$111,MATCH($B107,'Nov 30 - Dec 6'!$B$2:$B$111,0))-INDEX('Nov 23-29'!F$3:F$111,MATCH($B107,'Nov 23-29'!$B$3:$B$111,0))</f>
        <v>0</v>
      </c>
      <c r="H107" s="15">
        <f t="array" ref="H107">INDEX('Nov 30 - Dec 6'!H$2:H$111,MATCH($B107,'Nov 30 - Dec 6'!$B$2:$B$111,0))-INDEX('Nov 23-29'!G$3:G$111,MATCH($B107,'Nov 23-29'!$B$3:$B$111,0))</f>
        <v>0</v>
      </c>
      <c r="I107" s="15">
        <f t="array" ref="I107">INDEX('Nov 30 - Dec 6'!I$2:I$111,MATCH($B107,'Nov 30 - Dec 6'!$B$2:$B$111,0))-INDEX('Nov 23-29'!H$3:H$111,MATCH($B107,'Nov 23-29'!$B$3:$B$111,0))</f>
        <v>0</v>
      </c>
      <c r="J107" s="15">
        <f t="array" ref="J107">INDEX('Nov 30 - Dec 6'!J$2:J$111,MATCH($B107,'Nov 30 - Dec 6'!$B$2:$B$111,0))-INDEX('Nov 23-29'!I$3:I$111,MATCH($B107,'Nov 23-29'!$B$3:$B$111,0))</f>
        <v>0</v>
      </c>
      <c r="K107" s="15">
        <f t="array" ref="K107">INDEX('Nov 30 - Dec 6'!K$2:K$111,MATCH($B107,'Nov 30 - Dec 6'!$B$2:$B$111,0))-INDEX('Nov 23-29'!J$3:J$111,MATCH($B107,'Nov 23-29'!$B$3:$B$111,0))</f>
        <v>0</v>
      </c>
    </row>
    <row r="108" spans="2:11" ht="12.75">
      <c r="B108" s="13" t="s">
        <v>62</v>
      </c>
      <c r="C108" s="14" t="s">
        <v>147</v>
      </c>
      <c r="D108" s="15"/>
      <c r="E108" s="15">
        <f t="array" ref="E108">INDEX('Nov 30 - Dec 6'!E$2:E$111,MATCH($B108,'Nov 30 - Dec 6'!$B$2:$B$111,0))-INDEX('Nov 23-29'!D$3:D$111,MATCH($B108,'Nov 23-29'!$B$3:$B$111,0))</f>
        <v>11</v>
      </c>
      <c r="F108" s="15">
        <f t="array" ref="F108">INDEX('Nov 30 - Dec 6'!F$2:F$111,MATCH($B108,'Nov 30 - Dec 6'!$B$2:$B$111,0))-INDEX('Nov 23-29'!E$3:E$111,MATCH($B108,'Nov 23-29'!$B$3:$B$111,0))</f>
        <v>4</v>
      </c>
      <c r="G108" s="15">
        <f t="array" ref="G108">INDEX('Nov 30 - Dec 6'!G$2:G$111,MATCH($B108,'Nov 30 - Dec 6'!$B$2:$B$111,0))-INDEX('Nov 23-29'!F$3:F$111,MATCH($B108,'Nov 23-29'!$B$3:$B$111,0))</f>
        <v>-1</v>
      </c>
      <c r="H108" s="15">
        <f t="array" ref="H108">INDEX('Nov 30 - Dec 6'!H$2:H$111,MATCH($B108,'Nov 30 - Dec 6'!$B$2:$B$111,0))-INDEX('Nov 23-29'!G$3:G$111,MATCH($B108,'Nov 23-29'!$B$3:$B$111,0))</f>
        <v>1</v>
      </c>
      <c r="I108" s="15">
        <f t="array" ref="I108">INDEX('Nov 30 - Dec 6'!I$2:I$111,MATCH($B108,'Nov 30 - Dec 6'!$B$2:$B$111,0))-INDEX('Nov 23-29'!H$3:H$111,MATCH($B108,'Nov 23-29'!$B$3:$B$111,0))</f>
        <v>0</v>
      </c>
      <c r="J108" s="15">
        <f t="array" ref="J108">INDEX('Nov 30 - Dec 6'!J$2:J$111,MATCH($B108,'Nov 30 - Dec 6'!$B$2:$B$111,0))-INDEX('Nov 23-29'!I$3:I$111,MATCH($B108,'Nov 23-29'!$B$3:$B$111,0))</f>
        <v>0</v>
      </c>
      <c r="K108" s="15">
        <f t="array" ref="K108">INDEX('Nov 30 - Dec 6'!K$2:K$111,MATCH($B108,'Nov 30 - Dec 6'!$B$2:$B$111,0))-INDEX('Nov 23-29'!J$3:J$111,MATCH($B108,'Nov 23-29'!$B$3:$B$111,0))</f>
        <v>0</v>
      </c>
    </row>
    <row r="109" spans="2:11" ht="12.75">
      <c r="B109" s="13" t="s">
        <v>111</v>
      </c>
      <c r="C109" s="14" t="s">
        <v>142</v>
      </c>
      <c r="D109" s="14"/>
      <c r="E109" s="15">
        <f t="array" ref="E109">INDEX('Nov 30 - Dec 6'!E$2:E$111,MATCH($B109,'Nov 30 - Dec 6'!$B$2:$B$111,0))-INDEX('Nov 23-29'!D$3:D$111,MATCH($B109,'Nov 23-29'!$B$3:$B$111,0))</f>
        <v>2</v>
      </c>
      <c r="F109" s="15">
        <f t="array" ref="F109">INDEX('Nov 30 - Dec 6'!F$2:F$111,MATCH($B109,'Nov 30 - Dec 6'!$B$2:$B$111,0))-INDEX('Nov 23-29'!E$3:E$111,MATCH($B109,'Nov 23-29'!$B$3:$B$111,0))</f>
        <v>2</v>
      </c>
      <c r="G109" s="15">
        <f t="array" ref="G109">INDEX('Nov 30 - Dec 6'!G$2:G$111,MATCH($B109,'Nov 30 - Dec 6'!$B$2:$B$111,0))-INDEX('Nov 23-29'!F$3:F$111,MATCH($B109,'Nov 23-29'!$B$3:$B$111,0))</f>
        <v>0</v>
      </c>
      <c r="H109" s="15">
        <f t="array" ref="H109">INDEX('Nov 30 - Dec 6'!H$2:H$111,MATCH($B109,'Nov 30 - Dec 6'!$B$2:$B$111,0))-INDEX('Nov 23-29'!G$3:G$111,MATCH($B109,'Nov 23-29'!$B$3:$B$111,0))</f>
        <v>0</v>
      </c>
      <c r="I109" s="15">
        <f t="array" ref="I109">INDEX('Nov 30 - Dec 6'!I$2:I$111,MATCH($B109,'Nov 30 - Dec 6'!$B$2:$B$111,0))-INDEX('Nov 23-29'!H$3:H$111,MATCH($B109,'Nov 23-29'!$B$3:$B$111,0))</f>
        <v>0</v>
      </c>
      <c r="J109" s="15">
        <f t="array" ref="J109">INDEX('Nov 30 - Dec 6'!J$2:J$111,MATCH($B109,'Nov 30 - Dec 6'!$B$2:$B$111,0))-INDEX('Nov 23-29'!I$3:I$111,MATCH($B109,'Nov 23-29'!$B$3:$B$111,0))</f>
        <v>0</v>
      </c>
      <c r="K109" s="15">
        <f t="array" ref="K109">INDEX('Nov 30 - Dec 6'!K$2:K$111,MATCH($B109,'Nov 30 - Dec 6'!$B$2:$B$111,0))-INDEX('Nov 23-29'!J$3:J$111,MATCH($B109,'Nov 23-29'!$B$3:$B$111,0))</f>
        <v>0</v>
      </c>
    </row>
    <row r="110" spans="2:11" ht="12.75">
      <c r="B110" s="13" t="s">
        <v>77</v>
      </c>
      <c r="C110" s="14" t="s">
        <v>147</v>
      </c>
      <c r="D110" s="15"/>
      <c r="E110" s="15">
        <f t="array" ref="E110">INDEX('Nov 30 - Dec 6'!E$2:E$111,MATCH($B110,'Nov 30 - Dec 6'!$B$2:$B$111,0))-INDEX('Nov 23-29'!D$3:D$111,MATCH($B110,'Nov 23-29'!$B$3:$B$111,0))</f>
        <v>88</v>
      </c>
      <c r="F110" s="15">
        <f t="array" ref="F110">INDEX('Nov 30 - Dec 6'!F$2:F$111,MATCH($B110,'Nov 30 - Dec 6'!$B$2:$B$111,0))-INDEX('Nov 23-29'!E$3:E$111,MATCH($B110,'Nov 23-29'!$B$3:$B$111,0))</f>
        <v>26</v>
      </c>
      <c r="G110" s="15">
        <f t="array" ref="G110">INDEX('Nov 30 - Dec 6'!G$2:G$111,MATCH($B110,'Nov 30 - Dec 6'!$B$2:$B$111,0))-INDEX('Nov 23-29'!F$3:F$111,MATCH($B110,'Nov 23-29'!$B$3:$B$111,0))</f>
        <v>3</v>
      </c>
      <c r="H110" s="15">
        <f t="array" ref="H110">INDEX('Nov 30 - Dec 6'!H$2:H$111,MATCH($B110,'Nov 30 - Dec 6'!$B$2:$B$111,0))-INDEX('Nov 23-29'!G$3:G$111,MATCH($B110,'Nov 23-29'!$B$3:$B$111,0))</f>
        <v>2</v>
      </c>
      <c r="I110" s="15">
        <f t="array" ref="I110">INDEX('Nov 30 - Dec 6'!I$2:I$111,MATCH($B110,'Nov 30 - Dec 6'!$B$2:$B$111,0))-INDEX('Nov 23-29'!H$3:H$111,MATCH($B110,'Nov 23-29'!$B$3:$B$111,0))</f>
        <v>1</v>
      </c>
      <c r="J110" s="15">
        <f t="array" ref="J110">INDEX('Nov 30 - Dec 6'!J$2:J$111,MATCH($B110,'Nov 30 - Dec 6'!$B$2:$B$111,0))-INDEX('Nov 23-29'!I$3:I$111,MATCH($B110,'Nov 23-29'!$B$3:$B$111,0))</f>
        <v>0</v>
      </c>
      <c r="K110" s="15">
        <f t="array" ref="K110">INDEX('Nov 30 - Dec 6'!K$2:K$111,MATCH($B110,'Nov 30 - Dec 6'!$B$2:$B$111,0))-INDEX('Nov 23-29'!J$3:J$111,MATCH($B110,'Nov 23-29'!$B$3:$B$111,0))</f>
        <v>2</v>
      </c>
    </row>
    <row r="111" spans="2:11" ht="12.75">
      <c r="B111" s="13" t="s">
        <v>65</v>
      </c>
      <c r="C111" s="14" t="s">
        <v>147</v>
      </c>
      <c r="D111" s="15"/>
      <c r="E111" s="15">
        <f t="array" ref="E111">INDEX('Nov 30 - Dec 6'!E$2:E$111,MATCH($B111,'Nov 30 - Dec 6'!$B$2:$B$111,0))-INDEX('Nov 23-29'!D$3:D$111,MATCH($B111,'Nov 23-29'!$B$3:$B$111,0))</f>
        <v>57</v>
      </c>
      <c r="F111" s="15">
        <f t="array" ref="F111">INDEX('Nov 30 - Dec 6'!F$2:F$111,MATCH($B111,'Nov 30 - Dec 6'!$B$2:$B$111,0))-INDEX('Nov 23-29'!E$3:E$111,MATCH($B111,'Nov 23-29'!$B$3:$B$111,0))</f>
        <v>19</v>
      </c>
      <c r="G111" s="15">
        <f t="array" ref="G111">INDEX('Nov 30 - Dec 6'!G$2:G$111,MATCH($B111,'Nov 30 - Dec 6'!$B$2:$B$111,0))-INDEX('Nov 23-29'!F$3:F$111,MATCH($B111,'Nov 23-29'!$B$3:$B$111,0))</f>
        <v>4</v>
      </c>
      <c r="H111" s="15">
        <f t="array" ref="H111">INDEX('Nov 30 - Dec 6'!H$2:H$111,MATCH($B111,'Nov 30 - Dec 6'!$B$2:$B$111,0))-INDEX('Nov 23-29'!G$3:G$111,MATCH($B111,'Nov 23-29'!$B$3:$B$111,0))</f>
        <v>5</v>
      </c>
      <c r="I111" s="15">
        <f t="array" ref="I111">INDEX('Nov 30 - Dec 6'!I$2:I$111,MATCH($B111,'Nov 30 - Dec 6'!$B$2:$B$111,0))-INDEX('Nov 23-29'!H$3:H$111,MATCH($B111,'Nov 23-29'!$B$3:$B$111,0))</f>
        <v>2</v>
      </c>
      <c r="J111" s="15">
        <f t="array" ref="J111">INDEX('Nov 30 - Dec 6'!J$2:J$111,MATCH($B111,'Nov 30 - Dec 6'!$B$2:$B$111,0))-INDEX('Nov 23-29'!I$3:I$111,MATCH($B111,'Nov 23-29'!$B$3:$B$111,0))</f>
        <v>0</v>
      </c>
      <c r="K111" s="15">
        <f t="array" ref="K111">INDEX('Nov 30 - Dec 6'!K$2:K$111,MATCH($B111,'Nov 30 - Dec 6'!$B$2:$B$111,0))-INDEX('Nov 23-29'!J$3:J$111,MATCH($B111,'Nov 23-29'!$B$3:$B$111,0))</f>
        <v>0</v>
      </c>
    </row>
  </sheetData>
  <autoFilter ref="B1:K111" xr:uid="{00000000-0009-0000-0000-000009000000}"/>
  <conditionalFormatting sqref="I105">
    <cfRule type="expression" dxfId="17" priority="1">
      <formula>$D104="N"</formula>
    </cfRule>
  </conditionalFormatting>
  <conditionalFormatting sqref="B2:K116">
    <cfRule type="expression" dxfId="16" priority="2">
      <formula>$C2="N"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C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3984375" defaultRowHeight="15.75" customHeight="1"/>
  <cols>
    <col min="1" max="1" width="2.73046875" customWidth="1"/>
    <col min="2" max="2" width="30" customWidth="1"/>
    <col min="3" max="3" width="15.265625" customWidth="1"/>
    <col min="4" max="4" width="8.86328125" customWidth="1"/>
    <col min="5" max="5" width="17.265625" customWidth="1"/>
    <col min="6" max="6" width="13.86328125" customWidth="1"/>
    <col min="7" max="7" width="17.265625" customWidth="1"/>
    <col min="8" max="8" width="10.1328125" customWidth="1"/>
    <col min="9" max="9" width="14.1328125" customWidth="1"/>
    <col min="10" max="10" width="11.3984375" customWidth="1"/>
    <col min="11" max="11" width="13" customWidth="1"/>
    <col min="12" max="12" width="12.1328125" customWidth="1"/>
    <col min="18" max="18" width="19" customWidth="1"/>
    <col min="21" max="21" width="18.53125" customWidth="1"/>
  </cols>
  <sheetData>
    <row r="1" spans="1:25" ht="28.5" customHeight="1">
      <c r="B1" s="6" t="s">
        <v>0</v>
      </c>
      <c r="C1" s="7" t="s">
        <v>1</v>
      </c>
      <c r="D1" s="7" t="s">
        <v>2</v>
      </c>
      <c r="E1" s="6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6" t="s">
        <v>8</v>
      </c>
      <c r="K1" s="7" t="s">
        <v>9</v>
      </c>
      <c r="L1" s="7" t="s">
        <v>10</v>
      </c>
      <c r="M1" s="8" t="s">
        <v>11</v>
      </c>
      <c r="N1" s="9" t="s">
        <v>12</v>
      </c>
      <c r="O1" s="10" t="s">
        <v>13</v>
      </c>
      <c r="P1" s="10" t="s">
        <v>14</v>
      </c>
      <c r="Q1" s="10" t="s">
        <v>15</v>
      </c>
      <c r="R1" s="11" t="s">
        <v>16</v>
      </c>
    </row>
    <row r="2" spans="1:25" ht="12.75">
      <c r="A2" s="12">
        <f t="shared" ref="A2:A80" si="0">A1+1</f>
        <v>1</v>
      </c>
      <c r="B2" s="13" t="s">
        <v>148</v>
      </c>
      <c r="C2" s="15" t="s">
        <v>147</v>
      </c>
      <c r="D2" s="15">
        <v>2</v>
      </c>
      <c r="E2" s="15">
        <v>28</v>
      </c>
      <c r="F2" s="15">
        <v>0</v>
      </c>
      <c r="G2" s="15">
        <v>0</v>
      </c>
      <c r="H2" s="15">
        <v>0</v>
      </c>
      <c r="I2" s="15"/>
      <c r="J2" s="15"/>
      <c r="K2" s="15"/>
      <c r="L2" s="1"/>
      <c r="M2" s="17">
        <f t="shared" ref="M2:M111" si="1">IFERROR(F2/E2, " ")</f>
        <v>0</v>
      </c>
      <c r="N2" s="18"/>
      <c r="O2" s="17"/>
      <c r="P2" s="17"/>
      <c r="Q2" s="17"/>
      <c r="R2" s="17">
        <f t="shared" ref="R2:R111" si="2">IFERROR(E2/$E$113," ")</f>
        <v>9.4947439810105123E-3</v>
      </c>
    </row>
    <row r="3" spans="1:25" ht="12.75">
      <c r="A3" s="12">
        <f t="shared" si="0"/>
        <v>2</v>
      </c>
      <c r="B3" s="13" t="s">
        <v>117</v>
      </c>
      <c r="C3" s="14" t="s">
        <v>147</v>
      </c>
      <c r="D3" s="15">
        <v>3</v>
      </c>
      <c r="E3" s="15">
        <v>109</v>
      </c>
      <c r="F3" s="15">
        <v>22</v>
      </c>
      <c r="G3" s="15">
        <v>2</v>
      </c>
      <c r="H3" s="15">
        <v>1</v>
      </c>
      <c r="I3" s="15"/>
      <c r="J3" s="15"/>
      <c r="K3" s="15"/>
      <c r="L3" s="1" t="s">
        <v>20</v>
      </c>
      <c r="M3" s="17">
        <f t="shared" si="1"/>
        <v>0.20183486238532111</v>
      </c>
      <c r="N3" s="18">
        <f t="shared" ref="N3:N113" si="3">IFERROR(H3/E3," ")</f>
        <v>9.1743119266055051E-3</v>
      </c>
      <c r="O3" s="17">
        <f t="shared" ref="O3:O111" si="4">IFERROR(K3/H3, " ")</f>
        <v>0</v>
      </c>
      <c r="P3" s="17" t="str">
        <f t="shared" ref="P3:P38" si="5">IFERROR(K3/I3, " ")</f>
        <v xml:space="preserve"> </v>
      </c>
      <c r="Q3" s="17" t="str">
        <f t="shared" ref="Q3:Q111" si="6">IFERROR(K3/J3, " ")</f>
        <v xml:space="preserve"> </v>
      </c>
      <c r="R3" s="17">
        <f t="shared" si="2"/>
        <v>3.6961681926076635E-2</v>
      </c>
    </row>
    <row r="4" spans="1:25" ht="12.75">
      <c r="A4" s="12">
        <f t="shared" si="0"/>
        <v>3</v>
      </c>
      <c r="B4" s="13" t="s">
        <v>33</v>
      </c>
      <c r="C4" s="14" t="s">
        <v>147</v>
      </c>
      <c r="D4" s="15">
        <v>4</v>
      </c>
      <c r="E4" s="15">
        <v>65</v>
      </c>
      <c r="F4" s="15">
        <v>19</v>
      </c>
      <c r="G4" s="15">
        <v>2</v>
      </c>
      <c r="H4" s="15">
        <v>0</v>
      </c>
      <c r="I4" s="15"/>
      <c r="J4" s="15"/>
      <c r="K4" s="15"/>
      <c r="L4" s="1" t="s">
        <v>34</v>
      </c>
      <c r="M4" s="17">
        <f t="shared" si="1"/>
        <v>0.29230769230769232</v>
      </c>
      <c r="N4" s="18">
        <f t="shared" si="3"/>
        <v>0</v>
      </c>
      <c r="O4" s="17" t="str">
        <f t="shared" si="4"/>
        <v xml:space="preserve"> </v>
      </c>
      <c r="P4" s="17" t="str">
        <f t="shared" si="5"/>
        <v xml:space="preserve"> </v>
      </c>
      <c r="Q4" s="17" t="str">
        <f t="shared" si="6"/>
        <v xml:space="preserve"> </v>
      </c>
      <c r="R4" s="17">
        <f t="shared" si="2"/>
        <v>2.204136995591726E-2</v>
      </c>
    </row>
    <row r="5" spans="1:25" ht="12.75">
      <c r="A5" s="12">
        <f t="shared" si="0"/>
        <v>4</v>
      </c>
      <c r="B5" s="13" t="s">
        <v>65</v>
      </c>
      <c r="C5" s="14" t="s">
        <v>147</v>
      </c>
      <c r="D5" s="15">
        <v>5</v>
      </c>
      <c r="E5" s="15">
        <v>83</v>
      </c>
      <c r="F5" s="15">
        <v>24</v>
      </c>
      <c r="G5" s="15">
        <v>5</v>
      </c>
      <c r="H5" s="15">
        <v>5</v>
      </c>
      <c r="I5" s="15">
        <v>2</v>
      </c>
      <c r="J5" s="15">
        <v>0</v>
      </c>
      <c r="K5" s="15">
        <v>0</v>
      </c>
      <c r="L5" s="1" t="s">
        <v>20</v>
      </c>
      <c r="M5" s="17">
        <f t="shared" si="1"/>
        <v>0.28915662650602408</v>
      </c>
      <c r="N5" s="18">
        <f t="shared" si="3"/>
        <v>6.0240963855421686E-2</v>
      </c>
      <c r="O5" s="17">
        <f t="shared" si="4"/>
        <v>0</v>
      </c>
      <c r="P5" s="17">
        <f t="shared" si="5"/>
        <v>0</v>
      </c>
      <c r="Q5" s="17" t="str">
        <f t="shared" si="6"/>
        <v xml:space="preserve"> </v>
      </c>
      <c r="R5" s="17">
        <f t="shared" si="2"/>
        <v>2.8145133943709731E-2</v>
      </c>
    </row>
    <row r="6" spans="1:25" ht="12.75">
      <c r="A6" s="12">
        <f t="shared" si="0"/>
        <v>5</v>
      </c>
      <c r="B6" s="13" t="s">
        <v>42</v>
      </c>
      <c r="C6" s="14" t="s">
        <v>147</v>
      </c>
      <c r="D6" s="15">
        <v>6</v>
      </c>
      <c r="E6" s="15">
        <v>78</v>
      </c>
      <c r="F6" s="15">
        <v>15</v>
      </c>
      <c r="G6" s="15">
        <v>3</v>
      </c>
      <c r="H6" s="15">
        <v>6</v>
      </c>
      <c r="I6" s="15"/>
      <c r="J6" s="15"/>
      <c r="K6" s="15"/>
      <c r="L6" s="1" t="s">
        <v>20</v>
      </c>
      <c r="M6" s="17">
        <f t="shared" si="1"/>
        <v>0.19230769230769232</v>
      </c>
      <c r="N6" s="18">
        <f t="shared" si="3"/>
        <v>7.6923076923076927E-2</v>
      </c>
      <c r="O6" s="17">
        <f t="shared" si="4"/>
        <v>0</v>
      </c>
      <c r="P6" s="17" t="str">
        <f t="shared" si="5"/>
        <v xml:space="preserve"> </v>
      </c>
      <c r="Q6" s="17" t="str">
        <f t="shared" si="6"/>
        <v xml:space="preserve"> </v>
      </c>
      <c r="R6" s="17">
        <f t="shared" si="2"/>
        <v>2.6449643947100712E-2</v>
      </c>
    </row>
    <row r="7" spans="1:25" ht="12.75">
      <c r="A7" s="12">
        <f t="shared" si="0"/>
        <v>6</v>
      </c>
      <c r="B7" s="13" t="s">
        <v>90</v>
      </c>
      <c r="C7" s="14" t="s">
        <v>147</v>
      </c>
      <c r="D7" s="15">
        <v>7</v>
      </c>
      <c r="E7" s="15">
        <v>87</v>
      </c>
      <c r="F7" s="15">
        <v>25</v>
      </c>
      <c r="G7" s="15">
        <v>3</v>
      </c>
      <c r="H7" s="15">
        <v>5</v>
      </c>
      <c r="I7" s="15"/>
      <c r="J7" s="15">
        <v>1</v>
      </c>
      <c r="K7" s="15">
        <v>1</v>
      </c>
      <c r="L7" s="1" t="s">
        <v>20</v>
      </c>
      <c r="M7" s="17">
        <f t="shared" si="1"/>
        <v>0.28735632183908044</v>
      </c>
      <c r="N7" s="18">
        <f t="shared" si="3"/>
        <v>5.7471264367816091E-2</v>
      </c>
      <c r="O7" s="17">
        <f t="shared" si="4"/>
        <v>0.2</v>
      </c>
      <c r="P7" s="17" t="str">
        <f t="shared" si="5"/>
        <v xml:space="preserve"> </v>
      </c>
      <c r="Q7" s="17">
        <f t="shared" si="6"/>
        <v>1</v>
      </c>
      <c r="R7" s="17">
        <f t="shared" si="2"/>
        <v>2.9501525940996948E-2</v>
      </c>
    </row>
    <row r="8" spans="1:25" ht="12.75">
      <c r="A8" s="12">
        <f t="shared" si="0"/>
        <v>7</v>
      </c>
      <c r="B8" s="13" t="s">
        <v>51</v>
      </c>
      <c r="C8" s="14" t="s">
        <v>147</v>
      </c>
      <c r="D8" s="15">
        <v>8</v>
      </c>
      <c r="E8" s="15">
        <v>14</v>
      </c>
      <c r="F8" s="15">
        <v>4</v>
      </c>
      <c r="G8" s="15">
        <v>2</v>
      </c>
      <c r="H8" s="15">
        <v>0</v>
      </c>
      <c r="I8" s="15"/>
      <c r="J8" s="15"/>
      <c r="K8" s="15"/>
      <c r="L8" s="1" t="s">
        <v>20</v>
      </c>
      <c r="M8" s="17">
        <f t="shared" si="1"/>
        <v>0.2857142857142857</v>
      </c>
      <c r="N8" s="18">
        <f t="shared" si="3"/>
        <v>0</v>
      </c>
      <c r="O8" s="17" t="str">
        <f t="shared" si="4"/>
        <v xml:space="preserve"> </v>
      </c>
      <c r="P8" s="17" t="str">
        <f t="shared" si="5"/>
        <v xml:space="preserve"> </v>
      </c>
      <c r="Q8" s="17" t="str">
        <f t="shared" si="6"/>
        <v xml:space="preserve"> </v>
      </c>
      <c r="R8" s="17">
        <f t="shared" si="2"/>
        <v>4.7473719905052562E-3</v>
      </c>
    </row>
    <row r="9" spans="1:25" ht="12.75">
      <c r="A9" s="12">
        <f t="shared" si="0"/>
        <v>8</v>
      </c>
      <c r="B9" s="13" t="s">
        <v>84</v>
      </c>
      <c r="C9" s="14" t="s">
        <v>147</v>
      </c>
      <c r="D9" s="15">
        <v>9</v>
      </c>
      <c r="E9" s="15">
        <v>22</v>
      </c>
      <c r="F9" s="15">
        <v>4</v>
      </c>
      <c r="G9" s="15">
        <v>1</v>
      </c>
      <c r="H9" s="15">
        <v>1</v>
      </c>
      <c r="I9" s="15"/>
      <c r="J9" s="15"/>
      <c r="K9" s="15"/>
      <c r="L9" s="1" t="s">
        <v>20</v>
      </c>
      <c r="M9" s="17">
        <f t="shared" si="1"/>
        <v>0.18181818181818182</v>
      </c>
      <c r="N9" s="18">
        <f t="shared" si="3"/>
        <v>4.5454545454545456E-2</v>
      </c>
      <c r="O9" s="17">
        <f t="shared" si="4"/>
        <v>0</v>
      </c>
      <c r="P9" s="17" t="str">
        <f t="shared" si="5"/>
        <v xml:space="preserve"> </v>
      </c>
      <c r="Q9" s="17" t="str">
        <f t="shared" si="6"/>
        <v xml:space="preserve"> </v>
      </c>
      <c r="R9" s="17">
        <f t="shared" si="2"/>
        <v>7.4601559850796884E-3</v>
      </c>
    </row>
    <row r="10" spans="1:25" ht="12.75">
      <c r="A10" s="12">
        <f t="shared" si="0"/>
        <v>9</v>
      </c>
      <c r="B10" s="13" t="s">
        <v>67</v>
      </c>
      <c r="C10" s="14" t="s">
        <v>147</v>
      </c>
      <c r="D10" s="15">
        <v>10</v>
      </c>
      <c r="E10" s="15">
        <v>37</v>
      </c>
      <c r="F10" s="15">
        <v>6</v>
      </c>
      <c r="G10" s="15">
        <v>4</v>
      </c>
      <c r="H10" s="15">
        <v>1</v>
      </c>
      <c r="I10" s="15"/>
      <c r="J10" s="15"/>
      <c r="K10" s="15"/>
      <c r="L10" s="1" t="s">
        <v>34</v>
      </c>
      <c r="M10" s="17">
        <f t="shared" si="1"/>
        <v>0.16216216216216217</v>
      </c>
      <c r="N10" s="18">
        <f t="shared" si="3"/>
        <v>2.7027027027027029E-2</v>
      </c>
      <c r="O10" s="17">
        <f t="shared" si="4"/>
        <v>0</v>
      </c>
      <c r="P10" s="17" t="str">
        <f t="shared" si="5"/>
        <v xml:space="preserve"> </v>
      </c>
      <c r="Q10" s="17" t="str">
        <f t="shared" si="6"/>
        <v xml:space="preserve"> </v>
      </c>
      <c r="R10" s="17">
        <f t="shared" si="2"/>
        <v>1.2546625974906748E-2</v>
      </c>
    </row>
    <row r="11" spans="1:25" ht="12.75">
      <c r="A11" s="12">
        <f t="shared" si="0"/>
        <v>10</v>
      </c>
      <c r="B11" s="13" t="s">
        <v>74</v>
      </c>
      <c r="C11" s="14" t="s">
        <v>147</v>
      </c>
      <c r="D11" s="15">
        <v>11</v>
      </c>
      <c r="E11" s="15">
        <v>21</v>
      </c>
      <c r="F11" s="15">
        <v>9</v>
      </c>
      <c r="G11" s="15">
        <v>2</v>
      </c>
      <c r="H11" s="15">
        <v>0</v>
      </c>
      <c r="I11" s="15"/>
      <c r="J11" s="15"/>
      <c r="K11" s="15"/>
      <c r="L11" s="1" t="s">
        <v>20</v>
      </c>
      <c r="M11" s="17">
        <f t="shared" si="1"/>
        <v>0.42857142857142855</v>
      </c>
      <c r="N11" s="18">
        <f t="shared" si="3"/>
        <v>0</v>
      </c>
      <c r="O11" s="17" t="str">
        <f t="shared" si="4"/>
        <v xml:space="preserve"> </v>
      </c>
      <c r="P11" s="17" t="str">
        <f t="shared" si="5"/>
        <v xml:space="preserve"> </v>
      </c>
      <c r="Q11" s="17" t="str">
        <f t="shared" si="6"/>
        <v xml:space="preserve"> </v>
      </c>
      <c r="R11" s="17">
        <f t="shared" si="2"/>
        <v>7.1210579857578843E-3</v>
      </c>
    </row>
    <row r="12" spans="1:25" ht="12.75">
      <c r="A12" s="12">
        <f t="shared" si="0"/>
        <v>11</v>
      </c>
      <c r="B12" s="13" t="s">
        <v>54</v>
      </c>
      <c r="C12" s="14" t="s">
        <v>147</v>
      </c>
      <c r="D12" s="15">
        <v>12</v>
      </c>
      <c r="E12" s="15">
        <v>66</v>
      </c>
      <c r="F12" s="15">
        <v>20</v>
      </c>
      <c r="G12" s="15">
        <v>3</v>
      </c>
      <c r="H12" s="15">
        <v>3</v>
      </c>
      <c r="I12" s="15">
        <v>2</v>
      </c>
      <c r="J12" s="15">
        <v>0</v>
      </c>
      <c r="K12" s="15">
        <v>0</v>
      </c>
      <c r="L12" s="1" t="s">
        <v>20</v>
      </c>
      <c r="M12" s="17">
        <f t="shared" si="1"/>
        <v>0.30303030303030304</v>
      </c>
      <c r="N12" s="18">
        <f t="shared" si="3"/>
        <v>4.5454545454545456E-2</v>
      </c>
      <c r="O12" s="17">
        <f t="shared" si="4"/>
        <v>0</v>
      </c>
      <c r="P12" s="17">
        <f t="shared" si="5"/>
        <v>0</v>
      </c>
      <c r="Q12" s="17" t="str">
        <f t="shared" si="6"/>
        <v xml:space="preserve"> </v>
      </c>
      <c r="R12" s="17">
        <f t="shared" si="2"/>
        <v>2.2380467955239063E-2</v>
      </c>
    </row>
    <row r="13" spans="1:25" ht="12.75">
      <c r="A13" s="12">
        <f t="shared" si="0"/>
        <v>12</v>
      </c>
      <c r="B13" s="13" t="s">
        <v>69</v>
      </c>
      <c r="C13" s="14" t="s">
        <v>147</v>
      </c>
      <c r="D13" s="15">
        <v>13</v>
      </c>
      <c r="E13" s="15">
        <v>48</v>
      </c>
      <c r="F13" s="15">
        <v>21</v>
      </c>
      <c r="G13" s="15">
        <v>3</v>
      </c>
      <c r="H13" s="15">
        <v>3</v>
      </c>
      <c r="I13" s="15"/>
      <c r="J13" s="15"/>
      <c r="K13" s="15"/>
      <c r="L13" s="1" t="s">
        <v>20</v>
      </c>
      <c r="M13" s="17">
        <f t="shared" si="1"/>
        <v>0.4375</v>
      </c>
      <c r="N13" s="18">
        <f t="shared" si="3"/>
        <v>6.25E-2</v>
      </c>
      <c r="O13" s="17">
        <f t="shared" si="4"/>
        <v>0</v>
      </c>
      <c r="P13" s="17" t="str">
        <f t="shared" si="5"/>
        <v xml:space="preserve"> </v>
      </c>
      <c r="Q13" s="17" t="str">
        <f t="shared" si="6"/>
        <v xml:space="preserve"> </v>
      </c>
      <c r="R13" s="17">
        <f t="shared" si="2"/>
        <v>1.6276703967446592E-2</v>
      </c>
    </row>
    <row r="14" spans="1:25" ht="12.75">
      <c r="A14" s="12">
        <f t="shared" si="0"/>
        <v>13</v>
      </c>
      <c r="B14" s="13" t="s">
        <v>25</v>
      </c>
      <c r="C14" s="14" t="s">
        <v>147</v>
      </c>
      <c r="D14" s="15">
        <v>14</v>
      </c>
      <c r="E14" s="15">
        <v>78</v>
      </c>
      <c r="F14" s="15">
        <v>8</v>
      </c>
      <c r="G14" s="15">
        <v>2</v>
      </c>
      <c r="H14" s="15">
        <v>0</v>
      </c>
      <c r="I14" s="15"/>
      <c r="J14" s="15"/>
      <c r="K14" s="15"/>
      <c r="L14" s="1" t="s">
        <v>34</v>
      </c>
      <c r="M14" s="17">
        <f t="shared" si="1"/>
        <v>0.10256410256410256</v>
      </c>
      <c r="N14" s="18">
        <f t="shared" si="3"/>
        <v>0</v>
      </c>
      <c r="O14" s="17" t="str">
        <f t="shared" si="4"/>
        <v xml:space="preserve"> </v>
      </c>
      <c r="P14" s="17" t="str">
        <f t="shared" si="5"/>
        <v xml:space="preserve"> </v>
      </c>
      <c r="Q14" s="17" t="str">
        <f t="shared" si="6"/>
        <v xml:space="preserve"> </v>
      </c>
      <c r="R14" s="17">
        <f t="shared" si="2"/>
        <v>2.6449643947100712E-2</v>
      </c>
      <c r="U14" s="13"/>
      <c r="V14" s="19"/>
      <c r="W14" s="19"/>
      <c r="X14" s="19"/>
      <c r="Y14" s="20"/>
    </row>
    <row r="15" spans="1:25" ht="12.75">
      <c r="A15" s="12">
        <f t="shared" si="0"/>
        <v>14</v>
      </c>
      <c r="B15" s="13" t="s">
        <v>125</v>
      </c>
      <c r="C15" s="14" t="s">
        <v>147</v>
      </c>
      <c r="D15" s="15">
        <v>15</v>
      </c>
      <c r="E15" s="15">
        <v>155</v>
      </c>
      <c r="F15" s="15">
        <v>90</v>
      </c>
      <c r="G15" s="15">
        <v>8</v>
      </c>
      <c r="H15" s="15">
        <v>3</v>
      </c>
      <c r="I15" s="15"/>
      <c r="J15" s="15"/>
      <c r="K15" s="15"/>
      <c r="L15" s="1" t="s">
        <v>126</v>
      </c>
      <c r="M15" s="17">
        <f t="shared" si="1"/>
        <v>0.58064516129032262</v>
      </c>
      <c r="N15" s="18">
        <f t="shared" si="3"/>
        <v>1.935483870967742E-2</v>
      </c>
      <c r="O15" s="17">
        <f t="shared" si="4"/>
        <v>0</v>
      </c>
      <c r="P15" s="17" t="str">
        <f t="shared" si="5"/>
        <v xml:space="preserve"> </v>
      </c>
      <c r="Q15" s="17" t="str">
        <f t="shared" si="6"/>
        <v xml:space="preserve"> </v>
      </c>
      <c r="R15" s="17">
        <f t="shared" si="2"/>
        <v>5.2560189894879622E-2</v>
      </c>
      <c r="U15" s="25"/>
      <c r="V15" s="25"/>
      <c r="W15" s="25"/>
      <c r="X15" s="25"/>
      <c r="Y15" s="25"/>
    </row>
    <row r="16" spans="1:25" ht="12.75">
      <c r="A16" s="12">
        <f t="shared" si="0"/>
        <v>15</v>
      </c>
      <c r="B16" s="13" t="s">
        <v>58</v>
      </c>
      <c r="C16" s="14" t="s">
        <v>147</v>
      </c>
      <c r="D16" s="15">
        <v>16</v>
      </c>
      <c r="E16" s="15">
        <v>48</v>
      </c>
      <c r="F16" s="15">
        <v>12</v>
      </c>
      <c r="G16" s="15">
        <v>3</v>
      </c>
      <c r="H16" s="15">
        <v>1</v>
      </c>
      <c r="I16" s="15"/>
      <c r="J16" s="15"/>
      <c r="K16" s="15">
        <v>1</v>
      </c>
      <c r="L16" s="1" t="s">
        <v>20</v>
      </c>
      <c r="M16" s="17">
        <f t="shared" si="1"/>
        <v>0.25</v>
      </c>
      <c r="N16" s="18">
        <f t="shared" si="3"/>
        <v>2.0833333333333332E-2</v>
      </c>
      <c r="O16" s="17">
        <f t="shared" si="4"/>
        <v>1</v>
      </c>
      <c r="P16" s="17" t="str">
        <f t="shared" si="5"/>
        <v xml:space="preserve"> </v>
      </c>
      <c r="Q16" s="17" t="str">
        <f t="shared" si="6"/>
        <v xml:space="preserve"> </v>
      </c>
      <c r="R16" s="17">
        <f t="shared" si="2"/>
        <v>1.6276703967446592E-2</v>
      </c>
    </row>
    <row r="17" spans="1:18" ht="12.75">
      <c r="A17" s="12">
        <f t="shared" si="0"/>
        <v>16</v>
      </c>
      <c r="B17" s="13" t="s">
        <v>86</v>
      </c>
      <c r="C17" s="14" t="s">
        <v>147</v>
      </c>
      <c r="D17" s="15">
        <v>17</v>
      </c>
      <c r="E17" s="15">
        <v>52</v>
      </c>
      <c r="F17" s="15">
        <v>17</v>
      </c>
      <c r="G17" s="15">
        <v>2</v>
      </c>
      <c r="H17" s="15">
        <v>2</v>
      </c>
      <c r="I17" s="15"/>
      <c r="J17" s="15"/>
      <c r="K17" s="15"/>
      <c r="L17" s="1" t="s">
        <v>20</v>
      </c>
      <c r="M17" s="17">
        <f t="shared" si="1"/>
        <v>0.32692307692307693</v>
      </c>
      <c r="N17" s="18">
        <f t="shared" si="3"/>
        <v>3.8461538461538464E-2</v>
      </c>
      <c r="O17" s="17">
        <f t="shared" si="4"/>
        <v>0</v>
      </c>
      <c r="P17" s="17" t="str">
        <f t="shared" si="5"/>
        <v xml:space="preserve"> </v>
      </c>
      <c r="Q17" s="17" t="str">
        <f t="shared" si="6"/>
        <v xml:space="preserve"> </v>
      </c>
      <c r="R17" s="17">
        <f t="shared" si="2"/>
        <v>1.7633095964733808E-2</v>
      </c>
    </row>
    <row r="18" spans="1:18" ht="12.75">
      <c r="A18" s="12">
        <f t="shared" si="0"/>
        <v>17</v>
      </c>
      <c r="B18" s="13" t="s">
        <v>22</v>
      </c>
      <c r="C18" s="14" t="s">
        <v>147</v>
      </c>
      <c r="D18" s="15">
        <v>18</v>
      </c>
      <c r="E18" s="15">
        <v>25</v>
      </c>
      <c r="F18" s="15">
        <v>1</v>
      </c>
      <c r="G18" s="15">
        <v>2</v>
      </c>
      <c r="H18" s="15">
        <v>2</v>
      </c>
      <c r="I18" s="15"/>
      <c r="J18" s="15"/>
      <c r="K18" s="15"/>
      <c r="L18" s="1" t="s">
        <v>20</v>
      </c>
      <c r="M18" s="17">
        <f t="shared" si="1"/>
        <v>0.04</v>
      </c>
      <c r="N18" s="18">
        <f t="shared" si="3"/>
        <v>0.08</v>
      </c>
      <c r="O18" s="17">
        <f t="shared" si="4"/>
        <v>0</v>
      </c>
      <c r="P18" s="17" t="str">
        <f t="shared" si="5"/>
        <v xml:space="preserve"> </v>
      </c>
      <c r="Q18" s="17" t="str">
        <f t="shared" si="6"/>
        <v xml:space="preserve"> </v>
      </c>
      <c r="R18" s="17">
        <f t="shared" si="2"/>
        <v>8.4774499830450999E-3</v>
      </c>
    </row>
    <row r="19" spans="1:18" ht="12.75">
      <c r="A19" s="12">
        <f t="shared" si="0"/>
        <v>18</v>
      </c>
      <c r="B19" s="13" t="s">
        <v>47</v>
      </c>
      <c r="C19" s="14" t="s">
        <v>147</v>
      </c>
      <c r="D19" s="15">
        <v>19</v>
      </c>
      <c r="E19" s="15">
        <v>1</v>
      </c>
      <c r="F19" s="15">
        <v>1</v>
      </c>
      <c r="G19" s="15">
        <v>2</v>
      </c>
      <c r="H19" s="15">
        <v>3</v>
      </c>
      <c r="I19" s="15">
        <v>1</v>
      </c>
      <c r="J19" s="15">
        <v>0</v>
      </c>
      <c r="K19" s="15">
        <v>0</v>
      </c>
      <c r="L19" s="1" t="s">
        <v>20</v>
      </c>
      <c r="M19" s="17">
        <f t="shared" si="1"/>
        <v>1</v>
      </c>
      <c r="N19" s="18">
        <f t="shared" si="3"/>
        <v>3</v>
      </c>
      <c r="O19" s="17">
        <f t="shared" si="4"/>
        <v>0</v>
      </c>
      <c r="P19" s="17">
        <f t="shared" si="5"/>
        <v>0</v>
      </c>
      <c r="Q19" s="17" t="str">
        <f t="shared" si="6"/>
        <v xml:space="preserve"> </v>
      </c>
      <c r="R19" s="17">
        <f t="shared" si="2"/>
        <v>3.3909799932180403E-4</v>
      </c>
    </row>
    <row r="20" spans="1:18" ht="12.75">
      <c r="A20" s="12">
        <f t="shared" si="0"/>
        <v>19</v>
      </c>
      <c r="B20" s="13" t="s">
        <v>95</v>
      </c>
      <c r="C20" s="14" t="s">
        <v>147</v>
      </c>
      <c r="D20" s="15">
        <v>20</v>
      </c>
      <c r="E20" s="15">
        <v>30</v>
      </c>
      <c r="F20" s="15">
        <v>10</v>
      </c>
      <c r="G20" s="15">
        <v>3</v>
      </c>
      <c r="H20" s="15">
        <v>2</v>
      </c>
      <c r="I20" s="15"/>
      <c r="J20" s="15"/>
      <c r="K20" s="15"/>
      <c r="L20" s="1" t="s">
        <v>20</v>
      </c>
      <c r="M20" s="17">
        <f t="shared" si="1"/>
        <v>0.33333333333333331</v>
      </c>
      <c r="N20" s="18">
        <f t="shared" si="3"/>
        <v>6.6666666666666666E-2</v>
      </c>
      <c r="O20" s="17">
        <f t="shared" si="4"/>
        <v>0</v>
      </c>
      <c r="P20" s="17" t="str">
        <f t="shared" si="5"/>
        <v xml:space="preserve"> </v>
      </c>
      <c r="Q20" s="17" t="str">
        <f t="shared" si="6"/>
        <v xml:space="preserve"> </v>
      </c>
      <c r="R20" s="17">
        <f t="shared" si="2"/>
        <v>1.0172939979654121E-2</v>
      </c>
    </row>
    <row r="21" spans="1:18" ht="12.75">
      <c r="A21" s="12">
        <f t="shared" si="0"/>
        <v>20</v>
      </c>
      <c r="B21" s="13" t="s">
        <v>78</v>
      </c>
      <c r="C21" s="14" t="s">
        <v>147</v>
      </c>
      <c r="D21" s="15">
        <v>21</v>
      </c>
      <c r="E21" s="15">
        <v>38</v>
      </c>
      <c r="F21" s="15">
        <v>2</v>
      </c>
      <c r="G21" s="15">
        <v>1</v>
      </c>
      <c r="H21" s="15">
        <v>1</v>
      </c>
      <c r="I21" s="15"/>
      <c r="J21" s="15"/>
      <c r="K21" s="15"/>
      <c r="L21" s="1" t="s">
        <v>20</v>
      </c>
      <c r="M21" s="17">
        <f t="shared" si="1"/>
        <v>5.2631578947368418E-2</v>
      </c>
      <c r="N21" s="18">
        <f t="shared" si="3"/>
        <v>2.6315789473684209E-2</v>
      </c>
      <c r="O21" s="17">
        <f t="shared" si="4"/>
        <v>0</v>
      </c>
      <c r="P21" s="17" t="str">
        <f t="shared" si="5"/>
        <v xml:space="preserve"> </v>
      </c>
      <c r="Q21" s="17" t="str">
        <f t="shared" si="6"/>
        <v xml:space="preserve"> </v>
      </c>
      <c r="R21" s="17">
        <f t="shared" si="2"/>
        <v>1.2885723974228552E-2</v>
      </c>
    </row>
    <row r="22" spans="1:18" ht="12.75">
      <c r="A22" s="12">
        <f t="shared" si="0"/>
        <v>21</v>
      </c>
      <c r="B22" s="13" t="s">
        <v>19</v>
      </c>
      <c r="C22" s="14" t="s">
        <v>147</v>
      </c>
      <c r="D22" s="15">
        <v>22</v>
      </c>
      <c r="E22" s="15">
        <v>35</v>
      </c>
      <c r="F22" s="15">
        <v>18</v>
      </c>
      <c r="G22" s="15">
        <v>3</v>
      </c>
      <c r="H22" s="15">
        <v>1</v>
      </c>
      <c r="I22" s="15"/>
      <c r="J22" s="15"/>
      <c r="K22" s="15"/>
      <c r="L22" s="1" t="s">
        <v>20</v>
      </c>
      <c r="M22" s="17">
        <f t="shared" si="1"/>
        <v>0.51428571428571423</v>
      </c>
      <c r="N22" s="18">
        <f t="shared" si="3"/>
        <v>2.8571428571428571E-2</v>
      </c>
      <c r="O22" s="17">
        <f t="shared" si="4"/>
        <v>0</v>
      </c>
      <c r="P22" s="17" t="str">
        <f t="shared" si="5"/>
        <v xml:space="preserve"> </v>
      </c>
      <c r="Q22" s="17" t="str">
        <f t="shared" si="6"/>
        <v xml:space="preserve"> </v>
      </c>
      <c r="R22" s="17">
        <f t="shared" si="2"/>
        <v>1.186842997626314E-2</v>
      </c>
    </row>
    <row r="23" spans="1:18" ht="12.75">
      <c r="A23" s="12">
        <f t="shared" si="0"/>
        <v>22</v>
      </c>
      <c r="B23" s="13" t="s">
        <v>96</v>
      </c>
      <c r="C23" s="14" t="s">
        <v>147</v>
      </c>
      <c r="D23" s="15">
        <v>23</v>
      </c>
      <c r="E23" s="15">
        <v>30</v>
      </c>
      <c r="F23" s="15">
        <v>17</v>
      </c>
      <c r="G23" s="15">
        <v>1</v>
      </c>
      <c r="H23" s="15">
        <v>0</v>
      </c>
      <c r="I23" s="15"/>
      <c r="J23" s="15"/>
      <c r="K23" s="15"/>
      <c r="L23" s="1" t="s">
        <v>20</v>
      </c>
      <c r="M23" s="17">
        <f t="shared" si="1"/>
        <v>0.56666666666666665</v>
      </c>
      <c r="N23" s="18">
        <f t="shared" si="3"/>
        <v>0</v>
      </c>
      <c r="O23" s="17" t="str">
        <f t="shared" si="4"/>
        <v xml:space="preserve"> </v>
      </c>
      <c r="P23" s="17" t="str">
        <f t="shared" si="5"/>
        <v xml:space="preserve"> </v>
      </c>
      <c r="Q23" s="17" t="str">
        <f t="shared" si="6"/>
        <v xml:space="preserve"> </v>
      </c>
      <c r="R23" s="17">
        <f t="shared" si="2"/>
        <v>1.0172939979654121E-2</v>
      </c>
    </row>
    <row r="24" spans="1:18" ht="12.75">
      <c r="A24" s="12">
        <f t="shared" si="0"/>
        <v>23</v>
      </c>
      <c r="B24" s="13" t="s">
        <v>97</v>
      </c>
      <c r="C24" s="14" t="s">
        <v>147</v>
      </c>
      <c r="D24" s="15">
        <v>24</v>
      </c>
      <c r="E24" s="15">
        <v>47</v>
      </c>
      <c r="F24" s="15">
        <v>7</v>
      </c>
      <c r="G24" s="15">
        <v>3</v>
      </c>
      <c r="H24" s="15">
        <v>4</v>
      </c>
      <c r="I24" s="15"/>
      <c r="J24" s="15"/>
      <c r="K24" s="15"/>
      <c r="L24" s="1" t="s">
        <v>20</v>
      </c>
      <c r="M24" s="17">
        <f t="shared" si="1"/>
        <v>0.14893617021276595</v>
      </c>
      <c r="N24" s="18">
        <f t="shared" si="3"/>
        <v>8.5106382978723402E-2</v>
      </c>
      <c r="O24" s="17">
        <f t="shared" si="4"/>
        <v>0</v>
      </c>
      <c r="P24" s="17" t="str">
        <f t="shared" si="5"/>
        <v xml:space="preserve"> </v>
      </c>
      <c r="Q24" s="17" t="str">
        <f t="shared" si="6"/>
        <v xml:space="preserve"> </v>
      </c>
      <c r="R24" s="17">
        <f t="shared" si="2"/>
        <v>1.5937605968124789E-2</v>
      </c>
    </row>
    <row r="25" spans="1:18" ht="12.75">
      <c r="A25" s="12">
        <f t="shared" si="0"/>
        <v>24</v>
      </c>
      <c r="B25" s="13" t="s">
        <v>31</v>
      </c>
      <c r="C25" s="14" t="s">
        <v>147</v>
      </c>
      <c r="D25" s="15">
        <v>24</v>
      </c>
      <c r="E25" s="15">
        <v>40</v>
      </c>
      <c r="F25" s="15">
        <v>16</v>
      </c>
      <c r="G25" s="15">
        <v>1</v>
      </c>
      <c r="H25" s="15">
        <v>1</v>
      </c>
      <c r="I25" s="15"/>
      <c r="J25" s="15"/>
      <c r="K25" s="15"/>
      <c r="L25" s="1" t="s">
        <v>20</v>
      </c>
      <c r="M25" s="17">
        <f t="shared" si="1"/>
        <v>0.4</v>
      </c>
      <c r="N25" s="18">
        <f t="shared" si="3"/>
        <v>2.5000000000000001E-2</v>
      </c>
      <c r="O25" s="17">
        <f t="shared" si="4"/>
        <v>0</v>
      </c>
      <c r="P25" s="17" t="str">
        <f t="shared" si="5"/>
        <v xml:space="preserve"> </v>
      </c>
      <c r="Q25" s="17" t="str">
        <f t="shared" si="6"/>
        <v xml:space="preserve"> </v>
      </c>
      <c r="R25" s="17">
        <f t="shared" si="2"/>
        <v>1.356391997287216E-2</v>
      </c>
    </row>
    <row r="26" spans="1:18" ht="12.75">
      <c r="A26" s="12">
        <f t="shared" si="0"/>
        <v>25</v>
      </c>
      <c r="B26" s="13" t="s">
        <v>70</v>
      </c>
      <c r="C26" s="14" t="s">
        <v>147</v>
      </c>
      <c r="D26" s="15">
        <v>25</v>
      </c>
      <c r="E26" s="15">
        <v>17</v>
      </c>
      <c r="F26" s="15">
        <v>10</v>
      </c>
      <c r="G26" s="15">
        <v>1</v>
      </c>
      <c r="H26" s="15">
        <v>1</v>
      </c>
      <c r="I26" s="15">
        <v>1</v>
      </c>
      <c r="J26" s="15">
        <v>1</v>
      </c>
      <c r="K26" s="15"/>
      <c r="L26" s="1" t="s">
        <v>20</v>
      </c>
      <c r="M26" s="17">
        <f t="shared" si="1"/>
        <v>0.58823529411764708</v>
      </c>
      <c r="N26" s="18">
        <f t="shared" si="3"/>
        <v>5.8823529411764705E-2</v>
      </c>
      <c r="O26" s="17">
        <f t="shared" si="4"/>
        <v>0</v>
      </c>
      <c r="P26" s="17">
        <f t="shared" si="5"/>
        <v>0</v>
      </c>
      <c r="Q26" s="17">
        <f t="shared" si="6"/>
        <v>0</v>
      </c>
      <c r="R26" s="17">
        <f t="shared" si="2"/>
        <v>5.7646659884706677E-3</v>
      </c>
    </row>
    <row r="27" spans="1:18" ht="12.75">
      <c r="A27" s="12">
        <f t="shared" si="0"/>
        <v>26</v>
      </c>
      <c r="B27" s="13" t="s">
        <v>44</v>
      </c>
      <c r="C27" s="14" t="s">
        <v>147</v>
      </c>
      <c r="D27" s="15">
        <v>26</v>
      </c>
      <c r="E27" s="15">
        <v>39</v>
      </c>
      <c r="F27" s="15">
        <v>7</v>
      </c>
      <c r="G27" s="15">
        <v>3</v>
      </c>
      <c r="H27" s="15">
        <v>0</v>
      </c>
      <c r="I27" s="15"/>
      <c r="J27" s="15"/>
      <c r="K27" s="15"/>
      <c r="L27" s="21" t="s">
        <v>20</v>
      </c>
      <c r="M27" s="17">
        <f t="shared" si="1"/>
        <v>0.17948717948717949</v>
      </c>
      <c r="N27" s="18">
        <f t="shared" si="3"/>
        <v>0</v>
      </c>
      <c r="O27" s="17" t="str">
        <f t="shared" si="4"/>
        <v xml:space="preserve"> </v>
      </c>
      <c r="P27" s="17" t="str">
        <f t="shared" si="5"/>
        <v xml:space="preserve"> </v>
      </c>
      <c r="Q27" s="17" t="str">
        <f t="shared" si="6"/>
        <v xml:space="preserve"> </v>
      </c>
      <c r="R27" s="17">
        <f t="shared" si="2"/>
        <v>1.3224821973550356E-2</v>
      </c>
    </row>
    <row r="28" spans="1:18" ht="12.75">
      <c r="A28" s="12">
        <f t="shared" si="0"/>
        <v>27</v>
      </c>
      <c r="B28" s="13" t="s">
        <v>46</v>
      </c>
      <c r="C28" s="14" t="s">
        <v>147</v>
      </c>
      <c r="D28" s="15">
        <v>27</v>
      </c>
      <c r="E28" s="15">
        <v>12</v>
      </c>
      <c r="F28" s="15">
        <v>1</v>
      </c>
      <c r="G28" s="15">
        <v>1</v>
      </c>
      <c r="H28" s="15">
        <v>0</v>
      </c>
      <c r="I28" s="15">
        <v>1</v>
      </c>
      <c r="J28" s="15"/>
      <c r="K28" s="15"/>
      <c r="L28" s="1" t="s">
        <v>37</v>
      </c>
      <c r="M28" s="17">
        <f t="shared" si="1"/>
        <v>8.3333333333333329E-2</v>
      </c>
      <c r="N28" s="18">
        <f t="shared" si="3"/>
        <v>0</v>
      </c>
      <c r="O28" s="17" t="str">
        <f t="shared" si="4"/>
        <v xml:space="preserve"> </v>
      </c>
      <c r="P28" s="17">
        <f t="shared" si="5"/>
        <v>0</v>
      </c>
      <c r="Q28" s="17" t="str">
        <f t="shared" si="6"/>
        <v xml:space="preserve"> </v>
      </c>
      <c r="R28" s="17">
        <f t="shared" si="2"/>
        <v>4.0691759918616479E-3</v>
      </c>
    </row>
    <row r="29" spans="1:18" ht="12.75">
      <c r="A29" s="12">
        <f t="shared" si="0"/>
        <v>28</v>
      </c>
      <c r="B29" s="13" t="s">
        <v>104</v>
      </c>
      <c r="C29" s="14" t="s">
        <v>147</v>
      </c>
      <c r="D29" s="15">
        <v>28</v>
      </c>
      <c r="E29" s="15">
        <v>26</v>
      </c>
      <c r="F29" s="15">
        <v>4</v>
      </c>
      <c r="G29" s="15">
        <v>1</v>
      </c>
      <c r="H29" s="15">
        <v>1</v>
      </c>
      <c r="I29" s="15"/>
      <c r="J29" s="15"/>
      <c r="K29" s="15"/>
      <c r="L29" s="1" t="s">
        <v>20</v>
      </c>
      <c r="M29" s="17">
        <f t="shared" si="1"/>
        <v>0.15384615384615385</v>
      </c>
      <c r="N29" s="18">
        <f t="shared" si="3"/>
        <v>3.8461538461538464E-2</v>
      </c>
      <c r="O29" s="17">
        <f t="shared" si="4"/>
        <v>0</v>
      </c>
      <c r="P29" s="17" t="str">
        <f t="shared" si="5"/>
        <v xml:space="preserve"> </v>
      </c>
      <c r="Q29" s="17" t="str">
        <f t="shared" si="6"/>
        <v xml:space="preserve"> </v>
      </c>
      <c r="R29" s="17">
        <f t="shared" si="2"/>
        <v>8.8165479823669041E-3</v>
      </c>
    </row>
    <row r="30" spans="1:18" ht="12.75">
      <c r="A30" s="12">
        <f t="shared" si="0"/>
        <v>29</v>
      </c>
      <c r="B30" s="13" t="s">
        <v>135</v>
      </c>
      <c r="C30" s="14" t="s">
        <v>147</v>
      </c>
      <c r="D30" s="15">
        <v>29</v>
      </c>
      <c r="E30" s="15">
        <v>83</v>
      </c>
      <c r="F30" s="15">
        <v>40</v>
      </c>
      <c r="G30" s="15">
        <v>4</v>
      </c>
      <c r="H30" s="15">
        <v>6</v>
      </c>
      <c r="I30" s="15">
        <v>1</v>
      </c>
      <c r="J30" s="15">
        <v>1</v>
      </c>
      <c r="K30" s="15">
        <v>1</v>
      </c>
      <c r="L30" s="1" t="s">
        <v>20</v>
      </c>
      <c r="M30" s="17">
        <f t="shared" si="1"/>
        <v>0.48192771084337349</v>
      </c>
      <c r="N30" s="18">
        <f t="shared" si="3"/>
        <v>7.2289156626506021E-2</v>
      </c>
      <c r="O30" s="17">
        <f t="shared" si="4"/>
        <v>0.16666666666666666</v>
      </c>
      <c r="P30" s="17">
        <f t="shared" si="5"/>
        <v>1</v>
      </c>
      <c r="Q30" s="17">
        <f t="shared" si="6"/>
        <v>1</v>
      </c>
      <c r="R30" s="17">
        <f t="shared" si="2"/>
        <v>2.8145133943709731E-2</v>
      </c>
    </row>
    <row r="31" spans="1:18" ht="12.75">
      <c r="A31" s="12">
        <f t="shared" si="0"/>
        <v>30</v>
      </c>
      <c r="B31" s="13" t="s">
        <v>32</v>
      </c>
      <c r="C31" s="14" t="s">
        <v>147</v>
      </c>
      <c r="D31" s="15">
        <v>30</v>
      </c>
      <c r="E31" s="15">
        <v>74</v>
      </c>
      <c r="F31" s="15">
        <v>20</v>
      </c>
      <c r="G31" s="15">
        <v>4</v>
      </c>
      <c r="H31" s="15">
        <v>4</v>
      </c>
      <c r="I31" s="15"/>
      <c r="J31" s="15"/>
      <c r="K31" s="15">
        <v>1</v>
      </c>
      <c r="L31" s="1" t="s">
        <v>20</v>
      </c>
      <c r="M31" s="17">
        <f t="shared" si="1"/>
        <v>0.27027027027027029</v>
      </c>
      <c r="N31" s="18">
        <f t="shared" si="3"/>
        <v>5.4054054054054057E-2</v>
      </c>
      <c r="O31" s="17">
        <f t="shared" si="4"/>
        <v>0.25</v>
      </c>
      <c r="P31" s="17" t="str">
        <f t="shared" si="5"/>
        <v xml:space="preserve"> </v>
      </c>
      <c r="Q31" s="17" t="str">
        <f t="shared" si="6"/>
        <v xml:space="preserve"> </v>
      </c>
      <c r="R31" s="17">
        <f t="shared" si="2"/>
        <v>2.5093251949813496E-2</v>
      </c>
    </row>
    <row r="32" spans="1:18" ht="12.75">
      <c r="A32" s="12">
        <f t="shared" si="0"/>
        <v>31</v>
      </c>
      <c r="B32" s="13" t="s">
        <v>45</v>
      </c>
      <c r="C32" s="14" t="s">
        <v>147</v>
      </c>
      <c r="D32" s="15">
        <v>31</v>
      </c>
      <c r="E32" s="15">
        <v>27</v>
      </c>
      <c r="F32" s="15">
        <v>4</v>
      </c>
      <c r="G32" s="15">
        <v>2</v>
      </c>
      <c r="H32" s="15">
        <v>1</v>
      </c>
      <c r="I32" s="15"/>
      <c r="J32" s="15">
        <v>1</v>
      </c>
      <c r="K32" s="15">
        <v>1</v>
      </c>
      <c r="L32" s="1" t="s">
        <v>20</v>
      </c>
      <c r="M32" s="17">
        <f t="shared" si="1"/>
        <v>0.14814814814814814</v>
      </c>
      <c r="N32" s="18">
        <f t="shared" si="3"/>
        <v>3.7037037037037035E-2</v>
      </c>
      <c r="O32" s="17">
        <f t="shared" si="4"/>
        <v>1</v>
      </c>
      <c r="P32" s="17" t="str">
        <f t="shared" si="5"/>
        <v xml:space="preserve"> </v>
      </c>
      <c r="Q32" s="17">
        <f t="shared" si="6"/>
        <v>1</v>
      </c>
      <c r="R32" s="17">
        <f t="shared" si="2"/>
        <v>9.1556459816887082E-3</v>
      </c>
    </row>
    <row r="33" spans="1:18" ht="12.75">
      <c r="A33" s="12">
        <f t="shared" si="0"/>
        <v>32</v>
      </c>
      <c r="B33" s="13" t="s">
        <v>26</v>
      </c>
      <c r="C33" s="14" t="s">
        <v>147</v>
      </c>
      <c r="D33" s="15">
        <v>32</v>
      </c>
      <c r="E33" s="15">
        <v>16</v>
      </c>
      <c r="F33" s="15">
        <v>1</v>
      </c>
      <c r="G33" s="15">
        <v>1</v>
      </c>
      <c r="H33" s="15">
        <v>0</v>
      </c>
      <c r="I33" s="15"/>
      <c r="J33" s="15"/>
      <c r="K33" s="15"/>
      <c r="L33" s="1" t="s">
        <v>20</v>
      </c>
      <c r="M33" s="17">
        <f t="shared" si="1"/>
        <v>6.25E-2</v>
      </c>
      <c r="N33" s="18">
        <f t="shared" si="3"/>
        <v>0</v>
      </c>
      <c r="O33" s="17" t="str">
        <f t="shared" si="4"/>
        <v xml:space="preserve"> </v>
      </c>
      <c r="P33" s="17" t="str">
        <f t="shared" si="5"/>
        <v xml:space="preserve"> </v>
      </c>
      <c r="Q33" s="17" t="str">
        <f t="shared" si="6"/>
        <v xml:space="preserve"> </v>
      </c>
      <c r="R33" s="17">
        <f t="shared" si="2"/>
        <v>5.4255679891488644E-3</v>
      </c>
    </row>
    <row r="34" spans="1:18" ht="12.75">
      <c r="A34" s="12">
        <f t="shared" si="0"/>
        <v>33</v>
      </c>
      <c r="B34" s="13" t="s">
        <v>60</v>
      </c>
      <c r="C34" s="14" t="s">
        <v>147</v>
      </c>
      <c r="D34" s="15">
        <v>33</v>
      </c>
      <c r="E34" s="15">
        <v>16</v>
      </c>
      <c r="F34" s="15">
        <v>1</v>
      </c>
      <c r="G34" s="15">
        <v>1</v>
      </c>
      <c r="H34" s="15">
        <v>2</v>
      </c>
      <c r="I34" s="15"/>
      <c r="J34" s="15"/>
      <c r="K34" s="15"/>
      <c r="L34" s="1" t="s">
        <v>20</v>
      </c>
      <c r="M34" s="17">
        <f t="shared" si="1"/>
        <v>6.25E-2</v>
      </c>
      <c r="N34" s="18">
        <f t="shared" si="3"/>
        <v>0.125</v>
      </c>
      <c r="O34" s="17">
        <f t="shared" si="4"/>
        <v>0</v>
      </c>
      <c r="P34" s="17" t="str">
        <f t="shared" si="5"/>
        <v xml:space="preserve"> </v>
      </c>
      <c r="Q34" s="17" t="str">
        <f t="shared" si="6"/>
        <v xml:space="preserve"> </v>
      </c>
      <c r="R34" s="17">
        <f t="shared" si="2"/>
        <v>5.4255679891488644E-3</v>
      </c>
    </row>
    <row r="35" spans="1:18" ht="12.75">
      <c r="A35" s="12">
        <f t="shared" si="0"/>
        <v>34</v>
      </c>
      <c r="B35" s="13" t="s">
        <v>71</v>
      </c>
      <c r="C35" s="14" t="s">
        <v>147</v>
      </c>
      <c r="D35" s="15">
        <v>34</v>
      </c>
      <c r="E35" s="15">
        <v>32</v>
      </c>
      <c r="F35" s="15">
        <v>7</v>
      </c>
      <c r="G35" s="15">
        <v>2</v>
      </c>
      <c r="H35" s="15">
        <v>2</v>
      </c>
      <c r="I35" s="15"/>
      <c r="J35" s="15"/>
      <c r="K35" s="15"/>
      <c r="L35" s="1" t="s">
        <v>20</v>
      </c>
      <c r="M35" s="17">
        <f t="shared" si="1"/>
        <v>0.21875</v>
      </c>
      <c r="N35" s="18">
        <f t="shared" si="3"/>
        <v>6.25E-2</v>
      </c>
      <c r="O35" s="17">
        <f t="shared" si="4"/>
        <v>0</v>
      </c>
      <c r="P35" s="17" t="str">
        <f t="shared" si="5"/>
        <v xml:space="preserve"> </v>
      </c>
      <c r="Q35" s="17" t="str">
        <f t="shared" si="6"/>
        <v xml:space="preserve"> </v>
      </c>
      <c r="R35" s="17">
        <f t="shared" si="2"/>
        <v>1.0851135978297729E-2</v>
      </c>
    </row>
    <row r="36" spans="1:18" ht="12.75">
      <c r="A36" s="12">
        <f t="shared" si="0"/>
        <v>35</v>
      </c>
      <c r="B36" s="13" t="s">
        <v>48</v>
      </c>
      <c r="C36" s="14" t="s">
        <v>147</v>
      </c>
      <c r="D36" s="15">
        <v>35</v>
      </c>
      <c r="E36" s="15">
        <v>17</v>
      </c>
      <c r="F36" s="15">
        <v>3</v>
      </c>
      <c r="G36" s="15">
        <v>3</v>
      </c>
      <c r="H36" s="15">
        <v>0</v>
      </c>
      <c r="I36" s="15"/>
      <c r="J36" s="15"/>
      <c r="K36" s="15"/>
      <c r="L36" s="1" t="s">
        <v>20</v>
      </c>
      <c r="M36" s="17">
        <f t="shared" si="1"/>
        <v>0.17647058823529413</v>
      </c>
      <c r="N36" s="18">
        <f t="shared" si="3"/>
        <v>0</v>
      </c>
      <c r="O36" s="17" t="str">
        <f t="shared" si="4"/>
        <v xml:space="preserve"> </v>
      </c>
      <c r="P36" s="17" t="str">
        <f t="shared" si="5"/>
        <v xml:space="preserve"> </v>
      </c>
      <c r="Q36" s="17" t="str">
        <f t="shared" si="6"/>
        <v xml:space="preserve"> </v>
      </c>
      <c r="R36" s="17">
        <f t="shared" si="2"/>
        <v>5.7646659884706677E-3</v>
      </c>
    </row>
    <row r="37" spans="1:18" ht="12.75">
      <c r="A37" s="12">
        <f t="shared" si="0"/>
        <v>36</v>
      </c>
      <c r="B37" s="13" t="s">
        <v>94</v>
      </c>
      <c r="C37" s="15" t="s">
        <v>147</v>
      </c>
      <c r="D37" s="15">
        <v>36</v>
      </c>
      <c r="E37" s="15">
        <v>28</v>
      </c>
      <c r="F37" s="15">
        <v>10</v>
      </c>
      <c r="G37" s="15">
        <v>2</v>
      </c>
      <c r="H37" s="15">
        <v>1</v>
      </c>
      <c r="I37" s="15"/>
      <c r="J37" s="15"/>
      <c r="K37" s="15"/>
      <c r="L37" s="27" t="s">
        <v>24</v>
      </c>
      <c r="M37" s="17">
        <f t="shared" si="1"/>
        <v>0.35714285714285715</v>
      </c>
      <c r="N37" s="18">
        <f t="shared" si="3"/>
        <v>3.5714285714285712E-2</v>
      </c>
      <c r="O37" s="17">
        <f t="shared" si="4"/>
        <v>0</v>
      </c>
      <c r="P37" s="17" t="str">
        <f t="shared" si="5"/>
        <v xml:space="preserve"> </v>
      </c>
      <c r="Q37" s="17" t="str">
        <f t="shared" si="6"/>
        <v xml:space="preserve"> </v>
      </c>
      <c r="R37" s="17">
        <f t="shared" si="2"/>
        <v>9.4947439810105123E-3</v>
      </c>
    </row>
    <row r="38" spans="1:18" ht="12.75">
      <c r="A38" s="12">
        <f t="shared" si="0"/>
        <v>37</v>
      </c>
      <c r="B38" s="13" t="s">
        <v>103</v>
      </c>
      <c r="C38" s="14" t="s">
        <v>147</v>
      </c>
      <c r="D38" s="15">
        <v>37</v>
      </c>
      <c r="E38" s="15">
        <v>29</v>
      </c>
      <c r="F38" s="15">
        <v>7</v>
      </c>
      <c r="G38" s="15">
        <v>2</v>
      </c>
      <c r="H38" s="15">
        <v>3</v>
      </c>
      <c r="I38" s="15"/>
      <c r="J38" s="15"/>
      <c r="K38" s="15"/>
      <c r="L38" s="1" t="s">
        <v>20</v>
      </c>
      <c r="M38" s="17">
        <f t="shared" si="1"/>
        <v>0.2413793103448276</v>
      </c>
      <c r="N38" s="18">
        <f t="shared" si="3"/>
        <v>0.10344827586206896</v>
      </c>
      <c r="O38" s="17">
        <f t="shared" si="4"/>
        <v>0</v>
      </c>
      <c r="P38" s="17" t="str">
        <f t="shared" si="5"/>
        <v xml:space="preserve"> </v>
      </c>
      <c r="Q38" s="17" t="str">
        <f t="shared" si="6"/>
        <v xml:space="preserve"> </v>
      </c>
      <c r="R38" s="17">
        <f t="shared" si="2"/>
        <v>9.8338419803323165E-3</v>
      </c>
    </row>
    <row r="39" spans="1:18" ht="12.75">
      <c r="A39" s="12">
        <f t="shared" si="0"/>
        <v>38</v>
      </c>
      <c r="B39" s="13" t="s">
        <v>91</v>
      </c>
      <c r="C39" s="14" t="s">
        <v>147</v>
      </c>
      <c r="D39" s="15">
        <v>38</v>
      </c>
      <c r="E39" s="15">
        <v>76</v>
      </c>
      <c r="F39" s="15">
        <v>15</v>
      </c>
      <c r="G39" s="15">
        <v>9</v>
      </c>
      <c r="H39" s="15">
        <v>5</v>
      </c>
      <c r="I39" s="15"/>
      <c r="J39" s="15">
        <v>1</v>
      </c>
      <c r="K39" s="15">
        <v>0</v>
      </c>
      <c r="L39" s="1" t="s">
        <v>20</v>
      </c>
      <c r="M39" s="17">
        <f t="shared" si="1"/>
        <v>0.19736842105263158</v>
      </c>
      <c r="N39" s="18">
        <f t="shared" si="3"/>
        <v>6.5789473684210523E-2</v>
      </c>
      <c r="O39" s="17">
        <f t="shared" si="4"/>
        <v>0</v>
      </c>
      <c r="P39" s="17" t="str">
        <f>IFERROR(K39/#REF!, " ")</f>
        <v xml:space="preserve"> </v>
      </c>
      <c r="Q39" s="17">
        <f t="shared" si="6"/>
        <v>0</v>
      </c>
      <c r="R39" s="17">
        <f t="shared" si="2"/>
        <v>2.5771447948457104E-2</v>
      </c>
    </row>
    <row r="40" spans="1:18" ht="12.75">
      <c r="A40" s="12">
        <f t="shared" si="0"/>
        <v>39</v>
      </c>
      <c r="B40" s="13" t="s">
        <v>62</v>
      </c>
      <c r="C40" s="14" t="s">
        <v>147</v>
      </c>
      <c r="D40" s="15">
        <v>39</v>
      </c>
      <c r="E40" s="15">
        <v>24</v>
      </c>
      <c r="F40" s="15">
        <v>6</v>
      </c>
      <c r="G40" s="15">
        <v>1</v>
      </c>
      <c r="H40" s="15">
        <v>1</v>
      </c>
      <c r="I40" s="15"/>
      <c r="J40" s="15"/>
      <c r="K40" s="15"/>
      <c r="L40" s="1" t="s">
        <v>20</v>
      </c>
      <c r="M40" s="17">
        <f t="shared" si="1"/>
        <v>0.25</v>
      </c>
      <c r="N40" s="18">
        <f t="shared" si="3"/>
        <v>4.1666666666666664E-2</v>
      </c>
      <c r="O40" s="17">
        <f t="shared" si="4"/>
        <v>0</v>
      </c>
      <c r="P40" s="18" t="str">
        <f t="shared" ref="P40:P49" si="7">IFERROR(K40/I40, " ")</f>
        <v xml:space="preserve"> </v>
      </c>
      <c r="Q40" s="18" t="str">
        <f t="shared" si="6"/>
        <v xml:space="preserve"> </v>
      </c>
      <c r="R40" s="17">
        <f t="shared" si="2"/>
        <v>8.1383519837232958E-3</v>
      </c>
    </row>
    <row r="41" spans="1:18" ht="12.75">
      <c r="A41" s="12">
        <f t="shared" si="0"/>
        <v>40</v>
      </c>
      <c r="B41" s="13" t="s">
        <v>123</v>
      </c>
      <c r="C41" s="14" t="s">
        <v>147</v>
      </c>
      <c r="D41" s="15">
        <v>40</v>
      </c>
      <c r="E41" s="15">
        <v>14</v>
      </c>
      <c r="F41" s="15">
        <v>3</v>
      </c>
      <c r="G41" s="15">
        <v>3</v>
      </c>
      <c r="H41" s="15">
        <v>3</v>
      </c>
      <c r="I41" s="15">
        <v>1</v>
      </c>
      <c r="J41" s="15">
        <v>0</v>
      </c>
      <c r="K41" s="15">
        <v>0</v>
      </c>
      <c r="L41" s="1" t="s">
        <v>34</v>
      </c>
      <c r="M41" s="17">
        <f t="shared" si="1"/>
        <v>0.21428571428571427</v>
      </c>
      <c r="N41" s="18">
        <f t="shared" si="3"/>
        <v>0.21428571428571427</v>
      </c>
      <c r="O41" s="17">
        <f t="shared" si="4"/>
        <v>0</v>
      </c>
      <c r="P41" s="17">
        <f t="shared" si="7"/>
        <v>0</v>
      </c>
      <c r="Q41" s="17" t="str">
        <f t="shared" si="6"/>
        <v xml:space="preserve"> </v>
      </c>
      <c r="R41" s="17">
        <f t="shared" si="2"/>
        <v>4.7473719905052562E-3</v>
      </c>
    </row>
    <row r="42" spans="1:18" ht="12.75">
      <c r="A42" s="12">
        <f t="shared" si="0"/>
        <v>41</v>
      </c>
      <c r="B42" s="13" t="s">
        <v>27</v>
      </c>
      <c r="C42" s="14" t="s">
        <v>147</v>
      </c>
      <c r="D42" s="15">
        <v>41</v>
      </c>
      <c r="E42" s="15">
        <v>46</v>
      </c>
      <c r="F42" s="15">
        <v>23</v>
      </c>
      <c r="G42" s="15">
        <v>4</v>
      </c>
      <c r="H42" s="15">
        <v>2</v>
      </c>
      <c r="I42" s="15">
        <v>1</v>
      </c>
      <c r="J42" s="15">
        <v>1</v>
      </c>
      <c r="K42" s="15">
        <v>1</v>
      </c>
      <c r="L42" s="1" t="s">
        <v>20</v>
      </c>
      <c r="M42" s="17">
        <f t="shared" si="1"/>
        <v>0.5</v>
      </c>
      <c r="N42" s="18">
        <f t="shared" si="3"/>
        <v>4.3478260869565216E-2</v>
      </c>
      <c r="O42" s="17">
        <f t="shared" si="4"/>
        <v>0.5</v>
      </c>
      <c r="P42" s="17">
        <f t="shared" si="7"/>
        <v>1</v>
      </c>
      <c r="Q42" s="17">
        <f t="shared" si="6"/>
        <v>1</v>
      </c>
      <c r="R42" s="17">
        <f t="shared" si="2"/>
        <v>1.5598507968802983E-2</v>
      </c>
    </row>
    <row r="43" spans="1:18" ht="12.75">
      <c r="A43" s="12">
        <f t="shared" si="0"/>
        <v>42</v>
      </c>
      <c r="B43" s="13" t="s">
        <v>129</v>
      </c>
      <c r="C43" s="14" t="s">
        <v>147</v>
      </c>
      <c r="D43" s="15">
        <v>42</v>
      </c>
      <c r="E43" s="15">
        <v>24</v>
      </c>
      <c r="F43" s="15">
        <v>9</v>
      </c>
      <c r="G43" s="15">
        <v>5</v>
      </c>
      <c r="H43" s="15">
        <v>3</v>
      </c>
      <c r="I43" s="15"/>
      <c r="J43" s="15"/>
      <c r="K43" s="15"/>
      <c r="L43" s="1" t="s">
        <v>20</v>
      </c>
      <c r="M43" s="17">
        <f t="shared" si="1"/>
        <v>0.375</v>
      </c>
      <c r="N43" s="18">
        <f t="shared" si="3"/>
        <v>0.125</v>
      </c>
      <c r="O43" s="17">
        <f t="shared" si="4"/>
        <v>0</v>
      </c>
      <c r="P43" s="17" t="str">
        <f t="shared" si="7"/>
        <v xml:space="preserve"> </v>
      </c>
      <c r="Q43" s="17" t="str">
        <f t="shared" si="6"/>
        <v xml:space="preserve"> </v>
      </c>
      <c r="R43" s="17">
        <f t="shared" si="2"/>
        <v>8.1383519837232958E-3</v>
      </c>
    </row>
    <row r="44" spans="1:18" ht="12.75">
      <c r="A44" s="12">
        <f t="shared" si="0"/>
        <v>43</v>
      </c>
      <c r="B44" s="13" t="s">
        <v>61</v>
      </c>
      <c r="C44" s="14" t="s">
        <v>147</v>
      </c>
      <c r="D44" s="15">
        <v>43</v>
      </c>
      <c r="E44" s="15">
        <v>55</v>
      </c>
      <c r="F44" s="15">
        <v>19</v>
      </c>
      <c r="G44" s="15">
        <v>2</v>
      </c>
      <c r="H44" s="15">
        <v>4</v>
      </c>
      <c r="I44" s="15"/>
      <c r="J44" s="15"/>
      <c r="K44" s="15">
        <v>1</v>
      </c>
      <c r="L44" s="1" t="s">
        <v>20</v>
      </c>
      <c r="M44" s="17">
        <f t="shared" si="1"/>
        <v>0.34545454545454546</v>
      </c>
      <c r="N44" s="18">
        <f t="shared" si="3"/>
        <v>7.2727272727272724E-2</v>
      </c>
      <c r="O44" s="17">
        <f t="shared" si="4"/>
        <v>0.25</v>
      </c>
      <c r="P44" s="17" t="str">
        <f t="shared" si="7"/>
        <v xml:space="preserve"> </v>
      </c>
      <c r="Q44" s="17" t="str">
        <f t="shared" si="6"/>
        <v xml:space="preserve"> </v>
      </c>
      <c r="R44" s="17">
        <f t="shared" si="2"/>
        <v>1.8650389962699219E-2</v>
      </c>
    </row>
    <row r="45" spans="1:18" ht="12.75">
      <c r="A45" s="12">
        <f t="shared" si="0"/>
        <v>44</v>
      </c>
      <c r="B45" s="13" t="s">
        <v>73</v>
      </c>
      <c r="C45" s="14" t="s">
        <v>147</v>
      </c>
      <c r="D45" s="15">
        <v>43</v>
      </c>
      <c r="E45" s="15">
        <v>10</v>
      </c>
      <c r="F45" s="15">
        <v>4</v>
      </c>
      <c r="G45" s="15">
        <v>1</v>
      </c>
      <c r="H45" s="15">
        <v>0</v>
      </c>
      <c r="I45" s="15"/>
      <c r="J45" s="15"/>
      <c r="K45" s="15"/>
      <c r="L45" s="1" t="s">
        <v>20</v>
      </c>
      <c r="M45" s="17">
        <f t="shared" si="1"/>
        <v>0.4</v>
      </c>
      <c r="N45" s="18">
        <f t="shared" si="3"/>
        <v>0</v>
      </c>
      <c r="O45" s="17" t="str">
        <f t="shared" si="4"/>
        <v xml:space="preserve"> </v>
      </c>
      <c r="P45" s="17" t="str">
        <f t="shared" si="7"/>
        <v xml:space="preserve"> </v>
      </c>
      <c r="Q45" s="17" t="str">
        <f t="shared" si="6"/>
        <v xml:space="preserve"> </v>
      </c>
      <c r="R45" s="17">
        <f t="shared" si="2"/>
        <v>3.3909799932180401E-3</v>
      </c>
    </row>
    <row r="46" spans="1:18" ht="12.75">
      <c r="A46" s="12">
        <f t="shared" si="0"/>
        <v>45</v>
      </c>
      <c r="B46" s="13" t="s">
        <v>102</v>
      </c>
      <c r="C46" s="14" t="s">
        <v>147</v>
      </c>
      <c r="D46" s="15">
        <v>44</v>
      </c>
      <c r="E46" s="15">
        <v>83</v>
      </c>
      <c r="F46" s="15">
        <v>21</v>
      </c>
      <c r="G46" s="15">
        <v>2</v>
      </c>
      <c r="H46" s="15">
        <v>3</v>
      </c>
      <c r="I46" s="15"/>
      <c r="J46" s="15">
        <v>0</v>
      </c>
      <c r="K46" s="15">
        <v>1</v>
      </c>
      <c r="L46" s="1" t="s">
        <v>29</v>
      </c>
      <c r="M46" s="17">
        <f t="shared" si="1"/>
        <v>0.25301204819277107</v>
      </c>
      <c r="N46" s="18">
        <f t="shared" si="3"/>
        <v>3.614457831325301E-2</v>
      </c>
      <c r="O46" s="17">
        <f t="shared" si="4"/>
        <v>0.33333333333333331</v>
      </c>
      <c r="P46" s="17" t="str">
        <f t="shared" si="7"/>
        <v xml:space="preserve"> </v>
      </c>
      <c r="Q46" s="17" t="str">
        <f t="shared" si="6"/>
        <v xml:space="preserve"> </v>
      </c>
      <c r="R46" s="17">
        <f t="shared" si="2"/>
        <v>2.8145133943709731E-2</v>
      </c>
    </row>
    <row r="47" spans="1:18" ht="12.75">
      <c r="A47" s="12">
        <f t="shared" si="0"/>
        <v>46</v>
      </c>
      <c r="B47" s="13" t="s">
        <v>93</v>
      </c>
      <c r="C47" s="14" t="s">
        <v>147</v>
      </c>
      <c r="D47" s="15">
        <v>45</v>
      </c>
      <c r="E47" s="15">
        <v>8</v>
      </c>
      <c r="F47" s="15">
        <v>1</v>
      </c>
      <c r="G47" s="15">
        <v>2</v>
      </c>
      <c r="H47" s="15">
        <v>5</v>
      </c>
      <c r="I47" s="15"/>
      <c r="J47" s="15"/>
      <c r="K47" s="15"/>
      <c r="L47" s="1" t="s">
        <v>20</v>
      </c>
      <c r="M47" s="17">
        <f t="shared" si="1"/>
        <v>0.125</v>
      </c>
      <c r="N47" s="18">
        <f t="shared" si="3"/>
        <v>0.625</v>
      </c>
      <c r="O47" s="17">
        <f t="shared" si="4"/>
        <v>0</v>
      </c>
      <c r="P47" s="17" t="str">
        <f t="shared" si="7"/>
        <v xml:space="preserve"> </v>
      </c>
      <c r="Q47" s="17" t="str">
        <f t="shared" si="6"/>
        <v xml:space="preserve"> </v>
      </c>
      <c r="R47" s="17">
        <f t="shared" si="2"/>
        <v>2.7127839945744322E-3</v>
      </c>
    </row>
    <row r="48" spans="1:18" ht="12.75">
      <c r="A48" s="12">
        <f t="shared" si="0"/>
        <v>47</v>
      </c>
      <c r="B48" s="13" t="s">
        <v>115</v>
      </c>
      <c r="C48" s="14" t="s">
        <v>147</v>
      </c>
      <c r="D48" s="15">
        <v>46</v>
      </c>
      <c r="E48" s="15">
        <v>35</v>
      </c>
      <c r="F48" s="15">
        <v>7</v>
      </c>
      <c r="G48" s="15">
        <v>1</v>
      </c>
      <c r="H48" s="15">
        <v>0</v>
      </c>
      <c r="I48" s="15"/>
      <c r="J48" s="15"/>
      <c r="K48" s="15"/>
      <c r="L48" s="1" t="s">
        <v>29</v>
      </c>
      <c r="M48" s="17">
        <f t="shared" si="1"/>
        <v>0.2</v>
      </c>
      <c r="N48" s="18">
        <f t="shared" si="3"/>
        <v>0</v>
      </c>
      <c r="O48" s="17" t="str">
        <f t="shared" si="4"/>
        <v xml:space="preserve"> </v>
      </c>
      <c r="P48" s="17" t="str">
        <f t="shared" si="7"/>
        <v xml:space="preserve"> </v>
      </c>
      <c r="Q48" s="17" t="str">
        <f t="shared" si="6"/>
        <v xml:space="preserve"> </v>
      </c>
      <c r="R48" s="17">
        <f t="shared" si="2"/>
        <v>1.186842997626314E-2</v>
      </c>
    </row>
    <row r="49" spans="1:18" ht="12.75">
      <c r="A49" s="12">
        <f t="shared" si="0"/>
        <v>48</v>
      </c>
      <c r="B49" s="13" t="s">
        <v>21</v>
      </c>
      <c r="C49" s="14" t="s">
        <v>147</v>
      </c>
      <c r="D49" s="15">
        <v>47</v>
      </c>
      <c r="E49" s="15">
        <v>49</v>
      </c>
      <c r="F49" s="15">
        <v>15</v>
      </c>
      <c r="G49" s="15">
        <v>3</v>
      </c>
      <c r="H49" s="15">
        <v>2</v>
      </c>
      <c r="I49" s="15"/>
      <c r="J49" s="15"/>
      <c r="K49" s="15"/>
      <c r="L49" s="1" t="s">
        <v>20</v>
      </c>
      <c r="M49" s="17">
        <f t="shared" si="1"/>
        <v>0.30612244897959184</v>
      </c>
      <c r="N49" s="18">
        <f t="shared" si="3"/>
        <v>4.0816326530612242E-2</v>
      </c>
      <c r="O49" s="17">
        <f t="shared" si="4"/>
        <v>0</v>
      </c>
      <c r="P49" s="17" t="str">
        <f t="shared" si="7"/>
        <v xml:space="preserve"> </v>
      </c>
      <c r="Q49" s="17" t="str">
        <f t="shared" si="6"/>
        <v xml:space="preserve"> </v>
      </c>
      <c r="R49" s="17">
        <f t="shared" si="2"/>
        <v>1.6615801966768397E-2</v>
      </c>
    </row>
    <row r="50" spans="1:18" ht="12.75">
      <c r="A50" s="12">
        <f t="shared" si="0"/>
        <v>49</v>
      </c>
      <c r="B50" s="13" t="s">
        <v>99</v>
      </c>
      <c r="C50" s="14" t="s">
        <v>147</v>
      </c>
      <c r="D50" s="15">
        <v>48</v>
      </c>
      <c r="E50" s="15">
        <v>18</v>
      </c>
      <c r="F50" s="15">
        <v>0</v>
      </c>
      <c r="G50" s="15">
        <v>3</v>
      </c>
      <c r="H50" s="15">
        <v>2</v>
      </c>
      <c r="J50" s="15"/>
      <c r="K50" s="15"/>
      <c r="L50" s="1" t="s">
        <v>20</v>
      </c>
      <c r="M50" s="17">
        <f t="shared" si="1"/>
        <v>0</v>
      </c>
      <c r="N50" s="18">
        <f t="shared" si="3"/>
        <v>0.1111111111111111</v>
      </c>
      <c r="O50" s="17">
        <f t="shared" si="4"/>
        <v>0</v>
      </c>
      <c r="P50" s="17" t="str">
        <f>IFERROR(K50/I51, " ")</f>
        <v xml:space="preserve"> </v>
      </c>
      <c r="Q50" s="17" t="str">
        <f t="shared" si="6"/>
        <v xml:space="preserve"> </v>
      </c>
      <c r="R50" s="17">
        <f t="shared" si="2"/>
        <v>6.1037639877924718E-3</v>
      </c>
    </row>
    <row r="51" spans="1:18" ht="12.75">
      <c r="A51" s="12">
        <f t="shared" si="0"/>
        <v>50</v>
      </c>
      <c r="B51" s="13" t="s">
        <v>92</v>
      </c>
      <c r="C51" s="14" t="s">
        <v>147</v>
      </c>
      <c r="D51" s="15">
        <v>49</v>
      </c>
      <c r="E51" s="15">
        <v>1</v>
      </c>
      <c r="F51" s="15">
        <v>0</v>
      </c>
      <c r="G51" s="15">
        <v>1</v>
      </c>
      <c r="H51" s="15">
        <v>0</v>
      </c>
      <c r="I51" s="15"/>
      <c r="J51" s="15"/>
      <c r="K51" s="15"/>
      <c r="L51" s="1" t="s">
        <v>64</v>
      </c>
      <c r="M51" s="17">
        <f t="shared" si="1"/>
        <v>0</v>
      </c>
      <c r="N51" s="18">
        <f t="shared" si="3"/>
        <v>0</v>
      </c>
      <c r="O51" s="17" t="str">
        <f t="shared" si="4"/>
        <v xml:space="preserve"> </v>
      </c>
      <c r="P51" s="17" t="str">
        <f t="shared" ref="P51:P111" si="8">IFERROR(K51/I51, " ")</f>
        <v xml:space="preserve"> </v>
      </c>
      <c r="Q51" s="17" t="str">
        <f t="shared" si="6"/>
        <v xml:space="preserve"> </v>
      </c>
      <c r="R51" s="17">
        <f t="shared" si="2"/>
        <v>3.3909799932180403E-4</v>
      </c>
    </row>
    <row r="52" spans="1:18" ht="12.75">
      <c r="A52" s="12">
        <f t="shared" si="0"/>
        <v>51</v>
      </c>
      <c r="B52" s="13" t="s">
        <v>77</v>
      </c>
      <c r="C52" s="14" t="s">
        <v>147</v>
      </c>
      <c r="D52" s="15">
        <v>50</v>
      </c>
      <c r="E52" s="15">
        <v>89</v>
      </c>
      <c r="F52" s="15">
        <v>26</v>
      </c>
      <c r="G52" s="15">
        <v>4</v>
      </c>
      <c r="H52" s="15">
        <v>3</v>
      </c>
      <c r="I52" s="15">
        <v>1</v>
      </c>
      <c r="J52" s="15">
        <v>1</v>
      </c>
      <c r="K52" s="15">
        <v>2</v>
      </c>
      <c r="L52" s="1" t="s">
        <v>20</v>
      </c>
      <c r="M52" s="17">
        <f t="shared" si="1"/>
        <v>0.29213483146067415</v>
      </c>
      <c r="N52" s="18">
        <f t="shared" si="3"/>
        <v>3.3707865168539325E-2</v>
      </c>
      <c r="O52" s="17">
        <f t="shared" si="4"/>
        <v>0.66666666666666663</v>
      </c>
      <c r="P52" s="17">
        <f t="shared" si="8"/>
        <v>2</v>
      </c>
      <c r="Q52" s="17">
        <f t="shared" si="6"/>
        <v>2</v>
      </c>
      <c r="R52" s="17">
        <f t="shared" si="2"/>
        <v>3.0179721939640556E-2</v>
      </c>
    </row>
    <row r="53" spans="1:18" ht="12.75">
      <c r="A53" s="12">
        <f t="shared" si="0"/>
        <v>52</v>
      </c>
      <c r="B53" s="13" t="s">
        <v>30</v>
      </c>
      <c r="C53" s="14" t="s">
        <v>147</v>
      </c>
      <c r="D53" s="15">
        <v>51</v>
      </c>
      <c r="E53" s="15">
        <v>25</v>
      </c>
      <c r="F53" s="15">
        <v>12</v>
      </c>
      <c r="G53" s="15">
        <v>3</v>
      </c>
      <c r="H53" s="15">
        <v>3</v>
      </c>
      <c r="I53" s="15">
        <v>1</v>
      </c>
      <c r="J53" s="15">
        <v>0</v>
      </c>
      <c r="K53" s="15">
        <v>0</v>
      </c>
      <c r="L53" s="1" t="s">
        <v>20</v>
      </c>
      <c r="M53" s="17">
        <f t="shared" si="1"/>
        <v>0.48</v>
      </c>
      <c r="N53" s="18">
        <f t="shared" si="3"/>
        <v>0.12</v>
      </c>
      <c r="O53" s="17">
        <f t="shared" si="4"/>
        <v>0</v>
      </c>
      <c r="P53" s="17">
        <f t="shared" si="8"/>
        <v>0</v>
      </c>
      <c r="Q53" s="17" t="str">
        <f t="shared" si="6"/>
        <v xml:space="preserve"> </v>
      </c>
      <c r="R53" s="17">
        <f t="shared" si="2"/>
        <v>8.4774499830450999E-3</v>
      </c>
    </row>
    <row r="54" spans="1:18" ht="12.75">
      <c r="A54" s="12">
        <f t="shared" si="0"/>
        <v>53</v>
      </c>
      <c r="B54" s="13" t="s">
        <v>110</v>
      </c>
      <c r="C54" s="14" t="s">
        <v>147</v>
      </c>
      <c r="D54" s="15">
        <v>52</v>
      </c>
      <c r="E54" s="15">
        <v>3</v>
      </c>
      <c r="F54" s="15">
        <v>0</v>
      </c>
      <c r="G54" s="15">
        <v>2</v>
      </c>
      <c r="H54" s="15">
        <v>2</v>
      </c>
      <c r="I54" s="15"/>
      <c r="J54" s="15"/>
      <c r="K54" s="15"/>
      <c r="L54" s="1" t="s">
        <v>34</v>
      </c>
      <c r="M54" s="17">
        <f t="shared" si="1"/>
        <v>0</v>
      </c>
      <c r="N54" s="18">
        <f t="shared" si="3"/>
        <v>0.66666666666666663</v>
      </c>
      <c r="O54" s="17">
        <f t="shared" si="4"/>
        <v>0</v>
      </c>
      <c r="P54" s="17" t="str">
        <f t="shared" si="8"/>
        <v xml:space="preserve"> </v>
      </c>
      <c r="Q54" s="17" t="str">
        <f t="shared" si="6"/>
        <v xml:space="preserve"> </v>
      </c>
      <c r="R54" s="17">
        <f t="shared" si="2"/>
        <v>1.017293997965412E-3</v>
      </c>
    </row>
    <row r="55" spans="1:18" ht="12.75">
      <c r="A55" s="12">
        <f t="shared" si="0"/>
        <v>54</v>
      </c>
      <c r="B55" s="13" t="s">
        <v>28</v>
      </c>
      <c r="C55" s="14" t="s">
        <v>147</v>
      </c>
      <c r="D55" s="15">
        <v>52</v>
      </c>
      <c r="E55" s="15">
        <v>13</v>
      </c>
      <c r="F55" s="15">
        <v>7</v>
      </c>
      <c r="G55" s="15">
        <v>1</v>
      </c>
      <c r="H55" s="15">
        <v>1</v>
      </c>
      <c r="I55" s="15"/>
      <c r="J55" s="15"/>
      <c r="K55" s="15"/>
      <c r="L55" s="1" t="s">
        <v>29</v>
      </c>
      <c r="M55" s="17">
        <f t="shared" si="1"/>
        <v>0.53846153846153844</v>
      </c>
      <c r="N55" s="18">
        <f t="shared" si="3"/>
        <v>7.6923076923076927E-2</v>
      </c>
      <c r="O55" s="17">
        <f t="shared" si="4"/>
        <v>0</v>
      </c>
      <c r="P55" s="17" t="str">
        <f t="shared" si="8"/>
        <v xml:space="preserve"> </v>
      </c>
      <c r="Q55" s="17" t="str">
        <f t="shared" si="6"/>
        <v xml:space="preserve"> </v>
      </c>
      <c r="R55" s="17">
        <f t="shared" si="2"/>
        <v>4.408273991183452E-3</v>
      </c>
    </row>
    <row r="56" spans="1:18" ht="12.75">
      <c r="A56" s="12">
        <f t="shared" si="0"/>
        <v>55</v>
      </c>
      <c r="B56" s="13" t="s">
        <v>38</v>
      </c>
      <c r="C56" s="14" t="s">
        <v>147</v>
      </c>
      <c r="D56" s="15">
        <v>53</v>
      </c>
      <c r="E56" s="15">
        <v>28</v>
      </c>
      <c r="F56" s="15">
        <v>8</v>
      </c>
      <c r="G56" s="15">
        <v>1</v>
      </c>
      <c r="H56" s="15">
        <v>1</v>
      </c>
      <c r="I56" s="15"/>
      <c r="J56" s="15"/>
      <c r="K56" s="15"/>
      <c r="L56" s="1" t="s">
        <v>39</v>
      </c>
      <c r="M56" s="17">
        <f t="shared" si="1"/>
        <v>0.2857142857142857</v>
      </c>
      <c r="N56" s="18">
        <f t="shared" si="3"/>
        <v>3.5714285714285712E-2</v>
      </c>
      <c r="O56" s="17">
        <f t="shared" si="4"/>
        <v>0</v>
      </c>
      <c r="P56" s="17" t="str">
        <f t="shared" si="8"/>
        <v xml:space="preserve"> </v>
      </c>
      <c r="Q56" s="17" t="str">
        <f t="shared" si="6"/>
        <v xml:space="preserve"> </v>
      </c>
      <c r="R56" s="17">
        <f t="shared" si="2"/>
        <v>9.4947439810105123E-3</v>
      </c>
    </row>
    <row r="57" spans="1:18" ht="12.75">
      <c r="A57" s="12">
        <f t="shared" si="0"/>
        <v>56</v>
      </c>
      <c r="B57" s="13" t="s">
        <v>80</v>
      </c>
      <c r="C57" s="14" t="s">
        <v>147</v>
      </c>
      <c r="D57" s="15">
        <v>54</v>
      </c>
      <c r="E57" s="15">
        <v>23</v>
      </c>
      <c r="F57" s="15">
        <v>9</v>
      </c>
      <c r="G57" s="15">
        <v>2</v>
      </c>
      <c r="H57" s="15">
        <v>1</v>
      </c>
      <c r="I57" s="15">
        <v>3</v>
      </c>
      <c r="J57" s="15">
        <v>3</v>
      </c>
      <c r="K57" s="15">
        <v>3</v>
      </c>
      <c r="L57" s="1" t="s">
        <v>39</v>
      </c>
      <c r="M57" s="17">
        <f t="shared" si="1"/>
        <v>0.39130434782608697</v>
      </c>
      <c r="N57" s="18">
        <f t="shared" si="3"/>
        <v>4.3478260869565216E-2</v>
      </c>
      <c r="O57" s="17">
        <f t="shared" si="4"/>
        <v>3</v>
      </c>
      <c r="P57" s="17">
        <f t="shared" si="8"/>
        <v>1</v>
      </c>
      <c r="Q57" s="17">
        <f t="shared" si="6"/>
        <v>1</v>
      </c>
      <c r="R57" s="17">
        <f t="shared" si="2"/>
        <v>7.7992539844014917E-3</v>
      </c>
    </row>
    <row r="58" spans="1:18" ht="12.75">
      <c r="A58" s="12">
        <f t="shared" si="0"/>
        <v>57</v>
      </c>
      <c r="B58" s="13" t="s">
        <v>89</v>
      </c>
      <c r="C58" s="14" t="s">
        <v>147</v>
      </c>
      <c r="D58" s="15">
        <v>55</v>
      </c>
      <c r="E58" s="15">
        <v>15</v>
      </c>
      <c r="F58" s="15">
        <v>8</v>
      </c>
      <c r="G58" s="15">
        <v>2</v>
      </c>
      <c r="H58" s="15">
        <v>0</v>
      </c>
      <c r="I58" s="15"/>
      <c r="J58" s="15"/>
      <c r="K58" s="15"/>
      <c r="L58" s="1" t="s">
        <v>39</v>
      </c>
      <c r="M58" s="17">
        <f t="shared" si="1"/>
        <v>0.53333333333333333</v>
      </c>
      <c r="N58" s="18">
        <f t="shared" si="3"/>
        <v>0</v>
      </c>
      <c r="O58" s="17" t="str">
        <f t="shared" si="4"/>
        <v xml:space="preserve"> </v>
      </c>
      <c r="P58" s="17" t="str">
        <f t="shared" si="8"/>
        <v xml:space="preserve"> </v>
      </c>
      <c r="Q58" s="17" t="str">
        <f t="shared" si="6"/>
        <v xml:space="preserve"> </v>
      </c>
      <c r="R58" s="17">
        <f t="shared" si="2"/>
        <v>5.0864699898270603E-3</v>
      </c>
    </row>
    <row r="59" spans="1:18" ht="12.75">
      <c r="A59" s="12">
        <f t="shared" si="0"/>
        <v>58</v>
      </c>
      <c r="B59" s="13" t="s">
        <v>17</v>
      </c>
      <c r="C59" s="14" t="s">
        <v>147</v>
      </c>
      <c r="D59" s="15">
        <v>56</v>
      </c>
      <c r="E59" s="15">
        <v>13</v>
      </c>
      <c r="F59" s="15">
        <v>4</v>
      </c>
      <c r="G59" s="15">
        <v>2</v>
      </c>
      <c r="H59" s="15">
        <v>0</v>
      </c>
      <c r="I59" s="15"/>
      <c r="J59" s="15"/>
      <c r="K59" s="15"/>
      <c r="L59" s="1" t="s">
        <v>18</v>
      </c>
      <c r="M59" s="17">
        <f t="shared" si="1"/>
        <v>0.30769230769230771</v>
      </c>
      <c r="N59" s="18">
        <f t="shared" si="3"/>
        <v>0</v>
      </c>
      <c r="O59" s="17" t="str">
        <f t="shared" si="4"/>
        <v xml:space="preserve"> </v>
      </c>
      <c r="P59" s="17" t="str">
        <f t="shared" si="8"/>
        <v xml:space="preserve"> </v>
      </c>
      <c r="Q59" s="17" t="str">
        <f t="shared" si="6"/>
        <v xml:space="preserve"> </v>
      </c>
      <c r="R59" s="17">
        <f t="shared" si="2"/>
        <v>4.408273991183452E-3</v>
      </c>
    </row>
    <row r="60" spans="1:18" ht="12.75">
      <c r="A60" s="12">
        <f t="shared" si="0"/>
        <v>59</v>
      </c>
      <c r="B60" s="13" t="s">
        <v>124</v>
      </c>
      <c r="C60" s="14" t="s">
        <v>147</v>
      </c>
      <c r="D60" s="15">
        <v>57</v>
      </c>
      <c r="E60" s="15">
        <v>11</v>
      </c>
      <c r="F60" s="15">
        <v>0</v>
      </c>
      <c r="G60" s="15">
        <v>3</v>
      </c>
      <c r="H60" s="15">
        <v>3</v>
      </c>
      <c r="I60" s="15"/>
      <c r="J60" s="15"/>
      <c r="K60" s="15"/>
      <c r="L60" s="1" t="s">
        <v>34</v>
      </c>
      <c r="M60" s="17">
        <f t="shared" si="1"/>
        <v>0</v>
      </c>
      <c r="N60" s="18">
        <f t="shared" si="3"/>
        <v>0.27272727272727271</v>
      </c>
      <c r="O60" s="17">
        <f t="shared" si="4"/>
        <v>0</v>
      </c>
      <c r="P60" s="17" t="str">
        <f t="shared" si="8"/>
        <v xml:space="preserve"> </v>
      </c>
      <c r="Q60" s="17" t="str">
        <f t="shared" si="6"/>
        <v xml:space="preserve"> </v>
      </c>
      <c r="R60" s="17">
        <f t="shared" si="2"/>
        <v>3.7300779925398442E-3</v>
      </c>
    </row>
    <row r="61" spans="1:18" ht="12.75">
      <c r="A61" s="12">
        <f t="shared" si="0"/>
        <v>60</v>
      </c>
      <c r="B61" s="13" t="s">
        <v>56</v>
      </c>
      <c r="C61" s="14" t="s">
        <v>147</v>
      </c>
      <c r="D61" s="15">
        <v>58</v>
      </c>
      <c r="E61" s="15">
        <v>35</v>
      </c>
      <c r="F61" s="15">
        <v>18</v>
      </c>
      <c r="G61" s="15">
        <v>2</v>
      </c>
      <c r="H61" s="15">
        <v>0</v>
      </c>
      <c r="I61" s="15"/>
      <c r="J61" s="15"/>
      <c r="K61" s="15">
        <v>1</v>
      </c>
      <c r="L61" s="1" t="s">
        <v>37</v>
      </c>
      <c r="M61" s="17">
        <f t="shared" si="1"/>
        <v>0.51428571428571423</v>
      </c>
      <c r="N61" s="18">
        <f t="shared" si="3"/>
        <v>0</v>
      </c>
      <c r="O61" s="17" t="str">
        <f t="shared" si="4"/>
        <v xml:space="preserve"> </v>
      </c>
      <c r="P61" s="17" t="str">
        <f t="shared" si="8"/>
        <v xml:space="preserve"> </v>
      </c>
      <c r="Q61" s="17" t="str">
        <f t="shared" si="6"/>
        <v xml:space="preserve"> </v>
      </c>
      <c r="R61" s="17">
        <f t="shared" si="2"/>
        <v>1.186842997626314E-2</v>
      </c>
    </row>
    <row r="62" spans="1:18" ht="13.5">
      <c r="A62" s="12">
        <f t="shared" si="0"/>
        <v>61</v>
      </c>
      <c r="B62" s="13" t="s">
        <v>98</v>
      </c>
      <c r="C62" s="14" t="s">
        <v>147</v>
      </c>
      <c r="D62" s="15">
        <v>60</v>
      </c>
      <c r="E62" s="15">
        <v>19</v>
      </c>
      <c r="F62" s="15">
        <v>2</v>
      </c>
      <c r="G62" s="15">
        <v>1</v>
      </c>
      <c r="H62" s="15">
        <v>2</v>
      </c>
      <c r="I62" s="15"/>
      <c r="J62" s="15">
        <v>1</v>
      </c>
      <c r="K62" s="28"/>
      <c r="L62" s="1" t="s">
        <v>34</v>
      </c>
      <c r="M62" s="17">
        <f t="shared" si="1"/>
        <v>0.10526315789473684</v>
      </c>
      <c r="N62" s="18">
        <f t="shared" si="3"/>
        <v>0.10526315789473684</v>
      </c>
      <c r="O62" s="17">
        <f t="shared" si="4"/>
        <v>0</v>
      </c>
      <c r="P62" s="17" t="str">
        <f t="shared" si="8"/>
        <v xml:space="preserve"> </v>
      </c>
      <c r="Q62" s="17">
        <f t="shared" si="6"/>
        <v>0</v>
      </c>
      <c r="R62" s="17">
        <f t="shared" si="2"/>
        <v>6.442861987114276E-3</v>
      </c>
    </row>
    <row r="63" spans="1:18" ht="12.75">
      <c r="A63" s="12">
        <f t="shared" si="0"/>
        <v>62</v>
      </c>
      <c r="B63" s="13" t="s">
        <v>59</v>
      </c>
      <c r="C63" s="14" t="s">
        <v>147</v>
      </c>
      <c r="D63" s="15">
        <v>61</v>
      </c>
      <c r="E63" s="15">
        <v>18</v>
      </c>
      <c r="F63" s="15">
        <v>6</v>
      </c>
      <c r="G63" s="15">
        <v>0</v>
      </c>
      <c r="H63" s="15">
        <v>0</v>
      </c>
      <c r="I63" s="15"/>
      <c r="J63" s="15">
        <v>1</v>
      </c>
      <c r="K63" s="15"/>
      <c r="L63" s="1" t="s">
        <v>34</v>
      </c>
      <c r="M63" s="17">
        <f t="shared" si="1"/>
        <v>0.33333333333333331</v>
      </c>
      <c r="N63" s="18">
        <f t="shared" si="3"/>
        <v>0</v>
      </c>
      <c r="O63" s="17" t="str">
        <f t="shared" si="4"/>
        <v xml:space="preserve"> </v>
      </c>
      <c r="P63" s="17" t="str">
        <f t="shared" si="8"/>
        <v xml:space="preserve"> </v>
      </c>
      <c r="Q63" s="17">
        <f t="shared" si="6"/>
        <v>0</v>
      </c>
      <c r="R63" s="17">
        <f t="shared" si="2"/>
        <v>6.1037639877924718E-3</v>
      </c>
    </row>
    <row r="64" spans="1:18" ht="12.75">
      <c r="A64" s="12">
        <f t="shared" si="0"/>
        <v>63</v>
      </c>
      <c r="B64" s="13" t="s">
        <v>136</v>
      </c>
      <c r="C64" s="14" t="s">
        <v>147</v>
      </c>
      <c r="D64" s="15">
        <v>62</v>
      </c>
      <c r="E64" s="15">
        <v>66</v>
      </c>
      <c r="F64" s="15">
        <v>21</v>
      </c>
      <c r="G64" s="15">
        <v>4</v>
      </c>
      <c r="H64" s="15">
        <v>6</v>
      </c>
      <c r="I64" s="15"/>
      <c r="J64" s="15"/>
      <c r="K64" s="15"/>
      <c r="L64" s="1" t="s">
        <v>34</v>
      </c>
      <c r="M64" s="17">
        <f t="shared" si="1"/>
        <v>0.31818181818181818</v>
      </c>
      <c r="N64" s="18">
        <f t="shared" si="3"/>
        <v>9.0909090909090912E-2</v>
      </c>
      <c r="O64" s="17">
        <f t="shared" si="4"/>
        <v>0</v>
      </c>
      <c r="P64" s="17" t="str">
        <f t="shared" si="8"/>
        <v xml:space="preserve"> </v>
      </c>
      <c r="Q64" s="17" t="str">
        <f t="shared" si="6"/>
        <v xml:space="preserve"> </v>
      </c>
      <c r="R64" s="17">
        <f t="shared" si="2"/>
        <v>2.2380467955239063E-2</v>
      </c>
    </row>
    <row r="65" spans="1:18" ht="12.75">
      <c r="A65" s="12">
        <f t="shared" si="0"/>
        <v>64</v>
      </c>
      <c r="B65" s="13" t="s">
        <v>76</v>
      </c>
      <c r="C65" s="14" t="s">
        <v>147</v>
      </c>
      <c r="D65" s="15">
        <v>63</v>
      </c>
      <c r="E65" s="15">
        <v>114</v>
      </c>
      <c r="F65" s="15">
        <v>48</v>
      </c>
      <c r="G65" s="15">
        <v>5</v>
      </c>
      <c r="H65" s="15">
        <v>2</v>
      </c>
      <c r="I65" s="15"/>
      <c r="J65" s="15"/>
      <c r="K65" s="15"/>
      <c r="L65" s="1" t="s">
        <v>34</v>
      </c>
      <c r="M65" s="17">
        <f t="shared" si="1"/>
        <v>0.42105263157894735</v>
      </c>
      <c r="N65" s="18">
        <f t="shared" si="3"/>
        <v>1.7543859649122806E-2</v>
      </c>
      <c r="O65" s="17">
        <f t="shared" si="4"/>
        <v>0</v>
      </c>
      <c r="P65" s="17" t="str">
        <f t="shared" si="8"/>
        <v xml:space="preserve"> </v>
      </c>
      <c r="Q65" s="17" t="str">
        <f t="shared" si="6"/>
        <v xml:space="preserve"> </v>
      </c>
      <c r="R65" s="17">
        <f t="shared" si="2"/>
        <v>3.8657171922685654E-2</v>
      </c>
    </row>
    <row r="66" spans="1:18" ht="12.75">
      <c r="A66" s="12">
        <f t="shared" si="0"/>
        <v>65</v>
      </c>
      <c r="B66" s="13" t="s">
        <v>66</v>
      </c>
      <c r="C66" s="14" t="s">
        <v>147</v>
      </c>
      <c r="D66" s="15">
        <v>64</v>
      </c>
      <c r="E66" s="15">
        <v>6</v>
      </c>
      <c r="F66" s="15">
        <v>4</v>
      </c>
      <c r="G66" s="15">
        <v>1</v>
      </c>
      <c r="H66" s="15">
        <v>3</v>
      </c>
      <c r="I66" s="15">
        <v>1</v>
      </c>
      <c r="J66" s="15">
        <v>1</v>
      </c>
      <c r="K66" s="15">
        <v>1</v>
      </c>
      <c r="L66" s="1" t="s">
        <v>34</v>
      </c>
      <c r="M66" s="17">
        <f t="shared" si="1"/>
        <v>0.66666666666666663</v>
      </c>
      <c r="N66" s="18">
        <f t="shared" si="3"/>
        <v>0.5</v>
      </c>
      <c r="O66" s="17">
        <f t="shared" si="4"/>
        <v>0.33333333333333331</v>
      </c>
      <c r="P66" s="17">
        <f t="shared" si="8"/>
        <v>1</v>
      </c>
      <c r="Q66" s="17">
        <f t="shared" si="6"/>
        <v>1</v>
      </c>
      <c r="R66" s="17">
        <f t="shared" si="2"/>
        <v>2.0345879959308239E-3</v>
      </c>
    </row>
    <row r="67" spans="1:18" ht="12.75">
      <c r="A67" s="12">
        <f t="shared" si="0"/>
        <v>66</v>
      </c>
      <c r="B67" s="13" t="s">
        <v>50</v>
      </c>
      <c r="C67" s="14" t="s">
        <v>147</v>
      </c>
      <c r="D67" s="15">
        <v>65</v>
      </c>
      <c r="E67" s="15">
        <v>30</v>
      </c>
      <c r="F67" s="15">
        <v>4</v>
      </c>
      <c r="G67" s="15">
        <v>3</v>
      </c>
      <c r="H67" s="15">
        <v>0</v>
      </c>
      <c r="I67" s="15"/>
      <c r="J67" s="15"/>
      <c r="K67" s="15"/>
      <c r="L67" s="1" t="s">
        <v>34</v>
      </c>
      <c r="M67" s="17">
        <f t="shared" si="1"/>
        <v>0.13333333333333333</v>
      </c>
      <c r="N67" s="18">
        <f t="shared" si="3"/>
        <v>0</v>
      </c>
      <c r="O67" s="17" t="str">
        <f t="shared" si="4"/>
        <v xml:space="preserve"> </v>
      </c>
      <c r="P67" s="17" t="str">
        <f t="shared" si="8"/>
        <v xml:space="preserve"> </v>
      </c>
      <c r="Q67" s="17" t="str">
        <f t="shared" si="6"/>
        <v xml:space="preserve"> </v>
      </c>
      <c r="R67" s="17">
        <f t="shared" si="2"/>
        <v>1.0172939979654121E-2</v>
      </c>
    </row>
    <row r="68" spans="1:18" ht="12.75">
      <c r="A68" s="12">
        <f t="shared" si="0"/>
        <v>67</v>
      </c>
      <c r="B68" s="13" t="s">
        <v>116</v>
      </c>
      <c r="C68" s="14" t="s">
        <v>147</v>
      </c>
      <c r="D68" s="15">
        <v>66</v>
      </c>
      <c r="E68" s="15">
        <v>15</v>
      </c>
      <c r="F68" s="15">
        <v>8</v>
      </c>
      <c r="G68" s="15">
        <v>1</v>
      </c>
      <c r="H68" s="15">
        <v>0</v>
      </c>
      <c r="I68" s="15"/>
      <c r="J68" s="15"/>
      <c r="K68" s="15"/>
      <c r="L68" s="1" t="s">
        <v>64</v>
      </c>
      <c r="M68" s="17">
        <f t="shared" si="1"/>
        <v>0.53333333333333333</v>
      </c>
      <c r="N68" s="18">
        <f t="shared" si="3"/>
        <v>0</v>
      </c>
      <c r="O68" s="17" t="str">
        <f t="shared" si="4"/>
        <v xml:space="preserve"> </v>
      </c>
      <c r="P68" s="17" t="str">
        <f t="shared" si="8"/>
        <v xml:space="preserve"> </v>
      </c>
      <c r="Q68" s="17" t="str">
        <f t="shared" si="6"/>
        <v xml:space="preserve"> </v>
      </c>
      <c r="R68" s="17">
        <f t="shared" si="2"/>
        <v>5.0864699898270603E-3</v>
      </c>
    </row>
    <row r="69" spans="1:18" ht="12.75">
      <c r="A69" s="12">
        <f t="shared" si="0"/>
        <v>68</v>
      </c>
      <c r="B69" s="13" t="s">
        <v>112</v>
      </c>
      <c r="C69" s="14" t="s">
        <v>147</v>
      </c>
      <c r="D69" s="15">
        <v>67</v>
      </c>
      <c r="E69" s="15">
        <v>6</v>
      </c>
      <c r="F69" s="15">
        <v>0</v>
      </c>
      <c r="G69" s="15">
        <v>2</v>
      </c>
      <c r="H69" s="15">
        <v>0</v>
      </c>
      <c r="I69" s="15"/>
      <c r="J69" s="15"/>
      <c r="K69" s="15"/>
      <c r="L69" s="1" t="s">
        <v>37</v>
      </c>
      <c r="M69" s="17">
        <f t="shared" si="1"/>
        <v>0</v>
      </c>
      <c r="N69" s="18">
        <f t="shared" si="3"/>
        <v>0</v>
      </c>
      <c r="O69" s="17" t="str">
        <f t="shared" si="4"/>
        <v xml:space="preserve"> </v>
      </c>
      <c r="P69" s="17" t="str">
        <f t="shared" si="8"/>
        <v xml:space="preserve"> </v>
      </c>
      <c r="Q69" s="17" t="str">
        <f t="shared" si="6"/>
        <v xml:space="preserve"> </v>
      </c>
      <c r="R69" s="17">
        <f t="shared" si="2"/>
        <v>2.0345879959308239E-3</v>
      </c>
    </row>
    <row r="70" spans="1:18" ht="12.75">
      <c r="A70" s="12">
        <f t="shared" si="0"/>
        <v>69</v>
      </c>
      <c r="B70" s="13" t="s">
        <v>101</v>
      </c>
      <c r="C70" s="14" t="s">
        <v>147</v>
      </c>
      <c r="D70" s="15">
        <v>68</v>
      </c>
      <c r="E70" s="15">
        <v>6</v>
      </c>
      <c r="F70" s="15">
        <v>0</v>
      </c>
      <c r="G70" s="15">
        <v>1</v>
      </c>
      <c r="H70" s="15">
        <v>0</v>
      </c>
      <c r="I70" s="15"/>
      <c r="J70" s="15"/>
      <c r="K70" s="15"/>
      <c r="L70" s="1" t="s">
        <v>34</v>
      </c>
      <c r="M70" s="17">
        <f t="shared" si="1"/>
        <v>0</v>
      </c>
      <c r="N70" s="18">
        <f t="shared" si="3"/>
        <v>0</v>
      </c>
      <c r="O70" s="17" t="str">
        <f t="shared" si="4"/>
        <v xml:space="preserve"> </v>
      </c>
      <c r="P70" s="17" t="str">
        <f t="shared" si="8"/>
        <v xml:space="preserve"> </v>
      </c>
      <c r="Q70" s="17" t="str">
        <f t="shared" si="6"/>
        <v xml:space="preserve"> </v>
      </c>
      <c r="R70" s="17">
        <f t="shared" si="2"/>
        <v>2.0345879959308239E-3</v>
      </c>
    </row>
    <row r="71" spans="1:18" ht="12.75">
      <c r="A71" s="12">
        <f t="shared" si="0"/>
        <v>70</v>
      </c>
      <c r="B71" s="13" t="s">
        <v>63</v>
      </c>
      <c r="C71" s="14" t="s">
        <v>147</v>
      </c>
      <c r="D71" s="15">
        <v>69</v>
      </c>
      <c r="E71" s="15">
        <v>28</v>
      </c>
      <c r="F71" s="15">
        <v>3</v>
      </c>
      <c r="G71" s="15">
        <v>1</v>
      </c>
      <c r="H71" s="15">
        <v>2</v>
      </c>
      <c r="I71" s="15"/>
      <c r="J71" s="15"/>
      <c r="K71" s="15"/>
      <c r="L71" s="1" t="s">
        <v>64</v>
      </c>
      <c r="M71" s="17">
        <f t="shared" si="1"/>
        <v>0.10714285714285714</v>
      </c>
      <c r="N71" s="18">
        <f t="shared" si="3"/>
        <v>7.1428571428571425E-2</v>
      </c>
      <c r="O71" s="17">
        <f t="shared" si="4"/>
        <v>0</v>
      </c>
      <c r="P71" s="17" t="str">
        <f t="shared" si="8"/>
        <v xml:space="preserve"> </v>
      </c>
      <c r="Q71" s="17" t="str">
        <f t="shared" si="6"/>
        <v xml:space="preserve"> </v>
      </c>
      <c r="R71" s="17">
        <f t="shared" si="2"/>
        <v>9.4947439810105123E-3</v>
      </c>
    </row>
    <row r="72" spans="1:18" ht="12.75">
      <c r="A72" s="12">
        <f t="shared" si="0"/>
        <v>71</v>
      </c>
      <c r="B72" s="13" t="s">
        <v>79</v>
      </c>
      <c r="C72" s="14" t="s">
        <v>147</v>
      </c>
      <c r="D72" s="15">
        <v>70</v>
      </c>
      <c r="E72" s="15">
        <v>4</v>
      </c>
      <c r="F72" s="15">
        <v>3</v>
      </c>
      <c r="G72" s="15">
        <v>1</v>
      </c>
      <c r="H72" s="15">
        <v>0</v>
      </c>
      <c r="I72" s="15"/>
      <c r="J72" s="15"/>
      <c r="K72" s="15"/>
      <c r="L72" s="1" t="s">
        <v>64</v>
      </c>
      <c r="M72" s="17">
        <f t="shared" si="1"/>
        <v>0.75</v>
      </c>
      <c r="N72" s="18">
        <f t="shared" si="3"/>
        <v>0</v>
      </c>
      <c r="O72" s="17" t="str">
        <f t="shared" si="4"/>
        <v xml:space="preserve"> </v>
      </c>
      <c r="P72" s="17" t="str">
        <f t="shared" si="8"/>
        <v xml:space="preserve"> </v>
      </c>
      <c r="Q72" s="17" t="str">
        <f t="shared" si="6"/>
        <v xml:space="preserve"> </v>
      </c>
      <c r="R72" s="17">
        <f t="shared" si="2"/>
        <v>1.3563919972872161E-3</v>
      </c>
    </row>
    <row r="73" spans="1:18" ht="12.75">
      <c r="A73" s="12">
        <f t="shared" si="0"/>
        <v>72</v>
      </c>
      <c r="B73" s="13" t="s">
        <v>81</v>
      </c>
      <c r="C73" s="14" t="s">
        <v>147</v>
      </c>
      <c r="D73" s="15">
        <v>71</v>
      </c>
      <c r="E73" s="15">
        <v>3</v>
      </c>
      <c r="F73" s="15">
        <v>2</v>
      </c>
      <c r="G73" s="15">
        <v>1</v>
      </c>
      <c r="H73" s="15">
        <v>0</v>
      </c>
      <c r="I73" s="15"/>
      <c r="J73" s="15"/>
      <c r="K73" s="15"/>
      <c r="L73" s="1" t="s">
        <v>64</v>
      </c>
      <c r="M73" s="17">
        <f t="shared" si="1"/>
        <v>0.66666666666666663</v>
      </c>
      <c r="N73" s="18">
        <f t="shared" si="3"/>
        <v>0</v>
      </c>
      <c r="O73" s="17" t="str">
        <f t="shared" si="4"/>
        <v xml:space="preserve"> </v>
      </c>
      <c r="P73" s="17" t="str">
        <f t="shared" si="8"/>
        <v xml:space="preserve"> </v>
      </c>
      <c r="Q73" s="17" t="str">
        <f t="shared" si="6"/>
        <v xml:space="preserve"> </v>
      </c>
      <c r="R73" s="17">
        <f t="shared" si="2"/>
        <v>1.017293997965412E-3</v>
      </c>
    </row>
    <row r="74" spans="1:18" ht="12.75">
      <c r="A74" s="12">
        <f t="shared" si="0"/>
        <v>73</v>
      </c>
      <c r="B74" s="13" t="s">
        <v>36</v>
      </c>
      <c r="C74" s="14" t="s">
        <v>147</v>
      </c>
      <c r="D74" s="15">
        <v>72</v>
      </c>
      <c r="E74" s="15">
        <v>17</v>
      </c>
      <c r="F74" s="15">
        <v>7</v>
      </c>
      <c r="G74" s="15">
        <v>3</v>
      </c>
      <c r="H74" s="15">
        <v>0</v>
      </c>
      <c r="I74" s="15"/>
      <c r="J74" s="15"/>
      <c r="K74" s="15"/>
      <c r="L74" s="1" t="s">
        <v>37</v>
      </c>
      <c r="M74" s="17">
        <f t="shared" si="1"/>
        <v>0.41176470588235292</v>
      </c>
      <c r="N74" s="18">
        <f t="shared" si="3"/>
        <v>0</v>
      </c>
      <c r="O74" s="17" t="str">
        <f t="shared" si="4"/>
        <v xml:space="preserve"> </v>
      </c>
      <c r="P74" s="17" t="str">
        <f t="shared" si="8"/>
        <v xml:space="preserve"> </v>
      </c>
      <c r="Q74" s="17" t="str">
        <f t="shared" si="6"/>
        <v xml:space="preserve"> </v>
      </c>
      <c r="R74" s="17">
        <f t="shared" si="2"/>
        <v>5.7646659884706677E-3</v>
      </c>
    </row>
    <row r="75" spans="1:18" ht="12.75">
      <c r="A75" s="12">
        <f t="shared" si="0"/>
        <v>74</v>
      </c>
      <c r="B75" s="13" t="s">
        <v>88</v>
      </c>
      <c r="C75" s="14" t="s">
        <v>142</v>
      </c>
      <c r="D75" s="15">
        <v>73</v>
      </c>
      <c r="E75" s="15">
        <v>19</v>
      </c>
      <c r="F75" s="15">
        <v>2</v>
      </c>
      <c r="G75" s="15">
        <v>0</v>
      </c>
      <c r="H75" s="15">
        <v>0</v>
      </c>
      <c r="I75" s="15"/>
      <c r="J75" s="15"/>
      <c r="K75" s="15"/>
      <c r="L75" s="1" t="s">
        <v>24</v>
      </c>
      <c r="M75" s="17">
        <f t="shared" si="1"/>
        <v>0.10526315789473684</v>
      </c>
      <c r="N75" s="18">
        <f t="shared" si="3"/>
        <v>0</v>
      </c>
      <c r="O75" s="17" t="str">
        <f t="shared" si="4"/>
        <v xml:space="preserve"> </v>
      </c>
      <c r="P75" s="17" t="str">
        <f t="shared" si="8"/>
        <v xml:space="preserve"> </v>
      </c>
      <c r="Q75" s="17" t="str">
        <f t="shared" si="6"/>
        <v xml:space="preserve"> </v>
      </c>
      <c r="R75" s="17">
        <f t="shared" si="2"/>
        <v>6.442861987114276E-3</v>
      </c>
    </row>
    <row r="76" spans="1:18" ht="12.75">
      <c r="A76" s="12">
        <f t="shared" si="0"/>
        <v>75</v>
      </c>
      <c r="B76" s="13" t="s">
        <v>87</v>
      </c>
      <c r="C76" s="14" t="s">
        <v>147</v>
      </c>
      <c r="D76" s="15">
        <v>74</v>
      </c>
      <c r="E76" s="15">
        <v>20</v>
      </c>
      <c r="F76" s="15">
        <v>0</v>
      </c>
      <c r="G76" s="15">
        <v>2</v>
      </c>
      <c r="H76" s="15">
        <v>1</v>
      </c>
      <c r="I76" s="15"/>
      <c r="J76" s="15"/>
      <c r="K76" s="15"/>
      <c r="L76" s="1" t="s">
        <v>34</v>
      </c>
      <c r="M76" s="17">
        <f t="shared" si="1"/>
        <v>0</v>
      </c>
      <c r="N76" s="18">
        <f t="shared" si="3"/>
        <v>0.05</v>
      </c>
      <c r="O76" s="17">
        <f t="shared" si="4"/>
        <v>0</v>
      </c>
      <c r="P76" s="17" t="str">
        <f t="shared" si="8"/>
        <v xml:space="preserve"> </v>
      </c>
      <c r="Q76" s="17" t="str">
        <f t="shared" si="6"/>
        <v xml:space="preserve"> </v>
      </c>
      <c r="R76" s="17">
        <f t="shared" si="2"/>
        <v>6.7819599864360801E-3</v>
      </c>
    </row>
    <row r="77" spans="1:18" ht="12.75">
      <c r="A77" s="12">
        <f t="shared" si="0"/>
        <v>76</v>
      </c>
      <c r="B77" s="13" t="s">
        <v>85</v>
      </c>
      <c r="C77" s="15" t="s">
        <v>147</v>
      </c>
      <c r="D77" s="15">
        <v>75</v>
      </c>
      <c r="E77" s="15">
        <v>13</v>
      </c>
      <c r="F77" s="15">
        <v>0</v>
      </c>
      <c r="G77" s="15">
        <v>1</v>
      </c>
      <c r="H77" s="15">
        <v>0</v>
      </c>
      <c r="I77" s="15"/>
      <c r="J77" s="15"/>
      <c r="K77" s="15"/>
      <c r="L77" s="1" t="s">
        <v>37</v>
      </c>
      <c r="M77" s="17">
        <f t="shared" si="1"/>
        <v>0</v>
      </c>
      <c r="N77" s="18">
        <f t="shared" si="3"/>
        <v>0</v>
      </c>
      <c r="O77" s="17" t="str">
        <f t="shared" si="4"/>
        <v xml:space="preserve"> </v>
      </c>
      <c r="P77" s="17" t="str">
        <f t="shared" si="8"/>
        <v xml:space="preserve"> </v>
      </c>
      <c r="Q77" s="17" t="str">
        <f t="shared" si="6"/>
        <v xml:space="preserve"> </v>
      </c>
      <c r="R77" s="17">
        <f t="shared" si="2"/>
        <v>4.408273991183452E-3</v>
      </c>
    </row>
    <row r="78" spans="1:18" ht="12.75">
      <c r="A78" s="12">
        <f t="shared" si="0"/>
        <v>77</v>
      </c>
      <c r="B78" s="13" t="s">
        <v>49</v>
      </c>
      <c r="C78" s="14" t="s">
        <v>147</v>
      </c>
      <c r="D78" s="15">
        <v>76</v>
      </c>
      <c r="E78" s="15">
        <v>30</v>
      </c>
      <c r="F78" s="15">
        <v>13</v>
      </c>
      <c r="G78" s="15">
        <v>1</v>
      </c>
      <c r="H78" s="15">
        <v>0</v>
      </c>
      <c r="I78" s="15"/>
      <c r="J78" s="15"/>
      <c r="K78" s="15"/>
      <c r="L78" s="1" t="s">
        <v>37</v>
      </c>
      <c r="M78" s="17">
        <f t="shared" si="1"/>
        <v>0.43333333333333335</v>
      </c>
      <c r="N78" s="18">
        <f t="shared" si="3"/>
        <v>0</v>
      </c>
      <c r="O78" s="17" t="str">
        <f t="shared" si="4"/>
        <v xml:space="preserve"> </v>
      </c>
      <c r="P78" s="17" t="str">
        <f t="shared" si="8"/>
        <v xml:space="preserve"> </v>
      </c>
      <c r="Q78" s="17" t="str">
        <f t="shared" si="6"/>
        <v xml:space="preserve"> </v>
      </c>
      <c r="R78" s="17">
        <f t="shared" si="2"/>
        <v>1.0172939979654121E-2</v>
      </c>
    </row>
    <row r="79" spans="1:18" ht="12.75">
      <c r="A79" s="12">
        <f t="shared" si="0"/>
        <v>78</v>
      </c>
      <c r="B79" s="13" t="s">
        <v>41</v>
      </c>
      <c r="C79" s="14" t="s">
        <v>147</v>
      </c>
      <c r="D79" s="15">
        <v>77</v>
      </c>
      <c r="E79" s="15">
        <v>42</v>
      </c>
      <c r="F79" s="15">
        <v>17</v>
      </c>
      <c r="G79" s="15">
        <v>0</v>
      </c>
      <c r="H79" s="15">
        <v>0</v>
      </c>
      <c r="I79" s="15"/>
      <c r="J79" s="15"/>
      <c r="K79" s="15"/>
      <c r="L79" s="1" t="s">
        <v>34</v>
      </c>
      <c r="M79" s="17">
        <f t="shared" si="1"/>
        <v>0.40476190476190477</v>
      </c>
      <c r="N79" s="18">
        <f t="shared" si="3"/>
        <v>0</v>
      </c>
      <c r="O79" s="17" t="str">
        <f t="shared" si="4"/>
        <v xml:space="preserve"> </v>
      </c>
      <c r="P79" s="17" t="str">
        <f t="shared" si="8"/>
        <v xml:space="preserve"> </v>
      </c>
      <c r="Q79" s="17" t="str">
        <f t="shared" si="6"/>
        <v xml:space="preserve"> </v>
      </c>
      <c r="R79" s="17">
        <f t="shared" si="2"/>
        <v>1.4242115971515769E-2</v>
      </c>
    </row>
    <row r="80" spans="1:18" ht="12.75">
      <c r="A80" s="12">
        <f t="shared" si="0"/>
        <v>79</v>
      </c>
      <c r="B80" s="13" t="s">
        <v>109</v>
      </c>
      <c r="C80" s="14" t="s">
        <v>147</v>
      </c>
      <c r="D80" s="15">
        <v>77</v>
      </c>
      <c r="E80" s="15">
        <v>10</v>
      </c>
      <c r="F80" s="15">
        <v>0</v>
      </c>
      <c r="G80" s="15">
        <v>0</v>
      </c>
      <c r="H80" s="15">
        <v>0</v>
      </c>
      <c r="I80" s="15"/>
      <c r="J80" s="15"/>
      <c r="K80" s="15"/>
      <c r="L80" s="1" t="s">
        <v>37</v>
      </c>
      <c r="M80" s="17">
        <f t="shared" si="1"/>
        <v>0</v>
      </c>
      <c r="N80" s="18">
        <f t="shared" si="3"/>
        <v>0</v>
      </c>
      <c r="O80" s="17" t="str">
        <f t="shared" si="4"/>
        <v xml:space="preserve"> </v>
      </c>
      <c r="P80" s="17" t="str">
        <f t="shared" si="8"/>
        <v xml:space="preserve"> </v>
      </c>
      <c r="Q80" s="17" t="str">
        <f t="shared" si="6"/>
        <v xml:space="preserve"> </v>
      </c>
      <c r="R80" s="17">
        <f t="shared" si="2"/>
        <v>3.3909799932180401E-3</v>
      </c>
    </row>
    <row r="81" spans="1:18" ht="12.75">
      <c r="A81" s="21">
        <v>1</v>
      </c>
      <c r="B81" s="13" t="s">
        <v>57</v>
      </c>
      <c r="C81" s="15" t="s">
        <v>142</v>
      </c>
      <c r="D81" s="15"/>
      <c r="E81" s="15">
        <v>0</v>
      </c>
      <c r="F81" s="15">
        <v>0</v>
      </c>
      <c r="G81" s="15">
        <v>0</v>
      </c>
      <c r="H81" s="15">
        <v>0</v>
      </c>
      <c r="I81" s="15"/>
      <c r="J81" s="15"/>
      <c r="K81" s="15"/>
      <c r="M81" s="17" t="str">
        <f t="shared" si="1"/>
        <v xml:space="preserve"> </v>
      </c>
      <c r="N81" s="18" t="str">
        <f t="shared" si="3"/>
        <v xml:space="preserve"> </v>
      </c>
      <c r="O81" s="24" t="str">
        <f t="shared" si="4"/>
        <v xml:space="preserve"> </v>
      </c>
      <c r="P81" s="18" t="str">
        <f t="shared" si="8"/>
        <v xml:space="preserve"> </v>
      </c>
      <c r="Q81" s="18" t="str">
        <f t="shared" si="6"/>
        <v xml:space="preserve"> </v>
      </c>
      <c r="R81" s="17">
        <f t="shared" si="2"/>
        <v>0</v>
      </c>
    </row>
    <row r="82" spans="1:18" ht="12.75">
      <c r="A82" s="12">
        <f t="shared" ref="A82:A111" si="9">A81+1</f>
        <v>2</v>
      </c>
      <c r="B82" s="13" t="s">
        <v>100</v>
      </c>
      <c r="C82" s="14" t="s">
        <v>142</v>
      </c>
      <c r="D82" s="14"/>
      <c r="E82" s="15">
        <v>4</v>
      </c>
      <c r="F82" s="15">
        <v>4</v>
      </c>
      <c r="G82" s="15">
        <v>0</v>
      </c>
      <c r="H82" s="15">
        <v>0</v>
      </c>
      <c r="I82" s="15"/>
      <c r="J82" s="15"/>
      <c r="K82" s="15"/>
      <c r="L82" s="1" t="s">
        <v>24</v>
      </c>
      <c r="M82" s="17">
        <f t="shared" si="1"/>
        <v>1</v>
      </c>
      <c r="N82" s="18">
        <f t="shared" si="3"/>
        <v>0</v>
      </c>
      <c r="O82" s="17" t="str">
        <f t="shared" si="4"/>
        <v xml:space="preserve"> </v>
      </c>
      <c r="P82" s="17" t="str">
        <f t="shared" si="8"/>
        <v xml:space="preserve"> </v>
      </c>
      <c r="Q82" s="17" t="str">
        <f t="shared" si="6"/>
        <v xml:space="preserve"> </v>
      </c>
      <c r="R82" s="17">
        <f t="shared" si="2"/>
        <v>1.3563919972872161E-3</v>
      </c>
    </row>
    <row r="83" spans="1:18" ht="12.75">
      <c r="A83" s="12">
        <f t="shared" si="9"/>
        <v>3</v>
      </c>
      <c r="B83" s="13" t="s">
        <v>75</v>
      </c>
      <c r="C83" s="14" t="s">
        <v>142</v>
      </c>
      <c r="D83" s="14"/>
      <c r="E83" s="15">
        <v>12</v>
      </c>
      <c r="F83" s="15">
        <v>10</v>
      </c>
      <c r="G83" s="15">
        <v>0</v>
      </c>
      <c r="H83" s="15">
        <v>0</v>
      </c>
      <c r="I83" s="15"/>
      <c r="J83" s="15"/>
      <c r="K83" s="15"/>
      <c r="L83" s="1" t="s">
        <v>24</v>
      </c>
      <c r="M83" s="17">
        <f t="shared" si="1"/>
        <v>0.83333333333333337</v>
      </c>
      <c r="N83" s="18">
        <f t="shared" si="3"/>
        <v>0</v>
      </c>
      <c r="O83" s="17" t="str">
        <f t="shared" si="4"/>
        <v xml:space="preserve"> </v>
      </c>
      <c r="P83" s="17" t="str">
        <f t="shared" si="8"/>
        <v xml:space="preserve"> </v>
      </c>
      <c r="Q83" s="17" t="str">
        <f t="shared" si="6"/>
        <v xml:space="preserve"> </v>
      </c>
      <c r="R83" s="17">
        <f t="shared" si="2"/>
        <v>4.0691759918616479E-3</v>
      </c>
    </row>
    <row r="84" spans="1:18" ht="12.75">
      <c r="A84" s="12">
        <f t="shared" si="9"/>
        <v>4</v>
      </c>
      <c r="B84" s="13" t="s">
        <v>118</v>
      </c>
      <c r="C84" s="14" t="s">
        <v>142</v>
      </c>
      <c r="D84" s="14"/>
      <c r="E84" s="15">
        <v>2</v>
      </c>
      <c r="F84" s="15">
        <v>1</v>
      </c>
      <c r="G84" s="15">
        <v>0</v>
      </c>
      <c r="H84" s="15">
        <v>0</v>
      </c>
      <c r="I84" s="15"/>
      <c r="J84" s="15"/>
      <c r="K84" s="15"/>
      <c r="L84" s="1" t="s">
        <v>24</v>
      </c>
      <c r="M84" s="17">
        <f t="shared" si="1"/>
        <v>0.5</v>
      </c>
      <c r="N84" s="18">
        <f t="shared" si="3"/>
        <v>0</v>
      </c>
      <c r="O84" s="17" t="str">
        <f t="shared" si="4"/>
        <v xml:space="preserve"> </v>
      </c>
      <c r="P84" s="17" t="str">
        <f t="shared" si="8"/>
        <v xml:space="preserve"> </v>
      </c>
      <c r="Q84" s="17" t="str">
        <f t="shared" si="6"/>
        <v xml:space="preserve"> </v>
      </c>
      <c r="R84" s="17">
        <f t="shared" si="2"/>
        <v>6.7819599864360806E-4</v>
      </c>
    </row>
    <row r="85" spans="1:18" ht="12.75">
      <c r="A85" s="12">
        <f t="shared" si="9"/>
        <v>5</v>
      </c>
      <c r="B85" s="13" t="s">
        <v>105</v>
      </c>
      <c r="C85" s="14" t="s">
        <v>142</v>
      </c>
      <c r="D85" s="14"/>
      <c r="E85" s="15">
        <v>6</v>
      </c>
      <c r="F85" s="15">
        <v>0</v>
      </c>
      <c r="G85" s="15">
        <v>0</v>
      </c>
      <c r="H85" s="15">
        <v>0</v>
      </c>
      <c r="I85" s="15"/>
      <c r="J85" s="15"/>
      <c r="K85" s="15"/>
      <c r="L85" s="1" t="s">
        <v>24</v>
      </c>
      <c r="M85" s="17">
        <f t="shared" si="1"/>
        <v>0</v>
      </c>
      <c r="N85" s="18">
        <f t="shared" si="3"/>
        <v>0</v>
      </c>
      <c r="O85" s="17" t="str">
        <f t="shared" si="4"/>
        <v xml:space="preserve"> </v>
      </c>
      <c r="P85" s="17" t="str">
        <f t="shared" si="8"/>
        <v xml:space="preserve"> </v>
      </c>
      <c r="Q85" s="17" t="str">
        <f t="shared" si="6"/>
        <v xml:space="preserve"> </v>
      </c>
      <c r="R85" s="17">
        <f t="shared" si="2"/>
        <v>2.0345879959308239E-3</v>
      </c>
    </row>
    <row r="86" spans="1:18" ht="12.75">
      <c r="A86" s="12">
        <f t="shared" si="9"/>
        <v>6</v>
      </c>
      <c r="B86" s="13" t="s">
        <v>114</v>
      </c>
      <c r="C86" s="14" t="s">
        <v>142</v>
      </c>
      <c r="D86" s="14"/>
      <c r="E86" s="15"/>
      <c r="F86" s="15"/>
      <c r="G86" s="15">
        <v>0</v>
      </c>
      <c r="H86" s="15">
        <v>0</v>
      </c>
      <c r="I86" s="15"/>
      <c r="J86" s="15"/>
      <c r="K86" s="15"/>
      <c r="L86" s="1" t="s">
        <v>24</v>
      </c>
      <c r="M86" s="17" t="str">
        <f t="shared" si="1"/>
        <v xml:space="preserve"> </v>
      </c>
      <c r="N86" s="18" t="str">
        <f t="shared" si="3"/>
        <v xml:space="preserve"> </v>
      </c>
      <c r="O86" s="17" t="str">
        <f t="shared" si="4"/>
        <v xml:space="preserve"> </v>
      </c>
      <c r="P86" s="17" t="str">
        <f t="shared" si="8"/>
        <v xml:space="preserve"> </v>
      </c>
      <c r="Q86" s="17" t="str">
        <f t="shared" si="6"/>
        <v xml:space="preserve"> </v>
      </c>
      <c r="R86" s="17">
        <f t="shared" si="2"/>
        <v>0</v>
      </c>
    </row>
    <row r="87" spans="1:18" ht="12.75">
      <c r="A87" s="12">
        <f t="shared" si="9"/>
        <v>7</v>
      </c>
      <c r="B87" s="13" t="s">
        <v>122</v>
      </c>
      <c r="C87" s="15" t="s">
        <v>142</v>
      </c>
      <c r="D87" s="15"/>
      <c r="E87" s="15">
        <v>5</v>
      </c>
      <c r="F87" s="15">
        <v>2</v>
      </c>
      <c r="G87" s="15">
        <v>0</v>
      </c>
      <c r="H87" s="15"/>
      <c r="I87" s="15"/>
      <c r="J87" s="15"/>
      <c r="K87" s="15"/>
      <c r="L87" s="21" t="s">
        <v>20</v>
      </c>
      <c r="M87" s="17">
        <f t="shared" si="1"/>
        <v>0.4</v>
      </c>
      <c r="N87" s="18">
        <f t="shared" si="3"/>
        <v>0</v>
      </c>
      <c r="O87" s="18" t="str">
        <f t="shared" si="4"/>
        <v xml:space="preserve"> </v>
      </c>
      <c r="P87" s="17" t="str">
        <f t="shared" si="8"/>
        <v xml:space="preserve"> </v>
      </c>
      <c r="Q87" s="17" t="str">
        <f t="shared" si="6"/>
        <v xml:space="preserve"> </v>
      </c>
      <c r="R87" s="17">
        <f t="shared" si="2"/>
        <v>1.69548999660902E-3</v>
      </c>
    </row>
    <row r="88" spans="1:18" ht="12.75">
      <c r="A88" s="12">
        <f t="shared" si="9"/>
        <v>8</v>
      </c>
      <c r="B88" s="13" t="s">
        <v>127</v>
      </c>
      <c r="C88" s="14" t="s">
        <v>142</v>
      </c>
      <c r="D88" s="14"/>
      <c r="E88" s="15">
        <v>0</v>
      </c>
      <c r="F88" s="15">
        <v>0</v>
      </c>
      <c r="G88" s="15">
        <v>0</v>
      </c>
      <c r="H88" s="15">
        <v>0</v>
      </c>
      <c r="I88" s="15"/>
      <c r="J88" s="15"/>
      <c r="K88" s="15"/>
      <c r="L88" s="1" t="s">
        <v>24</v>
      </c>
      <c r="M88" s="17" t="str">
        <f t="shared" si="1"/>
        <v xml:space="preserve"> </v>
      </c>
      <c r="N88" s="18" t="str">
        <f t="shared" si="3"/>
        <v xml:space="preserve"> </v>
      </c>
      <c r="O88" s="17" t="str">
        <f t="shared" si="4"/>
        <v xml:space="preserve"> </v>
      </c>
      <c r="P88" s="17" t="str">
        <f t="shared" si="8"/>
        <v xml:space="preserve"> </v>
      </c>
      <c r="Q88" s="17" t="str">
        <f t="shared" si="6"/>
        <v xml:space="preserve"> </v>
      </c>
      <c r="R88" s="17">
        <f t="shared" si="2"/>
        <v>0</v>
      </c>
    </row>
    <row r="89" spans="1:18" ht="12.75">
      <c r="A89" s="12">
        <f t="shared" si="9"/>
        <v>9</v>
      </c>
      <c r="B89" s="13" t="s">
        <v>128</v>
      </c>
      <c r="C89" s="14" t="s">
        <v>142</v>
      </c>
      <c r="D89" s="14"/>
      <c r="E89" s="15">
        <v>3</v>
      </c>
      <c r="F89" s="15">
        <v>2</v>
      </c>
      <c r="G89" s="15">
        <v>0</v>
      </c>
      <c r="H89" s="15">
        <v>0</v>
      </c>
      <c r="I89" s="15"/>
      <c r="J89" s="15"/>
      <c r="K89" s="15"/>
      <c r="L89" s="1" t="s">
        <v>24</v>
      </c>
      <c r="M89" s="17">
        <f t="shared" si="1"/>
        <v>0.66666666666666663</v>
      </c>
      <c r="N89" s="18">
        <f t="shared" si="3"/>
        <v>0</v>
      </c>
      <c r="O89" s="17" t="str">
        <f t="shared" si="4"/>
        <v xml:space="preserve"> </v>
      </c>
      <c r="P89" s="17" t="str">
        <f t="shared" si="8"/>
        <v xml:space="preserve"> </v>
      </c>
      <c r="Q89" s="17" t="str">
        <f t="shared" si="6"/>
        <v xml:space="preserve"> </v>
      </c>
      <c r="R89" s="17">
        <f t="shared" si="2"/>
        <v>1.017293997965412E-3</v>
      </c>
    </row>
    <row r="90" spans="1:18" ht="12.75">
      <c r="A90" s="12">
        <f t="shared" si="9"/>
        <v>10</v>
      </c>
      <c r="B90" s="13" t="s">
        <v>23</v>
      </c>
      <c r="C90" s="14" t="s">
        <v>142</v>
      </c>
      <c r="D90" s="14"/>
      <c r="E90" s="15">
        <v>14</v>
      </c>
      <c r="F90" s="15">
        <v>5</v>
      </c>
      <c r="G90" s="15">
        <v>0</v>
      </c>
      <c r="H90" s="15">
        <v>0</v>
      </c>
      <c r="I90" s="15"/>
      <c r="J90" s="15"/>
      <c r="K90" s="15"/>
      <c r="L90" s="1" t="s">
        <v>24</v>
      </c>
      <c r="M90" s="17">
        <f t="shared" si="1"/>
        <v>0.35714285714285715</v>
      </c>
      <c r="N90" s="18">
        <f t="shared" si="3"/>
        <v>0</v>
      </c>
      <c r="O90" s="17" t="str">
        <f t="shared" si="4"/>
        <v xml:space="preserve"> </v>
      </c>
      <c r="P90" s="17" t="str">
        <f t="shared" si="8"/>
        <v xml:space="preserve"> </v>
      </c>
      <c r="Q90" s="17" t="str">
        <f t="shared" si="6"/>
        <v xml:space="preserve"> </v>
      </c>
      <c r="R90" s="17">
        <f t="shared" si="2"/>
        <v>4.7473719905052562E-3</v>
      </c>
    </row>
    <row r="91" spans="1:18" ht="12.75">
      <c r="A91" s="12">
        <f t="shared" si="9"/>
        <v>11</v>
      </c>
      <c r="B91" s="13" t="s">
        <v>130</v>
      </c>
      <c r="C91" s="15" t="s">
        <v>142</v>
      </c>
      <c r="D91" s="15"/>
      <c r="E91" s="15">
        <v>0</v>
      </c>
      <c r="F91" s="15">
        <v>0</v>
      </c>
      <c r="G91" s="15">
        <v>0</v>
      </c>
      <c r="H91" s="15">
        <v>0</v>
      </c>
      <c r="I91" s="15"/>
      <c r="J91" s="15"/>
      <c r="K91" s="15"/>
      <c r="L91" s="21" t="s">
        <v>20</v>
      </c>
      <c r="M91" s="17" t="str">
        <f t="shared" si="1"/>
        <v xml:space="preserve"> </v>
      </c>
      <c r="N91" s="18" t="str">
        <f t="shared" si="3"/>
        <v xml:space="preserve"> </v>
      </c>
      <c r="O91" s="17" t="str">
        <f t="shared" si="4"/>
        <v xml:space="preserve"> </v>
      </c>
      <c r="P91" s="18" t="str">
        <f t="shared" si="8"/>
        <v xml:space="preserve"> </v>
      </c>
      <c r="Q91" s="18" t="str">
        <f t="shared" si="6"/>
        <v xml:space="preserve"> </v>
      </c>
      <c r="R91" s="17">
        <f t="shared" si="2"/>
        <v>0</v>
      </c>
    </row>
    <row r="92" spans="1:18" ht="12.75">
      <c r="A92" s="12">
        <f t="shared" si="9"/>
        <v>12</v>
      </c>
      <c r="B92" s="13" t="s">
        <v>131</v>
      </c>
      <c r="C92" s="14" t="s">
        <v>142</v>
      </c>
      <c r="D92" s="14"/>
      <c r="E92" s="15">
        <v>0</v>
      </c>
      <c r="F92" s="15">
        <v>0</v>
      </c>
      <c r="G92" s="15">
        <v>0</v>
      </c>
      <c r="H92" s="15">
        <v>0</v>
      </c>
      <c r="I92" s="15"/>
      <c r="J92" s="15"/>
      <c r="K92" s="15"/>
      <c r="L92" s="1" t="s">
        <v>24</v>
      </c>
      <c r="M92" s="17" t="str">
        <f t="shared" si="1"/>
        <v xml:space="preserve"> </v>
      </c>
      <c r="N92" s="18" t="str">
        <f t="shared" si="3"/>
        <v xml:space="preserve"> </v>
      </c>
      <c r="O92" s="17" t="str">
        <f t="shared" si="4"/>
        <v xml:space="preserve"> </v>
      </c>
      <c r="P92" s="17" t="str">
        <f t="shared" si="8"/>
        <v xml:space="preserve"> </v>
      </c>
      <c r="Q92" s="17" t="str">
        <f t="shared" si="6"/>
        <v xml:space="preserve"> </v>
      </c>
      <c r="R92" s="17">
        <f t="shared" si="2"/>
        <v>0</v>
      </c>
    </row>
    <row r="93" spans="1:18" ht="12.75">
      <c r="A93" s="12">
        <f t="shared" si="9"/>
        <v>13</v>
      </c>
      <c r="B93" s="13" t="s">
        <v>132</v>
      </c>
      <c r="C93" s="14" t="s">
        <v>142</v>
      </c>
      <c r="D93" s="15"/>
      <c r="E93" s="15">
        <v>0</v>
      </c>
      <c r="F93" s="15">
        <v>0</v>
      </c>
      <c r="G93" s="15">
        <v>0</v>
      </c>
      <c r="H93" s="15">
        <v>0</v>
      </c>
      <c r="I93" s="15"/>
      <c r="J93" s="15"/>
      <c r="K93" s="15"/>
      <c r="L93" s="1" t="s">
        <v>24</v>
      </c>
      <c r="M93" s="17" t="str">
        <f t="shared" si="1"/>
        <v xml:space="preserve"> </v>
      </c>
      <c r="N93" s="18" t="str">
        <f t="shared" si="3"/>
        <v xml:space="preserve"> </v>
      </c>
      <c r="O93" s="17" t="str">
        <f t="shared" si="4"/>
        <v xml:space="preserve"> </v>
      </c>
      <c r="P93" s="17" t="str">
        <f t="shared" si="8"/>
        <v xml:space="preserve"> </v>
      </c>
      <c r="Q93" s="17" t="str">
        <f t="shared" si="6"/>
        <v xml:space="preserve"> </v>
      </c>
      <c r="R93" s="17">
        <f t="shared" si="2"/>
        <v>0</v>
      </c>
    </row>
    <row r="94" spans="1:18" ht="12.75">
      <c r="A94" s="12">
        <f t="shared" si="9"/>
        <v>14</v>
      </c>
      <c r="B94" s="13" t="s">
        <v>106</v>
      </c>
      <c r="C94" s="14" t="s">
        <v>142</v>
      </c>
      <c r="D94" s="14"/>
      <c r="E94" s="15">
        <v>4</v>
      </c>
      <c r="F94" s="15">
        <v>1</v>
      </c>
      <c r="G94" s="15">
        <v>0</v>
      </c>
      <c r="H94" s="15">
        <v>0</v>
      </c>
      <c r="I94" s="15"/>
      <c r="J94" s="15"/>
      <c r="K94" s="15"/>
      <c r="L94" s="1" t="s">
        <v>24</v>
      </c>
      <c r="M94" s="17">
        <f t="shared" si="1"/>
        <v>0.25</v>
      </c>
      <c r="N94" s="18">
        <f t="shared" si="3"/>
        <v>0</v>
      </c>
      <c r="O94" s="17" t="str">
        <f t="shared" si="4"/>
        <v xml:space="preserve"> </v>
      </c>
      <c r="P94" s="17" t="str">
        <f t="shared" si="8"/>
        <v xml:space="preserve"> </v>
      </c>
      <c r="Q94" s="17" t="str">
        <f t="shared" si="6"/>
        <v xml:space="preserve"> </v>
      </c>
      <c r="R94" s="17">
        <f t="shared" si="2"/>
        <v>1.3563919972872161E-3</v>
      </c>
    </row>
    <row r="95" spans="1:18" ht="12.75">
      <c r="A95" s="12">
        <f t="shared" si="9"/>
        <v>15</v>
      </c>
      <c r="B95" s="13" t="s">
        <v>119</v>
      </c>
      <c r="C95" s="14" t="s">
        <v>142</v>
      </c>
      <c r="D95" s="14"/>
      <c r="E95" s="15">
        <v>0</v>
      </c>
      <c r="F95" s="15">
        <v>0</v>
      </c>
      <c r="G95" s="15">
        <v>0</v>
      </c>
      <c r="H95" s="15">
        <v>0</v>
      </c>
      <c r="I95" s="15"/>
      <c r="J95" s="15"/>
      <c r="K95" s="15"/>
      <c r="L95" s="1" t="s">
        <v>24</v>
      </c>
      <c r="M95" s="17" t="str">
        <f t="shared" si="1"/>
        <v xml:space="preserve"> </v>
      </c>
      <c r="N95" s="18" t="str">
        <f t="shared" si="3"/>
        <v xml:space="preserve"> </v>
      </c>
      <c r="O95" s="17" t="str">
        <f t="shared" si="4"/>
        <v xml:space="preserve"> </v>
      </c>
      <c r="P95" s="17" t="str">
        <f t="shared" si="8"/>
        <v xml:space="preserve"> </v>
      </c>
      <c r="Q95" s="17" t="str">
        <f t="shared" si="6"/>
        <v xml:space="preserve"> </v>
      </c>
      <c r="R95" s="17">
        <f t="shared" si="2"/>
        <v>0</v>
      </c>
    </row>
    <row r="96" spans="1:18" ht="12.75">
      <c r="A96" s="12">
        <f t="shared" si="9"/>
        <v>16</v>
      </c>
      <c r="B96" s="13" t="s">
        <v>52</v>
      </c>
      <c r="C96" s="14" t="s">
        <v>142</v>
      </c>
      <c r="D96" s="14"/>
      <c r="E96" s="15">
        <v>3</v>
      </c>
      <c r="F96" s="15">
        <v>0</v>
      </c>
      <c r="G96" s="15">
        <v>0</v>
      </c>
      <c r="H96" s="15">
        <v>0</v>
      </c>
      <c r="I96" s="15"/>
      <c r="J96" s="15"/>
      <c r="K96" s="15"/>
      <c r="L96" s="1" t="s">
        <v>24</v>
      </c>
      <c r="M96" s="17">
        <f t="shared" si="1"/>
        <v>0</v>
      </c>
      <c r="N96" s="18">
        <f t="shared" si="3"/>
        <v>0</v>
      </c>
      <c r="O96" s="17" t="str">
        <f t="shared" si="4"/>
        <v xml:space="preserve"> </v>
      </c>
      <c r="P96" s="17" t="str">
        <f t="shared" si="8"/>
        <v xml:space="preserve"> </v>
      </c>
      <c r="Q96" s="17" t="str">
        <f t="shared" si="6"/>
        <v xml:space="preserve"> </v>
      </c>
      <c r="R96" s="17">
        <f t="shared" si="2"/>
        <v>1.017293997965412E-3</v>
      </c>
    </row>
    <row r="97" spans="1:18" ht="12.75">
      <c r="A97" s="12">
        <f t="shared" si="9"/>
        <v>17</v>
      </c>
      <c r="B97" s="13" t="s">
        <v>108</v>
      </c>
      <c r="C97" s="14" t="s">
        <v>142</v>
      </c>
      <c r="D97" s="14"/>
      <c r="E97" s="15">
        <v>12</v>
      </c>
      <c r="F97" s="15">
        <v>0</v>
      </c>
      <c r="G97" s="15">
        <v>0</v>
      </c>
      <c r="H97" s="15">
        <v>0</v>
      </c>
      <c r="I97" s="15"/>
      <c r="J97" s="15"/>
      <c r="K97" s="15"/>
      <c r="L97" s="1" t="s">
        <v>24</v>
      </c>
      <c r="M97" s="17">
        <f t="shared" si="1"/>
        <v>0</v>
      </c>
      <c r="N97" s="18">
        <f t="shared" si="3"/>
        <v>0</v>
      </c>
      <c r="O97" s="17" t="str">
        <f t="shared" si="4"/>
        <v xml:space="preserve"> </v>
      </c>
      <c r="P97" s="17" t="str">
        <f t="shared" si="8"/>
        <v xml:space="preserve"> </v>
      </c>
      <c r="Q97" s="17" t="str">
        <f t="shared" si="6"/>
        <v xml:space="preserve"> </v>
      </c>
      <c r="R97" s="17">
        <f t="shared" si="2"/>
        <v>4.0691759918616479E-3</v>
      </c>
    </row>
    <row r="98" spans="1:18" ht="12.75">
      <c r="A98" s="12">
        <f t="shared" si="9"/>
        <v>18</v>
      </c>
      <c r="B98" s="13" t="s">
        <v>55</v>
      </c>
      <c r="C98" s="14" t="s">
        <v>142</v>
      </c>
      <c r="D98" s="14"/>
      <c r="E98" s="15">
        <v>20</v>
      </c>
      <c r="F98" s="15">
        <v>9</v>
      </c>
      <c r="G98" s="15">
        <v>0</v>
      </c>
      <c r="H98" s="15">
        <v>0</v>
      </c>
      <c r="I98" s="15"/>
      <c r="J98" s="15"/>
      <c r="K98" s="15"/>
      <c r="L98" s="1" t="s">
        <v>24</v>
      </c>
      <c r="M98" s="17">
        <f t="shared" si="1"/>
        <v>0.45</v>
      </c>
      <c r="N98" s="18">
        <f t="shared" si="3"/>
        <v>0</v>
      </c>
      <c r="O98" s="17" t="str">
        <f t="shared" si="4"/>
        <v xml:space="preserve"> </v>
      </c>
      <c r="P98" s="17" t="str">
        <f t="shared" si="8"/>
        <v xml:space="preserve"> </v>
      </c>
      <c r="Q98" s="17" t="str">
        <f t="shared" si="6"/>
        <v xml:space="preserve"> </v>
      </c>
      <c r="R98" s="17">
        <f t="shared" si="2"/>
        <v>6.7819599864360801E-3</v>
      </c>
    </row>
    <row r="99" spans="1:18" ht="12.75">
      <c r="A99" s="12">
        <f t="shared" si="9"/>
        <v>19</v>
      </c>
      <c r="B99" s="13" t="s">
        <v>133</v>
      </c>
      <c r="C99" s="14" t="s">
        <v>142</v>
      </c>
      <c r="D99" s="14"/>
      <c r="E99" s="15">
        <v>0</v>
      </c>
      <c r="F99" s="15">
        <v>0</v>
      </c>
      <c r="G99" s="15">
        <v>0</v>
      </c>
      <c r="H99" s="15">
        <v>0</v>
      </c>
      <c r="I99" s="15"/>
      <c r="J99" s="15"/>
      <c r="K99" s="15"/>
      <c r="L99" s="1" t="s">
        <v>24</v>
      </c>
      <c r="M99" s="17" t="str">
        <f t="shared" si="1"/>
        <v xml:space="preserve"> </v>
      </c>
      <c r="N99" s="18" t="str">
        <f t="shared" si="3"/>
        <v xml:space="preserve"> </v>
      </c>
      <c r="O99" s="17" t="str">
        <f t="shared" si="4"/>
        <v xml:space="preserve"> </v>
      </c>
      <c r="P99" s="17" t="str">
        <f t="shared" si="8"/>
        <v xml:space="preserve"> </v>
      </c>
      <c r="Q99" s="17" t="str">
        <f t="shared" si="6"/>
        <v xml:space="preserve"> </v>
      </c>
      <c r="R99" s="17">
        <f t="shared" si="2"/>
        <v>0</v>
      </c>
    </row>
    <row r="100" spans="1:18" ht="12.75">
      <c r="A100" s="12">
        <f t="shared" si="9"/>
        <v>20</v>
      </c>
      <c r="B100" s="13" t="s">
        <v>134</v>
      </c>
      <c r="C100" s="14" t="s">
        <v>142</v>
      </c>
      <c r="D100" s="14"/>
      <c r="E100" s="15">
        <v>0</v>
      </c>
      <c r="F100" s="15">
        <v>0</v>
      </c>
      <c r="G100" s="15">
        <v>0</v>
      </c>
      <c r="H100" s="15">
        <v>0</v>
      </c>
      <c r="I100" s="15"/>
      <c r="J100" s="15"/>
      <c r="K100" s="15"/>
      <c r="L100" s="1" t="s">
        <v>24</v>
      </c>
      <c r="M100" s="17" t="str">
        <f t="shared" si="1"/>
        <v xml:space="preserve"> </v>
      </c>
      <c r="N100" s="18" t="str">
        <f t="shared" si="3"/>
        <v xml:space="preserve"> </v>
      </c>
      <c r="O100" s="17" t="str">
        <f t="shared" si="4"/>
        <v xml:space="preserve"> </v>
      </c>
      <c r="P100" s="17" t="str">
        <f t="shared" si="8"/>
        <v xml:space="preserve"> </v>
      </c>
      <c r="Q100" s="17" t="str">
        <f t="shared" si="6"/>
        <v xml:space="preserve"> </v>
      </c>
      <c r="R100" s="17">
        <f t="shared" si="2"/>
        <v>0</v>
      </c>
    </row>
    <row r="101" spans="1:18" ht="12.75">
      <c r="A101" s="12">
        <f t="shared" si="9"/>
        <v>21</v>
      </c>
      <c r="B101" s="13" t="s">
        <v>137</v>
      </c>
      <c r="C101" s="15" t="s">
        <v>142</v>
      </c>
      <c r="D101" s="15"/>
      <c r="E101" s="15">
        <v>4</v>
      </c>
      <c r="F101" s="15">
        <v>3</v>
      </c>
      <c r="G101" s="15">
        <v>0</v>
      </c>
      <c r="H101" s="15">
        <v>0</v>
      </c>
      <c r="I101" s="15"/>
      <c r="J101" s="15"/>
      <c r="K101" s="15"/>
      <c r="L101" s="1" t="s">
        <v>138</v>
      </c>
      <c r="M101" s="17">
        <f t="shared" si="1"/>
        <v>0.75</v>
      </c>
      <c r="N101" s="18">
        <f t="shared" si="3"/>
        <v>0</v>
      </c>
      <c r="O101" s="17" t="str">
        <f t="shared" si="4"/>
        <v xml:space="preserve"> </v>
      </c>
      <c r="P101" s="17" t="str">
        <f t="shared" si="8"/>
        <v xml:space="preserve"> </v>
      </c>
      <c r="Q101" s="17" t="str">
        <f t="shared" si="6"/>
        <v xml:space="preserve"> </v>
      </c>
      <c r="R101" s="17">
        <f t="shared" si="2"/>
        <v>1.3563919972872161E-3</v>
      </c>
    </row>
    <row r="102" spans="1:18" ht="12.75">
      <c r="A102" s="12">
        <f t="shared" si="9"/>
        <v>22</v>
      </c>
      <c r="B102" s="13" t="s">
        <v>40</v>
      </c>
      <c r="C102" s="15" t="s">
        <v>142</v>
      </c>
      <c r="D102" s="15"/>
      <c r="E102" s="15">
        <v>21</v>
      </c>
      <c r="F102" s="15">
        <v>16</v>
      </c>
      <c r="G102" s="15">
        <v>0</v>
      </c>
      <c r="H102" s="15">
        <v>0</v>
      </c>
      <c r="I102" s="15"/>
      <c r="J102" s="15"/>
      <c r="K102" s="15"/>
      <c r="L102" s="1" t="s">
        <v>20</v>
      </c>
      <c r="M102" s="17">
        <f t="shared" si="1"/>
        <v>0.76190476190476186</v>
      </c>
      <c r="N102" s="18">
        <f t="shared" si="3"/>
        <v>0</v>
      </c>
      <c r="O102" s="17" t="str">
        <f t="shared" si="4"/>
        <v xml:space="preserve"> </v>
      </c>
      <c r="P102" s="17" t="str">
        <f t="shared" si="8"/>
        <v xml:space="preserve"> </v>
      </c>
      <c r="Q102" s="17" t="str">
        <f t="shared" si="6"/>
        <v xml:space="preserve"> </v>
      </c>
      <c r="R102" s="17">
        <f t="shared" si="2"/>
        <v>7.1210579857578843E-3</v>
      </c>
    </row>
    <row r="103" spans="1:18" ht="12.75">
      <c r="A103" s="12">
        <f t="shared" si="9"/>
        <v>23</v>
      </c>
      <c r="B103" s="13" t="s">
        <v>139</v>
      </c>
      <c r="C103" s="14" t="s">
        <v>142</v>
      </c>
      <c r="D103" s="14"/>
      <c r="E103" s="15">
        <v>1</v>
      </c>
      <c r="F103" s="15">
        <v>1</v>
      </c>
      <c r="G103" s="15">
        <v>0</v>
      </c>
      <c r="H103" s="15">
        <v>0</v>
      </c>
      <c r="I103" s="15"/>
      <c r="J103" s="15"/>
      <c r="K103" s="15"/>
      <c r="L103" s="1" t="s">
        <v>24</v>
      </c>
      <c r="M103" s="17">
        <f t="shared" si="1"/>
        <v>1</v>
      </c>
      <c r="N103" s="18">
        <f t="shared" si="3"/>
        <v>0</v>
      </c>
      <c r="O103" s="17" t="str">
        <f t="shared" si="4"/>
        <v xml:space="preserve"> </v>
      </c>
      <c r="P103" s="17" t="str">
        <f t="shared" si="8"/>
        <v xml:space="preserve"> </v>
      </c>
      <c r="Q103" s="17" t="str">
        <f t="shared" si="6"/>
        <v xml:space="preserve"> </v>
      </c>
      <c r="R103" s="17">
        <f t="shared" si="2"/>
        <v>3.3909799932180403E-4</v>
      </c>
    </row>
    <row r="104" spans="1:18" ht="12.75">
      <c r="A104" s="12">
        <f t="shared" si="9"/>
        <v>24</v>
      </c>
      <c r="B104" s="13" t="s">
        <v>140</v>
      </c>
      <c r="C104" s="14" t="s">
        <v>142</v>
      </c>
      <c r="D104" s="14"/>
      <c r="E104" s="15">
        <v>1</v>
      </c>
      <c r="F104" s="15">
        <v>0</v>
      </c>
      <c r="G104" s="15">
        <v>0</v>
      </c>
      <c r="H104" s="15">
        <v>0</v>
      </c>
      <c r="I104" s="15"/>
      <c r="J104" s="15"/>
      <c r="K104" s="15"/>
      <c r="L104" s="1" t="s">
        <v>24</v>
      </c>
      <c r="M104" s="17">
        <f t="shared" si="1"/>
        <v>0</v>
      </c>
      <c r="N104" s="18">
        <f t="shared" si="3"/>
        <v>0</v>
      </c>
      <c r="O104" s="17" t="str">
        <f t="shared" si="4"/>
        <v xml:space="preserve"> </v>
      </c>
      <c r="P104" s="17" t="str">
        <f t="shared" si="8"/>
        <v xml:space="preserve"> </v>
      </c>
      <c r="Q104" s="17" t="str">
        <f t="shared" si="6"/>
        <v xml:space="preserve"> </v>
      </c>
      <c r="R104" s="17">
        <f t="shared" si="2"/>
        <v>3.3909799932180403E-4</v>
      </c>
    </row>
    <row r="105" spans="1:18" ht="12.75">
      <c r="A105" s="12">
        <f t="shared" si="9"/>
        <v>25</v>
      </c>
      <c r="B105" s="13" t="s">
        <v>107</v>
      </c>
      <c r="C105" s="14" t="s">
        <v>142</v>
      </c>
      <c r="D105" s="14"/>
      <c r="E105" s="15">
        <v>0</v>
      </c>
      <c r="F105" s="15">
        <v>0</v>
      </c>
      <c r="G105" s="15">
        <v>0</v>
      </c>
      <c r="H105" s="15">
        <v>0</v>
      </c>
      <c r="I105" s="15"/>
      <c r="J105" s="15"/>
      <c r="K105" s="15"/>
      <c r="L105" s="1" t="s">
        <v>24</v>
      </c>
      <c r="M105" s="17" t="str">
        <f t="shared" si="1"/>
        <v xml:space="preserve"> </v>
      </c>
      <c r="N105" s="18" t="str">
        <f t="shared" si="3"/>
        <v xml:space="preserve"> </v>
      </c>
      <c r="O105" s="17" t="str">
        <f t="shared" si="4"/>
        <v xml:space="preserve"> </v>
      </c>
      <c r="P105" s="17" t="str">
        <f t="shared" si="8"/>
        <v xml:space="preserve"> </v>
      </c>
      <c r="Q105" s="17" t="str">
        <f t="shared" si="6"/>
        <v xml:space="preserve"> </v>
      </c>
      <c r="R105" s="17">
        <f t="shared" si="2"/>
        <v>0</v>
      </c>
    </row>
    <row r="106" spans="1:18" ht="12.75">
      <c r="A106" s="12">
        <f t="shared" si="9"/>
        <v>26</v>
      </c>
      <c r="B106" s="13" t="s">
        <v>72</v>
      </c>
      <c r="C106" s="15" t="s">
        <v>142</v>
      </c>
      <c r="D106" s="15"/>
      <c r="E106" s="15">
        <v>16</v>
      </c>
      <c r="F106" s="15">
        <v>12</v>
      </c>
      <c r="G106" s="15">
        <v>0</v>
      </c>
      <c r="H106" s="15">
        <v>0</v>
      </c>
      <c r="I106" s="15"/>
      <c r="J106" s="15"/>
      <c r="K106" s="15"/>
      <c r="M106" s="17">
        <f t="shared" si="1"/>
        <v>0.75</v>
      </c>
      <c r="N106" s="18">
        <f t="shared" si="3"/>
        <v>0</v>
      </c>
      <c r="O106" s="17" t="str">
        <f t="shared" si="4"/>
        <v xml:space="preserve"> </v>
      </c>
      <c r="P106" s="17" t="str">
        <f t="shared" si="8"/>
        <v xml:space="preserve"> </v>
      </c>
      <c r="Q106" s="17" t="str">
        <f t="shared" si="6"/>
        <v xml:space="preserve"> </v>
      </c>
      <c r="R106" s="17">
        <f t="shared" si="2"/>
        <v>5.4255679891488644E-3</v>
      </c>
    </row>
    <row r="107" spans="1:18" ht="12.75">
      <c r="A107" s="12">
        <f t="shared" si="9"/>
        <v>27</v>
      </c>
      <c r="B107" s="13" t="s">
        <v>113</v>
      </c>
      <c r="C107" s="14" t="s">
        <v>142</v>
      </c>
      <c r="D107" s="14"/>
      <c r="E107" s="15">
        <v>1</v>
      </c>
      <c r="F107" s="15">
        <v>0</v>
      </c>
      <c r="G107" s="15">
        <v>0</v>
      </c>
      <c r="H107" s="15">
        <v>0</v>
      </c>
      <c r="I107" s="15"/>
      <c r="J107" s="15"/>
      <c r="K107" s="15"/>
      <c r="L107" s="1" t="s">
        <v>24</v>
      </c>
      <c r="M107" s="17">
        <f t="shared" si="1"/>
        <v>0</v>
      </c>
      <c r="N107" s="18">
        <f t="shared" si="3"/>
        <v>0</v>
      </c>
      <c r="O107" s="17" t="str">
        <f t="shared" si="4"/>
        <v xml:space="preserve"> </v>
      </c>
      <c r="P107" s="17" t="str">
        <f t="shared" si="8"/>
        <v xml:space="preserve"> </v>
      </c>
      <c r="Q107" s="17" t="str">
        <f t="shared" si="6"/>
        <v xml:space="preserve"> </v>
      </c>
      <c r="R107" s="17">
        <f t="shared" si="2"/>
        <v>3.3909799932180403E-4</v>
      </c>
    </row>
    <row r="108" spans="1:18" ht="12.75">
      <c r="A108" s="12">
        <f t="shared" si="9"/>
        <v>28</v>
      </c>
      <c r="B108" s="13" t="s">
        <v>141</v>
      </c>
      <c r="C108" s="14" t="s">
        <v>142</v>
      </c>
      <c r="D108" s="14"/>
      <c r="E108" s="15">
        <v>0</v>
      </c>
      <c r="F108" s="15">
        <v>0</v>
      </c>
      <c r="G108" s="15">
        <v>0</v>
      </c>
      <c r="H108" s="15">
        <v>0</v>
      </c>
      <c r="I108" s="15"/>
      <c r="J108" s="15"/>
      <c r="K108" s="15"/>
      <c r="L108" s="1" t="s">
        <v>24</v>
      </c>
      <c r="M108" s="17" t="str">
        <f t="shared" si="1"/>
        <v xml:space="preserve"> </v>
      </c>
      <c r="N108" s="18" t="str">
        <f t="shared" si="3"/>
        <v xml:space="preserve"> </v>
      </c>
      <c r="O108" s="17" t="str">
        <f t="shared" si="4"/>
        <v xml:space="preserve"> </v>
      </c>
      <c r="P108" s="17" t="str">
        <f t="shared" si="8"/>
        <v xml:space="preserve"> </v>
      </c>
      <c r="Q108" s="17" t="str">
        <f t="shared" si="6"/>
        <v xml:space="preserve"> </v>
      </c>
      <c r="R108" s="17">
        <f t="shared" si="2"/>
        <v>0</v>
      </c>
    </row>
    <row r="109" spans="1:18" ht="12.75">
      <c r="A109" s="12">
        <f t="shared" si="9"/>
        <v>29</v>
      </c>
      <c r="B109" s="13" t="s">
        <v>120</v>
      </c>
      <c r="C109" s="14" t="s">
        <v>142</v>
      </c>
      <c r="D109" s="14"/>
      <c r="E109" s="15">
        <v>1</v>
      </c>
      <c r="F109" s="15">
        <v>1</v>
      </c>
      <c r="G109" s="15">
        <v>0</v>
      </c>
      <c r="H109" s="15">
        <v>0</v>
      </c>
      <c r="I109" s="15"/>
      <c r="J109" s="15"/>
      <c r="K109" s="15"/>
      <c r="L109" s="1" t="s">
        <v>24</v>
      </c>
      <c r="M109" s="17">
        <f t="shared" si="1"/>
        <v>1</v>
      </c>
      <c r="N109" s="18">
        <f t="shared" si="3"/>
        <v>0</v>
      </c>
      <c r="O109" s="17" t="str">
        <f t="shared" si="4"/>
        <v xml:space="preserve"> </v>
      </c>
      <c r="P109" s="17" t="str">
        <f t="shared" si="8"/>
        <v xml:space="preserve"> </v>
      </c>
      <c r="Q109" s="17" t="str">
        <f t="shared" si="6"/>
        <v xml:space="preserve"> </v>
      </c>
      <c r="R109" s="17">
        <f t="shared" si="2"/>
        <v>3.3909799932180403E-4</v>
      </c>
    </row>
    <row r="110" spans="1:18" ht="12.75">
      <c r="A110" s="12">
        <f t="shared" si="9"/>
        <v>30</v>
      </c>
      <c r="B110" s="13" t="s">
        <v>121</v>
      </c>
      <c r="C110" s="14" t="s">
        <v>142</v>
      </c>
      <c r="D110" s="14"/>
      <c r="E110" s="15">
        <v>0</v>
      </c>
      <c r="F110" s="15">
        <v>0</v>
      </c>
      <c r="G110" s="15">
        <v>0</v>
      </c>
      <c r="H110" s="15">
        <v>0</v>
      </c>
      <c r="I110" s="15"/>
      <c r="J110" s="15"/>
      <c r="K110" s="15"/>
      <c r="L110" s="1" t="s">
        <v>24</v>
      </c>
      <c r="M110" s="17" t="str">
        <f t="shared" si="1"/>
        <v xml:space="preserve"> </v>
      </c>
      <c r="N110" s="18" t="str">
        <f t="shared" si="3"/>
        <v xml:space="preserve"> </v>
      </c>
      <c r="O110" s="17" t="str">
        <f t="shared" si="4"/>
        <v xml:space="preserve"> </v>
      </c>
      <c r="P110" s="17" t="str">
        <f t="shared" si="8"/>
        <v xml:space="preserve"> </v>
      </c>
      <c r="Q110" s="17" t="str">
        <f t="shared" si="6"/>
        <v xml:space="preserve"> </v>
      </c>
      <c r="R110" s="17">
        <f t="shared" si="2"/>
        <v>0</v>
      </c>
    </row>
    <row r="111" spans="1:18" ht="12.75">
      <c r="A111" s="12">
        <f t="shared" si="9"/>
        <v>31</v>
      </c>
      <c r="B111" s="13" t="s">
        <v>111</v>
      </c>
      <c r="C111" s="14" t="s">
        <v>142</v>
      </c>
      <c r="D111" s="14"/>
      <c r="E111" s="15">
        <v>2</v>
      </c>
      <c r="F111" s="15">
        <v>2</v>
      </c>
      <c r="G111" s="15">
        <v>0</v>
      </c>
      <c r="H111" s="15">
        <v>0</v>
      </c>
      <c r="I111" s="15"/>
      <c r="J111" s="15"/>
      <c r="K111" s="15"/>
      <c r="L111" s="1" t="s">
        <v>24</v>
      </c>
      <c r="M111" s="17">
        <f t="shared" si="1"/>
        <v>1</v>
      </c>
      <c r="N111" s="18">
        <f t="shared" si="3"/>
        <v>0</v>
      </c>
      <c r="O111" s="17" t="str">
        <f t="shared" si="4"/>
        <v xml:space="preserve"> </v>
      </c>
      <c r="P111" s="17" t="str">
        <f t="shared" si="8"/>
        <v xml:space="preserve"> </v>
      </c>
      <c r="Q111" s="17" t="str">
        <f t="shared" si="6"/>
        <v xml:space="preserve"> </v>
      </c>
      <c r="R111" s="17">
        <f t="shared" si="2"/>
        <v>6.7819599864360806E-4</v>
      </c>
    </row>
    <row r="112" spans="1:18" ht="12.75">
      <c r="C112" s="29"/>
      <c r="D112" s="29"/>
      <c r="E112" s="29"/>
      <c r="F112" s="29"/>
      <c r="G112" s="29"/>
      <c r="H112" s="29"/>
      <c r="I112" s="29"/>
      <c r="J112" s="29"/>
      <c r="K112" s="29"/>
      <c r="M112" s="17"/>
      <c r="N112" s="18" t="str">
        <f t="shared" si="3"/>
        <v xml:space="preserve"> </v>
      </c>
      <c r="R112" s="17"/>
    </row>
    <row r="113" spans="1:29" ht="13.15">
      <c r="A113" s="30"/>
      <c r="B113" s="31" t="s">
        <v>143</v>
      </c>
      <c r="C113" s="32"/>
      <c r="D113" s="32"/>
      <c r="E113" s="32">
        <f t="shared" ref="E113:K113" si="10">SUM(E2:E111)</f>
        <v>2949</v>
      </c>
      <c r="F113" s="32">
        <f t="shared" si="10"/>
        <v>907</v>
      </c>
      <c r="G113" s="32">
        <f t="shared" si="10"/>
        <v>175</v>
      </c>
      <c r="H113" s="32">
        <f t="shared" si="10"/>
        <v>126</v>
      </c>
      <c r="I113" s="32">
        <f t="shared" si="10"/>
        <v>16</v>
      </c>
      <c r="J113" s="32">
        <f t="shared" si="10"/>
        <v>13</v>
      </c>
      <c r="K113" s="32">
        <f t="shared" si="10"/>
        <v>15</v>
      </c>
      <c r="L113" s="30"/>
      <c r="M113" s="33"/>
      <c r="N113" s="34">
        <f t="shared" si="3"/>
        <v>4.2726347914547304E-2</v>
      </c>
      <c r="O113" s="33">
        <f>K113/H113</f>
        <v>0.11904761904761904</v>
      </c>
      <c r="P113" s="33">
        <f>K113/I113</f>
        <v>0.9375</v>
      </c>
      <c r="Q113" s="33">
        <f>K113/J113</f>
        <v>1.1538461538461537</v>
      </c>
      <c r="R113" s="33"/>
      <c r="S113" s="33">
        <f>K113/E113</f>
        <v>5.0864699898270603E-3</v>
      </c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 spans="1:29" ht="12.75">
      <c r="M114" s="17"/>
      <c r="N114" s="35"/>
      <c r="R114" s="17"/>
    </row>
    <row r="115" spans="1:29" ht="13.5">
      <c r="B115" s="21" t="s">
        <v>144</v>
      </c>
      <c r="C115" s="36">
        <f ca="1">IFERROR(__xludf.DUMMYFUNCTION("AVERAGE(FILTER($E$2:$E$111,$C2:$C$111=""Y""))"),35.8717948717948)</f>
        <v>35.871794871794798</v>
      </c>
      <c r="K115" s="37"/>
      <c r="M115" s="17"/>
      <c r="N115" s="35"/>
      <c r="R115" s="17"/>
    </row>
    <row r="116" spans="1:29" ht="12.75">
      <c r="M116" s="17"/>
      <c r="N116" s="35"/>
      <c r="R116" s="17"/>
    </row>
    <row r="117" spans="1:29" ht="12.75">
      <c r="M117" s="17"/>
      <c r="N117" s="35"/>
      <c r="R117" s="17"/>
    </row>
    <row r="118" spans="1:29" ht="12.75">
      <c r="M118" s="17"/>
      <c r="N118" s="35"/>
      <c r="R118" s="17"/>
    </row>
    <row r="119" spans="1:29" ht="12.75">
      <c r="B119" s="13"/>
      <c r="C119" s="25"/>
      <c r="D119" s="25"/>
      <c r="F119" s="38"/>
      <c r="G119" s="38"/>
      <c r="H119" s="38"/>
      <c r="I119" s="38"/>
      <c r="J119" s="38"/>
      <c r="K119" s="38"/>
      <c r="M119" s="17"/>
      <c r="N119" s="35"/>
      <c r="R119" s="17"/>
    </row>
    <row r="120" spans="1:29" ht="12.75">
      <c r="B120" s="13"/>
      <c r="C120" s="25"/>
      <c r="D120" s="25"/>
      <c r="F120" s="38"/>
      <c r="G120" s="38"/>
      <c r="H120" s="38"/>
      <c r="I120" s="38"/>
      <c r="J120" s="38"/>
      <c r="K120" s="38"/>
      <c r="M120" s="17"/>
      <c r="N120" s="35"/>
      <c r="R120" s="17"/>
    </row>
    <row r="121" spans="1:29" ht="12.75">
      <c r="B121" s="13"/>
      <c r="C121" s="25"/>
      <c r="D121" s="25"/>
      <c r="F121" s="38"/>
      <c r="G121" s="38"/>
      <c r="H121" s="38"/>
      <c r="I121" s="38"/>
      <c r="J121" s="38"/>
      <c r="K121" s="38"/>
      <c r="M121" s="17"/>
      <c r="N121" s="35"/>
      <c r="R121" s="17"/>
    </row>
    <row r="122" spans="1:29" ht="12.75">
      <c r="B122" s="13"/>
      <c r="C122" s="25"/>
      <c r="D122" s="25"/>
      <c r="F122" s="38"/>
      <c r="G122" s="38"/>
      <c r="H122" s="38"/>
      <c r="I122" s="38"/>
      <c r="J122" s="38"/>
      <c r="K122" s="38"/>
      <c r="M122" s="17"/>
      <c r="N122" s="35"/>
      <c r="R122" s="17"/>
    </row>
    <row r="123" spans="1:29" ht="12.75">
      <c r="B123" s="13"/>
      <c r="C123" s="25"/>
      <c r="D123" s="25"/>
      <c r="F123" s="38"/>
      <c r="G123" s="38"/>
      <c r="H123" s="38"/>
      <c r="I123" s="38"/>
      <c r="J123" s="38"/>
      <c r="K123" s="38"/>
      <c r="M123" s="17"/>
      <c r="N123" s="35"/>
      <c r="R123" s="17"/>
    </row>
    <row r="124" spans="1:29" ht="12.75">
      <c r="B124" s="13"/>
      <c r="C124" s="25"/>
      <c r="D124" s="25"/>
      <c r="F124" s="38"/>
      <c r="G124" s="38"/>
      <c r="H124" s="38"/>
      <c r="I124" s="38"/>
      <c r="J124" s="38"/>
      <c r="K124" s="38"/>
      <c r="M124" s="17"/>
      <c r="N124" s="35"/>
      <c r="R124" s="17"/>
    </row>
    <row r="125" spans="1:29" ht="12.75">
      <c r="B125" s="13"/>
      <c r="C125" s="25"/>
      <c r="D125" s="25"/>
      <c r="F125" s="38"/>
      <c r="G125" s="38"/>
      <c r="H125" s="38"/>
      <c r="I125" s="38"/>
      <c r="J125" s="38"/>
      <c r="K125" s="38"/>
      <c r="M125" s="17"/>
      <c r="N125" s="35"/>
      <c r="R125" s="17"/>
    </row>
    <row r="126" spans="1:29" ht="12.75">
      <c r="B126" s="13"/>
      <c r="C126" s="25"/>
      <c r="D126" s="25"/>
      <c r="F126" s="38"/>
      <c r="G126" s="38"/>
      <c r="H126" s="38"/>
      <c r="I126" s="38"/>
      <c r="J126" s="38"/>
      <c r="K126" s="38"/>
      <c r="M126" s="17"/>
      <c r="N126" s="35"/>
      <c r="R126" s="17"/>
    </row>
    <row r="127" spans="1:29" ht="12.75">
      <c r="B127" s="13"/>
      <c r="C127" s="25"/>
      <c r="D127" s="25"/>
      <c r="F127" s="38"/>
      <c r="G127" s="38"/>
      <c r="H127" s="38"/>
      <c r="I127" s="38"/>
      <c r="J127" s="38"/>
      <c r="K127" s="38"/>
      <c r="M127" s="17"/>
      <c r="N127" s="35"/>
      <c r="R127" s="17"/>
    </row>
    <row r="128" spans="1:29" ht="12.75">
      <c r="B128" s="13"/>
      <c r="C128" s="25"/>
      <c r="D128" s="25"/>
      <c r="F128" s="38"/>
      <c r="G128" s="38"/>
      <c r="H128" s="38"/>
      <c r="I128" s="38"/>
      <c r="J128" s="38"/>
      <c r="K128" s="38"/>
      <c r="M128" s="17"/>
      <c r="N128" s="35"/>
      <c r="R128" s="17"/>
    </row>
    <row r="129" spans="2:18" ht="12.75">
      <c r="B129" s="13"/>
      <c r="C129" s="25"/>
      <c r="D129" s="25"/>
      <c r="F129" s="38"/>
      <c r="G129" s="38"/>
      <c r="H129" s="38"/>
      <c r="I129" s="38"/>
      <c r="J129" s="38"/>
      <c r="K129" s="38"/>
      <c r="M129" s="17"/>
      <c r="N129" s="35"/>
      <c r="R129" s="17"/>
    </row>
    <row r="130" spans="2:18" ht="12.75">
      <c r="B130" s="13"/>
      <c r="C130" s="25"/>
      <c r="D130" s="25"/>
      <c r="F130" s="38"/>
      <c r="G130" s="38"/>
      <c r="H130" s="38"/>
      <c r="I130" s="38"/>
      <c r="J130" s="38"/>
      <c r="K130" s="38"/>
      <c r="M130" s="17"/>
      <c r="N130" s="35"/>
      <c r="R130" s="17"/>
    </row>
    <row r="131" spans="2:18" ht="12.75">
      <c r="B131" s="13"/>
      <c r="C131" s="25"/>
      <c r="D131" s="25"/>
      <c r="F131" s="38"/>
      <c r="G131" s="38"/>
      <c r="H131" s="38"/>
      <c r="I131" s="38"/>
      <c r="J131" s="38"/>
      <c r="K131" s="38"/>
      <c r="M131" s="17"/>
      <c r="N131" s="35"/>
      <c r="R131" s="17"/>
    </row>
    <row r="132" spans="2:18" ht="12.75">
      <c r="B132" s="13"/>
      <c r="C132" s="25"/>
      <c r="D132" s="25"/>
      <c r="F132" s="38"/>
      <c r="G132" s="38"/>
      <c r="H132" s="38"/>
      <c r="I132" s="38"/>
      <c r="J132" s="38"/>
      <c r="K132" s="38"/>
      <c r="M132" s="17"/>
      <c r="N132" s="35"/>
      <c r="R132" s="17"/>
    </row>
    <row r="133" spans="2:18" ht="12.75">
      <c r="B133" s="13"/>
      <c r="C133" s="25"/>
      <c r="D133" s="25"/>
      <c r="F133" s="38"/>
      <c r="G133" s="38"/>
      <c r="H133" s="38"/>
      <c r="I133" s="38"/>
      <c r="J133" s="38"/>
      <c r="K133" s="38"/>
      <c r="M133" s="17"/>
      <c r="N133" s="35"/>
      <c r="R133" s="17"/>
    </row>
    <row r="134" spans="2:18" ht="12.75">
      <c r="B134" s="13"/>
      <c r="C134" s="25"/>
      <c r="D134" s="25"/>
      <c r="F134" s="38"/>
      <c r="G134" s="38"/>
      <c r="H134" s="38"/>
      <c r="I134" s="38"/>
      <c r="J134" s="38"/>
      <c r="K134" s="38"/>
      <c r="M134" s="17"/>
      <c r="N134" s="35"/>
      <c r="R134" s="17"/>
    </row>
    <row r="135" spans="2:18" ht="12.75">
      <c r="B135" s="13"/>
      <c r="C135" s="13"/>
      <c r="D135" s="13"/>
      <c r="F135" s="38"/>
      <c r="G135" s="38"/>
      <c r="H135" s="38"/>
      <c r="I135" s="38"/>
      <c r="J135" s="38"/>
      <c r="K135" s="38"/>
      <c r="M135" s="17"/>
      <c r="N135" s="35"/>
      <c r="R135" s="17"/>
    </row>
    <row r="136" spans="2:18" ht="12.75">
      <c r="B136" s="13"/>
      <c r="C136" s="25"/>
      <c r="D136" s="25"/>
      <c r="F136" s="38"/>
      <c r="G136" s="38"/>
      <c r="H136" s="38"/>
      <c r="I136" s="38"/>
      <c r="J136" s="38"/>
      <c r="K136" s="38"/>
      <c r="M136" s="17"/>
      <c r="N136" s="35"/>
      <c r="R136" s="17"/>
    </row>
    <row r="137" spans="2:18" ht="12.75">
      <c r="B137" s="13"/>
      <c r="C137" s="25"/>
      <c r="D137" s="25"/>
      <c r="F137" s="38"/>
      <c r="G137" s="38"/>
      <c r="H137" s="38"/>
      <c r="I137" s="38"/>
      <c r="J137" s="38"/>
      <c r="K137" s="38"/>
      <c r="M137" s="17"/>
      <c r="N137" s="35"/>
      <c r="R137" s="17"/>
    </row>
    <row r="138" spans="2:18" ht="12.75">
      <c r="B138" s="13"/>
      <c r="C138" s="25"/>
      <c r="D138" s="25"/>
      <c r="F138" s="38"/>
      <c r="G138" s="38"/>
      <c r="H138" s="38"/>
      <c r="I138" s="38"/>
      <c r="J138" s="38"/>
      <c r="K138" s="38"/>
      <c r="M138" s="17"/>
      <c r="N138" s="35"/>
      <c r="R138" s="17"/>
    </row>
    <row r="139" spans="2:18" ht="12.75">
      <c r="B139" s="13"/>
      <c r="C139" s="25"/>
      <c r="D139" s="25"/>
      <c r="F139" s="38"/>
      <c r="G139" s="38"/>
      <c r="H139" s="38"/>
      <c r="I139" s="38"/>
      <c r="J139" s="38"/>
      <c r="K139" s="38"/>
      <c r="M139" s="17"/>
      <c r="N139" s="35"/>
      <c r="R139" s="17"/>
    </row>
    <row r="140" spans="2:18" ht="12.75">
      <c r="B140" s="13"/>
      <c r="C140" s="25"/>
      <c r="D140" s="25"/>
      <c r="F140" s="38"/>
      <c r="G140" s="38"/>
      <c r="H140" s="38"/>
      <c r="I140" s="38"/>
      <c r="J140" s="38"/>
      <c r="K140" s="38"/>
      <c r="M140" s="17"/>
      <c r="N140" s="35"/>
      <c r="R140" s="17"/>
    </row>
    <row r="141" spans="2:18" ht="12.75">
      <c r="B141" s="13"/>
      <c r="C141" s="25"/>
      <c r="D141" s="25"/>
      <c r="F141" s="38"/>
      <c r="G141" s="38"/>
      <c r="H141" s="38"/>
      <c r="I141" s="38"/>
      <c r="J141" s="38"/>
      <c r="K141" s="38"/>
      <c r="M141" s="17"/>
      <c r="N141" s="35"/>
      <c r="R141" s="17"/>
    </row>
    <row r="142" spans="2:18" ht="12.75">
      <c r="B142" s="13"/>
      <c r="C142" s="25"/>
      <c r="D142" s="25"/>
      <c r="F142" s="38"/>
      <c r="G142" s="38"/>
      <c r="H142" s="38"/>
      <c r="I142" s="38"/>
      <c r="J142" s="38"/>
      <c r="K142" s="38"/>
      <c r="M142" s="17"/>
      <c r="N142" s="35"/>
      <c r="R142" s="17"/>
    </row>
    <row r="143" spans="2:18" ht="12.75">
      <c r="B143" s="13"/>
      <c r="C143" s="13"/>
      <c r="D143" s="13"/>
      <c r="F143" s="38"/>
      <c r="G143" s="38"/>
      <c r="H143" s="38"/>
      <c r="I143" s="38"/>
      <c r="J143" s="38"/>
      <c r="K143" s="38"/>
      <c r="M143" s="17"/>
      <c r="N143" s="35"/>
      <c r="R143" s="17"/>
    </row>
    <row r="144" spans="2:18" ht="12.75">
      <c r="B144" s="13"/>
      <c r="C144" s="25"/>
      <c r="D144" s="25"/>
      <c r="F144" s="38"/>
      <c r="G144" s="38"/>
      <c r="H144" s="38"/>
      <c r="I144" s="38"/>
      <c r="J144" s="38"/>
      <c r="K144" s="38"/>
      <c r="M144" s="17"/>
      <c r="N144" s="35"/>
      <c r="R144" s="17"/>
    </row>
    <row r="145" spans="2:18" ht="12.75">
      <c r="B145" s="13"/>
      <c r="C145" s="25"/>
      <c r="D145" s="25"/>
      <c r="F145" s="38"/>
      <c r="G145" s="38"/>
      <c r="H145" s="38"/>
      <c r="I145" s="38"/>
      <c r="J145" s="38"/>
      <c r="K145" s="38"/>
      <c r="M145" s="17"/>
      <c r="N145" s="35"/>
      <c r="R145" s="17"/>
    </row>
    <row r="146" spans="2:18" ht="12.75">
      <c r="B146" s="13"/>
      <c r="C146" s="25"/>
      <c r="D146" s="25"/>
      <c r="F146" s="38"/>
      <c r="G146" s="38"/>
      <c r="H146" s="38"/>
      <c r="I146" s="38"/>
      <c r="J146" s="38"/>
      <c r="K146" s="38"/>
      <c r="M146" s="17"/>
      <c r="N146" s="35"/>
      <c r="R146" s="17"/>
    </row>
    <row r="147" spans="2:18" ht="12.75">
      <c r="B147" s="13"/>
      <c r="C147" s="25"/>
      <c r="D147" s="25"/>
      <c r="F147" s="38"/>
      <c r="G147" s="38"/>
      <c r="H147" s="38"/>
      <c r="I147" s="38"/>
      <c r="J147" s="38"/>
      <c r="K147" s="38"/>
      <c r="M147" s="17"/>
      <c r="N147" s="35"/>
      <c r="R147" s="17"/>
    </row>
    <row r="148" spans="2:18" ht="12.75">
      <c r="B148" s="13"/>
      <c r="C148" s="25"/>
      <c r="D148" s="25"/>
      <c r="F148" s="38"/>
      <c r="G148" s="38"/>
      <c r="H148" s="38"/>
      <c r="I148" s="38"/>
      <c r="J148" s="38"/>
      <c r="K148" s="38"/>
      <c r="M148" s="17"/>
      <c r="N148" s="35"/>
      <c r="R148" s="17"/>
    </row>
    <row r="149" spans="2:18" ht="12.75">
      <c r="B149" s="13"/>
      <c r="C149" s="25"/>
      <c r="D149" s="25"/>
      <c r="F149" s="38"/>
      <c r="G149" s="38"/>
      <c r="H149" s="38"/>
      <c r="I149" s="38"/>
      <c r="J149" s="38"/>
      <c r="K149" s="38"/>
      <c r="M149" s="17"/>
      <c r="N149" s="35"/>
      <c r="R149" s="17"/>
    </row>
    <row r="150" spans="2:18" ht="12.75">
      <c r="B150" s="13"/>
      <c r="C150" s="25"/>
      <c r="D150" s="25"/>
      <c r="F150" s="38"/>
      <c r="G150" s="38"/>
      <c r="H150" s="38"/>
      <c r="I150" s="38"/>
      <c r="J150" s="38"/>
      <c r="K150" s="38"/>
      <c r="M150" s="17"/>
      <c r="N150" s="35"/>
      <c r="R150" s="17"/>
    </row>
    <row r="151" spans="2:18" ht="12.75">
      <c r="B151" s="13"/>
      <c r="C151" s="25"/>
      <c r="D151" s="25"/>
      <c r="F151" s="38"/>
      <c r="G151" s="38"/>
      <c r="H151" s="38"/>
      <c r="I151" s="38"/>
      <c r="J151" s="38"/>
      <c r="K151" s="38"/>
      <c r="M151" s="17"/>
      <c r="N151" s="35"/>
      <c r="R151" s="17"/>
    </row>
    <row r="152" spans="2:18" ht="12.75">
      <c r="B152" s="13"/>
      <c r="C152" s="25"/>
      <c r="D152" s="25"/>
      <c r="F152" s="38"/>
      <c r="G152" s="38"/>
      <c r="H152" s="38"/>
      <c r="I152" s="38"/>
      <c r="J152" s="38"/>
      <c r="K152" s="38"/>
      <c r="M152" s="17"/>
      <c r="N152" s="35"/>
      <c r="R152" s="17"/>
    </row>
    <row r="153" spans="2:18" ht="12.75">
      <c r="B153" s="13"/>
      <c r="C153" s="25"/>
      <c r="D153" s="25"/>
      <c r="F153" s="38"/>
      <c r="G153" s="38"/>
      <c r="H153" s="38"/>
      <c r="I153" s="38"/>
      <c r="J153" s="38"/>
      <c r="K153" s="38"/>
      <c r="M153" s="17"/>
      <c r="N153" s="35"/>
      <c r="R153" s="17"/>
    </row>
    <row r="154" spans="2:18" ht="12.75">
      <c r="B154" s="13"/>
      <c r="C154" s="25"/>
      <c r="D154" s="25"/>
      <c r="F154" s="38"/>
      <c r="G154" s="38"/>
      <c r="H154" s="38"/>
      <c r="I154" s="38"/>
      <c r="J154" s="38"/>
      <c r="K154" s="38"/>
      <c r="M154" s="17"/>
      <c r="N154" s="35"/>
      <c r="R154" s="17"/>
    </row>
    <row r="155" spans="2:18" ht="12.75">
      <c r="B155" s="13"/>
      <c r="C155" s="25"/>
      <c r="D155" s="25"/>
      <c r="F155" s="38"/>
      <c r="G155" s="38"/>
      <c r="H155" s="38"/>
      <c r="I155" s="38"/>
      <c r="J155" s="38"/>
      <c r="K155" s="38"/>
      <c r="M155" s="17"/>
      <c r="N155" s="35"/>
      <c r="R155" s="17"/>
    </row>
    <row r="156" spans="2:18" ht="12.75">
      <c r="B156" s="13"/>
      <c r="C156" s="25"/>
      <c r="D156" s="25"/>
      <c r="F156" s="38"/>
      <c r="G156" s="38"/>
      <c r="H156" s="38"/>
      <c r="I156" s="38"/>
      <c r="J156" s="38"/>
      <c r="K156" s="38"/>
      <c r="M156" s="17"/>
      <c r="N156" s="35"/>
      <c r="R156" s="17"/>
    </row>
    <row r="157" spans="2:18" ht="12.75">
      <c r="B157" s="13"/>
      <c r="C157" s="25"/>
      <c r="D157" s="25"/>
      <c r="F157" s="38"/>
      <c r="G157" s="38"/>
      <c r="H157" s="38"/>
      <c r="I157" s="38"/>
      <c r="J157" s="38"/>
      <c r="K157" s="38"/>
      <c r="M157" s="17"/>
      <c r="N157" s="35"/>
      <c r="R157" s="17"/>
    </row>
    <row r="158" spans="2:18" ht="12.75">
      <c r="B158" s="13"/>
      <c r="C158" s="25"/>
      <c r="D158" s="25"/>
      <c r="F158" s="38"/>
      <c r="G158" s="38"/>
      <c r="H158" s="38"/>
      <c r="I158" s="38"/>
      <c r="J158" s="38"/>
      <c r="K158" s="38"/>
      <c r="M158" s="17"/>
      <c r="N158" s="35"/>
      <c r="R158" s="17"/>
    </row>
    <row r="159" spans="2:18" ht="12.75">
      <c r="B159" s="13"/>
      <c r="C159" s="25"/>
      <c r="D159" s="25"/>
      <c r="F159" s="38"/>
      <c r="G159" s="38"/>
      <c r="H159" s="38"/>
      <c r="I159" s="38"/>
      <c r="J159" s="38"/>
      <c r="K159" s="38"/>
      <c r="M159" s="17"/>
      <c r="N159" s="35"/>
      <c r="R159" s="17"/>
    </row>
    <row r="160" spans="2:18" ht="12.75">
      <c r="B160" s="13"/>
      <c r="C160" s="25"/>
      <c r="D160" s="25"/>
      <c r="F160" s="38"/>
      <c r="G160" s="38"/>
      <c r="H160" s="38"/>
      <c r="I160" s="38"/>
      <c r="J160" s="38"/>
      <c r="K160" s="38"/>
      <c r="M160" s="17"/>
      <c r="N160" s="35"/>
      <c r="R160" s="17"/>
    </row>
    <row r="161" spans="2:18" ht="12.75">
      <c r="B161" s="13"/>
      <c r="C161" s="25"/>
      <c r="D161" s="25"/>
      <c r="F161" s="38"/>
      <c r="G161" s="38"/>
      <c r="H161" s="38"/>
      <c r="I161" s="38"/>
      <c r="J161" s="38"/>
      <c r="K161" s="38"/>
      <c r="M161" s="17"/>
      <c r="N161" s="35"/>
      <c r="R161" s="17"/>
    </row>
    <row r="162" spans="2:18" ht="12.75">
      <c r="B162" s="13"/>
      <c r="C162" s="25"/>
      <c r="D162" s="25"/>
      <c r="F162" s="38"/>
      <c r="G162" s="38"/>
      <c r="H162" s="38"/>
      <c r="I162" s="38"/>
      <c r="J162" s="38"/>
      <c r="K162" s="38"/>
      <c r="M162" s="17"/>
      <c r="N162" s="35"/>
      <c r="R162" s="17"/>
    </row>
    <row r="163" spans="2:18" ht="12.75">
      <c r="B163" s="13"/>
      <c r="C163" s="25"/>
      <c r="D163" s="25"/>
      <c r="F163" s="38"/>
      <c r="G163" s="38"/>
      <c r="H163" s="38"/>
      <c r="I163" s="38"/>
      <c r="J163" s="38"/>
      <c r="K163" s="38"/>
      <c r="M163" s="17"/>
      <c r="N163" s="35"/>
      <c r="R163" s="17"/>
    </row>
    <row r="164" spans="2:18" ht="12.75">
      <c r="B164" s="13"/>
      <c r="C164" s="25"/>
      <c r="D164" s="25"/>
      <c r="F164" s="38"/>
      <c r="G164" s="38"/>
      <c r="H164" s="38"/>
      <c r="I164" s="38"/>
      <c r="J164" s="38"/>
      <c r="K164" s="38"/>
      <c r="M164" s="17"/>
      <c r="N164" s="35"/>
      <c r="R164" s="17"/>
    </row>
    <row r="165" spans="2:18" ht="12.75">
      <c r="B165" s="13"/>
      <c r="C165" s="25"/>
      <c r="D165" s="25"/>
      <c r="F165" s="38"/>
      <c r="G165" s="38"/>
      <c r="H165" s="38"/>
      <c r="I165" s="38"/>
      <c r="J165" s="38"/>
      <c r="K165" s="38"/>
      <c r="M165" s="17"/>
      <c r="N165" s="35"/>
      <c r="R165" s="17"/>
    </row>
    <row r="166" spans="2:18" ht="12.75">
      <c r="B166" s="13"/>
      <c r="C166" s="25"/>
      <c r="D166" s="25"/>
      <c r="F166" s="38"/>
      <c r="G166" s="38"/>
      <c r="H166" s="38"/>
      <c r="I166" s="38"/>
      <c r="J166" s="38"/>
      <c r="K166" s="38"/>
      <c r="M166" s="17"/>
      <c r="N166" s="35"/>
      <c r="R166" s="17"/>
    </row>
    <row r="167" spans="2:18" ht="12.75">
      <c r="B167" s="13"/>
      <c r="C167" s="25"/>
      <c r="D167" s="25"/>
      <c r="F167" s="38"/>
      <c r="G167" s="38"/>
      <c r="H167" s="38"/>
      <c r="I167" s="38"/>
      <c r="J167" s="38"/>
      <c r="K167" s="38"/>
      <c r="M167" s="17"/>
      <c r="N167" s="35"/>
      <c r="R167" s="17"/>
    </row>
    <row r="168" spans="2:18" ht="12.75">
      <c r="B168" s="13"/>
      <c r="C168" s="25"/>
      <c r="D168" s="25"/>
      <c r="F168" s="38"/>
      <c r="G168" s="38"/>
      <c r="H168" s="38"/>
      <c r="I168" s="38"/>
      <c r="J168" s="38"/>
      <c r="K168" s="38"/>
      <c r="M168" s="17"/>
      <c r="N168" s="35"/>
      <c r="R168" s="17"/>
    </row>
    <row r="169" spans="2:18" ht="12.75">
      <c r="B169" s="13"/>
      <c r="C169" s="25"/>
      <c r="D169" s="25"/>
      <c r="F169" s="38"/>
      <c r="G169" s="38"/>
      <c r="H169" s="38"/>
      <c r="I169" s="38"/>
      <c r="J169" s="38"/>
      <c r="K169" s="38"/>
      <c r="M169" s="17"/>
      <c r="N169" s="35"/>
      <c r="R169" s="17"/>
    </row>
    <row r="170" spans="2:18" ht="12.75">
      <c r="B170" s="13"/>
      <c r="C170" s="25"/>
      <c r="D170" s="25"/>
      <c r="F170" s="38"/>
      <c r="G170" s="38"/>
      <c r="H170" s="38"/>
      <c r="I170" s="38"/>
      <c r="J170" s="38"/>
      <c r="K170" s="38"/>
      <c r="M170" s="17"/>
      <c r="N170" s="35"/>
      <c r="R170" s="17"/>
    </row>
    <row r="171" spans="2:18" ht="12.75">
      <c r="B171" s="13"/>
      <c r="C171" s="25"/>
      <c r="D171" s="25"/>
      <c r="F171" s="38"/>
      <c r="G171" s="38"/>
      <c r="H171" s="38"/>
      <c r="I171" s="38"/>
      <c r="J171" s="38"/>
      <c r="K171" s="38"/>
      <c r="M171" s="17"/>
      <c r="N171" s="35"/>
      <c r="R171" s="17"/>
    </row>
    <row r="172" spans="2:18" ht="12.75">
      <c r="B172" s="13"/>
      <c r="C172" s="25"/>
      <c r="D172" s="25"/>
      <c r="F172" s="38"/>
      <c r="G172" s="38"/>
      <c r="H172" s="38"/>
      <c r="I172" s="38"/>
      <c r="J172" s="38"/>
      <c r="K172" s="38"/>
      <c r="M172" s="17"/>
      <c r="N172" s="35"/>
      <c r="R172" s="17"/>
    </row>
    <row r="173" spans="2:18" ht="12.75">
      <c r="B173" s="13"/>
      <c r="C173" s="25"/>
      <c r="D173" s="25"/>
      <c r="F173" s="38"/>
      <c r="G173" s="38"/>
      <c r="H173" s="38"/>
      <c r="I173" s="38"/>
      <c r="J173" s="38"/>
      <c r="K173" s="38"/>
      <c r="M173" s="17"/>
      <c r="N173" s="35"/>
      <c r="R173" s="17"/>
    </row>
    <row r="174" spans="2:18" ht="12.75">
      <c r="B174" s="13"/>
      <c r="C174" s="25"/>
      <c r="D174" s="25"/>
      <c r="F174" s="38"/>
      <c r="G174" s="38"/>
      <c r="H174" s="38"/>
      <c r="I174" s="38"/>
      <c r="J174" s="38"/>
      <c r="K174" s="38"/>
      <c r="M174" s="17"/>
      <c r="N174" s="35"/>
      <c r="R174" s="17"/>
    </row>
    <row r="175" spans="2:18" ht="12.75">
      <c r="B175" s="13"/>
      <c r="C175" s="25"/>
      <c r="D175" s="25"/>
      <c r="F175" s="38"/>
      <c r="G175" s="38"/>
      <c r="H175" s="38"/>
      <c r="I175" s="38"/>
      <c r="J175" s="38"/>
      <c r="K175" s="38"/>
      <c r="M175" s="17"/>
      <c r="N175" s="35"/>
      <c r="R175" s="17"/>
    </row>
    <row r="176" spans="2:18" ht="12.75">
      <c r="B176" s="13"/>
      <c r="C176" s="25"/>
      <c r="D176" s="25"/>
      <c r="F176" s="38"/>
      <c r="G176" s="38"/>
      <c r="H176" s="38"/>
      <c r="I176" s="38"/>
      <c r="J176" s="38"/>
      <c r="K176" s="38"/>
      <c r="M176" s="17"/>
      <c r="N176" s="35"/>
      <c r="R176" s="17"/>
    </row>
    <row r="177" spans="2:18" ht="12.75">
      <c r="B177" s="13"/>
      <c r="C177" s="25"/>
      <c r="D177" s="25"/>
      <c r="F177" s="38"/>
      <c r="G177" s="38"/>
      <c r="H177" s="38"/>
      <c r="I177" s="38"/>
      <c r="J177" s="38"/>
      <c r="K177" s="38"/>
      <c r="M177" s="17"/>
      <c r="N177" s="35"/>
      <c r="R177" s="17"/>
    </row>
    <row r="178" spans="2:18" ht="12.75">
      <c r="B178" s="13"/>
      <c r="C178" s="25"/>
      <c r="D178" s="25"/>
      <c r="F178" s="38"/>
      <c r="G178" s="38"/>
      <c r="H178" s="38"/>
      <c r="I178" s="38"/>
      <c r="J178" s="38"/>
      <c r="K178" s="38"/>
      <c r="M178" s="17"/>
      <c r="N178" s="35"/>
      <c r="R178" s="17"/>
    </row>
    <row r="179" spans="2:18" ht="12.75">
      <c r="B179" s="13"/>
      <c r="C179" s="25"/>
      <c r="D179" s="25"/>
      <c r="F179" s="38"/>
      <c r="G179" s="38"/>
      <c r="H179" s="38"/>
      <c r="I179" s="38"/>
      <c r="J179" s="38"/>
      <c r="K179" s="38"/>
      <c r="M179" s="17"/>
      <c r="N179" s="35"/>
      <c r="R179" s="17"/>
    </row>
    <row r="180" spans="2:18" ht="12.75">
      <c r="B180" s="13"/>
      <c r="C180" s="25"/>
      <c r="D180" s="25"/>
      <c r="F180" s="38"/>
      <c r="G180" s="38"/>
      <c r="H180" s="38"/>
      <c r="I180" s="38"/>
      <c r="J180" s="38"/>
      <c r="K180" s="38"/>
      <c r="M180" s="17"/>
      <c r="N180" s="35"/>
      <c r="R180" s="17"/>
    </row>
    <row r="181" spans="2:18" ht="12.75">
      <c r="B181" s="13"/>
      <c r="C181" s="25"/>
      <c r="D181" s="25"/>
      <c r="F181" s="38"/>
      <c r="G181" s="38"/>
      <c r="H181" s="38"/>
      <c r="I181" s="38"/>
      <c r="J181" s="38"/>
      <c r="K181" s="38"/>
      <c r="M181" s="17"/>
      <c r="N181" s="35"/>
      <c r="R181" s="17"/>
    </row>
    <row r="182" spans="2:18" ht="12.75">
      <c r="B182" s="13"/>
      <c r="C182" s="25"/>
      <c r="D182" s="25"/>
      <c r="F182" s="38"/>
      <c r="G182" s="38"/>
      <c r="H182" s="38"/>
      <c r="I182" s="38"/>
      <c r="J182" s="38"/>
      <c r="K182" s="38"/>
      <c r="M182" s="17"/>
      <c r="N182" s="35"/>
      <c r="R182" s="17"/>
    </row>
    <row r="183" spans="2:18" ht="12.75">
      <c r="B183" s="13"/>
      <c r="C183" s="25"/>
      <c r="D183" s="25"/>
      <c r="F183" s="38"/>
      <c r="G183" s="38"/>
      <c r="H183" s="38"/>
      <c r="I183" s="38"/>
      <c r="J183" s="38"/>
      <c r="K183" s="38"/>
      <c r="M183" s="17"/>
      <c r="N183" s="35"/>
      <c r="R183" s="17"/>
    </row>
    <row r="184" spans="2:18" ht="12.75">
      <c r="B184" s="13"/>
      <c r="C184" s="25"/>
      <c r="D184" s="25"/>
      <c r="F184" s="38"/>
      <c r="G184" s="38"/>
      <c r="H184" s="38"/>
      <c r="I184" s="38"/>
      <c r="J184" s="38"/>
      <c r="K184" s="38"/>
      <c r="M184" s="17"/>
      <c r="N184" s="35"/>
      <c r="R184" s="17"/>
    </row>
    <row r="185" spans="2:18" ht="12.75">
      <c r="B185" s="13"/>
      <c r="C185" s="25"/>
      <c r="D185" s="25"/>
      <c r="F185" s="38"/>
      <c r="G185" s="38"/>
      <c r="H185" s="38"/>
      <c r="I185" s="38"/>
      <c r="J185" s="38"/>
      <c r="K185" s="38"/>
      <c r="M185" s="17"/>
      <c r="N185" s="35"/>
      <c r="R185" s="17"/>
    </row>
    <row r="186" spans="2:18" ht="12.75">
      <c r="B186" s="13"/>
      <c r="C186" s="25"/>
      <c r="D186" s="25"/>
      <c r="F186" s="38"/>
      <c r="G186" s="38"/>
      <c r="H186" s="38"/>
      <c r="I186" s="38"/>
      <c r="J186" s="38"/>
      <c r="K186" s="38"/>
      <c r="M186" s="17"/>
      <c r="N186" s="35"/>
      <c r="R186" s="17"/>
    </row>
    <row r="187" spans="2:18" ht="12.75">
      <c r="B187" s="13"/>
      <c r="C187" s="25"/>
      <c r="D187" s="25"/>
      <c r="F187" s="38"/>
      <c r="G187" s="38"/>
      <c r="H187" s="38"/>
      <c r="I187" s="38"/>
      <c r="J187" s="38"/>
      <c r="K187" s="38"/>
      <c r="M187" s="17"/>
      <c r="N187" s="35"/>
      <c r="R187" s="17"/>
    </row>
    <row r="188" spans="2:18" ht="12.75">
      <c r="B188" s="13"/>
      <c r="C188" s="25"/>
      <c r="D188" s="25"/>
      <c r="F188" s="38"/>
      <c r="G188" s="38"/>
      <c r="H188" s="38"/>
      <c r="I188" s="38"/>
      <c r="J188" s="38"/>
      <c r="K188" s="38"/>
      <c r="M188" s="17"/>
      <c r="N188" s="35"/>
      <c r="R188" s="17"/>
    </row>
    <row r="189" spans="2:18" ht="12.75">
      <c r="B189" s="13"/>
      <c r="C189" s="25"/>
      <c r="D189" s="25"/>
      <c r="F189" s="38"/>
      <c r="G189" s="38"/>
      <c r="H189" s="38"/>
      <c r="I189" s="38"/>
      <c r="J189" s="38"/>
      <c r="K189" s="38"/>
      <c r="M189" s="17"/>
      <c r="N189" s="35"/>
      <c r="R189" s="17"/>
    </row>
    <row r="190" spans="2:18" ht="12.75">
      <c r="B190" s="13"/>
      <c r="C190" s="25"/>
      <c r="D190" s="25"/>
      <c r="F190" s="38"/>
      <c r="G190" s="38"/>
      <c r="H190" s="38"/>
      <c r="I190" s="38"/>
      <c r="J190" s="38"/>
      <c r="K190" s="38"/>
      <c r="M190" s="17"/>
      <c r="N190" s="35"/>
      <c r="R190" s="17"/>
    </row>
    <row r="191" spans="2:18" ht="12.75">
      <c r="B191" s="13"/>
      <c r="C191" s="25"/>
      <c r="D191" s="25"/>
      <c r="F191" s="38"/>
      <c r="G191" s="38"/>
      <c r="H191" s="38"/>
      <c r="I191" s="38"/>
      <c r="J191" s="38"/>
      <c r="K191" s="38"/>
      <c r="M191" s="17"/>
      <c r="N191" s="35"/>
      <c r="R191" s="17"/>
    </row>
    <row r="192" spans="2:18" ht="12.75">
      <c r="B192" s="13"/>
      <c r="C192" s="25"/>
      <c r="D192" s="25"/>
      <c r="F192" s="38"/>
      <c r="G192" s="38"/>
      <c r="H192" s="38"/>
      <c r="I192" s="38"/>
      <c r="J192" s="38"/>
      <c r="K192" s="38"/>
      <c r="M192" s="17"/>
      <c r="N192" s="35"/>
      <c r="R192" s="17"/>
    </row>
    <row r="193" spans="2:18" ht="12.75">
      <c r="B193" s="13"/>
      <c r="C193" s="25"/>
      <c r="D193" s="25"/>
      <c r="F193" s="38"/>
      <c r="G193" s="38"/>
      <c r="H193" s="38"/>
      <c r="I193" s="38"/>
      <c r="J193" s="38"/>
      <c r="K193" s="38"/>
      <c r="M193" s="17"/>
      <c r="N193" s="35"/>
      <c r="R193" s="17"/>
    </row>
    <row r="194" spans="2:18" ht="12.75">
      <c r="B194" s="13"/>
      <c r="C194" s="25"/>
      <c r="D194" s="25"/>
      <c r="F194" s="38"/>
      <c r="G194" s="38"/>
      <c r="H194" s="38"/>
      <c r="I194" s="38"/>
      <c r="J194" s="38"/>
      <c r="K194" s="38"/>
      <c r="M194" s="17"/>
      <c r="N194" s="35"/>
      <c r="R194" s="17"/>
    </row>
    <row r="195" spans="2:18" ht="12.75">
      <c r="B195" s="13"/>
      <c r="C195" s="13"/>
      <c r="D195" s="13"/>
      <c r="F195" s="38"/>
      <c r="G195" s="38"/>
      <c r="H195" s="38"/>
      <c r="I195" s="38"/>
      <c r="J195" s="38"/>
      <c r="K195" s="38"/>
      <c r="M195" s="17"/>
      <c r="N195" s="35"/>
      <c r="R195" s="17"/>
    </row>
    <row r="196" spans="2:18" ht="12.75">
      <c r="B196" s="13"/>
      <c r="C196" s="25"/>
      <c r="D196" s="25"/>
      <c r="F196" s="38"/>
      <c r="G196" s="38"/>
      <c r="H196" s="38"/>
      <c r="I196" s="38"/>
      <c r="J196" s="38"/>
      <c r="K196" s="38"/>
      <c r="M196" s="17"/>
      <c r="N196" s="35"/>
      <c r="R196" s="17"/>
    </row>
    <row r="197" spans="2:18" ht="12.75">
      <c r="B197" s="13"/>
      <c r="C197" s="25"/>
      <c r="D197" s="25"/>
      <c r="F197" s="38"/>
      <c r="G197" s="38"/>
      <c r="H197" s="38"/>
      <c r="I197" s="38"/>
      <c r="J197" s="38"/>
      <c r="K197" s="38"/>
      <c r="M197" s="17"/>
      <c r="N197" s="35"/>
      <c r="R197" s="17"/>
    </row>
    <row r="198" spans="2:18" ht="12.75">
      <c r="B198" s="13"/>
      <c r="C198" s="25"/>
      <c r="D198" s="25"/>
      <c r="F198" s="38"/>
      <c r="G198" s="38"/>
      <c r="H198" s="38"/>
      <c r="I198" s="38"/>
      <c r="J198" s="38"/>
      <c r="K198" s="38"/>
      <c r="M198" s="17"/>
      <c r="N198" s="35"/>
      <c r="R198" s="17"/>
    </row>
    <row r="199" spans="2:18" ht="12.75">
      <c r="B199" s="13"/>
      <c r="C199" s="25"/>
      <c r="D199" s="25"/>
      <c r="F199" s="38"/>
      <c r="G199" s="38"/>
      <c r="H199" s="38"/>
      <c r="I199" s="38"/>
      <c r="J199" s="38"/>
      <c r="K199" s="38"/>
      <c r="M199" s="17"/>
      <c r="N199" s="35"/>
      <c r="R199" s="17"/>
    </row>
    <row r="200" spans="2:18" ht="12.75">
      <c r="B200" s="13"/>
      <c r="C200" s="25"/>
      <c r="D200" s="25"/>
      <c r="F200" s="38"/>
      <c r="G200" s="38"/>
      <c r="H200" s="38"/>
      <c r="I200" s="38"/>
      <c r="J200" s="38"/>
      <c r="K200" s="38"/>
      <c r="M200" s="17"/>
      <c r="N200" s="35"/>
      <c r="R200" s="17"/>
    </row>
    <row r="201" spans="2:18" ht="12.75">
      <c r="B201" s="13"/>
      <c r="C201" s="25"/>
      <c r="D201" s="25"/>
      <c r="F201" s="38"/>
      <c r="G201" s="38"/>
      <c r="H201" s="38"/>
      <c r="I201" s="38"/>
      <c r="J201" s="38"/>
      <c r="K201" s="38"/>
      <c r="M201" s="17"/>
      <c r="N201" s="35"/>
      <c r="R201" s="17"/>
    </row>
    <row r="202" spans="2:18" ht="12.75">
      <c r="B202" s="13"/>
      <c r="C202" s="25"/>
      <c r="D202" s="25"/>
      <c r="F202" s="38"/>
      <c r="G202" s="38"/>
      <c r="H202" s="38"/>
      <c r="I202" s="38"/>
      <c r="J202" s="38"/>
      <c r="K202" s="38"/>
      <c r="M202" s="17"/>
      <c r="N202" s="35"/>
      <c r="R202" s="17"/>
    </row>
    <row r="203" spans="2:18" ht="12.75">
      <c r="B203" s="13"/>
      <c r="C203" s="25"/>
      <c r="D203" s="25"/>
      <c r="F203" s="38"/>
      <c r="G203" s="38"/>
      <c r="H203" s="38"/>
      <c r="I203" s="38"/>
      <c r="J203" s="38"/>
      <c r="K203" s="38"/>
      <c r="M203" s="17"/>
      <c r="N203" s="35"/>
      <c r="R203" s="17"/>
    </row>
    <row r="204" spans="2:18" ht="12.75">
      <c r="B204" s="13"/>
      <c r="C204" s="25"/>
      <c r="D204" s="25"/>
      <c r="F204" s="38"/>
      <c r="G204" s="38"/>
      <c r="H204" s="38"/>
      <c r="I204" s="38"/>
      <c r="J204" s="38"/>
      <c r="K204" s="38"/>
      <c r="M204" s="17"/>
      <c r="N204" s="35"/>
      <c r="R204" s="17"/>
    </row>
    <row r="205" spans="2:18" ht="12.75">
      <c r="B205" s="13"/>
      <c r="C205" s="25"/>
      <c r="D205" s="25"/>
      <c r="F205" s="38"/>
      <c r="G205" s="38"/>
      <c r="H205" s="38"/>
      <c r="I205" s="38"/>
      <c r="J205" s="38"/>
      <c r="K205" s="38"/>
      <c r="M205" s="17"/>
      <c r="N205" s="35"/>
      <c r="R205" s="17"/>
    </row>
    <row r="206" spans="2:18" ht="12.75">
      <c r="B206" s="13"/>
      <c r="C206" s="25"/>
      <c r="D206" s="25"/>
      <c r="F206" s="38"/>
      <c r="G206" s="38"/>
      <c r="H206" s="38"/>
      <c r="I206" s="38"/>
      <c r="J206" s="38"/>
      <c r="K206" s="38"/>
      <c r="M206" s="17"/>
      <c r="N206" s="35"/>
      <c r="R206" s="17"/>
    </row>
    <row r="207" spans="2:18" ht="12.75">
      <c r="B207" s="13"/>
      <c r="C207" s="25"/>
      <c r="D207" s="25"/>
      <c r="F207" s="38"/>
      <c r="G207" s="38"/>
      <c r="H207" s="38"/>
      <c r="I207" s="38"/>
      <c r="J207" s="38"/>
      <c r="K207" s="38"/>
      <c r="M207" s="17"/>
      <c r="N207" s="35"/>
      <c r="R207" s="17"/>
    </row>
    <row r="208" spans="2:18" ht="12.75">
      <c r="B208" s="13"/>
      <c r="C208" s="25"/>
      <c r="D208" s="25"/>
      <c r="F208" s="38"/>
      <c r="G208" s="38"/>
      <c r="H208" s="38"/>
      <c r="I208" s="38"/>
      <c r="J208" s="38"/>
      <c r="K208" s="38"/>
      <c r="M208" s="17"/>
      <c r="N208" s="35"/>
      <c r="R208" s="17"/>
    </row>
    <row r="209" spans="2:18" ht="12.75">
      <c r="B209" s="13"/>
      <c r="C209" s="25"/>
      <c r="D209" s="25"/>
      <c r="F209" s="38"/>
      <c r="G209" s="38"/>
      <c r="H209" s="38"/>
      <c r="I209" s="38"/>
      <c r="J209" s="38"/>
      <c r="K209" s="38"/>
      <c r="M209" s="17"/>
      <c r="N209" s="35"/>
      <c r="R209" s="17"/>
    </row>
    <row r="210" spans="2:18" ht="12.75">
      <c r="B210" s="13"/>
      <c r="C210" s="25"/>
      <c r="D210" s="25"/>
      <c r="F210" s="38"/>
      <c r="G210" s="38"/>
      <c r="H210" s="38"/>
      <c r="I210" s="38"/>
      <c r="J210" s="38"/>
      <c r="K210" s="38"/>
      <c r="M210" s="17"/>
      <c r="N210" s="35"/>
      <c r="R210" s="17"/>
    </row>
    <row r="211" spans="2:18" ht="12.75">
      <c r="B211" s="13"/>
      <c r="C211" s="25"/>
      <c r="D211" s="25"/>
      <c r="F211" s="38"/>
      <c r="G211" s="38"/>
      <c r="H211" s="38"/>
      <c r="I211" s="38"/>
      <c r="J211" s="38"/>
      <c r="K211" s="38"/>
      <c r="M211" s="17"/>
      <c r="N211" s="35"/>
      <c r="R211" s="17"/>
    </row>
    <row r="212" spans="2:18" ht="12.75">
      <c r="B212" s="13"/>
      <c r="C212" s="25"/>
      <c r="D212" s="25"/>
      <c r="F212" s="38"/>
      <c r="G212" s="38"/>
      <c r="H212" s="38"/>
      <c r="I212" s="38"/>
      <c r="J212" s="38"/>
      <c r="K212" s="38"/>
      <c r="M212" s="17"/>
      <c r="N212" s="35"/>
      <c r="R212" s="17"/>
    </row>
    <row r="213" spans="2:18" ht="12.75">
      <c r="B213" s="13"/>
      <c r="C213" s="25"/>
      <c r="D213" s="25"/>
      <c r="F213" s="38"/>
      <c r="G213" s="38"/>
      <c r="H213" s="38"/>
      <c r="I213" s="38"/>
      <c r="J213" s="38"/>
      <c r="K213" s="38"/>
      <c r="M213" s="17"/>
      <c r="N213" s="35"/>
      <c r="R213" s="17"/>
    </row>
    <row r="214" spans="2:18" ht="12.75">
      <c r="B214" s="13"/>
      <c r="C214" s="25"/>
      <c r="D214" s="25"/>
      <c r="F214" s="38"/>
      <c r="G214" s="38"/>
      <c r="H214" s="38"/>
      <c r="I214" s="38"/>
      <c r="J214" s="38"/>
      <c r="K214" s="38"/>
      <c r="M214" s="17"/>
      <c r="N214" s="35"/>
      <c r="R214" s="17"/>
    </row>
    <row r="215" spans="2:18" ht="12.75">
      <c r="B215" s="13"/>
      <c r="C215" s="25"/>
      <c r="D215" s="25"/>
      <c r="F215" s="38"/>
      <c r="G215" s="38"/>
      <c r="H215" s="38"/>
      <c r="I215" s="38"/>
      <c r="J215" s="38"/>
      <c r="K215" s="38"/>
      <c r="M215" s="17"/>
      <c r="N215" s="35"/>
      <c r="R215" s="17"/>
    </row>
    <row r="216" spans="2:18" ht="12.75">
      <c r="B216" s="13"/>
      <c r="C216" s="25"/>
      <c r="D216" s="25"/>
      <c r="F216" s="38"/>
      <c r="G216" s="38"/>
      <c r="H216" s="38"/>
      <c r="I216" s="38"/>
      <c r="J216" s="38"/>
      <c r="K216" s="38"/>
      <c r="M216" s="17"/>
      <c r="N216" s="35"/>
      <c r="R216" s="17"/>
    </row>
    <row r="217" spans="2:18" ht="12.75">
      <c r="B217" s="13"/>
      <c r="C217" s="25"/>
      <c r="D217" s="25"/>
      <c r="F217" s="38"/>
      <c r="G217" s="38"/>
      <c r="H217" s="38"/>
      <c r="I217" s="38"/>
      <c r="J217" s="38"/>
      <c r="K217" s="38"/>
      <c r="M217" s="17"/>
      <c r="N217" s="35"/>
      <c r="R217" s="17"/>
    </row>
    <row r="218" spans="2:18" ht="12.75">
      <c r="B218" s="13"/>
      <c r="C218" s="25"/>
      <c r="D218" s="25"/>
      <c r="F218" s="38"/>
      <c r="G218" s="38"/>
      <c r="H218" s="38"/>
      <c r="I218" s="38"/>
      <c r="J218" s="38"/>
      <c r="K218" s="38"/>
      <c r="M218" s="17"/>
      <c r="N218" s="35"/>
      <c r="R218" s="17"/>
    </row>
    <row r="219" spans="2:18" ht="12.75">
      <c r="B219" s="13"/>
      <c r="C219" s="25"/>
      <c r="D219" s="25"/>
      <c r="F219" s="38"/>
      <c r="G219" s="38"/>
      <c r="H219" s="38"/>
      <c r="I219" s="38"/>
      <c r="J219" s="38"/>
      <c r="K219" s="38"/>
      <c r="M219" s="17"/>
      <c r="N219" s="35"/>
      <c r="R219" s="17"/>
    </row>
    <row r="220" spans="2:18" ht="12.75">
      <c r="B220" s="13"/>
      <c r="C220" s="25"/>
      <c r="D220" s="25"/>
      <c r="F220" s="38"/>
      <c r="G220" s="38"/>
      <c r="H220" s="38"/>
      <c r="I220" s="38"/>
      <c r="J220" s="38"/>
      <c r="K220" s="38"/>
      <c r="M220" s="17"/>
      <c r="N220" s="35"/>
      <c r="R220" s="17"/>
    </row>
    <row r="221" spans="2:18" ht="12.75">
      <c r="B221" s="13"/>
      <c r="C221" s="25"/>
      <c r="D221" s="25"/>
      <c r="F221" s="38"/>
      <c r="G221" s="38"/>
      <c r="H221" s="38"/>
      <c r="I221" s="38"/>
      <c r="J221" s="38"/>
      <c r="K221" s="38"/>
      <c r="M221" s="17"/>
      <c r="N221" s="35"/>
      <c r="R221" s="17"/>
    </row>
    <row r="222" spans="2:18" ht="12.75">
      <c r="B222" s="13"/>
      <c r="C222" s="25"/>
      <c r="D222" s="25"/>
      <c r="F222" s="38"/>
      <c r="G222" s="38"/>
      <c r="H222" s="38"/>
      <c r="I222" s="38"/>
      <c r="J222" s="38"/>
      <c r="K222" s="38"/>
      <c r="M222" s="17"/>
      <c r="N222" s="35"/>
      <c r="R222" s="17"/>
    </row>
    <row r="223" spans="2:18" ht="12.75">
      <c r="B223" s="13"/>
      <c r="C223" s="25"/>
      <c r="D223" s="25"/>
      <c r="F223" s="38"/>
      <c r="G223" s="38"/>
      <c r="H223" s="38"/>
      <c r="I223" s="38"/>
      <c r="J223" s="38"/>
      <c r="K223" s="38"/>
      <c r="M223" s="17"/>
      <c r="N223" s="35"/>
      <c r="R223" s="17"/>
    </row>
    <row r="224" spans="2:18" ht="12.75">
      <c r="B224" s="13"/>
      <c r="C224" s="25"/>
      <c r="D224" s="25"/>
      <c r="F224" s="38"/>
      <c r="G224" s="38"/>
      <c r="H224" s="38"/>
      <c r="I224" s="38"/>
      <c r="J224" s="38"/>
      <c r="K224" s="38"/>
      <c r="M224" s="17"/>
      <c r="N224" s="35"/>
      <c r="R224" s="17"/>
    </row>
    <row r="225" spans="1:29" ht="12.75">
      <c r="B225" s="13"/>
      <c r="C225" s="25"/>
      <c r="D225" s="25"/>
      <c r="F225" s="38"/>
      <c r="G225" s="38"/>
      <c r="H225" s="38"/>
      <c r="I225" s="38"/>
      <c r="J225" s="38"/>
      <c r="K225" s="38"/>
      <c r="M225" s="17"/>
      <c r="N225" s="35"/>
      <c r="R225" s="17"/>
    </row>
    <row r="226" spans="1:29" ht="12.75">
      <c r="B226" s="13"/>
      <c r="C226" s="25"/>
      <c r="D226" s="25"/>
      <c r="F226" s="38"/>
      <c r="G226" s="38"/>
      <c r="H226" s="38"/>
      <c r="I226" s="38"/>
      <c r="J226" s="38"/>
      <c r="K226" s="38"/>
      <c r="M226" s="17"/>
      <c r="N226" s="35"/>
      <c r="R226" s="17"/>
    </row>
    <row r="227" spans="1:29" ht="12.75">
      <c r="B227" s="13"/>
      <c r="C227" s="25"/>
      <c r="D227" s="25"/>
      <c r="F227" s="38"/>
      <c r="G227" s="38"/>
      <c r="H227" s="38"/>
      <c r="I227" s="38"/>
      <c r="J227" s="38"/>
      <c r="K227" s="38"/>
      <c r="M227" s="17"/>
      <c r="N227" s="35"/>
      <c r="R227" s="17"/>
    </row>
    <row r="228" spans="1:29" ht="12.75">
      <c r="F228" s="38"/>
      <c r="G228" s="38"/>
      <c r="H228" s="38"/>
      <c r="I228" s="38"/>
      <c r="J228" s="38"/>
      <c r="K228" s="38"/>
      <c r="M228" s="17"/>
      <c r="N228" s="35"/>
      <c r="R228" s="17"/>
    </row>
    <row r="229" spans="1:29" ht="13.15">
      <c r="A229" s="30"/>
      <c r="B229" s="31"/>
      <c r="C229" s="30"/>
      <c r="D229" s="30"/>
      <c r="E229" s="30"/>
      <c r="F229" s="39"/>
      <c r="G229" s="39"/>
      <c r="H229" s="38"/>
      <c r="I229" s="38"/>
      <c r="J229" s="38"/>
      <c r="K229" s="38"/>
      <c r="L229" s="30"/>
      <c r="M229" s="33"/>
      <c r="N229" s="40"/>
      <c r="O229" s="30"/>
      <c r="P229" s="30"/>
      <c r="Q229" s="30"/>
      <c r="R229" s="33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</row>
    <row r="230" spans="1:29" ht="12.75">
      <c r="F230" s="38"/>
      <c r="G230" s="38"/>
      <c r="M230" s="17"/>
      <c r="N230" s="35"/>
      <c r="R230" s="17"/>
    </row>
    <row r="231" spans="1:29" ht="12.75">
      <c r="F231" s="38"/>
      <c r="G231" s="38"/>
      <c r="M231" s="17"/>
      <c r="N231" s="35"/>
      <c r="R231" s="17"/>
    </row>
    <row r="232" spans="1:29" ht="12.75">
      <c r="F232" s="38"/>
      <c r="G232" s="38"/>
      <c r="M232" s="17"/>
      <c r="N232" s="35"/>
      <c r="R232" s="17"/>
    </row>
    <row r="233" spans="1:29" ht="12.75">
      <c r="F233" s="38"/>
      <c r="G233" s="38"/>
      <c r="M233" s="17"/>
      <c r="N233" s="35"/>
      <c r="R233" s="17"/>
    </row>
    <row r="234" spans="1:29" ht="12.75">
      <c r="M234" s="17"/>
      <c r="N234" s="35"/>
      <c r="R234" s="17"/>
    </row>
    <row r="235" spans="1:29" ht="12.75">
      <c r="M235" s="17"/>
      <c r="N235" s="35"/>
      <c r="R235" s="17"/>
    </row>
    <row r="236" spans="1:29" ht="12.75">
      <c r="M236" s="17"/>
      <c r="N236" s="35"/>
      <c r="R236" s="17"/>
    </row>
    <row r="237" spans="1:29" ht="12.75">
      <c r="M237" s="17"/>
      <c r="N237" s="35"/>
      <c r="R237" s="17"/>
    </row>
    <row r="238" spans="1:29" ht="12.75">
      <c r="M238" s="17"/>
      <c r="N238" s="35"/>
      <c r="R238" s="17"/>
    </row>
    <row r="239" spans="1:29" ht="12.75">
      <c r="M239" s="17"/>
      <c r="N239" s="35"/>
      <c r="R239" s="17"/>
    </row>
    <row r="240" spans="1:29" ht="12.75">
      <c r="M240" s="17"/>
      <c r="N240" s="35"/>
      <c r="R240" s="17"/>
    </row>
    <row r="241" spans="13:18" ht="12.75">
      <c r="M241" s="17"/>
      <c r="N241" s="35"/>
      <c r="R241" s="17"/>
    </row>
    <row r="242" spans="13:18" ht="12.75">
      <c r="M242" s="17"/>
      <c r="N242" s="35"/>
      <c r="R242" s="17"/>
    </row>
    <row r="243" spans="13:18" ht="12.75">
      <c r="M243" s="17"/>
      <c r="N243" s="35"/>
      <c r="R243" s="17"/>
    </row>
    <row r="244" spans="13:18" ht="12.75">
      <c r="M244" s="17"/>
      <c r="N244" s="35"/>
      <c r="R244" s="17"/>
    </row>
    <row r="245" spans="13:18" ht="12.75">
      <c r="M245" s="17"/>
      <c r="N245" s="35"/>
      <c r="R245" s="17"/>
    </row>
    <row r="246" spans="13:18" ht="12.75">
      <c r="M246" s="17"/>
      <c r="N246" s="35"/>
      <c r="R246" s="17"/>
    </row>
    <row r="247" spans="13:18" ht="12.75">
      <c r="M247" s="17"/>
      <c r="N247" s="35"/>
      <c r="R247" s="17"/>
    </row>
    <row r="248" spans="13:18" ht="12.75">
      <c r="M248" s="17"/>
      <c r="N248" s="35"/>
      <c r="R248" s="17"/>
    </row>
    <row r="249" spans="13:18" ht="12.75">
      <c r="M249" s="17"/>
      <c r="N249" s="35"/>
      <c r="R249" s="17"/>
    </row>
    <row r="250" spans="13:18" ht="12.75">
      <c r="M250" s="17"/>
      <c r="N250" s="35"/>
      <c r="R250" s="17"/>
    </row>
    <row r="251" spans="13:18" ht="12.75">
      <c r="M251" s="17"/>
      <c r="N251" s="35"/>
      <c r="R251" s="17"/>
    </row>
    <row r="252" spans="13:18" ht="12.75">
      <c r="M252" s="17"/>
      <c r="N252" s="35"/>
      <c r="R252" s="17"/>
    </row>
    <row r="253" spans="13:18" ht="12.75">
      <c r="M253" s="17"/>
      <c r="N253" s="35"/>
      <c r="R253" s="17"/>
    </row>
    <row r="254" spans="13:18" ht="12.75">
      <c r="M254" s="17"/>
      <c r="N254" s="35"/>
      <c r="R254" s="17"/>
    </row>
    <row r="255" spans="13:18" ht="12.75">
      <c r="M255" s="17"/>
      <c r="N255" s="35"/>
      <c r="R255" s="17"/>
    </row>
    <row r="256" spans="13:18" ht="12.75">
      <c r="M256" s="17"/>
      <c r="N256" s="35"/>
      <c r="R256" s="17"/>
    </row>
    <row r="257" spans="13:18" ht="12.75">
      <c r="M257" s="17"/>
      <c r="N257" s="35"/>
      <c r="R257" s="17"/>
    </row>
    <row r="258" spans="13:18" ht="12.75">
      <c r="M258" s="17"/>
      <c r="N258" s="35"/>
      <c r="R258" s="17"/>
    </row>
    <row r="259" spans="13:18" ht="12.75">
      <c r="M259" s="17"/>
      <c r="N259" s="35"/>
      <c r="R259" s="17"/>
    </row>
    <row r="260" spans="13:18" ht="12.75">
      <c r="M260" s="17"/>
      <c r="N260" s="35"/>
      <c r="R260" s="17"/>
    </row>
    <row r="261" spans="13:18" ht="12.75">
      <c r="M261" s="17"/>
      <c r="N261" s="35"/>
      <c r="R261" s="17"/>
    </row>
    <row r="262" spans="13:18" ht="12.75">
      <c r="M262" s="17"/>
      <c r="N262" s="35"/>
      <c r="R262" s="17"/>
    </row>
    <row r="263" spans="13:18" ht="12.75">
      <c r="M263" s="17"/>
      <c r="N263" s="35"/>
      <c r="R263" s="17"/>
    </row>
    <row r="264" spans="13:18" ht="12.75">
      <c r="M264" s="17"/>
      <c r="N264" s="35"/>
      <c r="R264" s="17"/>
    </row>
    <row r="265" spans="13:18" ht="12.75">
      <c r="M265" s="17"/>
      <c r="N265" s="35"/>
      <c r="R265" s="17"/>
    </row>
    <row r="266" spans="13:18" ht="12.75">
      <c r="M266" s="17"/>
      <c r="N266" s="35"/>
      <c r="R266" s="17"/>
    </row>
    <row r="267" spans="13:18" ht="12.75">
      <c r="M267" s="17"/>
      <c r="N267" s="35"/>
      <c r="R267" s="17"/>
    </row>
    <row r="268" spans="13:18" ht="12.75">
      <c r="M268" s="17"/>
      <c r="N268" s="35"/>
      <c r="R268" s="17"/>
    </row>
    <row r="269" spans="13:18" ht="12.75">
      <c r="M269" s="17"/>
      <c r="N269" s="35"/>
      <c r="R269" s="17"/>
    </row>
    <row r="270" spans="13:18" ht="12.75">
      <c r="M270" s="17"/>
      <c r="N270" s="35"/>
      <c r="R270" s="17"/>
    </row>
    <row r="271" spans="13:18" ht="12.75">
      <c r="M271" s="17"/>
      <c r="N271" s="35"/>
      <c r="R271" s="17"/>
    </row>
    <row r="272" spans="13:18" ht="12.75">
      <c r="M272" s="17"/>
      <c r="N272" s="35"/>
      <c r="R272" s="17"/>
    </row>
    <row r="273" spans="13:18" ht="12.75">
      <c r="M273" s="17"/>
      <c r="N273" s="35"/>
      <c r="R273" s="17"/>
    </row>
    <row r="274" spans="13:18" ht="12.75">
      <c r="M274" s="17"/>
      <c r="N274" s="35"/>
      <c r="R274" s="17"/>
    </row>
    <row r="275" spans="13:18" ht="12.75">
      <c r="M275" s="17"/>
      <c r="N275" s="35"/>
      <c r="R275" s="17"/>
    </row>
    <row r="276" spans="13:18" ht="12.75">
      <c r="M276" s="17"/>
      <c r="N276" s="35"/>
      <c r="R276" s="17"/>
    </row>
    <row r="277" spans="13:18" ht="12.75">
      <c r="M277" s="17"/>
      <c r="N277" s="35"/>
      <c r="R277" s="17"/>
    </row>
    <row r="278" spans="13:18" ht="12.75">
      <c r="M278" s="17"/>
      <c r="N278" s="35"/>
      <c r="R278" s="17"/>
    </row>
    <row r="279" spans="13:18" ht="12.75">
      <c r="M279" s="17"/>
      <c r="N279" s="35"/>
      <c r="R279" s="17"/>
    </row>
    <row r="280" spans="13:18" ht="12.75">
      <c r="M280" s="17"/>
      <c r="N280" s="35"/>
      <c r="R280" s="17"/>
    </row>
    <row r="281" spans="13:18" ht="12.75">
      <c r="M281" s="17"/>
      <c r="N281" s="35"/>
      <c r="R281" s="17"/>
    </row>
    <row r="282" spans="13:18" ht="12.75">
      <c r="M282" s="17"/>
      <c r="N282" s="35"/>
      <c r="R282" s="17"/>
    </row>
    <row r="283" spans="13:18" ht="12.75">
      <c r="M283" s="17"/>
      <c r="N283" s="35"/>
      <c r="R283" s="17"/>
    </row>
    <row r="284" spans="13:18" ht="12.75">
      <c r="M284" s="17"/>
      <c r="N284" s="35"/>
      <c r="R284" s="17"/>
    </row>
    <row r="285" spans="13:18" ht="12.75">
      <c r="M285" s="17"/>
      <c r="N285" s="35"/>
      <c r="R285" s="17"/>
    </row>
    <row r="286" spans="13:18" ht="12.75">
      <c r="M286" s="17"/>
      <c r="N286" s="35"/>
      <c r="R286" s="17"/>
    </row>
    <row r="287" spans="13:18" ht="12.75">
      <c r="M287" s="17"/>
      <c r="N287" s="35"/>
      <c r="R287" s="17"/>
    </row>
    <row r="288" spans="13:18" ht="12.75">
      <c r="M288" s="17"/>
      <c r="N288" s="35"/>
      <c r="R288" s="17"/>
    </row>
    <row r="289" spans="13:18" ht="12.75">
      <c r="M289" s="17"/>
      <c r="N289" s="35"/>
      <c r="R289" s="17"/>
    </row>
    <row r="290" spans="13:18" ht="12.75">
      <c r="M290" s="17"/>
      <c r="N290" s="35"/>
      <c r="R290" s="17"/>
    </row>
    <row r="291" spans="13:18" ht="12.75">
      <c r="M291" s="17"/>
      <c r="N291" s="35"/>
      <c r="R291" s="17"/>
    </row>
    <row r="292" spans="13:18" ht="12.75">
      <c r="M292" s="17"/>
      <c r="N292" s="35"/>
      <c r="R292" s="17"/>
    </row>
    <row r="293" spans="13:18" ht="12.75">
      <c r="M293" s="17"/>
      <c r="N293" s="35"/>
      <c r="R293" s="17"/>
    </row>
    <row r="294" spans="13:18" ht="12.75">
      <c r="M294" s="17"/>
      <c r="N294" s="35"/>
      <c r="R294" s="17"/>
    </row>
    <row r="295" spans="13:18" ht="12.75">
      <c r="M295" s="17"/>
      <c r="N295" s="35"/>
      <c r="R295" s="17"/>
    </row>
    <row r="296" spans="13:18" ht="12.75">
      <c r="M296" s="17"/>
      <c r="N296" s="35"/>
      <c r="R296" s="17"/>
    </row>
    <row r="297" spans="13:18" ht="12.75">
      <c r="M297" s="17"/>
      <c r="N297" s="35"/>
      <c r="R297" s="17"/>
    </row>
    <row r="298" spans="13:18" ht="12.75">
      <c r="M298" s="17"/>
      <c r="N298" s="35"/>
      <c r="R298" s="17"/>
    </row>
    <row r="299" spans="13:18" ht="12.75">
      <c r="M299" s="17"/>
      <c r="N299" s="35"/>
      <c r="R299" s="17"/>
    </row>
    <row r="300" spans="13:18" ht="12.75">
      <c r="M300" s="17"/>
      <c r="N300" s="35"/>
      <c r="R300" s="17"/>
    </row>
    <row r="301" spans="13:18" ht="12.75">
      <c r="M301" s="17"/>
      <c r="N301" s="35"/>
      <c r="R301" s="17"/>
    </row>
    <row r="302" spans="13:18" ht="12.75">
      <c r="M302" s="17"/>
      <c r="N302" s="35"/>
      <c r="R302" s="17"/>
    </row>
    <row r="303" spans="13:18" ht="12.75">
      <c r="M303" s="17"/>
      <c r="N303" s="35"/>
      <c r="R303" s="17"/>
    </row>
    <row r="304" spans="13:18" ht="12.75">
      <c r="M304" s="17"/>
      <c r="N304" s="35"/>
      <c r="R304" s="17"/>
    </row>
    <row r="305" spans="13:18" ht="12.75">
      <c r="M305" s="17"/>
      <c r="N305" s="35"/>
      <c r="R305" s="17"/>
    </row>
    <row r="306" spans="13:18" ht="12.75">
      <c r="M306" s="17"/>
      <c r="N306" s="35"/>
      <c r="R306" s="17"/>
    </row>
    <row r="307" spans="13:18" ht="12.75">
      <c r="M307" s="17"/>
      <c r="N307" s="35"/>
      <c r="R307" s="17"/>
    </row>
    <row r="308" spans="13:18" ht="12.75">
      <c r="M308" s="17"/>
      <c r="N308" s="35"/>
      <c r="R308" s="17"/>
    </row>
    <row r="309" spans="13:18" ht="12.75">
      <c r="M309" s="17"/>
      <c r="N309" s="35"/>
      <c r="R309" s="17"/>
    </row>
    <row r="310" spans="13:18" ht="12.75">
      <c r="M310" s="17"/>
      <c r="N310" s="35"/>
      <c r="R310" s="17"/>
    </row>
    <row r="311" spans="13:18" ht="12.75">
      <c r="M311" s="17"/>
      <c r="N311" s="35"/>
      <c r="R311" s="17"/>
    </row>
    <row r="312" spans="13:18" ht="12.75">
      <c r="M312" s="17"/>
      <c r="N312" s="35"/>
      <c r="R312" s="17"/>
    </row>
    <row r="313" spans="13:18" ht="12.75">
      <c r="M313" s="17"/>
      <c r="N313" s="35"/>
      <c r="R313" s="17"/>
    </row>
    <row r="314" spans="13:18" ht="12.75">
      <c r="M314" s="17"/>
      <c r="N314" s="35"/>
      <c r="R314" s="17"/>
    </row>
    <row r="315" spans="13:18" ht="12.75">
      <c r="M315" s="17"/>
      <c r="N315" s="35"/>
      <c r="R315" s="17"/>
    </row>
    <row r="316" spans="13:18" ht="12.75">
      <c r="M316" s="17"/>
      <c r="N316" s="35"/>
      <c r="R316" s="17"/>
    </row>
    <row r="317" spans="13:18" ht="12.75">
      <c r="M317" s="17"/>
      <c r="N317" s="35"/>
      <c r="R317" s="17"/>
    </row>
    <row r="318" spans="13:18" ht="12.75">
      <c r="M318" s="17"/>
      <c r="N318" s="35"/>
      <c r="R318" s="17"/>
    </row>
    <row r="319" spans="13:18" ht="12.75">
      <c r="M319" s="17"/>
      <c r="N319" s="35"/>
      <c r="R319" s="17"/>
    </row>
    <row r="320" spans="13:18" ht="12.75">
      <c r="M320" s="17"/>
      <c r="N320" s="35"/>
      <c r="R320" s="17"/>
    </row>
    <row r="321" spans="13:18" ht="12.75">
      <c r="M321" s="17"/>
      <c r="N321" s="35"/>
      <c r="R321" s="17"/>
    </row>
    <row r="322" spans="13:18" ht="12.75">
      <c r="M322" s="17"/>
      <c r="N322" s="35"/>
      <c r="R322" s="17"/>
    </row>
    <row r="323" spans="13:18" ht="12.75">
      <c r="M323" s="17"/>
      <c r="N323" s="35"/>
      <c r="R323" s="17"/>
    </row>
    <row r="324" spans="13:18" ht="12.75">
      <c r="M324" s="17"/>
      <c r="N324" s="35"/>
      <c r="R324" s="17"/>
    </row>
    <row r="325" spans="13:18" ht="12.75">
      <c r="M325" s="17"/>
      <c r="N325" s="35"/>
      <c r="R325" s="17"/>
    </row>
    <row r="326" spans="13:18" ht="12.75">
      <c r="M326" s="17"/>
      <c r="N326" s="35"/>
      <c r="R326" s="17"/>
    </row>
    <row r="327" spans="13:18" ht="12.75">
      <c r="M327" s="17"/>
      <c r="N327" s="35"/>
      <c r="R327" s="17"/>
    </row>
    <row r="328" spans="13:18" ht="12.75">
      <c r="M328" s="17"/>
      <c r="N328" s="35"/>
      <c r="R328" s="17"/>
    </row>
    <row r="329" spans="13:18" ht="12.75">
      <c r="M329" s="17"/>
      <c r="N329" s="35"/>
      <c r="R329" s="17"/>
    </row>
    <row r="330" spans="13:18" ht="12.75">
      <c r="M330" s="17"/>
      <c r="N330" s="35"/>
      <c r="R330" s="17"/>
    </row>
    <row r="331" spans="13:18" ht="12.75">
      <c r="M331" s="17"/>
      <c r="N331" s="35"/>
      <c r="R331" s="17"/>
    </row>
    <row r="332" spans="13:18" ht="12.75">
      <c r="M332" s="17"/>
      <c r="N332" s="35"/>
      <c r="R332" s="17"/>
    </row>
    <row r="333" spans="13:18" ht="12.75">
      <c r="M333" s="17"/>
      <c r="N333" s="35"/>
      <c r="R333" s="17"/>
    </row>
    <row r="334" spans="13:18" ht="12.75">
      <c r="M334" s="17"/>
      <c r="N334" s="35"/>
      <c r="R334" s="17"/>
    </row>
    <row r="335" spans="13:18" ht="12.75">
      <c r="M335" s="17"/>
      <c r="N335" s="35"/>
      <c r="R335" s="17"/>
    </row>
    <row r="336" spans="13:18" ht="12.75">
      <c r="M336" s="17"/>
      <c r="N336" s="35"/>
      <c r="R336" s="17"/>
    </row>
    <row r="337" spans="13:18" ht="12.75">
      <c r="M337" s="17"/>
      <c r="N337" s="35"/>
      <c r="R337" s="17"/>
    </row>
    <row r="338" spans="13:18" ht="12.75">
      <c r="M338" s="17"/>
      <c r="N338" s="35"/>
      <c r="R338" s="17"/>
    </row>
    <row r="339" spans="13:18" ht="12.75">
      <c r="M339" s="17"/>
      <c r="N339" s="35"/>
      <c r="R339" s="17"/>
    </row>
    <row r="340" spans="13:18" ht="12.75">
      <c r="M340" s="17"/>
      <c r="N340" s="35"/>
      <c r="R340" s="17"/>
    </row>
    <row r="341" spans="13:18" ht="12.75">
      <c r="M341" s="17"/>
      <c r="N341" s="35"/>
      <c r="R341" s="17"/>
    </row>
    <row r="342" spans="13:18" ht="12.75">
      <c r="M342" s="17"/>
      <c r="N342" s="35"/>
      <c r="R342" s="17"/>
    </row>
    <row r="343" spans="13:18" ht="12.75">
      <c r="M343" s="17"/>
      <c r="N343" s="35"/>
      <c r="R343" s="17"/>
    </row>
    <row r="344" spans="13:18" ht="12.75">
      <c r="M344" s="17"/>
      <c r="N344" s="35"/>
      <c r="R344" s="17"/>
    </row>
    <row r="345" spans="13:18" ht="12.75">
      <c r="M345" s="17"/>
      <c r="N345" s="35"/>
      <c r="R345" s="17"/>
    </row>
    <row r="346" spans="13:18" ht="12.75">
      <c r="M346" s="17"/>
      <c r="N346" s="35"/>
      <c r="R346" s="17"/>
    </row>
    <row r="347" spans="13:18" ht="12.75">
      <c r="M347" s="17"/>
      <c r="N347" s="35"/>
      <c r="R347" s="17"/>
    </row>
    <row r="348" spans="13:18" ht="12.75">
      <c r="M348" s="17"/>
      <c r="N348" s="35"/>
      <c r="R348" s="17"/>
    </row>
    <row r="349" spans="13:18" ht="12.75">
      <c r="M349" s="17"/>
      <c r="N349" s="35"/>
      <c r="R349" s="17"/>
    </row>
    <row r="350" spans="13:18" ht="12.75">
      <c r="M350" s="17"/>
      <c r="N350" s="35"/>
      <c r="R350" s="17"/>
    </row>
    <row r="351" spans="13:18" ht="12.75">
      <c r="M351" s="17"/>
      <c r="N351" s="35"/>
      <c r="R351" s="17"/>
    </row>
    <row r="352" spans="13:18" ht="12.75">
      <c r="M352" s="17"/>
      <c r="N352" s="35"/>
      <c r="R352" s="17"/>
    </row>
    <row r="353" spans="13:18" ht="12.75">
      <c r="M353" s="17"/>
      <c r="N353" s="35"/>
      <c r="R353" s="17"/>
    </row>
    <row r="354" spans="13:18" ht="12.75">
      <c r="M354" s="17"/>
      <c r="N354" s="35"/>
      <c r="R354" s="17"/>
    </row>
    <row r="355" spans="13:18" ht="12.75">
      <c r="M355" s="17"/>
      <c r="N355" s="35"/>
      <c r="R355" s="17"/>
    </row>
    <row r="356" spans="13:18" ht="12.75">
      <c r="M356" s="17"/>
      <c r="N356" s="35"/>
      <c r="R356" s="17"/>
    </row>
    <row r="357" spans="13:18" ht="12.75">
      <c r="M357" s="17"/>
      <c r="N357" s="35"/>
      <c r="R357" s="17"/>
    </row>
    <row r="358" spans="13:18" ht="12.75">
      <c r="M358" s="17"/>
      <c r="N358" s="35"/>
      <c r="R358" s="17"/>
    </row>
    <row r="359" spans="13:18" ht="12.75">
      <c r="M359" s="17"/>
      <c r="N359" s="35"/>
      <c r="R359" s="17"/>
    </row>
    <row r="360" spans="13:18" ht="12.75">
      <c r="M360" s="17"/>
      <c r="N360" s="35"/>
      <c r="R360" s="17"/>
    </row>
    <row r="361" spans="13:18" ht="12.75">
      <c r="M361" s="17"/>
      <c r="N361" s="35"/>
      <c r="R361" s="17"/>
    </row>
    <row r="362" spans="13:18" ht="12.75">
      <c r="M362" s="17"/>
      <c r="N362" s="35"/>
      <c r="R362" s="17"/>
    </row>
    <row r="363" spans="13:18" ht="12.75">
      <c r="M363" s="17"/>
      <c r="N363" s="35"/>
      <c r="R363" s="17"/>
    </row>
    <row r="364" spans="13:18" ht="12.75">
      <c r="M364" s="17"/>
      <c r="N364" s="35"/>
      <c r="R364" s="17"/>
    </row>
    <row r="365" spans="13:18" ht="12.75">
      <c r="M365" s="17"/>
      <c r="N365" s="35"/>
      <c r="R365" s="17"/>
    </row>
    <row r="366" spans="13:18" ht="12.75">
      <c r="M366" s="17"/>
      <c r="N366" s="35"/>
      <c r="R366" s="17"/>
    </row>
    <row r="367" spans="13:18" ht="12.75">
      <c r="M367" s="17"/>
      <c r="N367" s="35"/>
      <c r="R367" s="17"/>
    </row>
    <row r="368" spans="13:18" ht="12.75">
      <c r="M368" s="17"/>
      <c r="N368" s="35"/>
      <c r="R368" s="17"/>
    </row>
    <row r="369" spans="13:18" ht="12.75">
      <c r="M369" s="17"/>
      <c r="N369" s="35"/>
      <c r="R369" s="17"/>
    </row>
    <row r="370" spans="13:18" ht="12.75">
      <c r="M370" s="17"/>
      <c r="N370" s="35"/>
      <c r="R370" s="17"/>
    </row>
    <row r="371" spans="13:18" ht="12.75">
      <c r="M371" s="17"/>
      <c r="N371" s="35"/>
      <c r="R371" s="17"/>
    </row>
    <row r="372" spans="13:18" ht="12.75">
      <c r="M372" s="17"/>
      <c r="N372" s="35"/>
      <c r="R372" s="17"/>
    </row>
    <row r="373" spans="13:18" ht="12.75">
      <c r="M373" s="17"/>
      <c r="N373" s="35"/>
      <c r="R373" s="17"/>
    </row>
    <row r="374" spans="13:18" ht="12.75">
      <c r="M374" s="17"/>
      <c r="N374" s="35"/>
      <c r="R374" s="17"/>
    </row>
    <row r="375" spans="13:18" ht="12.75">
      <c r="M375" s="17"/>
      <c r="N375" s="35"/>
      <c r="R375" s="17"/>
    </row>
    <row r="376" spans="13:18" ht="12.75">
      <c r="M376" s="17"/>
      <c r="N376" s="35"/>
      <c r="R376" s="17"/>
    </row>
    <row r="377" spans="13:18" ht="12.75">
      <c r="M377" s="17"/>
      <c r="N377" s="35"/>
      <c r="R377" s="17"/>
    </row>
    <row r="378" spans="13:18" ht="12.75">
      <c r="M378" s="17"/>
      <c r="N378" s="35"/>
      <c r="R378" s="17"/>
    </row>
    <row r="379" spans="13:18" ht="12.75">
      <c r="M379" s="17"/>
      <c r="N379" s="35"/>
      <c r="R379" s="17"/>
    </row>
    <row r="380" spans="13:18" ht="12.75">
      <c r="M380" s="17"/>
      <c r="N380" s="35"/>
      <c r="R380" s="17"/>
    </row>
    <row r="381" spans="13:18" ht="12.75">
      <c r="M381" s="17"/>
      <c r="N381" s="35"/>
      <c r="R381" s="17"/>
    </row>
    <row r="382" spans="13:18" ht="12.75">
      <c r="M382" s="17"/>
      <c r="N382" s="35"/>
      <c r="R382" s="17"/>
    </row>
    <row r="383" spans="13:18" ht="12.75">
      <c r="M383" s="17"/>
      <c r="N383" s="35"/>
      <c r="R383" s="17"/>
    </row>
    <row r="384" spans="13:18" ht="12.75">
      <c r="M384" s="17"/>
      <c r="N384" s="35"/>
      <c r="R384" s="17"/>
    </row>
    <row r="385" spans="13:18" ht="12.75">
      <c r="M385" s="17"/>
      <c r="N385" s="35"/>
      <c r="R385" s="17"/>
    </row>
    <row r="386" spans="13:18" ht="12.75">
      <c r="M386" s="17"/>
      <c r="N386" s="35"/>
      <c r="R386" s="17"/>
    </row>
    <row r="387" spans="13:18" ht="12.75">
      <c r="M387" s="17"/>
      <c r="N387" s="35"/>
      <c r="R387" s="17"/>
    </row>
    <row r="388" spans="13:18" ht="12.75">
      <c r="M388" s="17"/>
      <c r="N388" s="35"/>
      <c r="R388" s="17"/>
    </row>
    <row r="389" spans="13:18" ht="12.75">
      <c r="M389" s="17"/>
      <c r="N389" s="35"/>
      <c r="R389" s="17"/>
    </row>
    <row r="390" spans="13:18" ht="12.75">
      <c r="M390" s="17"/>
      <c r="N390" s="35"/>
      <c r="R390" s="17"/>
    </row>
    <row r="391" spans="13:18" ht="12.75">
      <c r="M391" s="17"/>
      <c r="N391" s="35"/>
      <c r="R391" s="17"/>
    </row>
    <row r="392" spans="13:18" ht="12.75">
      <c r="M392" s="17"/>
      <c r="N392" s="35"/>
      <c r="R392" s="17"/>
    </row>
    <row r="393" spans="13:18" ht="12.75">
      <c r="M393" s="17"/>
      <c r="N393" s="35"/>
      <c r="R393" s="17"/>
    </row>
    <row r="394" spans="13:18" ht="12.75">
      <c r="M394" s="17"/>
      <c r="N394" s="35"/>
      <c r="R394" s="17"/>
    </row>
    <row r="395" spans="13:18" ht="12.75">
      <c r="M395" s="17"/>
      <c r="N395" s="35"/>
      <c r="R395" s="17"/>
    </row>
    <row r="396" spans="13:18" ht="12.75">
      <c r="M396" s="17"/>
      <c r="N396" s="35"/>
      <c r="R396" s="17"/>
    </row>
    <row r="397" spans="13:18" ht="12.75">
      <c r="M397" s="17"/>
      <c r="N397" s="35"/>
      <c r="R397" s="17"/>
    </row>
    <row r="398" spans="13:18" ht="12.75">
      <c r="M398" s="17"/>
      <c r="N398" s="35"/>
      <c r="R398" s="17"/>
    </row>
    <row r="399" spans="13:18" ht="12.75">
      <c r="M399" s="17"/>
      <c r="N399" s="35"/>
      <c r="R399" s="17"/>
    </row>
    <row r="400" spans="13:18" ht="12.75">
      <c r="M400" s="17"/>
      <c r="N400" s="35"/>
      <c r="R400" s="17"/>
    </row>
    <row r="401" spans="13:18" ht="12.75">
      <c r="M401" s="17"/>
      <c r="N401" s="35"/>
      <c r="R401" s="17"/>
    </row>
    <row r="402" spans="13:18" ht="12.75">
      <c r="M402" s="17"/>
      <c r="N402" s="35"/>
      <c r="R402" s="17"/>
    </row>
    <row r="403" spans="13:18" ht="12.75">
      <c r="M403" s="17"/>
      <c r="N403" s="35"/>
      <c r="R403" s="17"/>
    </row>
    <row r="404" spans="13:18" ht="12.75">
      <c r="M404" s="17"/>
      <c r="N404" s="35"/>
      <c r="R404" s="17"/>
    </row>
    <row r="405" spans="13:18" ht="12.75">
      <c r="M405" s="17"/>
      <c r="N405" s="35"/>
      <c r="R405" s="17"/>
    </row>
    <row r="406" spans="13:18" ht="12.75">
      <c r="M406" s="17"/>
      <c r="N406" s="35"/>
      <c r="R406" s="17"/>
    </row>
    <row r="407" spans="13:18" ht="12.75">
      <c r="M407" s="17"/>
      <c r="N407" s="35"/>
      <c r="R407" s="17"/>
    </row>
    <row r="408" spans="13:18" ht="12.75">
      <c r="M408" s="17"/>
      <c r="N408" s="35"/>
      <c r="R408" s="17"/>
    </row>
    <row r="409" spans="13:18" ht="12.75">
      <c r="M409" s="17"/>
      <c r="N409" s="35"/>
      <c r="R409" s="17"/>
    </row>
    <row r="410" spans="13:18" ht="12.75">
      <c r="M410" s="17"/>
      <c r="N410" s="35"/>
      <c r="R410" s="17"/>
    </row>
    <row r="411" spans="13:18" ht="12.75">
      <c r="M411" s="17"/>
      <c r="N411" s="35"/>
      <c r="R411" s="17"/>
    </row>
    <row r="412" spans="13:18" ht="12.75">
      <c r="M412" s="17"/>
      <c r="N412" s="35"/>
      <c r="R412" s="17"/>
    </row>
    <row r="413" spans="13:18" ht="12.75">
      <c r="M413" s="17"/>
      <c r="N413" s="35"/>
      <c r="R413" s="17"/>
    </row>
    <row r="414" spans="13:18" ht="12.75">
      <c r="M414" s="17"/>
      <c r="N414" s="35"/>
      <c r="R414" s="17"/>
    </row>
    <row r="415" spans="13:18" ht="12.75">
      <c r="M415" s="17"/>
      <c r="N415" s="35"/>
      <c r="R415" s="17"/>
    </row>
    <row r="416" spans="13:18" ht="12.75">
      <c r="M416" s="17"/>
      <c r="N416" s="35"/>
      <c r="R416" s="17"/>
    </row>
    <row r="417" spans="13:18" ht="12.75">
      <c r="M417" s="17"/>
      <c r="N417" s="35"/>
      <c r="R417" s="17"/>
    </row>
    <row r="418" spans="13:18" ht="12.75">
      <c r="M418" s="17"/>
      <c r="N418" s="35"/>
      <c r="R418" s="17"/>
    </row>
    <row r="419" spans="13:18" ht="12.75">
      <c r="M419" s="17"/>
      <c r="N419" s="35"/>
      <c r="R419" s="17"/>
    </row>
    <row r="420" spans="13:18" ht="12.75">
      <c r="M420" s="17"/>
      <c r="N420" s="35"/>
      <c r="R420" s="17"/>
    </row>
    <row r="421" spans="13:18" ht="12.75">
      <c r="M421" s="17"/>
      <c r="N421" s="35"/>
      <c r="R421" s="17"/>
    </row>
    <row r="422" spans="13:18" ht="12.75">
      <c r="M422" s="17"/>
      <c r="N422" s="35"/>
      <c r="R422" s="17"/>
    </row>
    <row r="423" spans="13:18" ht="12.75">
      <c r="M423" s="17"/>
      <c r="N423" s="35"/>
      <c r="R423" s="17"/>
    </row>
    <row r="424" spans="13:18" ht="12.75">
      <c r="M424" s="17"/>
      <c r="N424" s="35"/>
      <c r="R424" s="17"/>
    </row>
    <row r="425" spans="13:18" ht="12.75">
      <c r="M425" s="17"/>
      <c r="N425" s="35"/>
      <c r="R425" s="17"/>
    </row>
    <row r="426" spans="13:18" ht="12.75">
      <c r="M426" s="17"/>
      <c r="N426" s="35"/>
      <c r="R426" s="17"/>
    </row>
    <row r="427" spans="13:18" ht="12.75">
      <c r="M427" s="17"/>
      <c r="N427" s="35"/>
      <c r="R427" s="17"/>
    </row>
    <row r="428" spans="13:18" ht="12.75">
      <c r="M428" s="17"/>
      <c r="N428" s="35"/>
      <c r="R428" s="17"/>
    </row>
    <row r="429" spans="13:18" ht="12.75">
      <c r="M429" s="17"/>
      <c r="N429" s="35"/>
      <c r="R429" s="17"/>
    </row>
    <row r="430" spans="13:18" ht="12.75">
      <c r="M430" s="17"/>
      <c r="N430" s="35"/>
      <c r="R430" s="17"/>
    </row>
    <row r="431" spans="13:18" ht="12.75">
      <c r="M431" s="17"/>
      <c r="N431" s="35"/>
      <c r="R431" s="17"/>
    </row>
    <row r="432" spans="13:18" ht="12.75">
      <c r="M432" s="17"/>
      <c r="N432" s="35"/>
      <c r="R432" s="17"/>
    </row>
    <row r="433" spans="13:18" ht="12.75">
      <c r="M433" s="17"/>
      <c r="N433" s="35"/>
      <c r="R433" s="17"/>
    </row>
    <row r="434" spans="13:18" ht="12.75">
      <c r="M434" s="17"/>
      <c r="N434" s="35"/>
      <c r="R434" s="17"/>
    </row>
    <row r="435" spans="13:18" ht="12.75">
      <c r="M435" s="17"/>
      <c r="N435" s="35"/>
      <c r="R435" s="17"/>
    </row>
    <row r="436" spans="13:18" ht="12.75">
      <c r="M436" s="17"/>
      <c r="N436" s="35"/>
      <c r="R436" s="17"/>
    </row>
    <row r="437" spans="13:18" ht="12.75">
      <c r="M437" s="17"/>
      <c r="N437" s="35"/>
      <c r="R437" s="17"/>
    </row>
    <row r="438" spans="13:18" ht="12.75">
      <c r="M438" s="17"/>
      <c r="N438" s="35"/>
      <c r="R438" s="17"/>
    </row>
    <row r="439" spans="13:18" ht="12.75">
      <c r="M439" s="17"/>
      <c r="N439" s="35"/>
      <c r="R439" s="17"/>
    </row>
    <row r="440" spans="13:18" ht="12.75">
      <c r="M440" s="17"/>
      <c r="N440" s="35"/>
      <c r="R440" s="17"/>
    </row>
    <row r="441" spans="13:18" ht="12.75">
      <c r="M441" s="17"/>
      <c r="N441" s="35"/>
      <c r="R441" s="17"/>
    </row>
    <row r="442" spans="13:18" ht="12.75">
      <c r="M442" s="17"/>
      <c r="N442" s="35"/>
      <c r="R442" s="17"/>
    </row>
    <row r="443" spans="13:18" ht="12.75">
      <c r="M443" s="17"/>
      <c r="N443" s="35"/>
      <c r="R443" s="17"/>
    </row>
    <row r="444" spans="13:18" ht="12.75">
      <c r="M444" s="17"/>
      <c r="N444" s="35"/>
      <c r="R444" s="17"/>
    </row>
    <row r="445" spans="13:18" ht="12.75">
      <c r="M445" s="17"/>
      <c r="N445" s="35"/>
      <c r="R445" s="17"/>
    </row>
    <row r="446" spans="13:18" ht="12.75">
      <c r="M446" s="17"/>
      <c r="N446" s="35"/>
      <c r="R446" s="17"/>
    </row>
    <row r="447" spans="13:18" ht="12.75">
      <c r="M447" s="17"/>
      <c r="N447" s="35"/>
      <c r="R447" s="17"/>
    </row>
    <row r="448" spans="13:18" ht="12.75">
      <c r="M448" s="17"/>
      <c r="N448" s="35"/>
      <c r="R448" s="17"/>
    </row>
    <row r="449" spans="13:18" ht="12.75">
      <c r="M449" s="17"/>
      <c r="N449" s="35"/>
      <c r="R449" s="17"/>
    </row>
    <row r="450" spans="13:18" ht="12.75">
      <c r="M450" s="17"/>
      <c r="N450" s="35"/>
      <c r="R450" s="17"/>
    </row>
    <row r="451" spans="13:18" ht="12.75">
      <c r="M451" s="17"/>
      <c r="N451" s="35"/>
      <c r="R451" s="17"/>
    </row>
    <row r="452" spans="13:18" ht="12.75">
      <c r="M452" s="17"/>
      <c r="N452" s="35"/>
      <c r="R452" s="17"/>
    </row>
    <row r="453" spans="13:18" ht="12.75">
      <c r="M453" s="17"/>
      <c r="N453" s="35"/>
      <c r="R453" s="17"/>
    </row>
    <row r="454" spans="13:18" ht="12.75">
      <c r="M454" s="17"/>
      <c r="N454" s="35"/>
      <c r="R454" s="17"/>
    </row>
    <row r="455" spans="13:18" ht="12.75">
      <c r="M455" s="17"/>
      <c r="N455" s="35"/>
      <c r="R455" s="17"/>
    </row>
    <row r="456" spans="13:18" ht="12.75">
      <c r="M456" s="17"/>
      <c r="N456" s="35"/>
      <c r="R456" s="17"/>
    </row>
    <row r="457" spans="13:18" ht="12.75">
      <c r="M457" s="17"/>
      <c r="N457" s="35"/>
      <c r="R457" s="17"/>
    </row>
    <row r="458" spans="13:18" ht="12.75">
      <c r="M458" s="17"/>
      <c r="N458" s="35"/>
      <c r="R458" s="17"/>
    </row>
    <row r="459" spans="13:18" ht="12.75">
      <c r="M459" s="17"/>
      <c r="N459" s="35"/>
      <c r="R459" s="17"/>
    </row>
    <row r="460" spans="13:18" ht="12.75">
      <c r="M460" s="17"/>
      <c r="N460" s="35"/>
      <c r="R460" s="17"/>
    </row>
    <row r="461" spans="13:18" ht="12.75">
      <c r="M461" s="17"/>
      <c r="N461" s="35"/>
      <c r="R461" s="17"/>
    </row>
    <row r="462" spans="13:18" ht="12.75">
      <c r="M462" s="17"/>
      <c r="N462" s="35"/>
      <c r="R462" s="17"/>
    </row>
    <row r="463" spans="13:18" ht="12.75">
      <c r="M463" s="17"/>
      <c r="N463" s="35"/>
      <c r="R463" s="17"/>
    </row>
    <row r="464" spans="13:18" ht="12.75">
      <c r="M464" s="17"/>
      <c r="N464" s="35"/>
      <c r="R464" s="17"/>
    </row>
    <row r="465" spans="13:18" ht="12.75">
      <c r="M465" s="17"/>
      <c r="N465" s="35"/>
      <c r="R465" s="17"/>
    </row>
    <row r="466" spans="13:18" ht="12.75">
      <c r="M466" s="17"/>
      <c r="N466" s="35"/>
      <c r="R466" s="17"/>
    </row>
    <row r="467" spans="13:18" ht="12.75">
      <c r="M467" s="17"/>
      <c r="N467" s="35"/>
      <c r="R467" s="17"/>
    </row>
    <row r="468" spans="13:18" ht="12.75">
      <c r="M468" s="17"/>
      <c r="N468" s="35"/>
      <c r="R468" s="17"/>
    </row>
    <row r="469" spans="13:18" ht="12.75">
      <c r="M469" s="17"/>
      <c r="N469" s="35"/>
      <c r="R469" s="17"/>
    </row>
    <row r="470" spans="13:18" ht="12.75">
      <c r="M470" s="17"/>
      <c r="N470" s="35"/>
      <c r="R470" s="17"/>
    </row>
    <row r="471" spans="13:18" ht="12.75">
      <c r="M471" s="17"/>
      <c r="N471" s="35"/>
      <c r="R471" s="17"/>
    </row>
    <row r="472" spans="13:18" ht="12.75">
      <c r="M472" s="17"/>
      <c r="N472" s="35"/>
      <c r="R472" s="17"/>
    </row>
    <row r="473" spans="13:18" ht="12.75">
      <c r="M473" s="17"/>
      <c r="N473" s="35"/>
      <c r="R473" s="17"/>
    </row>
    <row r="474" spans="13:18" ht="12.75">
      <c r="M474" s="17"/>
      <c r="N474" s="35"/>
      <c r="R474" s="17"/>
    </row>
    <row r="475" spans="13:18" ht="12.75">
      <c r="M475" s="17"/>
      <c r="N475" s="35"/>
      <c r="R475" s="17"/>
    </row>
    <row r="476" spans="13:18" ht="12.75">
      <c r="M476" s="17"/>
      <c r="N476" s="35"/>
      <c r="R476" s="17"/>
    </row>
    <row r="477" spans="13:18" ht="12.75">
      <c r="M477" s="17"/>
      <c r="N477" s="35"/>
      <c r="R477" s="17"/>
    </row>
    <row r="478" spans="13:18" ht="12.75">
      <c r="M478" s="17"/>
      <c r="N478" s="35"/>
      <c r="R478" s="17"/>
    </row>
    <row r="479" spans="13:18" ht="12.75">
      <c r="M479" s="17"/>
      <c r="N479" s="35"/>
      <c r="R479" s="17"/>
    </row>
    <row r="480" spans="13:18" ht="12.75">
      <c r="M480" s="17"/>
      <c r="N480" s="35"/>
      <c r="R480" s="17"/>
    </row>
    <row r="481" spans="13:18" ht="12.75">
      <c r="M481" s="17"/>
      <c r="N481" s="35"/>
      <c r="R481" s="17"/>
    </row>
    <row r="482" spans="13:18" ht="12.75">
      <c r="M482" s="17"/>
      <c r="N482" s="35"/>
      <c r="R482" s="17"/>
    </row>
    <row r="483" spans="13:18" ht="12.75">
      <c r="M483" s="17"/>
      <c r="N483" s="35"/>
      <c r="R483" s="17"/>
    </row>
    <row r="484" spans="13:18" ht="12.75">
      <c r="M484" s="17"/>
      <c r="N484" s="35"/>
      <c r="R484" s="17"/>
    </row>
    <row r="485" spans="13:18" ht="12.75">
      <c r="M485" s="17"/>
      <c r="N485" s="35"/>
      <c r="R485" s="17"/>
    </row>
    <row r="486" spans="13:18" ht="12.75">
      <c r="M486" s="17"/>
      <c r="N486" s="35"/>
      <c r="R486" s="17"/>
    </row>
    <row r="487" spans="13:18" ht="12.75">
      <c r="M487" s="17"/>
      <c r="N487" s="35"/>
      <c r="R487" s="17"/>
    </row>
    <row r="488" spans="13:18" ht="12.75">
      <c r="M488" s="17"/>
      <c r="N488" s="35"/>
      <c r="R488" s="17"/>
    </row>
    <row r="489" spans="13:18" ht="12.75">
      <c r="M489" s="17"/>
      <c r="N489" s="35"/>
      <c r="R489" s="17"/>
    </row>
    <row r="490" spans="13:18" ht="12.75">
      <c r="M490" s="17"/>
      <c r="N490" s="35"/>
      <c r="R490" s="17"/>
    </row>
    <row r="491" spans="13:18" ht="12.75">
      <c r="M491" s="17"/>
      <c r="N491" s="35"/>
      <c r="R491" s="17"/>
    </row>
    <row r="492" spans="13:18" ht="12.75">
      <c r="M492" s="17"/>
      <c r="N492" s="35"/>
      <c r="R492" s="17"/>
    </row>
    <row r="493" spans="13:18" ht="12.75">
      <c r="M493" s="17"/>
      <c r="N493" s="35"/>
      <c r="R493" s="17"/>
    </row>
    <row r="494" spans="13:18" ht="12.75">
      <c r="M494" s="17"/>
      <c r="N494" s="35"/>
      <c r="R494" s="17"/>
    </row>
    <row r="495" spans="13:18" ht="12.75">
      <c r="M495" s="17"/>
      <c r="N495" s="35"/>
      <c r="R495" s="17"/>
    </row>
    <row r="496" spans="13:18" ht="12.75">
      <c r="M496" s="17"/>
      <c r="N496" s="35"/>
      <c r="R496" s="17"/>
    </row>
    <row r="497" spans="13:18" ht="12.75">
      <c r="M497" s="17"/>
      <c r="N497" s="35"/>
      <c r="R497" s="17"/>
    </row>
    <row r="498" spans="13:18" ht="12.75">
      <c r="M498" s="17"/>
      <c r="N498" s="35"/>
      <c r="R498" s="17"/>
    </row>
    <row r="499" spans="13:18" ht="12.75">
      <c r="M499" s="17"/>
      <c r="N499" s="35"/>
      <c r="R499" s="17"/>
    </row>
    <row r="500" spans="13:18" ht="12.75">
      <c r="M500" s="17"/>
      <c r="N500" s="35"/>
      <c r="R500" s="17"/>
    </row>
    <row r="501" spans="13:18" ht="12.75">
      <c r="M501" s="17"/>
      <c r="N501" s="35"/>
      <c r="R501" s="17"/>
    </row>
    <row r="502" spans="13:18" ht="12.75">
      <c r="M502" s="17"/>
      <c r="N502" s="35"/>
      <c r="R502" s="17"/>
    </row>
    <row r="503" spans="13:18" ht="12.75">
      <c r="M503" s="17"/>
      <c r="N503" s="35"/>
      <c r="R503" s="17"/>
    </row>
    <row r="504" spans="13:18" ht="12.75">
      <c r="M504" s="17"/>
      <c r="N504" s="35"/>
      <c r="R504" s="17"/>
    </row>
    <row r="505" spans="13:18" ht="12.75">
      <c r="M505" s="17"/>
      <c r="N505" s="35"/>
      <c r="R505" s="17"/>
    </row>
    <row r="506" spans="13:18" ht="12.75">
      <c r="M506" s="17"/>
      <c r="N506" s="35"/>
      <c r="R506" s="17"/>
    </row>
    <row r="507" spans="13:18" ht="12.75">
      <c r="M507" s="17"/>
      <c r="N507" s="35"/>
      <c r="R507" s="17"/>
    </row>
    <row r="508" spans="13:18" ht="12.75">
      <c r="M508" s="17"/>
      <c r="N508" s="35"/>
      <c r="R508" s="17"/>
    </row>
    <row r="509" spans="13:18" ht="12.75">
      <c r="M509" s="17"/>
      <c r="N509" s="35"/>
      <c r="R509" s="17"/>
    </row>
    <row r="510" spans="13:18" ht="12.75">
      <c r="M510" s="17"/>
      <c r="N510" s="35"/>
      <c r="R510" s="17"/>
    </row>
    <row r="511" spans="13:18" ht="12.75">
      <c r="M511" s="17"/>
      <c r="N511" s="35"/>
      <c r="R511" s="17"/>
    </row>
    <row r="512" spans="13:18" ht="12.75">
      <c r="M512" s="17"/>
      <c r="N512" s="35"/>
      <c r="R512" s="17"/>
    </row>
    <row r="513" spans="13:18" ht="12.75">
      <c r="M513" s="17"/>
      <c r="N513" s="35"/>
      <c r="R513" s="17"/>
    </row>
    <row r="514" spans="13:18" ht="12.75">
      <c r="M514" s="17"/>
      <c r="N514" s="35"/>
      <c r="R514" s="17"/>
    </row>
    <row r="515" spans="13:18" ht="12.75">
      <c r="M515" s="17"/>
      <c r="N515" s="35"/>
      <c r="R515" s="17"/>
    </row>
    <row r="516" spans="13:18" ht="12.75">
      <c r="M516" s="17"/>
      <c r="N516" s="35"/>
      <c r="R516" s="17"/>
    </row>
    <row r="517" spans="13:18" ht="12.75">
      <c r="M517" s="17"/>
      <c r="N517" s="35"/>
      <c r="R517" s="17"/>
    </row>
    <row r="518" spans="13:18" ht="12.75">
      <c r="M518" s="17"/>
      <c r="N518" s="35"/>
      <c r="R518" s="17"/>
    </row>
    <row r="519" spans="13:18" ht="12.75">
      <c r="M519" s="17"/>
      <c r="N519" s="35"/>
      <c r="R519" s="17"/>
    </row>
    <row r="520" spans="13:18" ht="12.75">
      <c r="M520" s="17"/>
      <c r="N520" s="35"/>
      <c r="R520" s="17"/>
    </row>
    <row r="521" spans="13:18" ht="12.75">
      <c r="M521" s="17"/>
      <c r="N521" s="35"/>
      <c r="R521" s="17"/>
    </row>
    <row r="522" spans="13:18" ht="12.75">
      <c r="M522" s="17"/>
      <c r="N522" s="35"/>
      <c r="R522" s="17"/>
    </row>
    <row r="523" spans="13:18" ht="12.75">
      <c r="M523" s="17"/>
      <c r="N523" s="35"/>
      <c r="R523" s="17"/>
    </row>
    <row r="524" spans="13:18" ht="12.75">
      <c r="M524" s="17"/>
      <c r="N524" s="35"/>
      <c r="R524" s="17"/>
    </row>
    <row r="525" spans="13:18" ht="12.75">
      <c r="M525" s="17"/>
      <c r="N525" s="35"/>
      <c r="R525" s="17"/>
    </row>
    <row r="526" spans="13:18" ht="12.75">
      <c r="M526" s="17"/>
      <c r="N526" s="35"/>
      <c r="R526" s="17"/>
    </row>
    <row r="527" spans="13:18" ht="12.75">
      <c r="M527" s="17"/>
      <c r="N527" s="35"/>
      <c r="R527" s="17"/>
    </row>
    <row r="528" spans="13:18" ht="12.75">
      <c r="M528" s="17"/>
      <c r="N528" s="35"/>
      <c r="R528" s="17"/>
    </row>
    <row r="529" spans="13:18" ht="12.75">
      <c r="M529" s="17"/>
      <c r="N529" s="35"/>
      <c r="R529" s="17"/>
    </row>
    <row r="530" spans="13:18" ht="12.75">
      <c r="M530" s="17"/>
      <c r="N530" s="35"/>
      <c r="R530" s="17"/>
    </row>
    <row r="531" spans="13:18" ht="12.75">
      <c r="M531" s="17"/>
      <c r="N531" s="35"/>
      <c r="R531" s="17"/>
    </row>
    <row r="532" spans="13:18" ht="12.75">
      <c r="M532" s="17"/>
      <c r="N532" s="35"/>
      <c r="R532" s="17"/>
    </row>
    <row r="533" spans="13:18" ht="12.75">
      <c r="M533" s="17"/>
      <c r="N533" s="35"/>
      <c r="R533" s="17"/>
    </row>
    <row r="534" spans="13:18" ht="12.75">
      <c r="M534" s="17"/>
      <c r="N534" s="35"/>
      <c r="R534" s="17"/>
    </row>
    <row r="535" spans="13:18" ht="12.75">
      <c r="M535" s="17"/>
      <c r="N535" s="35"/>
      <c r="R535" s="17"/>
    </row>
    <row r="536" spans="13:18" ht="12.75">
      <c r="M536" s="17"/>
      <c r="N536" s="35"/>
      <c r="R536" s="17"/>
    </row>
    <row r="537" spans="13:18" ht="12.75">
      <c r="M537" s="17"/>
      <c r="N537" s="35"/>
      <c r="R537" s="17"/>
    </row>
    <row r="538" spans="13:18" ht="12.75">
      <c r="M538" s="17"/>
      <c r="N538" s="35"/>
      <c r="R538" s="17"/>
    </row>
    <row r="539" spans="13:18" ht="12.75">
      <c r="M539" s="17"/>
      <c r="N539" s="35"/>
      <c r="R539" s="17"/>
    </row>
    <row r="540" spans="13:18" ht="12.75">
      <c r="M540" s="17"/>
      <c r="N540" s="35"/>
      <c r="R540" s="17"/>
    </row>
    <row r="541" spans="13:18" ht="12.75">
      <c r="M541" s="17"/>
      <c r="N541" s="35"/>
      <c r="R541" s="17"/>
    </row>
    <row r="542" spans="13:18" ht="12.75">
      <c r="M542" s="17"/>
      <c r="N542" s="35"/>
      <c r="R542" s="17"/>
    </row>
    <row r="543" spans="13:18" ht="12.75">
      <c r="M543" s="17"/>
      <c r="N543" s="35"/>
      <c r="R543" s="17"/>
    </row>
    <row r="544" spans="13:18" ht="12.75">
      <c r="M544" s="17"/>
      <c r="N544" s="35"/>
      <c r="R544" s="17"/>
    </row>
    <row r="545" spans="13:18" ht="12.75">
      <c r="M545" s="17"/>
      <c r="N545" s="35"/>
      <c r="R545" s="17"/>
    </row>
    <row r="546" spans="13:18" ht="12.75">
      <c r="M546" s="17"/>
      <c r="N546" s="35"/>
      <c r="R546" s="17"/>
    </row>
    <row r="547" spans="13:18" ht="12.75">
      <c r="M547" s="17"/>
      <c r="N547" s="35"/>
      <c r="R547" s="17"/>
    </row>
    <row r="548" spans="13:18" ht="12.75">
      <c r="M548" s="17"/>
      <c r="N548" s="35"/>
      <c r="R548" s="17"/>
    </row>
    <row r="549" spans="13:18" ht="12.75">
      <c r="M549" s="17"/>
      <c r="N549" s="35"/>
      <c r="R549" s="17"/>
    </row>
    <row r="550" spans="13:18" ht="12.75">
      <c r="M550" s="17"/>
      <c r="N550" s="35"/>
      <c r="R550" s="17"/>
    </row>
    <row r="551" spans="13:18" ht="12.75">
      <c r="M551" s="17"/>
      <c r="N551" s="35"/>
      <c r="R551" s="17"/>
    </row>
    <row r="552" spans="13:18" ht="12.75">
      <c r="M552" s="17"/>
      <c r="N552" s="35"/>
      <c r="R552" s="17"/>
    </row>
    <row r="553" spans="13:18" ht="12.75">
      <c r="M553" s="17"/>
      <c r="N553" s="35"/>
      <c r="R553" s="17"/>
    </row>
    <row r="554" spans="13:18" ht="12.75">
      <c r="M554" s="17"/>
      <c r="N554" s="35"/>
      <c r="R554" s="17"/>
    </row>
    <row r="555" spans="13:18" ht="12.75">
      <c r="M555" s="17"/>
      <c r="N555" s="35"/>
      <c r="R555" s="17"/>
    </row>
    <row r="556" spans="13:18" ht="12.75">
      <c r="M556" s="17"/>
      <c r="N556" s="35"/>
      <c r="R556" s="17"/>
    </row>
    <row r="557" spans="13:18" ht="12.75">
      <c r="M557" s="17"/>
      <c r="N557" s="35"/>
      <c r="R557" s="17"/>
    </row>
    <row r="558" spans="13:18" ht="12.75">
      <c r="M558" s="17"/>
      <c r="N558" s="35"/>
      <c r="R558" s="17"/>
    </row>
    <row r="559" spans="13:18" ht="12.75">
      <c r="M559" s="17"/>
      <c r="N559" s="35"/>
      <c r="R559" s="17"/>
    </row>
    <row r="560" spans="13:18" ht="12.75">
      <c r="M560" s="17"/>
      <c r="N560" s="35"/>
      <c r="R560" s="17"/>
    </row>
    <row r="561" spans="13:18" ht="12.75">
      <c r="M561" s="17"/>
      <c r="N561" s="35"/>
      <c r="R561" s="17"/>
    </row>
    <row r="562" spans="13:18" ht="12.75">
      <c r="M562" s="17"/>
      <c r="N562" s="35"/>
      <c r="R562" s="17"/>
    </row>
    <row r="563" spans="13:18" ht="12.75">
      <c r="M563" s="17"/>
      <c r="N563" s="35"/>
      <c r="R563" s="17"/>
    </row>
    <row r="564" spans="13:18" ht="12.75">
      <c r="M564" s="17"/>
      <c r="N564" s="35"/>
      <c r="R564" s="17"/>
    </row>
    <row r="565" spans="13:18" ht="12.75">
      <c r="M565" s="17"/>
      <c r="N565" s="35"/>
      <c r="R565" s="17"/>
    </row>
    <row r="566" spans="13:18" ht="12.75">
      <c r="M566" s="17"/>
      <c r="N566" s="35"/>
      <c r="R566" s="17"/>
    </row>
    <row r="567" spans="13:18" ht="12.75">
      <c r="M567" s="17"/>
      <c r="N567" s="35"/>
      <c r="R567" s="17"/>
    </row>
    <row r="568" spans="13:18" ht="12.75">
      <c r="M568" s="17"/>
      <c r="N568" s="35"/>
      <c r="R568" s="17"/>
    </row>
    <row r="569" spans="13:18" ht="12.75">
      <c r="M569" s="17"/>
      <c r="N569" s="35"/>
      <c r="R569" s="17"/>
    </row>
    <row r="570" spans="13:18" ht="12.75">
      <c r="M570" s="17"/>
      <c r="N570" s="35"/>
      <c r="R570" s="17"/>
    </row>
    <row r="571" spans="13:18" ht="12.75">
      <c r="M571" s="17"/>
      <c r="N571" s="35"/>
      <c r="R571" s="17"/>
    </row>
    <row r="572" spans="13:18" ht="12.75">
      <c r="M572" s="17"/>
      <c r="N572" s="35"/>
      <c r="R572" s="17"/>
    </row>
    <row r="573" spans="13:18" ht="12.75">
      <c r="M573" s="17"/>
      <c r="N573" s="35"/>
      <c r="R573" s="17"/>
    </row>
    <row r="574" spans="13:18" ht="12.75">
      <c r="M574" s="17"/>
      <c r="N574" s="35"/>
      <c r="R574" s="17"/>
    </row>
    <row r="575" spans="13:18" ht="12.75">
      <c r="M575" s="17"/>
      <c r="N575" s="35"/>
      <c r="R575" s="17"/>
    </row>
    <row r="576" spans="13:18" ht="12.75">
      <c r="M576" s="17"/>
      <c r="N576" s="35"/>
      <c r="R576" s="17"/>
    </row>
    <row r="577" spans="13:18" ht="12.75">
      <c r="M577" s="17"/>
      <c r="N577" s="35"/>
      <c r="R577" s="17"/>
    </row>
    <row r="578" spans="13:18" ht="12.75">
      <c r="M578" s="17"/>
      <c r="N578" s="35"/>
      <c r="R578" s="17"/>
    </row>
    <row r="579" spans="13:18" ht="12.75">
      <c r="M579" s="17"/>
      <c r="N579" s="35"/>
      <c r="R579" s="17"/>
    </row>
    <row r="580" spans="13:18" ht="12.75">
      <c r="M580" s="17"/>
      <c r="N580" s="35"/>
      <c r="R580" s="17"/>
    </row>
    <row r="581" spans="13:18" ht="12.75">
      <c r="M581" s="17"/>
      <c r="N581" s="35"/>
      <c r="R581" s="17"/>
    </row>
    <row r="582" spans="13:18" ht="12.75">
      <c r="M582" s="17"/>
      <c r="N582" s="35"/>
      <c r="R582" s="17"/>
    </row>
    <row r="583" spans="13:18" ht="12.75">
      <c r="M583" s="17"/>
      <c r="N583" s="35"/>
      <c r="R583" s="17"/>
    </row>
    <row r="584" spans="13:18" ht="12.75">
      <c r="M584" s="17"/>
      <c r="N584" s="35"/>
      <c r="R584" s="17"/>
    </row>
    <row r="585" spans="13:18" ht="12.75">
      <c r="M585" s="17"/>
      <c r="N585" s="35"/>
      <c r="R585" s="17"/>
    </row>
    <row r="586" spans="13:18" ht="12.75">
      <c r="M586" s="17"/>
      <c r="N586" s="35"/>
      <c r="R586" s="17"/>
    </row>
    <row r="587" spans="13:18" ht="12.75">
      <c r="M587" s="17"/>
      <c r="N587" s="35"/>
      <c r="R587" s="17"/>
    </row>
    <row r="588" spans="13:18" ht="12.75">
      <c r="M588" s="17"/>
      <c r="N588" s="35"/>
      <c r="R588" s="17"/>
    </row>
    <row r="589" spans="13:18" ht="12.75">
      <c r="M589" s="17"/>
      <c r="N589" s="35"/>
      <c r="R589" s="17"/>
    </row>
    <row r="590" spans="13:18" ht="12.75">
      <c r="M590" s="17"/>
      <c r="N590" s="35"/>
      <c r="R590" s="17"/>
    </row>
    <row r="591" spans="13:18" ht="12.75">
      <c r="M591" s="17"/>
      <c r="N591" s="35"/>
      <c r="R591" s="17"/>
    </row>
    <row r="592" spans="13:18" ht="12.75">
      <c r="M592" s="17"/>
      <c r="N592" s="35"/>
      <c r="R592" s="17"/>
    </row>
    <row r="593" spans="13:18" ht="12.75">
      <c r="M593" s="17"/>
      <c r="N593" s="35"/>
      <c r="R593" s="17"/>
    </row>
    <row r="594" spans="13:18" ht="12.75">
      <c r="M594" s="17"/>
      <c r="N594" s="35"/>
      <c r="R594" s="17"/>
    </row>
    <row r="595" spans="13:18" ht="12.75">
      <c r="M595" s="17"/>
      <c r="N595" s="35"/>
      <c r="R595" s="17"/>
    </row>
    <row r="596" spans="13:18" ht="12.75">
      <c r="M596" s="17"/>
      <c r="N596" s="35"/>
      <c r="R596" s="17"/>
    </row>
    <row r="597" spans="13:18" ht="12.75">
      <c r="M597" s="17"/>
      <c r="N597" s="35"/>
      <c r="R597" s="17"/>
    </row>
    <row r="598" spans="13:18" ht="12.75">
      <c r="M598" s="17"/>
      <c r="N598" s="35"/>
      <c r="R598" s="17"/>
    </row>
    <row r="599" spans="13:18" ht="12.75">
      <c r="M599" s="17"/>
      <c r="N599" s="35"/>
      <c r="R599" s="17"/>
    </row>
    <row r="600" spans="13:18" ht="12.75">
      <c r="M600" s="17"/>
      <c r="N600" s="35"/>
      <c r="R600" s="17"/>
    </row>
    <row r="601" spans="13:18" ht="12.75">
      <c r="M601" s="17"/>
      <c r="N601" s="35"/>
      <c r="R601" s="17"/>
    </row>
    <row r="602" spans="13:18" ht="12.75">
      <c r="M602" s="17"/>
      <c r="N602" s="35"/>
      <c r="R602" s="17"/>
    </row>
    <row r="603" spans="13:18" ht="12.75">
      <c r="M603" s="17"/>
      <c r="N603" s="35"/>
      <c r="R603" s="17"/>
    </row>
    <row r="604" spans="13:18" ht="12.75">
      <c r="M604" s="17"/>
      <c r="N604" s="35"/>
      <c r="R604" s="17"/>
    </row>
    <row r="605" spans="13:18" ht="12.75">
      <c r="M605" s="17"/>
      <c r="N605" s="35"/>
      <c r="R605" s="17"/>
    </row>
    <row r="606" spans="13:18" ht="12.75">
      <c r="M606" s="17"/>
      <c r="N606" s="35"/>
      <c r="R606" s="17"/>
    </row>
    <row r="607" spans="13:18" ht="12.75">
      <c r="M607" s="17"/>
      <c r="N607" s="35"/>
      <c r="R607" s="17"/>
    </row>
    <row r="608" spans="13:18" ht="12.75">
      <c r="M608" s="17"/>
      <c r="N608" s="35"/>
      <c r="R608" s="17"/>
    </row>
    <row r="609" spans="13:18" ht="12.75">
      <c r="M609" s="17"/>
      <c r="N609" s="35"/>
      <c r="R609" s="17"/>
    </row>
    <row r="610" spans="13:18" ht="12.75">
      <c r="M610" s="17"/>
      <c r="N610" s="35"/>
      <c r="R610" s="17"/>
    </row>
    <row r="611" spans="13:18" ht="12.75">
      <c r="M611" s="17"/>
      <c r="N611" s="35"/>
      <c r="R611" s="17"/>
    </row>
    <row r="612" spans="13:18" ht="12.75">
      <c r="M612" s="17"/>
      <c r="N612" s="35"/>
      <c r="R612" s="17"/>
    </row>
    <row r="613" spans="13:18" ht="12.75">
      <c r="M613" s="17"/>
      <c r="N613" s="35"/>
      <c r="R613" s="17"/>
    </row>
    <row r="614" spans="13:18" ht="12.75">
      <c r="M614" s="17"/>
      <c r="N614" s="35"/>
      <c r="R614" s="17"/>
    </row>
    <row r="615" spans="13:18" ht="12.75">
      <c r="M615" s="17"/>
      <c r="N615" s="35"/>
      <c r="R615" s="17"/>
    </row>
    <row r="616" spans="13:18" ht="12.75">
      <c r="M616" s="17"/>
      <c r="N616" s="35"/>
      <c r="R616" s="17"/>
    </row>
    <row r="617" spans="13:18" ht="12.75">
      <c r="M617" s="17"/>
      <c r="N617" s="35"/>
      <c r="R617" s="17"/>
    </row>
    <row r="618" spans="13:18" ht="12.75">
      <c r="M618" s="17"/>
      <c r="N618" s="35"/>
      <c r="R618" s="17"/>
    </row>
    <row r="619" spans="13:18" ht="12.75">
      <c r="M619" s="17"/>
      <c r="N619" s="35"/>
      <c r="R619" s="17"/>
    </row>
    <row r="620" spans="13:18" ht="12.75">
      <c r="M620" s="17"/>
      <c r="N620" s="35"/>
      <c r="R620" s="17"/>
    </row>
    <row r="621" spans="13:18" ht="12.75">
      <c r="M621" s="17"/>
      <c r="N621" s="35"/>
      <c r="R621" s="17"/>
    </row>
    <row r="622" spans="13:18" ht="12.75">
      <c r="M622" s="17"/>
      <c r="N622" s="35"/>
      <c r="R622" s="17"/>
    </row>
    <row r="623" spans="13:18" ht="12.75">
      <c r="M623" s="17"/>
      <c r="N623" s="35"/>
      <c r="R623" s="17"/>
    </row>
    <row r="624" spans="13:18" ht="12.75">
      <c r="M624" s="17"/>
      <c r="N624" s="35"/>
      <c r="R624" s="17"/>
    </row>
    <row r="625" spans="13:18" ht="12.75">
      <c r="M625" s="17"/>
      <c r="N625" s="35"/>
      <c r="R625" s="17"/>
    </row>
    <row r="626" spans="13:18" ht="12.75">
      <c r="M626" s="17"/>
      <c r="N626" s="35"/>
      <c r="R626" s="17"/>
    </row>
    <row r="627" spans="13:18" ht="12.75">
      <c r="M627" s="17"/>
      <c r="N627" s="35"/>
      <c r="R627" s="17"/>
    </row>
    <row r="628" spans="13:18" ht="12.75">
      <c r="M628" s="17"/>
      <c r="N628" s="35"/>
      <c r="R628" s="17"/>
    </row>
    <row r="629" spans="13:18" ht="12.75">
      <c r="M629" s="17"/>
      <c r="N629" s="35"/>
      <c r="R629" s="17"/>
    </row>
    <row r="630" spans="13:18" ht="12.75">
      <c r="M630" s="17"/>
      <c r="N630" s="35"/>
      <c r="R630" s="17"/>
    </row>
    <row r="631" spans="13:18" ht="12.75">
      <c r="M631" s="17"/>
      <c r="N631" s="35"/>
      <c r="R631" s="17"/>
    </row>
    <row r="632" spans="13:18" ht="12.75">
      <c r="M632" s="17"/>
      <c r="N632" s="35"/>
      <c r="R632" s="17"/>
    </row>
    <row r="633" spans="13:18" ht="12.75">
      <c r="M633" s="17"/>
      <c r="N633" s="35"/>
      <c r="R633" s="17"/>
    </row>
    <row r="634" spans="13:18" ht="12.75">
      <c r="M634" s="17"/>
      <c r="N634" s="35"/>
      <c r="R634" s="17"/>
    </row>
    <row r="635" spans="13:18" ht="12.75">
      <c r="M635" s="17"/>
      <c r="N635" s="35"/>
      <c r="R635" s="17"/>
    </row>
    <row r="636" spans="13:18" ht="12.75">
      <c r="M636" s="17"/>
      <c r="N636" s="35"/>
      <c r="R636" s="17"/>
    </row>
    <row r="637" spans="13:18" ht="12.75">
      <c r="M637" s="17"/>
      <c r="N637" s="35"/>
      <c r="R637" s="17"/>
    </row>
    <row r="638" spans="13:18" ht="12.75">
      <c r="M638" s="17"/>
      <c r="N638" s="35"/>
      <c r="R638" s="17"/>
    </row>
    <row r="639" spans="13:18" ht="12.75">
      <c r="M639" s="17"/>
      <c r="N639" s="35"/>
      <c r="R639" s="17"/>
    </row>
    <row r="640" spans="13:18" ht="12.75">
      <c r="M640" s="17"/>
      <c r="N640" s="35"/>
      <c r="R640" s="17"/>
    </row>
    <row r="641" spans="13:18" ht="12.75">
      <c r="M641" s="17"/>
      <c r="N641" s="35"/>
      <c r="R641" s="17"/>
    </row>
    <row r="642" spans="13:18" ht="12.75">
      <c r="M642" s="17"/>
      <c r="N642" s="35"/>
      <c r="R642" s="17"/>
    </row>
    <row r="643" spans="13:18" ht="12.75">
      <c r="M643" s="17"/>
      <c r="N643" s="35"/>
      <c r="R643" s="17"/>
    </row>
    <row r="644" spans="13:18" ht="12.75">
      <c r="M644" s="17"/>
      <c r="N644" s="35"/>
      <c r="R644" s="17"/>
    </row>
    <row r="645" spans="13:18" ht="12.75">
      <c r="M645" s="17"/>
      <c r="N645" s="35"/>
      <c r="R645" s="17"/>
    </row>
    <row r="646" spans="13:18" ht="12.75">
      <c r="M646" s="17"/>
      <c r="N646" s="35"/>
      <c r="R646" s="17"/>
    </row>
    <row r="647" spans="13:18" ht="12.75">
      <c r="M647" s="17"/>
      <c r="N647" s="35"/>
      <c r="R647" s="17"/>
    </row>
    <row r="648" spans="13:18" ht="12.75">
      <c r="M648" s="17"/>
      <c r="N648" s="35"/>
      <c r="R648" s="17"/>
    </row>
    <row r="649" spans="13:18" ht="12.75">
      <c r="M649" s="17"/>
      <c r="N649" s="35"/>
      <c r="R649" s="17"/>
    </row>
    <row r="650" spans="13:18" ht="12.75">
      <c r="M650" s="17"/>
      <c r="N650" s="35"/>
      <c r="R650" s="17"/>
    </row>
    <row r="651" spans="13:18" ht="12.75">
      <c r="M651" s="17"/>
      <c r="N651" s="35"/>
      <c r="R651" s="17"/>
    </row>
    <row r="652" spans="13:18" ht="12.75">
      <c r="M652" s="17"/>
      <c r="N652" s="35"/>
      <c r="R652" s="17"/>
    </row>
    <row r="653" spans="13:18" ht="12.75">
      <c r="M653" s="17"/>
      <c r="N653" s="35"/>
      <c r="R653" s="17"/>
    </row>
    <row r="654" spans="13:18" ht="12.75">
      <c r="M654" s="17"/>
      <c r="N654" s="35"/>
      <c r="R654" s="17"/>
    </row>
    <row r="655" spans="13:18" ht="12.75">
      <c r="M655" s="17"/>
      <c r="N655" s="35"/>
      <c r="R655" s="17"/>
    </row>
    <row r="656" spans="13:18" ht="12.75">
      <c r="M656" s="17"/>
      <c r="N656" s="35"/>
      <c r="R656" s="17"/>
    </row>
    <row r="657" spans="13:18" ht="12.75">
      <c r="M657" s="17"/>
      <c r="N657" s="35"/>
      <c r="R657" s="17"/>
    </row>
    <row r="658" spans="13:18" ht="12.75">
      <c r="M658" s="17"/>
      <c r="N658" s="35"/>
      <c r="R658" s="17"/>
    </row>
    <row r="659" spans="13:18" ht="12.75">
      <c r="M659" s="17"/>
      <c r="N659" s="35"/>
      <c r="R659" s="17"/>
    </row>
    <row r="660" spans="13:18" ht="12.75">
      <c r="M660" s="17"/>
      <c r="N660" s="35"/>
      <c r="R660" s="17"/>
    </row>
    <row r="661" spans="13:18" ht="12.75">
      <c r="M661" s="17"/>
      <c r="N661" s="35"/>
      <c r="R661" s="17"/>
    </row>
    <row r="662" spans="13:18" ht="12.75">
      <c r="M662" s="17"/>
      <c r="N662" s="35"/>
      <c r="R662" s="17"/>
    </row>
    <row r="663" spans="13:18" ht="12.75">
      <c r="M663" s="17"/>
      <c r="N663" s="35"/>
      <c r="R663" s="17"/>
    </row>
    <row r="664" spans="13:18" ht="12.75">
      <c r="M664" s="17"/>
      <c r="N664" s="35"/>
      <c r="R664" s="17"/>
    </row>
    <row r="665" spans="13:18" ht="12.75">
      <c r="M665" s="17"/>
      <c r="N665" s="35"/>
      <c r="R665" s="17"/>
    </row>
    <row r="666" spans="13:18" ht="12.75">
      <c r="M666" s="17"/>
      <c r="N666" s="35"/>
      <c r="R666" s="17"/>
    </row>
    <row r="667" spans="13:18" ht="12.75">
      <c r="M667" s="17"/>
      <c r="N667" s="35"/>
      <c r="R667" s="17"/>
    </row>
    <row r="668" spans="13:18" ht="12.75">
      <c r="M668" s="17"/>
      <c r="N668" s="35"/>
      <c r="R668" s="17"/>
    </row>
    <row r="669" spans="13:18" ht="12.75">
      <c r="M669" s="17"/>
      <c r="N669" s="35"/>
      <c r="R669" s="17"/>
    </row>
    <row r="670" spans="13:18" ht="12.75">
      <c r="M670" s="17"/>
      <c r="N670" s="35"/>
      <c r="R670" s="17"/>
    </row>
    <row r="671" spans="13:18" ht="12.75">
      <c r="M671" s="17"/>
      <c r="N671" s="35"/>
      <c r="R671" s="17"/>
    </row>
    <row r="672" spans="13:18" ht="12.75">
      <c r="M672" s="17"/>
      <c r="N672" s="35"/>
      <c r="R672" s="17"/>
    </row>
    <row r="673" spans="13:18" ht="12.75">
      <c r="M673" s="17"/>
      <c r="N673" s="35"/>
      <c r="R673" s="17"/>
    </row>
    <row r="674" spans="13:18" ht="12.75">
      <c r="M674" s="17"/>
      <c r="N674" s="35"/>
      <c r="R674" s="17"/>
    </row>
    <row r="675" spans="13:18" ht="12.75">
      <c r="M675" s="17"/>
      <c r="N675" s="35"/>
      <c r="R675" s="17"/>
    </row>
    <row r="676" spans="13:18" ht="12.75">
      <c r="M676" s="17"/>
      <c r="N676" s="35"/>
      <c r="R676" s="17"/>
    </row>
    <row r="677" spans="13:18" ht="12.75">
      <c r="M677" s="17"/>
      <c r="N677" s="35"/>
      <c r="R677" s="17"/>
    </row>
    <row r="678" spans="13:18" ht="12.75">
      <c r="M678" s="17"/>
      <c r="N678" s="35"/>
      <c r="R678" s="17"/>
    </row>
    <row r="679" spans="13:18" ht="12.75">
      <c r="M679" s="17"/>
      <c r="N679" s="35"/>
      <c r="R679" s="17"/>
    </row>
    <row r="680" spans="13:18" ht="12.75">
      <c r="M680" s="17"/>
      <c r="N680" s="35"/>
      <c r="R680" s="17"/>
    </row>
    <row r="681" spans="13:18" ht="12.75">
      <c r="M681" s="17"/>
      <c r="N681" s="35"/>
      <c r="R681" s="17"/>
    </row>
    <row r="682" spans="13:18" ht="12.75">
      <c r="M682" s="17"/>
      <c r="N682" s="35"/>
      <c r="R682" s="17"/>
    </row>
    <row r="683" spans="13:18" ht="12.75">
      <c r="M683" s="17"/>
      <c r="N683" s="35"/>
      <c r="R683" s="17"/>
    </row>
    <row r="684" spans="13:18" ht="12.75">
      <c r="M684" s="17"/>
      <c r="N684" s="35"/>
      <c r="R684" s="17"/>
    </row>
    <row r="685" spans="13:18" ht="12.75">
      <c r="M685" s="17"/>
      <c r="N685" s="35"/>
      <c r="R685" s="17"/>
    </row>
    <row r="686" spans="13:18" ht="12.75">
      <c r="M686" s="17"/>
      <c r="N686" s="35"/>
      <c r="R686" s="17"/>
    </row>
    <row r="687" spans="13:18" ht="12.75">
      <c r="M687" s="17"/>
      <c r="N687" s="35"/>
      <c r="R687" s="17"/>
    </row>
    <row r="688" spans="13:18" ht="12.75">
      <c r="M688" s="17"/>
      <c r="N688" s="35"/>
      <c r="R688" s="17"/>
    </row>
    <row r="689" spans="13:18" ht="12.75">
      <c r="M689" s="17"/>
      <c r="N689" s="35"/>
      <c r="R689" s="17"/>
    </row>
    <row r="690" spans="13:18" ht="12.75">
      <c r="M690" s="17"/>
      <c r="N690" s="35"/>
      <c r="R690" s="17"/>
    </row>
    <row r="691" spans="13:18" ht="12.75">
      <c r="M691" s="17"/>
      <c r="N691" s="35"/>
      <c r="R691" s="17"/>
    </row>
    <row r="692" spans="13:18" ht="12.75">
      <c r="M692" s="17"/>
      <c r="N692" s="35"/>
      <c r="R692" s="17"/>
    </row>
    <row r="693" spans="13:18" ht="12.75">
      <c r="M693" s="17"/>
      <c r="N693" s="35"/>
      <c r="R693" s="17"/>
    </row>
    <row r="694" spans="13:18" ht="12.75">
      <c r="M694" s="17"/>
      <c r="N694" s="35"/>
      <c r="R694" s="17"/>
    </row>
    <row r="695" spans="13:18" ht="12.75">
      <c r="M695" s="17"/>
      <c r="N695" s="35"/>
      <c r="R695" s="17"/>
    </row>
    <row r="696" spans="13:18" ht="12.75">
      <c r="M696" s="17"/>
      <c r="N696" s="35"/>
      <c r="R696" s="17"/>
    </row>
    <row r="697" spans="13:18" ht="12.75">
      <c r="M697" s="17"/>
      <c r="N697" s="35"/>
      <c r="R697" s="17"/>
    </row>
    <row r="698" spans="13:18" ht="12.75">
      <c r="M698" s="17"/>
      <c r="N698" s="35"/>
      <c r="R698" s="17"/>
    </row>
    <row r="699" spans="13:18" ht="12.75">
      <c r="M699" s="17"/>
      <c r="N699" s="35"/>
      <c r="R699" s="17"/>
    </row>
    <row r="700" spans="13:18" ht="12.75">
      <c r="M700" s="17"/>
      <c r="N700" s="35"/>
      <c r="R700" s="17"/>
    </row>
    <row r="701" spans="13:18" ht="12.75">
      <c r="M701" s="17"/>
      <c r="N701" s="35"/>
      <c r="R701" s="17"/>
    </row>
    <row r="702" spans="13:18" ht="12.75">
      <c r="M702" s="17"/>
      <c r="N702" s="35"/>
      <c r="R702" s="17"/>
    </row>
    <row r="703" spans="13:18" ht="12.75">
      <c r="M703" s="17"/>
      <c r="N703" s="35"/>
      <c r="R703" s="17"/>
    </row>
    <row r="704" spans="13:18" ht="12.75">
      <c r="M704" s="17"/>
      <c r="N704" s="35"/>
      <c r="R704" s="17"/>
    </row>
    <row r="705" spans="13:18" ht="12.75">
      <c r="M705" s="17"/>
      <c r="N705" s="35"/>
      <c r="R705" s="17"/>
    </row>
    <row r="706" spans="13:18" ht="12.75">
      <c r="M706" s="17"/>
      <c r="N706" s="35"/>
      <c r="R706" s="17"/>
    </row>
    <row r="707" spans="13:18" ht="12.75">
      <c r="M707" s="17"/>
      <c r="N707" s="35"/>
      <c r="R707" s="17"/>
    </row>
    <row r="708" spans="13:18" ht="12.75">
      <c r="M708" s="17"/>
      <c r="N708" s="35"/>
      <c r="R708" s="17"/>
    </row>
    <row r="709" spans="13:18" ht="12.75">
      <c r="M709" s="17"/>
      <c r="N709" s="35"/>
      <c r="R709" s="17"/>
    </row>
    <row r="710" spans="13:18" ht="12.75">
      <c r="M710" s="17"/>
      <c r="N710" s="35"/>
      <c r="R710" s="17"/>
    </row>
    <row r="711" spans="13:18" ht="12.75">
      <c r="M711" s="17"/>
      <c r="N711" s="35"/>
      <c r="R711" s="17"/>
    </row>
    <row r="712" spans="13:18" ht="12.75">
      <c r="M712" s="17"/>
      <c r="N712" s="35"/>
      <c r="R712" s="17"/>
    </row>
    <row r="713" spans="13:18" ht="12.75">
      <c r="M713" s="17"/>
      <c r="N713" s="35"/>
      <c r="R713" s="17"/>
    </row>
    <row r="714" spans="13:18" ht="12.75">
      <c r="M714" s="17"/>
      <c r="N714" s="35"/>
      <c r="R714" s="17"/>
    </row>
    <row r="715" spans="13:18" ht="12.75">
      <c r="M715" s="17"/>
      <c r="N715" s="35"/>
      <c r="R715" s="17"/>
    </row>
    <row r="716" spans="13:18" ht="12.75">
      <c r="M716" s="17"/>
      <c r="N716" s="35"/>
      <c r="R716" s="17"/>
    </row>
    <row r="717" spans="13:18" ht="12.75">
      <c r="M717" s="17"/>
      <c r="N717" s="35"/>
      <c r="R717" s="17"/>
    </row>
    <row r="718" spans="13:18" ht="12.75">
      <c r="M718" s="17"/>
      <c r="N718" s="35"/>
      <c r="R718" s="17"/>
    </row>
    <row r="719" spans="13:18" ht="12.75">
      <c r="M719" s="17"/>
      <c r="N719" s="35"/>
      <c r="R719" s="17"/>
    </row>
    <row r="720" spans="13:18" ht="12.75">
      <c r="M720" s="17"/>
      <c r="N720" s="35"/>
      <c r="R720" s="17"/>
    </row>
    <row r="721" spans="13:18" ht="12.75">
      <c r="M721" s="17"/>
      <c r="N721" s="35"/>
      <c r="R721" s="17"/>
    </row>
    <row r="722" spans="13:18" ht="12.75">
      <c r="M722" s="17"/>
      <c r="N722" s="35"/>
      <c r="R722" s="17"/>
    </row>
    <row r="723" spans="13:18" ht="12.75">
      <c r="M723" s="17"/>
      <c r="N723" s="35"/>
      <c r="R723" s="17"/>
    </row>
    <row r="724" spans="13:18" ht="12.75">
      <c r="M724" s="17"/>
      <c r="N724" s="35"/>
      <c r="R724" s="17"/>
    </row>
    <row r="725" spans="13:18" ht="12.75">
      <c r="M725" s="17"/>
      <c r="N725" s="35"/>
      <c r="R725" s="17"/>
    </row>
    <row r="726" spans="13:18" ht="12.75">
      <c r="M726" s="17"/>
      <c r="N726" s="35"/>
      <c r="R726" s="17"/>
    </row>
    <row r="727" spans="13:18" ht="12.75">
      <c r="M727" s="17"/>
      <c r="N727" s="35"/>
      <c r="R727" s="17"/>
    </row>
    <row r="728" spans="13:18" ht="12.75">
      <c r="M728" s="17"/>
      <c r="N728" s="35"/>
      <c r="R728" s="17"/>
    </row>
    <row r="729" spans="13:18" ht="12.75">
      <c r="M729" s="17"/>
      <c r="N729" s="35"/>
      <c r="R729" s="17"/>
    </row>
    <row r="730" spans="13:18" ht="12.75">
      <c r="M730" s="17"/>
      <c r="N730" s="35"/>
      <c r="R730" s="17"/>
    </row>
    <row r="731" spans="13:18" ht="12.75">
      <c r="M731" s="17"/>
      <c r="N731" s="35"/>
      <c r="R731" s="17"/>
    </row>
    <row r="732" spans="13:18" ht="12.75">
      <c r="M732" s="17"/>
      <c r="N732" s="35"/>
      <c r="R732" s="17"/>
    </row>
    <row r="733" spans="13:18" ht="12.75">
      <c r="M733" s="17"/>
      <c r="N733" s="35"/>
      <c r="R733" s="17"/>
    </row>
    <row r="734" spans="13:18" ht="12.75">
      <c r="M734" s="17"/>
      <c r="N734" s="35"/>
      <c r="R734" s="17"/>
    </row>
    <row r="735" spans="13:18" ht="12.75">
      <c r="M735" s="17"/>
      <c r="N735" s="35"/>
      <c r="R735" s="17"/>
    </row>
    <row r="736" spans="13:18" ht="12.75">
      <c r="M736" s="17"/>
      <c r="N736" s="35"/>
      <c r="R736" s="17"/>
    </row>
    <row r="737" spans="13:18" ht="12.75">
      <c r="M737" s="17"/>
      <c r="N737" s="35"/>
      <c r="R737" s="17"/>
    </row>
    <row r="738" spans="13:18" ht="12.75">
      <c r="M738" s="17"/>
      <c r="N738" s="35"/>
      <c r="R738" s="17"/>
    </row>
    <row r="739" spans="13:18" ht="12.75">
      <c r="M739" s="17"/>
      <c r="N739" s="35"/>
      <c r="R739" s="17"/>
    </row>
    <row r="740" spans="13:18" ht="12.75">
      <c r="M740" s="17"/>
      <c r="N740" s="35"/>
      <c r="R740" s="17"/>
    </row>
    <row r="741" spans="13:18" ht="12.75">
      <c r="M741" s="17"/>
      <c r="N741" s="35"/>
      <c r="R741" s="17"/>
    </row>
    <row r="742" spans="13:18" ht="12.75">
      <c r="M742" s="17"/>
      <c r="N742" s="35"/>
      <c r="R742" s="17"/>
    </row>
    <row r="743" spans="13:18" ht="12.75">
      <c r="M743" s="17"/>
      <c r="N743" s="35"/>
      <c r="R743" s="17"/>
    </row>
    <row r="744" spans="13:18" ht="12.75">
      <c r="M744" s="17"/>
      <c r="N744" s="35"/>
      <c r="R744" s="17"/>
    </row>
    <row r="745" spans="13:18" ht="12.75">
      <c r="M745" s="17"/>
      <c r="N745" s="35"/>
      <c r="R745" s="17"/>
    </row>
    <row r="746" spans="13:18" ht="12.75">
      <c r="M746" s="17"/>
      <c r="N746" s="35"/>
      <c r="R746" s="17"/>
    </row>
    <row r="747" spans="13:18" ht="12.75">
      <c r="M747" s="17"/>
      <c r="N747" s="35"/>
      <c r="R747" s="17"/>
    </row>
    <row r="748" spans="13:18" ht="12.75">
      <c r="M748" s="17"/>
      <c r="N748" s="35"/>
      <c r="R748" s="17"/>
    </row>
    <row r="749" spans="13:18" ht="12.75">
      <c r="M749" s="17"/>
      <c r="N749" s="35"/>
      <c r="R749" s="17"/>
    </row>
    <row r="750" spans="13:18" ht="12.75">
      <c r="M750" s="17"/>
      <c r="N750" s="35"/>
      <c r="R750" s="17"/>
    </row>
    <row r="751" spans="13:18" ht="12.75">
      <c r="M751" s="17"/>
      <c r="N751" s="35"/>
      <c r="R751" s="17"/>
    </row>
    <row r="752" spans="13:18" ht="12.75">
      <c r="M752" s="17"/>
      <c r="N752" s="35"/>
      <c r="R752" s="17"/>
    </row>
    <row r="753" spans="13:18" ht="12.75">
      <c r="M753" s="17"/>
      <c r="N753" s="35"/>
      <c r="R753" s="17"/>
    </row>
    <row r="754" spans="13:18" ht="12.75">
      <c r="M754" s="17"/>
      <c r="N754" s="35"/>
      <c r="R754" s="17"/>
    </row>
    <row r="755" spans="13:18" ht="12.75">
      <c r="M755" s="17"/>
      <c r="N755" s="35"/>
      <c r="R755" s="17"/>
    </row>
    <row r="756" spans="13:18" ht="12.75">
      <c r="M756" s="17"/>
      <c r="N756" s="35"/>
      <c r="R756" s="17"/>
    </row>
    <row r="757" spans="13:18" ht="12.75">
      <c r="M757" s="17"/>
      <c r="N757" s="35"/>
      <c r="R757" s="17"/>
    </row>
    <row r="758" spans="13:18" ht="12.75">
      <c r="M758" s="17"/>
      <c r="N758" s="35"/>
      <c r="R758" s="17"/>
    </row>
    <row r="759" spans="13:18" ht="12.75">
      <c r="M759" s="17"/>
      <c r="N759" s="35"/>
      <c r="R759" s="17"/>
    </row>
    <row r="760" spans="13:18" ht="12.75">
      <c r="M760" s="17"/>
      <c r="N760" s="35"/>
      <c r="R760" s="17"/>
    </row>
    <row r="761" spans="13:18" ht="12.75">
      <c r="M761" s="17"/>
      <c r="N761" s="35"/>
      <c r="R761" s="17"/>
    </row>
    <row r="762" spans="13:18" ht="12.75">
      <c r="M762" s="17"/>
      <c r="N762" s="35"/>
      <c r="R762" s="17"/>
    </row>
    <row r="763" spans="13:18" ht="12.75">
      <c r="M763" s="17"/>
      <c r="N763" s="35"/>
      <c r="R763" s="17"/>
    </row>
    <row r="764" spans="13:18" ht="12.75">
      <c r="M764" s="17"/>
      <c r="N764" s="35"/>
      <c r="R764" s="17"/>
    </row>
    <row r="765" spans="13:18" ht="12.75">
      <c r="M765" s="17"/>
      <c r="N765" s="35"/>
      <c r="R765" s="17"/>
    </row>
    <row r="766" spans="13:18" ht="12.75">
      <c r="M766" s="17"/>
      <c r="N766" s="35"/>
      <c r="R766" s="17"/>
    </row>
    <row r="767" spans="13:18" ht="12.75">
      <c r="M767" s="17"/>
      <c r="N767" s="35"/>
      <c r="R767" s="17"/>
    </row>
    <row r="768" spans="13:18" ht="12.75">
      <c r="M768" s="17"/>
      <c r="N768" s="35"/>
      <c r="R768" s="17"/>
    </row>
    <row r="769" spans="13:18" ht="12.75">
      <c r="M769" s="17"/>
      <c r="N769" s="35"/>
      <c r="R769" s="17"/>
    </row>
    <row r="770" spans="13:18" ht="12.75">
      <c r="M770" s="17"/>
      <c r="N770" s="35"/>
      <c r="R770" s="17"/>
    </row>
    <row r="771" spans="13:18" ht="12.75">
      <c r="M771" s="17"/>
      <c r="N771" s="35"/>
      <c r="R771" s="17"/>
    </row>
    <row r="772" spans="13:18" ht="12.75">
      <c r="M772" s="17"/>
      <c r="N772" s="35"/>
      <c r="R772" s="17"/>
    </row>
    <row r="773" spans="13:18" ht="12.75">
      <c r="M773" s="17"/>
      <c r="N773" s="35"/>
      <c r="R773" s="17"/>
    </row>
    <row r="774" spans="13:18" ht="12.75">
      <c r="M774" s="17"/>
      <c r="N774" s="35"/>
      <c r="R774" s="17"/>
    </row>
    <row r="775" spans="13:18" ht="12.75">
      <c r="M775" s="17"/>
      <c r="N775" s="35"/>
      <c r="R775" s="17"/>
    </row>
    <row r="776" spans="13:18" ht="12.75">
      <c r="M776" s="17"/>
      <c r="N776" s="35"/>
      <c r="R776" s="17"/>
    </row>
    <row r="777" spans="13:18" ht="12.75">
      <c r="M777" s="17"/>
      <c r="N777" s="35"/>
      <c r="R777" s="17"/>
    </row>
    <row r="778" spans="13:18" ht="12.75">
      <c r="M778" s="17"/>
      <c r="N778" s="35"/>
      <c r="R778" s="17"/>
    </row>
    <row r="779" spans="13:18" ht="12.75">
      <c r="M779" s="17"/>
      <c r="N779" s="35"/>
      <c r="R779" s="17"/>
    </row>
    <row r="780" spans="13:18" ht="12.75">
      <c r="M780" s="17"/>
      <c r="N780" s="35"/>
      <c r="R780" s="17"/>
    </row>
    <row r="781" spans="13:18" ht="12.75">
      <c r="M781" s="17"/>
      <c r="N781" s="35"/>
      <c r="R781" s="17"/>
    </row>
    <row r="782" spans="13:18" ht="12.75">
      <c r="M782" s="17"/>
      <c r="N782" s="35"/>
      <c r="R782" s="17"/>
    </row>
    <row r="783" spans="13:18" ht="12.75">
      <c r="M783" s="17"/>
      <c r="N783" s="35"/>
      <c r="R783" s="17"/>
    </row>
    <row r="784" spans="13:18" ht="12.75">
      <c r="M784" s="17"/>
      <c r="N784" s="35"/>
      <c r="R784" s="17"/>
    </row>
    <row r="785" spans="13:18" ht="12.75">
      <c r="M785" s="17"/>
      <c r="N785" s="35"/>
      <c r="R785" s="17"/>
    </row>
    <row r="786" spans="13:18" ht="12.75">
      <c r="M786" s="17"/>
      <c r="N786" s="35"/>
      <c r="R786" s="17"/>
    </row>
    <row r="787" spans="13:18" ht="12.75">
      <c r="M787" s="17"/>
      <c r="N787" s="35"/>
      <c r="R787" s="17"/>
    </row>
    <row r="788" spans="13:18" ht="12.75">
      <c r="M788" s="17"/>
      <c r="N788" s="35"/>
      <c r="R788" s="17"/>
    </row>
    <row r="789" spans="13:18" ht="12.75">
      <c r="M789" s="17"/>
      <c r="N789" s="35"/>
      <c r="R789" s="17"/>
    </row>
    <row r="790" spans="13:18" ht="12.75">
      <c r="M790" s="17"/>
      <c r="N790" s="35"/>
      <c r="R790" s="17"/>
    </row>
    <row r="791" spans="13:18" ht="12.75">
      <c r="M791" s="17"/>
      <c r="N791" s="35"/>
      <c r="R791" s="17"/>
    </row>
    <row r="792" spans="13:18" ht="12.75">
      <c r="M792" s="17"/>
      <c r="N792" s="35"/>
      <c r="R792" s="17"/>
    </row>
    <row r="793" spans="13:18" ht="12.75">
      <c r="M793" s="17"/>
      <c r="N793" s="35"/>
      <c r="R793" s="17"/>
    </row>
    <row r="794" spans="13:18" ht="12.75">
      <c r="M794" s="17"/>
      <c r="N794" s="35"/>
      <c r="R794" s="17"/>
    </row>
    <row r="795" spans="13:18" ht="12.75">
      <c r="M795" s="17"/>
      <c r="N795" s="35"/>
      <c r="R795" s="17"/>
    </row>
    <row r="796" spans="13:18" ht="12.75">
      <c r="M796" s="17"/>
      <c r="N796" s="35"/>
      <c r="R796" s="17"/>
    </row>
    <row r="797" spans="13:18" ht="12.75">
      <c r="M797" s="17"/>
      <c r="N797" s="35"/>
      <c r="R797" s="17"/>
    </row>
    <row r="798" spans="13:18" ht="12.75">
      <c r="M798" s="17"/>
      <c r="N798" s="35"/>
      <c r="R798" s="17"/>
    </row>
    <row r="799" spans="13:18" ht="12.75">
      <c r="M799" s="17"/>
      <c r="N799" s="35"/>
      <c r="R799" s="17"/>
    </row>
    <row r="800" spans="13:18" ht="12.75">
      <c r="M800" s="17"/>
      <c r="N800" s="35"/>
      <c r="R800" s="17"/>
    </row>
    <row r="801" spans="13:18" ht="12.75">
      <c r="M801" s="17"/>
      <c r="N801" s="35"/>
      <c r="R801" s="17"/>
    </row>
    <row r="802" spans="13:18" ht="12.75">
      <c r="M802" s="17"/>
      <c r="N802" s="35"/>
      <c r="R802" s="17"/>
    </row>
    <row r="803" spans="13:18" ht="12.75">
      <c r="M803" s="17"/>
      <c r="N803" s="35"/>
      <c r="R803" s="17"/>
    </row>
    <row r="804" spans="13:18" ht="12.75">
      <c r="M804" s="17"/>
      <c r="N804" s="35"/>
      <c r="R804" s="17"/>
    </row>
    <row r="805" spans="13:18" ht="12.75">
      <c r="M805" s="17"/>
      <c r="N805" s="35"/>
      <c r="R805" s="17"/>
    </row>
    <row r="806" spans="13:18" ht="12.75">
      <c r="M806" s="17"/>
      <c r="N806" s="35"/>
      <c r="R806" s="17"/>
    </row>
    <row r="807" spans="13:18" ht="12.75">
      <c r="M807" s="17"/>
      <c r="N807" s="35"/>
      <c r="R807" s="17"/>
    </row>
    <row r="808" spans="13:18" ht="12.75">
      <c r="M808" s="17"/>
      <c r="N808" s="35"/>
      <c r="R808" s="17"/>
    </row>
    <row r="809" spans="13:18" ht="12.75">
      <c r="M809" s="17"/>
      <c r="N809" s="35"/>
      <c r="R809" s="17"/>
    </row>
    <row r="810" spans="13:18" ht="12.75">
      <c r="M810" s="17"/>
      <c r="N810" s="35"/>
      <c r="R810" s="17"/>
    </row>
    <row r="811" spans="13:18" ht="12.75">
      <c r="M811" s="17"/>
      <c r="N811" s="35"/>
      <c r="R811" s="17"/>
    </row>
    <row r="812" spans="13:18" ht="12.75">
      <c r="M812" s="17"/>
      <c r="N812" s="35"/>
      <c r="R812" s="17"/>
    </row>
    <row r="813" spans="13:18" ht="12.75">
      <c r="M813" s="17"/>
      <c r="N813" s="35"/>
      <c r="R813" s="17"/>
    </row>
    <row r="814" spans="13:18" ht="12.75">
      <c r="M814" s="17"/>
      <c r="N814" s="35"/>
      <c r="R814" s="17"/>
    </row>
    <row r="815" spans="13:18" ht="12.75">
      <c r="M815" s="17"/>
      <c r="N815" s="35"/>
      <c r="R815" s="17"/>
    </row>
    <row r="816" spans="13:18" ht="12.75">
      <c r="M816" s="17"/>
      <c r="N816" s="35"/>
      <c r="R816" s="17"/>
    </row>
    <row r="817" spans="13:18" ht="12.75">
      <c r="M817" s="17"/>
      <c r="N817" s="35"/>
      <c r="R817" s="17"/>
    </row>
    <row r="818" spans="13:18" ht="12.75">
      <c r="M818" s="17"/>
      <c r="N818" s="35"/>
      <c r="R818" s="17"/>
    </row>
    <row r="819" spans="13:18" ht="12.75">
      <c r="M819" s="17"/>
      <c r="N819" s="35"/>
      <c r="R819" s="17"/>
    </row>
    <row r="820" spans="13:18" ht="12.75">
      <c r="M820" s="17"/>
      <c r="N820" s="35"/>
      <c r="R820" s="17"/>
    </row>
    <row r="821" spans="13:18" ht="12.75">
      <c r="M821" s="17"/>
      <c r="N821" s="35"/>
      <c r="R821" s="17"/>
    </row>
    <row r="822" spans="13:18" ht="12.75">
      <c r="M822" s="17"/>
      <c r="N822" s="35"/>
      <c r="R822" s="17"/>
    </row>
    <row r="823" spans="13:18" ht="12.75">
      <c r="M823" s="17"/>
      <c r="N823" s="35"/>
      <c r="R823" s="17"/>
    </row>
    <row r="824" spans="13:18" ht="12.75">
      <c r="M824" s="17"/>
      <c r="N824" s="35"/>
      <c r="R824" s="17"/>
    </row>
    <row r="825" spans="13:18" ht="12.75">
      <c r="M825" s="17"/>
      <c r="N825" s="35"/>
      <c r="R825" s="17"/>
    </row>
    <row r="826" spans="13:18" ht="12.75">
      <c r="M826" s="17"/>
      <c r="N826" s="35"/>
      <c r="R826" s="17"/>
    </row>
    <row r="827" spans="13:18" ht="12.75">
      <c r="M827" s="17"/>
      <c r="N827" s="35"/>
      <c r="R827" s="17"/>
    </row>
    <row r="828" spans="13:18" ht="12.75">
      <c r="M828" s="17"/>
      <c r="N828" s="35"/>
      <c r="R828" s="17"/>
    </row>
    <row r="829" spans="13:18" ht="12.75">
      <c r="M829" s="17"/>
      <c r="N829" s="35"/>
      <c r="R829" s="17"/>
    </row>
    <row r="830" spans="13:18" ht="12.75">
      <c r="M830" s="17"/>
      <c r="N830" s="35"/>
      <c r="R830" s="17"/>
    </row>
    <row r="831" spans="13:18" ht="12.75">
      <c r="M831" s="17"/>
      <c r="N831" s="35"/>
      <c r="R831" s="17"/>
    </row>
    <row r="832" spans="13:18" ht="12.75">
      <c r="M832" s="17"/>
      <c r="N832" s="35"/>
      <c r="R832" s="17"/>
    </row>
    <row r="833" spans="13:18" ht="12.75">
      <c r="M833" s="17"/>
      <c r="N833" s="35"/>
      <c r="R833" s="17"/>
    </row>
    <row r="834" spans="13:18" ht="12.75">
      <c r="M834" s="17"/>
      <c r="N834" s="35"/>
      <c r="R834" s="17"/>
    </row>
    <row r="835" spans="13:18" ht="12.75">
      <c r="M835" s="17"/>
      <c r="N835" s="35"/>
      <c r="R835" s="17"/>
    </row>
    <row r="836" spans="13:18" ht="12.75">
      <c r="M836" s="17"/>
      <c r="N836" s="35"/>
      <c r="R836" s="17"/>
    </row>
    <row r="837" spans="13:18" ht="12.75">
      <c r="M837" s="17"/>
      <c r="N837" s="35"/>
      <c r="R837" s="17"/>
    </row>
    <row r="838" spans="13:18" ht="12.75">
      <c r="M838" s="17"/>
      <c r="N838" s="35"/>
      <c r="R838" s="17"/>
    </row>
    <row r="839" spans="13:18" ht="12.75">
      <c r="M839" s="17"/>
      <c r="N839" s="35"/>
      <c r="R839" s="17"/>
    </row>
    <row r="840" spans="13:18" ht="12.75">
      <c r="M840" s="17"/>
      <c r="N840" s="35"/>
      <c r="R840" s="17"/>
    </row>
    <row r="841" spans="13:18" ht="12.75">
      <c r="M841" s="17"/>
      <c r="N841" s="35"/>
      <c r="R841" s="17"/>
    </row>
    <row r="842" spans="13:18" ht="12.75">
      <c r="M842" s="17"/>
      <c r="N842" s="35"/>
      <c r="R842" s="17"/>
    </row>
    <row r="843" spans="13:18" ht="12.75">
      <c r="M843" s="17"/>
      <c r="N843" s="35"/>
      <c r="R843" s="17"/>
    </row>
    <row r="844" spans="13:18" ht="12.75">
      <c r="M844" s="17"/>
      <c r="N844" s="35"/>
      <c r="R844" s="17"/>
    </row>
    <row r="845" spans="13:18" ht="12.75">
      <c r="M845" s="17"/>
      <c r="N845" s="35"/>
      <c r="R845" s="17"/>
    </row>
    <row r="846" spans="13:18" ht="12.75">
      <c r="M846" s="17"/>
      <c r="N846" s="35"/>
      <c r="R846" s="17"/>
    </row>
    <row r="847" spans="13:18" ht="12.75">
      <c r="M847" s="17"/>
      <c r="N847" s="35"/>
      <c r="R847" s="17"/>
    </row>
    <row r="848" spans="13:18" ht="12.75">
      <c r="M848" s="17"/>
      <c r="N848" s="35"/>
      <c r="R848" s="17"/>
    </row>
    <row r="849" spans="13:18" ht="12.75">
      <c r="M849" s="17"/>
      <c r="N849" s="35"/>
      <c r="R849" s="17"/>
    </row>
    <row r="850" spans="13:18" ht="12.75">
      <c r="M850" s="17"/>
      <c r="N850" s="35"/>
      <c r="R850" s="17"/>
    </row>
    <row r="851" spans="13:18" ht="12.75">
      <c r="M851" s="17"/>
      <c r="N851" s="35"/>
      <c r="R851" s="17"/>
    </row>
    <row r="852" spans="13:18" ht="12.75">
      <c r="M852" s="17"/>
      <c r="N852" s="35"/>
      <c r="R852" s="17"/>
    </row>
    <row r="853" spans="13:18" ht="12.75">
      <c r="M853" s="17"/>
      <c r="N853" s="35"/>
      <c r="R853" s="17"/>
    </row>
    <row r="854" spans="13:18" ht="12.75">
      <c r="M854" s="17"/>
      <c r="N854" s="35"/>
      <c r="R854" s="17"/>
    </row>
    <row r="855" spans="13:18" ht="12.75">
      <c r="M855" s="17"/>
      <c r="N855" s="35"/>
      <c r="R855" s="17"/>
    </row>
    <row r="856" spans="13:18" ht="12.75">
      <c r="M856" s="17"/>
      <c r="N856" s="35"/>
      <c r="R856" s="17"/>
    </row>
    <row r="857" spans="13:18" ht="12.75">
      <c r="M857" s="17"/>
      <c r="N857" s="35"/>
      <c r="R857" s="17"/>
    </row>
    <row r="858" spans="13:18" ht="12.75">
      <c r="M858" s="17"/>
      <c r="N858" s="35"/>
      <c r="R858" s="17"/>
    </row>
    <row r="859" spans="13:18" ht="12.75">
      <c r="M859" s="17"/>
      <c r="N859" s="35"/>
      <c r="R859" s="17"/>
    </row>
    <row r="860" spans="13:18" ht="12.75">
      <c r="M860" s="17"/>
      <c r="N860" s="35"/>
      <c r="R860" s="17"/>
    </row>
    <row r="861" spans="13:18" ht="12.75">
      <c r="M861" s="17"/>
      <c r="N861" s="35"/>
      <c r="R861" s="17"/>
    </row>
    <row r="862" spans="13:18" ht="12.75">
      <c r="M862" s="17"/>
      <c r="N862" s="35"/>
      <c r="R862" s="17"/>
    </row>
    <row r="863" spans="13:18" ht="12.75">
      <c r="M863" s="17"/>
      <c r="N863" s="35"/>
      <c r="R863" s="17"/>
    </row>
    <row r="864" spans="13:18" ht="12.75">
      <c r="M864" s="17"/>
      <c r="N864" s="35"/>
      <c r="R864" s="17"/>
    </row>
    <row r="865" spans="13:18" ht="12.75">
      <c r="M865" s="17"/>
      <c r="N865" s="35"/>
      <c r="R865" s="17"/>
    </row>
    <row r="866" spans="13:18" ht="12.75">
      <c r="M866" s="17"/>
      <c r="N866" s="35"/>
      <c r="R866" s="17"/>
    </row>
    <row r="867" spans="13:18" ht="12.75">
      <c r="M867" s="17"/>
      <c r="N867" s="35"/>
      <c r="R867" s="17"/>
    </row>
    <row r="868" spans="13:18" ht="12.75">
      <c r="M868" s="17"/>
      <c r="N868" s="35"/>
      <c r="R868" s="17"/>
    </row>
    <row r="869" spans="13:18" ht="12.75">
      <c r="M869" s="17"/>
      <c r="N869" s="35"/>
      <c r="R869" s="17"/>
    </row>
    <row r="870" spans="13:18" ht="12.75">
      <c r="M870" s="17"/>
      <c r="N870" s="35"/>
      <c r="R870" s="17"/>
    </row>
    <row r="871" spans="13:18" ht="12.75">
      <c r="M871" s="17"/>
      <c r="N871" s="35"/>
      <c r="R871" s="17"/>
    </row>
    <row r="872" spans="13:18" ht="12.75">
      <c r="M872" s="17"/>
      <c r="N872" s="35"/>
      <c r="R872" s="17"/>
    </row>
    <row r="873" spans="13:18" ht="12.75">
      <c r="M873" s="17"/>
      <c r="N873" s="35"/>
      <c r="R873" s="17"/>
    </row>
    <row r="874" spans="13:18" ht="12.75">
      <c r="M874" s="17"/>
      <c r="N874" s="35"/>
      <c r="R874" s="17"/>
    </row>
    <row r="875" spans="13:18" ht="12.75">
      <c r="M875" s="17"/>
      <c r="N875" s="35"/>
      <c r="R875" s="17"/>
    </row>
    <row r="876" spans="13:18" ht="12.75">
      <c r="M876" s="17"/>
      <c r="N876" s="35"/>
      <c r="R876" s="17"/>
    </row>
    <row r="877" spans="13:18" ht="12.75">
      <c r="M877" s="17"/>
      <c r="N877" s="35"/>
      <c r="R877" s="17"/>
    </row>
    <row r="878" spans="13:18" ht="12.75">
      <c r="M878" s="17"/>
      <c r="N878" s="35"/>
      <c r="R878" s="17"/>
    </row>
    <row r="879" spans="13:18" ht="12.75">
      <c r="M879" s="17"/>
      <c r="N879" s="35"/>
      <c r="R879" s="17"/>
    </row>
    <row r="880" spans="13:18" ht="12.75">
      <c r="M880" s="17"/>
      <c r="N880" s="35"/>
      <c r="R880" s="17"/>
    </row>
    <row r="881" spans="13:18" ht="12.75">
      <c r="M881" s="17"/>
      <c r="N881" s="35"/>
      <c r="R881" s="17"/>
    </row>
    <row r="882" spans="13:18" ht="12.75">
      <c r="M882" s="17"/>
      <c r="N882" s="35"/>
      <c r="R882" s="17"/>
    </row>
    <row r="883" spans="13:18" ht="12.75">
      <c r="M883" s="17"/>
      <c r="N883" s="35"/>
      <c r="R883" s="17"/>
    </row>
    <row r="884" spans="13:18" ht="12.75">
      <c r="M884" s="17"/>
      <c r="N884" s="35"/>
      <c r="R884" s="17"/>
    </row>
    <row r="885" spans="13:18" ht="12.75">
      <c r="M885" s="17"/>
      <c r="N885" s="35"/>
      <c r="R885" s="17"/>
    </row>
    <row r="886" spans="13:18" ht="12.75">
      <c r="M886" s="17"/>
      <c r="N886" s="35"/>
      <c r="R886" s="17"/>
    </row>
    <row r="887" spans="13:18" ht="12.75">
      <c r="M887" s="17"/>
      <c r="N887" s="35"/>
      <c r="R887" s="17"/>
    </row>
    <row r="888" spans="13:18" ht="12.75">
      <c r="M888" s="17"/>
      <c r="N888" s="35"/>
      <c r="R888" s="17"/>
    </row>
    <row r="889" spans="13:18" ht="12.75">
      <c r="M889" s="17"/>
      <c r="N889" s="35"/>
      <c r="R889" s="17"/>
    </row>
    <row r="890" spans="13:18" ht="12.75">
      <c r="M890" s="17"/>
      <c r="N890" s="35"/>
      <c r="R890" s="17"/>
    </row>
    <row r="891" spans="13:18" ht="12.75">
      <c r="M891" s="17"/>
      <c r="N891" s="35"/>
      <c r="R891" s="17"/>
    </row>
    <row r="892" spans="13:18" ht="12.75">
      <c r="M892" s="17"/>
      <c r="N892" s="35"/>
      <c r="R892" s="17"/>
    </row>
    <row r="893" spans="13:18" ht="12.75">
      <c r="M893" s="17"/>
      <c r="N893" s="35"/>
      <c r="R893" s="17"/>
    </row>
    <row r="894" spans="13:18" ht="12.75">
      <c r="M894" s="17"/>
      <c r="N894" s="35"/>
      <c r="R894" s="17"/>
    </row>
    <row r="895" spans="13:18" ht="12.75">
      <c r="M895" s="17"/>
      <c r="N895" s="35"/>
      <c r="R895" s="17"/>
    </row>
    <row r="896" spans="13:18" ht="12.75">
      <c r="M896" s="17"/>
      <c r="N896" s="35"/>
      <c r="R896" s="17"/>
    </row>
    <row r="897" spans="13:18" ht="12.75">
      <c r="M897" s="17"/>
      <c r="N897" s="35"/>
      <c r="R897" s="17"/>
    </row>
    <row r="898" spans="13:18" ht="12.75">
      <c r="M898" s="17"/>
      <c r="N898" s="35"/>
      <c r="R898" s="17"/>
    </row>
    <row r="899" spans="13:18" ht="12.75">
      <c r="M899" s="17"/>
      <c r="N899" s="35"/>
      <c r="R899" s="17"/>
    </row>
    <row r="900" spans="13:18" ht="12.75">
      <c r="M900" s="17"/>
      <c r="N900" s="35"/>
      <c r="R900" s="17"/>
    </row>
    <row r="901" spans="13:18" ht="12.75">
      <c r="M901" s="17"/>
      <c r="N901" s="35"/>
      <c r="R901" s="17"/>
    </row>
    <row r="902" spans="13:18" ht="12.75">
      <c r="M902" s="17"/>
      <c r="N902" s="35"/>
      <c r="R902" s="17"/>
    </row>
    <row r="903" spans="13:18" ht="12.75">
      <c r="M903" s="17"/>
      <c r="N903" s="35"/>
      <c r="R903" s="17"/>
    </row>
    <row r="904" spans="13:18" ht="12.75">
      <c r="M904" s="17"/>
      <c r="N904" s="35"/>
      <c r="R904" s="17"/>
    </row>
    <row r="905" spans="13:18" ht="12.75">
      <c r="M905" s="17"/>
      <c r="N905" s="35"/>
      <c r="R905" s="17"/>
    </row>
    <row r="906" spans="13:18" ht="12.75">
      <c r="M906" s="17"/>
      <c r="N906" s="35"/>
      <c r="R906" s="17"/>
    </row>
    <row r="907" spans="13:18" ht="12.75">
      <c r="M907" s="17"/>
      <c r="N907" s="35"/>
      <c r="R907" s="17"/>
    </row>
    <row r="908" spans="13:18" ht="12.75">
      <c r="M908" s="17"/>
      <c r="N908" s="35"/>
      <c r="R908" s="17"/>
    </row>
    <row r="909" spans="13:18" ht="12.75">
      <c r="M909" s="17"/>
      <c r="N909" s="35"/>
      <c r="R909" s="17"/>
    </row>
    <row r="910" spans="13:18" ht="12.75">
      <c r="M910" s="17"/>
      <c r="N910" s="35"/>
      <c r="R910" s="17"/>
    </row>
    <row r="911" spans="13:18" ht="12.75">
      <c r="M911" s="17"/>
      <c r="N911" s="35"/>
      <c r="R911" s="17"/>
    </row>
    <row r="912" spans="13:18" ht="12.75">
      <c r="M912" s="17"/>
      <c r="N912" s="35"/>
      <c r="R912" s="17"/>
    </row>
    <row r="913" spans="13:18" ht="12.75">
      <c r="M913" s="17"/>
      <c r="N913" s="35"/>
      <c r="R913" s="17"/>
    </row>
    <row r="914" spans="13:18" ht="12.75">
      <c r="M914" s="17"/>
      <c r="N914" s="35"/>
      <c r="R914" s="17"/>
    </row>
    <row r="915" spans="13:18" ht="12.75">
      <c r="M915" s="17"/>
      <c r="N915" s="35"/>
      <c r="R915" s="17"/>
    </row>
    <row r="916" spans="13:18" ht="12.75">
      <c r="M916" s="17"/>
      <c r="N916" s="35"/>
      <c r="R916" s="17"/>
    </row>
    <row r="917" spans="13:18" ht="12.75">
      <c r="M917" s="17"/>
      <c r="N917" s="35"/>
      <c r="R917" s="17"/>
    </row>
    <row r="918" spans="13:18" ht="12.75">
      <c r="M918" s="17"/>
      <c r="N918" s="35"/>
      <c r="R918" s="17"/>
    </row>
    <row r="919" spans="13:18" ht="12.75">
      <c r="M919" s="17"/>
      <c r="N919" s="35"/>
      <c r="R919" s="17"/>
    </row>
    <row r="920" spans="13:18" ht="12.75">
      <c r="M920" s="17"/>
      <c r="N920" s="35"/>
      <c r="R920" s="17"/>
    </row>
    <row r="921" spans="13:18" ht="12.75">
      <c r="M921" s="17"/>
      <c r="N921" s="35"/>
      <c r="R921" s="17"/>
    </row>
    <row r="922" spans="13:18" ht="12.75">
      <c r="M922" s="17"/>
      <c r="N922" s="35"/>
      <c r="R922" s="17"/>
    </row>
    <row r="923" spans="13:18" ht="12.75">
      <c r="M923" s="17"/>
      <c r="N923" s="35"/>
      <c r="R923" s="17"/>
    </row>
    <row r="924" spans="13:18" ht="12.75">
      <c r="M924" s="17"/>
      <c r="N924" s="35"/>
      <c r="R924" s="17"/>
    </row>
    <row r="925" spans="13:18" ht="12.75">
      <c r="M925" s="17"/>
      <c r="N925" s="35"/>
      <c r="R925" s="17"/>
    </row>
    <row r="926" spans="13:18" ht="12.75">
      <c r="M926" s="17"/>
      <c r="N926" s="35"/>
      <c r="R926" s="17"/>
    </row>
    <row r="927" spans="13:18" ht="12.75">
      <c r="M927" s="17"/>
      <c r="N927" s="35"/>
      <c r="R927" s="17"/>
    </row>
    <row r="928" spans="13:18" ht="12.75">
      <c r="M928" s="17"/>
      <c r="N928" s="35"/>
      <c r="R928" s="17"/>
    </row>
    <row r="929" spans="13:18" ht="12.75">
      <c r="M929" s="17"/>
      <c r="N929" s="35"/>
      <c r="R929" s="17"/>
    </row>
    <row r="930" spans="13:18" ht="12.75">
      <c r="M930" s="17"/>
      <c r="N930" s="35"/>
      <c r="R930" s="17"/>
    </row>
    <row r="931" spans="13:18" ht="12.75">
      <c r="M931" s="17"/>
      <c r="N931" s="35"/>
      <c r="R931" s="17"/>
    </row>
    <row r="932" spans="13:18" ht="12.75">
      <c r="M932" s="17"/>
      <c r="N932" s="35"/>
      <c r="R932" s="17"/>
    </row>
    <row r="933" spans="13:18" ht="12.75">
      <c r="M933" s="17"/>
      <c r="N933" s="35"/>
      <c r="R933" s="17"/>
    </row>
    <row r="934" spans="13:18" ht="12.75">
      <c r="M934" s="17"/>
      <c r="N934" s="35"/>
      <c r="R934" s="17"/>
    </row>
    <row r="935" spans="13:18" ht="12.75">
      <c r="M935" s="17"/>
      <c r="N935" s="35"/>
      <c r="R935" s="17"/>
    </row>
    <row r="936" spans="13:18" ht="12.75">
      <c r="M936" s="17"/>
      <c r="N936" s="35"/>
      <c r="R936" s="17"/>
    </row>
    <row r="937" spans="13:18" ht="12.75">
      <c r="M937" s="17"/>
      <c r="N937" s="35"/>
      <c r="R937" s="17"/>
    </row>
    <row r="938" spans="13:18" ht="12.75">
      <c r="M938" s="17"/>
      <c r="N938" s="35"/>
      <c r="R938" s="17"/>
    </row>
    <row r="939" spans="13:18" ht="12.75">
      <c r="M939" s="17"/>
      <c r="N939" s="35"/>
      <c r="R939" s="17"/>
    </row>
    <row r="940" spans="13:18" ht="12.75">
      <c r="M940" s="17"/>
      <c r="N940" s="35"/>
      <c r="R940" s="17"/>
    </row>
    <row r="941" spans="13:18" ht="12.75">
      <c r="M941" s="17"/>
      <c r="N941" s="35"/>
      <c r="R941" s="17"/>
    </row>
    <row r="942" spans="13:18" ht="12.75">
      <c r="M942" s="17"/>
      <c r="N942" s="35"/>
      <c r="R942" s="17"/>
    </row>
    <row r="943" spans="13:18" ht="12.75">
      <c r="M943" s="17"/>
      <c r="N943" s="35"/>
      <c r="R943" s="17"/>
    </row>
    <row r="944" spans="13:18" ht="12.75">
      <c r="M944" s="17"/>
      <c r="N944" s="35"/>
      <c r="R944" s="17"/>
    </row>
    <row r="945" spans="13:18" ht="12.75">
      <c r="M945" s="17"/>
      <c r="N945" s="35"/>
      <c r="R945" s="17"/>
    </row>
    <row r="946" spans="13:18" ht="12.75">
      <c r="M946" s="17"/>
      <c r="N946" s="35"/>
      <c r="R946" s="17"/>
    </row>
    <row r="947" spans="13:18" ht="12.75">
      <c r="M947" s="17"/>
      <c r="N947" s="35"/>
      <c r="R947" s="17"/>
    </row>
    <row r="948" spans="13:18" ht="12.75">
      <c r="M948" s="17"/>
      <c r="N948" s="35"/>
      <c r="R948" s="17"/>
    </row>
    <row r="949" spans="13:18" ht="12.75">
      <c r="M949" s="17"/>
      <c r="N949" s="35"/>
      <c r="R949" s="17"/>
    </row>
    <row r="950" spans="13:18" ht="12.75">
      <c r="M950" s="17"/>
      <c r="N950" s="35"/>
      <c r="R950" s="17"/>
    </row>
    <row r="951" spans="13:18" ht="12.75">
      <c r="M951" s="17"/>
      <c r="N951" s="35"/>
      <c r="R951" s="17"/>
    </row>
    <row r="952" spans="13:18" ht="12.75">
      <c r="M952" s="17"/>
      <c r="N952" s="35"/>
      <c r="R952" s="17"/>
    </row>
    <row r="953" spans="13:18" ht="12.75">
      <c r="M953" s="17"/>
      <c r="N953" s="35"/>
      <c r="R953" s="17"/>
    </row>
    <row r="954" spans="13:18" ht="12.75">
      <c r="M954" s="17"/>
      <c r="N954" s="35"/>
      <c r="R954" s="17"/>
    </row>
    <row r="955" spans="13:18" ht="12.75">
      <c r="M955" s="17"/>
      <c r="N955" s="35"/>
      <c r="R955" s="17"/>
    </row>
    <row r="956" spans="13:18" ht="12.75">
      <c r="M956" s="17"/>
      <c r="N956" s="35"/>
      <c r="R956" s="17"/>
    </row>
    <row r="957" spans="13:18" ht="12.75">
      <c r="M957" s="17"/>
      <c r="N957" s="35"/>
      <c r="R957" s="17"/>
    </row>
    <row r="958" spans="13:18" ht="12.75">
      <c r="M958" s="17"/>
      <c r="N958" s="35"/>
      <c r="R958" s="17"/>
    </row>
    <row r="959" spans="13:18" ht="12.75">
      <c r="M959" s="17"/>
      <c r="N959" s="35"/>
      <c r="R959" s="17"/>
    </row>
    <row r="960" spans="13:18" ht="12.75">
      <c r="M960" s="17"/>
      <c r="N960" s="35"/>
      <c r="R960" s="17"/>
    </row>
    <row r="961" spans="13:18" ht="12.75">
      <c r="M961" s="17"/>
      <c r="N961" s="35"/>
      <c r="R961" s="17"/>
    </row>
    <row r="962" spans="13:18" ht="12.75">
      <c r="M962" s="17"/>
      <c r="N962" s="35"/>
      <c r="R962" s="17"/>
    </row>
    <row r="963" spans="13:18" ht="12.75">
      <c r="M963" s="17"/>
      <c r="N963" s="35"/>
      <c r="R963" s="17"/>
    </row>
    <row r="964" spans="13:18" ht="12.75">
      <c r="M964" s="17"/>
      <c r="N964" s="35"/>
      <c r="R964" s="17"/>
    </row>
    <row r="965" spans="13:18" ht="12.75">
      <c r="M965" s="17"/>
      <c r="N965" s="35"/>
      <c r="R965" s="17"/>
    </row>
    <row r="966" spans="13:18" ht="12.75">
      <c r="M966" s="17"/>
      <c r="N966" s="35"/>
      <c r="R966" s="17"/>
    </row>
    <row r="967" spans="13:18" ht="12.75">
      <c r="M967" s="17"/>
      <c r="N967" s="35"/>
      <c r="R967" s="17"/>
    </row>
    <row r="968" spans="13:18" ht="12.75">
      <c r="M968" s="17"/>
      <c r="N968" s="35"/>
      <c r="R968" s="17"/>
    </row>
    <row r="969" spans="13:18" ht="12.75">
      <c r="M969" s="17"/>
      <c r="N969" s="35"/>
      <c r="R969" s="17"/>
    </row>
    <row r="970" spans="13:18" ht="12.75">
      <c r="M970" s="17"/>
      <c r="N970" s="35"/>
      <c r="R970" s="17"/>
    </row>
    <row r="971" spans="13:18" ht="12.75">
      <c r="M971" s="17"/>
      <c r="N971" s="35"/>
      <c r="R971" s="17"/>
    </row>
    <row r="972" spans="13:18" ht="12.75">
      <c r="M972" s="17"/>
      <c r="N972" s="35"/>
      <c r="R972" s="17"/>
    </row>
    <row r="973" spans="13:18" ht="12.75">
      <c r="M973" s="17"/>
      <c r="N973" s="35"/>
      <c r="R973" s="17"/>
    </row>
    <row r="974" spans="13:18" ht="12.75">
      <c r="M974" s="17"/>
      <c r="N974" s="35"/>
      <c r="R974" s="17"/>
    </row>
    <row r="975" spans="13:18" ht="12.75">
      <c r="M975" s="17"/>
      <c r="N975" s="35"/>
      <c r="R975" s="17"/>
    </row>
    <row r="976" spans="13:18" ht="12.75">
      <c r="M976" s="17"/>
      <c r="N976" s="35"/>
      <c r="R976" s="17"/>
    </row>
    <row r="977" spans="13:18" ht="12.75">
      <c r="M977" s="17"/>
      <c r="N977" s="35"/>
      <c r="R977" s="17"/>
    </row>
    <row r="978" spans="13:18" ht="12.75">
      <c r="M978" s="17"/>
      <c r="N978" s="35"/>
      <c r="R978" s="17"/>
    </row>
    <row r="979" spans="13:18" ht="12.75">
      <c r="M979" s="17"/>
      <c r="N979" s="35"/>
      <c r="R979" s="17"/>
    </row>
    <row r="980" spans="13:18" ht="12.75">
      <c r="M980" s="17"/>
      <c r="N980" s="35"/>
      <c r="R980" s="17"/>
    </row>
    <row r="981" spans="13:18" ht="12.75">
      <c r="M981" s="17"/>
      <c r="N981" s="35"/>
      <c r="R981" s="17"/>
    </row>
    <row r="982" spans="13:18" ht="12.75">
      <c r="M982" s="17"/>
      <c r="N982" s="35"/>
      <c r="R982" s="17"/>
    </row>
    <row r="983" spans="13:18" ht="12.75">
      <c r="M983" s="17"/>
      <c r="N983" s="35"/>
      <c r="R983" s="17"/>
    </row>
    <row r="984" spans="13:18" ht="12.75">
      <c r="M984" s="17"/>
      <c r="N984" s="35"/>
      <c r="R984" s="17"/>
    </row>
    <row r="985" spans="13:18" ht="12.75">
      <c r="M985" s="17"/>
      <c r="N985" s="35"/>
      <c r="R985" s="17"/>
    </row>
    <row r="986" spans="13:18" ht="12.75">
      <c r="M986" s="17"/>
      <c r="N986" s="35"/>
      <c r="R986" s="17"/>
    </row>
    <row r="987" spans="13:18" ht="12.75">
      <c r="M987" s="17"/>
      <c r="N987" s="35"/>
      <c r="R987" s="17"/>
    </row>
    <row r="988" spans="13:18" ht="12.75">
      <c r="M988" s="17"/>
      <c r="N988" s="35"/>
      <c r="R988" s="17"/>
    </row>
    <row r="989" spans="13:18" ht="12.75">
      <c r="M989" s="17"/>
      <c r="N989" s="35"/>
      <c r="R989" s="17"/>
    </row>
    <row r="990" spans="13:18" ht="12.75">
      <c r="M990" s="17"/>
      <c r="N990" s="35"/>
      <c r="R990" s="17"/>
    </row>
    <row r="991" spans="13:18" ht="12.75">
      <c r="M991" s="17"/>
      <c r="N991" s="35"/>
      <c r="R991" s="17"/>
    </row>
    <row r="992" spans="13:18" ht="12.75">
      <c r="M992" s="17"/>
      <c r="N992" s="35"/>
      <c r="R992" s="17"/>
    </row>
    <row r="993" spans="13:18" ht="12.75">
      <c r="M993" s="17"/>
      <c r="N993" s="35"/>
      <c r="R993" s="17"/>
    </row>
    <row r="994" spans="13:18" ht="12.75">
      <c r="M994" s="17"/>
      <c r="N994" s="35"/>
      <c r="R994" s="17"/>
    </row>
    <row r="995" spans="13:18" ht="12.75">
      <c r="M995" s="17"/>
      <c r="N995" s="35"/>
      <c r="R995" s="17"/>
    </row>
    <row r="996" spans="13:18" ht="12.75">
      <c r="M996" s="17"/>
      <c r="N996" s="35"/>
      <c r="R996" s="17"/>
    </row>
    <row r="997" spans="13:18" ht="12.75">
      <c r="M997" s="17"/>
      <c r="N997" s="35"/>
      <c r="R997" s="17"/>
    </row>
    <row r="998" spans="13:18" ht="12.75">
      <c r="M998" s="17"/>
      <c r="N998" s="35"/>
      <c r="R998" s="17"/>
    </row>
    <row r="999" spans="13:18" ht="12.75">
      <c r="M999" s="17"/>
      <c r="N999" s="35"/>
      <c r="R999" s="17"/>
    </row>
    <row r="1000" spans="13:18" ht="12.75">
      <c r="M1000" s="17"/>
      <c r="N1000" s="35"/>
      <c r="R1000" s="17"/>
    </row>
  </sheetData>
  <autoFilter ref="A1:R111" xr:uid="{00000000-0009-0000-0000-00000A000000}"/>
  <customSheetViews>
    <customSheetView guid="{D4D06763-5632-4CAF-A0BD-7BAD6B3784B6}" filter="1" showAutoFilter="1">
      <pageMargins left="0.7" right="0.7" top="0.75" bottom="0.75" header="0.3" footer="0.3"/>
      <autoFilter ref="B1:L112" xr:uid="{00000000-0000-0000-0000-000000000000}"/>
    </customSheetView>
  </customSheetViews>
  <conditionalFormatting sqref="I105">
    <cfRule type="expression" dxfId="15" priority="1">
      <formula>$C104="N"</formula>
    </cfRule>
  </conditionalFormatting>
  <conditionalFormatting sqref="L1:M118 L228:M1000">
    <cfRule type="expression" dxfId="14" priority="2">
      <formula>AND(C1="Y",L1="")</formula>
    </cfRule>
  </conditionalFormatting>
  <conditionalFormatting sqref="B2:H111 I2:I103 J2:K111 I106:I111 B119:D227 F119:G233 H119:K229">
    <cfRule type="expression" dxfId="13" priority="3">
      <formula>$C2="N"</formula>
    </cfRule>
  </conditionalFormatting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AB228"/>
  <sheetViews>
    <sheetView workbookViewId="0"/>
  </sheetViews>
  <sheetFormatPr defaultColWidth="14.3984375" defaultRowHeight="15.75" customHeight="1"/>
  <cols>
    <col min="1" max="1" width="5.1328125" customWidth="1"/>
    <col min="2" max="2" width="30" customWidth="1"/>
    <col min="3" max="12" width="18" customWidth="1"/>
  </cols>
  <sheetData>
    <row r="2" spans="2:21" ht="15.75" customHeight="1">
      <c r="B2" s="41" t="str">
        <f>'Nov 2-8'!B2</f>
        <v>UNIT</v>
      </c>
      <c r="C2" s="42" t="s">
        <v>149</v>
      </c>
      <c r="D2" s="42" t="s">
        <v>150</v>
      </c>
      <c r="E2" s="42" t="s">
        <v>151</v>
      </c>
      <c r="F2" s="42" t="s">
        <v>152</v>
      </c>
      <c r="G2" s="42" t="s">
        <v>153</v>
      </c>
      <c r="H2" s="42" t="s">
        <v>154</v>
      </c>
      <c r="I2" s="42" t="s">
        <v>155</v>
      </c>
      <c r="J2" s="41"/>
      <c r="K2" s="41"/>
      <c r="L2" s="41"/>
      <c r="M2" s="1">
        <f>'Nov 2-8'!K2</f>
        <v>0</v>
      </c>
      <c r="N2" s="1">
        <f>'Nov 2-8'!L2</f>
        <v>0</v>
      </c>
      <c r="O2" s="1">
        <f>'Nov 2-8'!M2</f>
        <v>0</v>
      </c>
      <c r="P2" s="1">
        <f>'Nov 2-8'!N2</f>
        <v>0</v>
      </c>
      <c r="Q2" s="1">
        <f>'Nov 2-8'!O2</f>
        <v>0</v>
      </c>
      <c r="R2" s="1">
        <f>'Nov 2-8'!P2</f>
        <v>0</v>
      </c>
      <c r="S2" s="1">
        <f>'Nov 2-8'!Q2</f>
        <v>0</v>
      </c>
      <c r="T2" s="1">
        <f>'Nov 2-8'!R2</f>
        <v>0</v>
      </c>
      <c r="U2" s="1">
        <f>'Nov 2-8'!S2</f>
        <v>0</v>
      </c>
    </row>
    <row r="3" spans="2:21">
      <c r="B3" s="1" t="str">
        <f>'Nov 16-22'!B3</f>
        <v>10 7th Street</v>
      </c>
      <c r="C3" s="1">
        <v>0</v>
      </c>
      <c r="D3" s="1">
        <v>34</v>
      </c>
      <c r="E3" s="1">
        <v>6</v>
      </c>
      <c r="F3" s="1">
        <v>43</v>
      </c>
      <c r="G3" s="1">
        <f t="shared" ref="G3:G111" si="0">SUM(C3:F3)</f>
        <v>83</v>
      </c>
    </row>
    <row r="4" spans="2:21">
      <c r="B4" s="1" t="str">
        <f>'Nov 16-22'!B4</f>
        <v>1008 Tremont Street Unit 3</v>
      </c>
      <c r="C4" s="1">
        <v>25</v>
      </c>
      <c r="D4" s="1">
        <v>13</v>
      </c>
      <c r="E4" s="1">
        <v>9</v>
      </c>
      <c r="F4" s="1">
        <v>5</v>
      </c>
      <c r="G4" s="1">
        <f t="shared" si="0"/>
        <v>52</v>
      </c>
    </row>
    <row r="5" spans="2:21">
      <c r="B5" s="1" t="str">
        <f>'Nov 16-22'!B5</f>
        <v>1008 Tremont Street Unit 6</v>
      </c>
      <c r="C5" s="1">
        <v>53</v>
      </c>
      <c r="D5" s="1">
        <v>0</v>
      </c>
      <c r="E5" s="1">
        <v>0</v>
      </c>
      <c r="F5" s="1">
        <v>3</v>
      </c>
      <c r="G5" s="1">
        <f t="shared" si="0"/>
        <v>56</v>
      </c>
    </row>
    <row r="6" spans="2:21">
      <c r="B6" s="1" t="str">
        <f>'Nov 16-22'!B6</f>
        <v>101 Heath Street Unit 1</v>
      </c>
      <c r="C6" s="1">
        <v>55</v>
      </c>
      <c r="D6" s="1">
        <v>0</v>
      </c>
      <c r="E6" s="1">
        <v>21</v>
      </c>
      <c r="F6" s="1">
        <v>17</v>
      </c>
      <c r="G6" s="1">
        <f t="shared" si="0"/>
        <v>93</v>
      </c>
    </row>
    <row r="7" spans="2:21">
      <c r="B7" s="1" t="str">
        <f>'Nov 16-22'!B7</f>
        <v>106 Hyde Park Avenue Unit 2</v>
      </c>
      <c r="C7" s="1">
        <v>0</v>
      </c>
      <c r="D7" s="1">
        <v>13</v>
      </c>
      <c r="E7" s="1">
        <v>11</v>
      </c>
      <c r="F7" s="1">
        <v>13</v>
      </c>
      <c r="G7" s="1">
        <f t="shared" si="0"/>
        <v>37</v>
      </c>
    </row>
    <row r="8" spans="2:21">
      <c r="B8" s="1" t="str">
        <f>'Nov 16-22'!B8</f>
        <v>106 Hyde Park Avenue Unit 3</v>
      </c>
      <c r="C8" s="1">
        <v>47</v>
      </c>
      <c r="D8" s="1">
        <v>30</v>
      </c>
      <c r="E8" s="1">
        <v>57</v>
      </c>
      <c r="F8" s="1">
        <v>20</v>
      </c>
      <c r="G8" s="1">
        <f t="shared" si="0"/>
        <v>154</v>
      </c>
    </row>
    <row r="9" spans="2:21">
      <c r="B9" s="1" t="str">
        <f>'Nov 16-22'!B9</f>
        <v>108 Central Street Unit 3L</v>
      </c>
      <c r="C9" s="1">
        <v>26</v>
      </c>
      <c r="D9" s="1">
        <v>15</v>
      </c>
      <c r="E9" s="1">
        <v>23</v>
      </c>
      <c r="F9" s="1">
        <v>28</v>
      </c>
      <c r="G9" s="1">
        <f t="shared" si="0"/>
        <v>92</v>
      </c>
    </row>
    <row r="10" spans="2:21">
      <c r="B10" s="1" t="str">
        <f>'Nov 16-22'!B10</f>
        <v>108 Hyde Park Avenue Unit 2</v>
      </c>
      <c r="C10" s="1">
        <v>34</v>
      </c>
      <c r="D10" s="1">
        <v>16</v>
      </c>
      <c r="E10" s="1">
        <v>10</v>
      </c>
      <c r="F10" s="1">
        <v>5</v>
      </c>
      <c r="G10" s="1">
        <f t="shared" si="0"/>
        <v>65</v>
      </c>
    </row>
    <row r="11" spans="2:21">
      <c r="B11" s="1" t="str">
        <f>'Nov 16-22'!B11</f>
        <v>108 Hyde Park Avenue Unit 3</v>
      </c>
      <c r="C11" s="1">
        <v>89</v>
      </c>
      <c r="D11" s="1">
        <v>2</v>
      </c>
      <c r="E11" s="1">
        <v>8</v>
      </c>
      <c r="F11" s="1">
        <v>9</v>
      </c>
      <c r="G11" s="1">
        <f t="shared" si="0"/>
        <v>108</v>
      </c>
    </row>
    <row r="12" spans="2:21">
      <c r="B12" s="1" t="str">
        <f>'Nov 16-22'!B12</f>
        <v>1099 Cambridge Street Unit 1</v>
      </c>
      <c r="C12" s="1">
        <v>8</v>
      </c>
      <c r="D12" s="1">
        <v>56</v>
      </c>
      <c r="E12" s="1">
        <v>19</v>
      </c>
      <c r="F12" s="1">
        <v>19</v>
      </c>
      <c r="G12" s="1">
        <f t="shared" si="0"/>
        <v>102</v>
      </c>
    </row>
    <row r="13" spans="2:21">
      <c r="B13" s="1" t="str">
        <f>'Nov 16-22'!B13</f>
        <v>110 Hamilton Street Unit 2</v>
      </c>
      <c r="C13" s="1">
        <v>58</v>
      </c>
      <c r="D13" s="1">
        <v>72</v>
      </c>
      <c r="E13" s="1">
        <v>9</v>
      </c>
      <c r="F13" s="1">
        <v>14</v>
      </c>
      <c r="G13" s="1">
        <f t="shared" si="0"/>
        <v>153</v>
      </c>
    </row>
    <row r="14" spans="2:21">
      <c r="B14" s="1" t="str">
        <f>'Nov 16-22'!B14</f>
        <v>110 Hamilton Street Unit 3</v>
      </c>
      <c r="C14" s="1">
        <v>42</v>
      </c>
      <c r="D14" s="1">
        <v>0</v>
      </c>
      <c r="E14" s="1">
        <v>0</v>
      </c>
      <c r="F14" s="1">
        <v>0</v>
      </c>
      <c r="G14" s="1">
        <f t="shared" si="0"/>
        <v>42</v>
      </c>
    </row>
    <row r="15" spans="2:21">
      <c r="B15" s="1" t="str">
        <f>'Nov 16-22'!B15</f>
        <v>1111 Boylston Street Unit 26</v>
      </c>
      <c r="C15" s="1">
        <v>2</v>
      </c>
      <c r="D15" s="1">
        <v>40</v>
      </c>
      <c r="E15" s="1">
        <v>43</v>
      </c>
      <c r="F15" s="1">
        <v>57</v>
      </c>
      <c r="G15" s="1">
        <f t="shared" si="0"/>
        <v>142</v>
      </c>
    </row>
    <row r="16" spans="2:21">
      <c r="B16" s="1" t="str">
        <f>'Nov 16-22'!B16</f>
        <v>114 Thornton Street Unit 1</v>
      </c>
      <c r="C16" s="1">
        <v>31</v>
      </c>
      <c r="D16" s="1">
        <v>22</v>
      </c>
      <c r="E16" s="1">
        <v>29</v>
      </c>
      <c r="F16" s="1">
        <v>27</v>
      </c>
      <c r="G16" s="1">
        <f t="shared" si="0"/>
        <v>109</v>
      </c>
    </row>
    <row r="17" spans="2:7">
      <c r="B17" s="1" t="str">
        <f>'Nov 16-22'!B17</f>
        <v>116 Thornton Street Unit 2</v>
      </c>
      <c r="C17" s="1">
        <v>9</v>
      </c>
      <c r="D17" s="1">
        <v>26</v>
      </c>
      <c r="E17" s="1">
        <v>0</v>
      </c>
      <c r="F17" s="1">
        <v>2</v>
      </c>
      <c r="G17" s="1">
        <f t="shared" si="0"/>
        <v>37</v>
      </c>
    </row>
    <row r="18" spans="2:7">
      <c r="B18" s="1" t="str">
        <f>'Nov 16-22'!B18</f>
        <v>116 Thornton Street Unit 3</v>
      </c>
      <c r="C18" s="1">
        <v>16</v>
      </c>
      <c r="D18" s="1">
        <v>30</v>
      </c>
      <c r="E18" s="1">
        <v>52</v>
      </c>
      <c r="F18" s="1">
        <v>54</v>
      </c>
      <c r="G18" s="1">
        <f t="shared" si="0"/>
        <v>152</v>
      </c>
    </row>
    <row r="19" spans="2:7">
      <c r="B19" s="1" t="str">
        <f>'Nov 16-22'!B19</f>
        <v>12 7th Street</v>
      </c>
      <c r="C19" s="1">
        <v>43</v>
      </c>
      <c r="D19" s="1">
        <v>0</v>
      </c>
      <c r="E19" s="1">
        <v>0</v>
      </c>
      <c r="F19" s="1">
        <v>0</v>
      </c>
      <c r="G19" s="1">
        <f t="shared" si="0"/>
        <v>43</v>
      </c>
    </row>
    <row r="20" spans="2:7" ht="12.75">
      <c r="B20" s="1" t="str">
        <f>'Nov 16-22'!B20</f>
        <v>12 Estrella Street Unit 2</v>
      </c>
      <c r="C20" s="1">
        <v>1</v>
      </c>
      <c r="D20" s="1">
        <v>43</v>
      </c>
      <c r="E20" s="1">
        <v>6</v>
      </c>
      <c r="F20" s="1">
        <v>5</v>
      </c>
      <c r="G20" s="1">
        <f t="shared" si="0"/>
        <v>55</v>
      </c>
    </row>
    <row r="21" spans="2:7" ht="12.75">
      <c r="B21" s="1" t="str">
        <f>'Nov 16-22'!B21</f>
        <v>12 Stoneholm Street Unit 610</v>
      </c>
      <c r="C21" s="1">
        <v>27</v>
      </c>
      <c r="D21" s="1">
        <v>1</v>
      </c>
      <c r="E21" s="1">
        <v>17</v>
      </c>
      <c r="F21" s="1">
        <v>23</v>
      </c>
      <c r="G21" s="1">
        <f t="shared" si="0"/>
        <v>68</v>
      </c>
    </row>
    <row r="22" spans="2:7" ht="12.75">
      <c r="B22" s="1" t="str">
        <f>'Nov 16-22'!B22</f>
        <v>12 Verndale Street Unit 1</v>
      </c>
      <c r="C22" s="1">
        <v>12</v>
      </c>
      <c r="D22" s="1">
        <v>27</v>
      </c>
      <c r="E22" s="1">
        <v>22</v>
      </c>
      <c r="F22" s="1">
        <v>28</v>
      </c>
      <c r="G22" s="1">
        <f t="shared" si="0"/>
        <v>89</v>
      </c>
    </row>
    <row r="23" spans="2:7" ht="12.75">
      <c r="B23" s="1" t="str">
        <f>'Nov 16-22'!B23</f>
        <v>12 Verndale Street Unit 2</v>
      </c>
      <c r="C23" s="1">
        <v>13</v>
      </c>
      <c r="D23" s="1">
        <v>12</v>
      </c>
      <c r="E23" s="1">
        <v>76</v>
      </c>
      <c r="F23" s="1">
        <v>21</v>
      </c>
      <c r="G23" s="1">
        <f t="shared" si="0"/>
        <v>122</v>
      </c>
    </row>
    <row r="24" spans="2:7" ht="12.75">
      <c r="B24" s="1" t="str">
        <f>'Nov 16-22'!B24</f>
        <v>122 Central Street Unit 2</v>
      </c>
      <c r="C24" s="1">
        <v>80</v>
      </c>
      <c r="D24" s="1">
        <v>13</v>
      </c>
      <c r="E24" s="1">
        <v>2</v>
      </c>
      <c r="F24" s="1">
        <v>4</v>
      </c>
      <c r="G24" s="1">
        <f t="shared" si="0"/>
        <v>99</v>
      </c>
    </row>
    <row r="25" spans="2:7" ht="12.75">
      <c r="B25" s="1" t="str">
        <f>'Nov 16-22'!B25</f>
        <v>1410 Columbia Road Unit 5B</v>
      </c>
      <c r="C25" s="1">
        <v>19</v>
      </c>
      <c r="D25" s="1">
        <v>9</v>
      </c>
      <c r="E25" s="1">
        <v>10</v>
      </c>
      <c r="F25" s="1">
        <v>12</v>
      </c>
      <c r="G25" s="1">
        <f t="shared" si="0"/>
        <v>50</v>
      </c>
    </row>
    <row r="26" spans="2:7" ht="12.75">
      <c r="B26" s="1" t="str">
        <f>'Nov 16-22'!B26</f>
        <v>146 Hillside Street Unit 1</v>
      </c>
      <c r="C26" s="1">
        <v>63</v>
      </c>
      <c r="D26" s="1">
        <v>15</v>
      </c>
      <c r="E26" s="1">
        <v>19</v>
      </c>
      <c r="F26" s="1">
        <v>12</v>
      </c>
      <c r="G26" s="1">
        <f t="shared" si="0"/>
        <v>109</v>
      </c>
    </row>
    <row r="27" spans="2:7" ht="12.75">
      <c r="B27" s="1" t="str">
        <f>'Nov 16-22'!B27</f>
        <v>147 Columbia Street Unit 3R</v>
      </c>
      <c r="C27" s="1">
        <v>20</v>
      </c>
      <c r="D27" s="1">
        <v>34</v>
      </c>
      <c r="E27" s="1">
        <v>73</v>
      </c>
      <c r="F27" s="1">
        <v>109</v>
      </c>
      <c r="G27" s="1">
        <f t="shared" si="0"/>
        <v>236</v>
      </c>
    </row>
    <row r="28" spans="2:7" ht="12.75">
      <c r="B28" s="1" t="str">
        <f>'Nov 16-22'!B28</f>
        <v>154 Magazine Street Unit 1</v>
      </c>
      <c r="C28" s="1">
        <v>19</v>
      </c>
      <c r="D28" s="1">
        <v>43</v>
      </c>
      <c r="E28" s="1">
        <v>15</v>
      </c>
      <c r="F28" s="1">
        <v>12</v>
      </c>
      <c r="G28" s="1">
        <f t="shared" si="0"/>
        <v>89</v>
      </c>
    </row>
    <row r="29" spans="2:7" ht="12.75">
      <c r="B29" s="1" t="str">
        <f>'Nov 16-22'!B29</f>
        <v>154 Magazine Street Unit 2</v>
      </c>
      <c r="C29" s="1">
        <v>32</v>
      </c>
      <c r="D29" s="1">
        <v>113</v>
      </c>
      <c r="E29" s="1">
        <v>22</v>
      </c>
      <c r="F29" s="1">
        <v>30</v>
      </c>
      <c r="G29" s="1">
        <f t="shared" si="0"/>
        <v>197</v>
      </c>
    </row>
    <row r="30" spans="2:7" ht="12.75">
      <c r="B30" s="1" t="str">
        <f>'Nov 16-22'!B30</f>
        <v>1578 Beacon Street Unit 5</v>
      </c>
      <c r="C30" s="1">
        <v>6</v>
      </c>
      <c r="D30" s="1">
        <v>6</v>
      </c>
      <c r="E30" s="1">
        <v>33</v>
      </c>
      <c r="F30" s="1">
        <v>44</v>
      </c>
      <c r="G30" s="1">
        <f t="shared" si="0"/>
        <v>89</v>
      </c>
    </row>
    <row r="31" spans="2:7" ht="12.75">
      <c r="B31" s="1" t="str">
        <f>'Nov 16-22'!B31</f>
        <v>1578 Beacon Street Unit 7</v>
      </c>
      <c r="C31" s="1">
        <v>4</v>
      </c>
      <c r="D31" s="1">
        <v>15</v>
      </c>
      <c r="E31" s="1">
        <v>81</v>
      </c>
      <c r="F31" s="1">
        <v>31</v>
      </c>
      <c r="G31" s="1">
        <f t="shared" si="0"/>
        <v>131</v>
      </c>
    </row>
    <row r="32" spans="2:7" ht="12.75">
      <c r="B32" s="1" t="str">
        <f>'Nov 16-22'!B32</f>
        <v>1578 Beacon Street Unit 8</v>
      </c>
      <c r="C32" s="1">
        <v>55</v>
      </c>
      <c r="D32" s="1">
        <v>11</v>
      </c>
      <c r="E32" s="1">
        <v>20</v>
      </c>
      <c r="F32" s="1">
        <v>21</v>
      </c>
      <c r="G32" s="1">
        <f t="shared" si="0"/>
        <v>107</v>
      </c>
    </row>
    <row r="33" spans="2:7" ht="12.75">
      <c r="B33" s="1" t="str">
        <f>'Nov 16-22'!B33</f>
        <v>158 Boston Street Unit 2</v>
      </c>
      <c r="C33" s="1">
        <v>34</v>
      </c>
      <c r="D33" s="1">
        <v>137</v>
      </c>
      <c r="E33" s="1">
        <v>4</v>
      </c>
      <c r="F33" s="1">
        <v>7</v>
      </c>
      <c r="G33" s="1">
        <f t="shared" si="0"/>
        <v>182</v>
      </c>
    </row>
    <row r="34" spans="2:7" ht="12.75">
      <c r="B34" s="1" t="str">
        <f>'Nov 16-22'!B34</f>
        <v>158 Magazine Street Unit 27</v>
      </c>
      <c r="C34" s="1">
        <v>4</v>
      </c>
      <c r="D34" s="1">
        <v>12</v>
      </c>
      <c r="E34" s="1">
        <v>42</v>
      </c>
      <c r="F34" s="1">
        <v>1</v>
      </c>
      <c r="G34" s="1">
        <f t="shared" si="0"/>
        <v>59</v>
      </c>
    </row>
    <row r="35" spans="2:7" ht="12.75">
      <c r="B35" s="1" t="str">
        <f>'Nov 16-22'!B35</f>
        <v>158 Magazine Street Unit 6</v>
      </c>
      <c r="C35" s="1">
        <v>17</v>
      </c>
      <c r="D35" s="1">
        <v>13</v>
      </c>
      <c r="E35" s="1">
        <v>2</v>
      </c>
      <c r="F35" s="1">
        <v>0</v>
      </c>
      <c r="G35" s="1">
        <f t="shared" si="0"/>
        <v>32</v>
      </c>
    </row>
    <row r="36" spans="2:7" ht="12.75">
      <c r="B36" s="1" t="str">
        <f>'Nov 16-22'!B36</f>
        <v>158 Magazine Street Unit 7</v>
      </c>
      <c r="C36" s="1">
        <v>1</v>
      </c>
      <c r="D36" s="1">
        <v>19</v>
      </c>
      <c r="E36" s="1">
        <v>14</v>
      </c>
      <c r="F36" s="1">
        <v>22</v>
      </c>
      <c r="G36" s="1">
        <f t="shared" si="0"/>
        <v>56</v>
      </c>
    </row>
    <row r="37" spans="2:7" ht="12.75">
      <c r="B37" s="1" t="str">
        <f>'Nov 16-22'!B37</f>
        <v>16A Forest Street Unit 33</v>
      </c>
      <c r="C37" s="1">
        <v>9</v>
      </c>
      <c r="D37" s="1">
        <v>20</v>
      </c>
      <c r="E37" s="1">
        <v>21</v>
      </c>
      <c r="F37" s="1">
        <v>27</v>
      </c>
      <c r="G37" s="1">
        <f t="shared" si="0"/>
        <v>77</v>
      </c>
    </row>
    <row r="38" spans="2:7" ht="12.75">
      <c r="B38" s="1" t="str">
        <f>'Nov 16-22'!B38</f>
        <v>17 Kenneson Road Unit 1</v>
      </c>
      <c r="C38" s="1">
        <v>15</v>
      </c>
      <c r="D38" s="1">
        <v>0</v>
      </c>
      <c r="E38" s="1">
        <v>14</v>
      </c>
      <c r="F38" s="1">
        <v>25</v>
      </c>
      <c r="G38" s="1">
        <f t="shared" si="0"/>
        <v>54</v>
      </c>
    </row>
    <row r="39" spans="2:7" ht="12.75">
      <c r="B39" s="1" t="str">
        <f>'Nov 16-22'!B39</f>
        <v>174 W 8th Street Unit 2</v>
      </c>
      <c r="C39" s="1">
        <v>24</v>
      </c>
      <c r="D39" s="1">
        <v>0</v>
      </c>
      <c r="E39" s="1">
        <v>4</v>
      </c>
      <c r="F39" s="1">
        <v>18</v>
      </c>
      <c r="G39" s="1">
        <f t="shared" si="0"/>
        <v>46</v>
      </c>
    </row>
    <row r="40" spans="2:7" ht="12.75">
      <c r="B40" s="1" t="str">
        <f>'Nov 16-22'!B40</f>
        <v>179 Massachusetts Avenue Unit 2</v>
      </c>
      <c r="C40" s="1">
        <v>8</v>
      </c>
      <c r="D40" s="1">
        <v>29</v>
      </c>
      <c r="E40" s="1">
        <v>18</v>
      </c>
      <c r="F40" s="1">
        <v>18</v>
      </c>
      <c r="G40" s="1">
        <f t="shared" si="0"/>
        <v>73</v>
      </c>
    </row>
    <row r="41" spans="2:7" ht="12.75">
      <c r="B41" s="1" t="str">
        <f>'Nov 16-22'!B41</f>
        <v>179 Massachusetts Avenue Unit 3</v>
      </c>
      <c r="C41" s="1">
        <v>27</v>
      </c>
      <c r="D41" s="1">
        <v>6</v>
      </c>
      <c r="E41" s="1">
        <v>20</v>
      </c>
      <c r="F41" s="1">
        <v>21</v>
      </c>
      <c r="G41" s="1">
        <f t="shared" si="0"/>
        <v>74</v>
      </c>
    </row>
    <row r="42" spans="2:7" ht="12.75">
      <c r="B42" s="1" t="str">
        <f>'Nov 16-22'!B42</f>
        <v>18 Mount Hood Road Unit 1</v>
      </c>
      <c r="C42" s="1">
        <v>34</v>
      </c>
      <c r="D42" s="1">
        <v>2</v>
      </c>
      <c r="E42" s="1">
        <v>0</v>
      </c>
      <c r="F42" s="1">
        <v>0</v>
      </c>
      <c r="G42" s="1">
        <f t="shared" si="0"/>
        <v>36</v>
      </c>
    </row>
    <row r="43" spans="2:7" ht="12.75">
      <c r="B43" s="1" t="str">
        <f>'Nov 16-22'!B43</f>
        <v>18 Mount Hood Road Unit 2</v>
      </c>
      <c r="C43" s="1">
        <v>43</v>
      </c>
      <c r="D43" s="1">
        <v>7</v>
      </c>
      <c r="E43" s="1">
        <v>0</v>
      </c>
      <c r="F43" s="1">
        <v>0</v>
      </c>
      <c r="G43" s="1">
        <f t="shared" si="0"/>
        <v>50</v>
      </c>
    </row>
    <row r="44" spans="2:7" ht="12.75">
      <c r="B44" s="1" t="str">
        <f>'Nov 16-22'!B44</f>
        <v>19 Mercer Street Unit 1</v>
      </c>
      <c r="C44" s="1">
        <v>113</v>
      </c>
      <c r="D44" s="1">
        <v>17</v>
      </c>
      <c r="E44" s="1">
        <v>8</v>
      </c>
      <c r="F44" s="1">
        <v>13</v>
      </c>
      <c r="G44" s="1">
        <f t="shared" si="0"/>
        <v>151</v>
      </c>
    </row>
    <row r="45" spans="2:7" ht="12.75">
      <c r="B45" s="1" t="str">
        <f>'Nov 16-22'!B45</f>
        <v>19 Wallingford Road Unit 1</v>
      </c>
      <c r="C45" s="1">
        <v>6</v>
      </c>
      <c r="D45" s="1">
        <v>27</v>
      </c>
      <c r="E45" s="1">
        <v>26</v>
      </c>
      <c r="F45" s="1">
        <v>8</v>
      </c>
      <c r="G45" s="1">
        <f t="shared" si="0"/>
        <v>67</v>
      </c>
    </row>
    <row r="46" spans="2:7" ht="12.75">
      <c r="B46" s="1" t="str">
        <f>'Nov 16-22'!B46</f>
        <v>192 Alleghany Street Unit 2</v>
      </c>
      <c r="C46" s="1">
        <v>15</v>
      </c>
      <c r="D46" s="1">
        <v>0</v>
      </c>
      <c r="E46" s="1">
        <v>33</v>
      </c>
      <c r="F46" s="1">
        <v>30</v>
      </c>
      <c r="G46" s="1">
        <f t="shared" si="0"/>
        <v>78</v>
      </c>
    </row>
    <row r="47" spans="2:7" ht="12.75">
      <c r="B47" s="1" t="str">
        <f>'Nov 16-22'!B47</f>
        <v>192 Third Street Unit 1</v>
      </c>
      <c r="C47" s="1">
        <v>0</v>
      </c>
      <c r="D47" s="1">
        <v>11</v>
      </c>
      <c r="E47" s="1">
        <v>6</v>
      </c>
      <c r="F47" s="1">
        <v>16</v>
      </c>
      <c r="G47" s="1">
        <f t="shared" si="0"/>
        <v>33</v>
      </c>
    </row>
    <row r="48" spans="2:7" ht="12.75">
      <c r="B48" s="1" t="str">
        <f>'Nov 16-22'!B48</f>
        <v>192 Third Street Unit 2</v>
      </c>
      <c r="C48" s="1">
        <v>6</v>
      </c>
      <c r="D48" s="1">
        <v>44</v>
      </c>
      <c r="E48" s="1">
        <v>7</v>
      </c>
      <c r="F48" s="1">
        <v>14</v>
      </c>
      <c r="G48" s="1">
        <f t="shared" si="0"/>
        <v>71</v>
      </c>
    </row>
    <row r="49" spans="2:7" ht="12.75">
      <c r="B49" s="1" t="str">
        <f>'Nov 16-22'!B49</f>
        <v>2 Montfern Avenue Unit 1</v>
      </c>
      <c r="C49" s="1">
        <v>34</v>
      </c>
      <c r="D49" s="1">
        <v>8</v>
      </c>
      <c r="E49" s="1">
        <v>5</v>
      </c>
      <c r="F49" s="1">
        <v>5</v>
      </c>
      <c r="G49" s="1">
        <f t="shared" si="0"/>
        <v>52</v>
      </c>
    </row>
    <row r="50" spans="2:7" ht="12.75">
      <c r="B50" s="1" t="str">
        <f>'Nov 16-22'!B50</f>
        <v>2 Montfern Avenue Unit 2</v>
      </c>
      <c r="C50" s="1">
        <v>13</v>
      </c>
      <c r="D50" s="1">
        <v>9</v>
      </c>
      <c r="E50" s="1">
        <v>0</v>
      </c>
      <c r="F50" s="1">
        <v>0</v>
      </c>
      <c r="G50" s="1">
        <f t="shared" si="0"/>
        <v>22</v>
      </c>
    </row>
    <row r="51" spans="2:7" ht="12.75">
      <c r="B51" s="1" t="str">
        <f>'Nov 16-22'!B51</f>
        <v>2 Montfern Avenue Unit 3</v>
      </c>
      <c r="C51" s="1">
        <v>0</v>
      </c>
      <c r="D51" s="1">
        <v>7</v>
      </c>
      <c r="E51" s="1">
        <v>2</v>
      </c>
      <c r="F51" s="1">
        <v>3</v>
      </c>
      <c r="G51" s="1">
        <f t="shared" si="0"/>
        <v>12</v>
      </c>
    </row>
    <row r="52" spans="2:7" ht="12.75">
      <c r="B52" s="1" t="str">
        <f>'Nov 16-22'!B52</f>
        <v>20 Reedsdale Street</v>
      </c>
      <c r="C52" s="1">
        <v>15</v>
      </c>
      <c r="D52" s="1">
        <v>8</v>
      </c>
      <c r="E52" s="1">
        <v>0</v>
      </c>
      <c r="F52" s="1">
        <v>0</v>
      </c>
      <c r="G52" s="1">
        <f t="shared" si="0"/>
        <v>23</v>
      </c>
    </row>
    <row r="53" spans="2:7" ht="12.75">
      <c r="B53" s="1" t="str">
        <f>'Nov 16-22'!B53</f>
        <v>20 Sudan Street Unit 1</v>
      </c>
      <c r="C53" s="1">
        <v>11</v>
      </c>
      <c r="D53" s="1">
        <v>0</v>
      </c>
      <c r="E53" s="1">
        <v>21</v>
      </c>
      <c r="F53" s="1">
        <v>34</v>
      </c>
      <c r="G53" s="1">
        <f t="shared" si="0"/>
        <v>66</v>
      </c>
    </row>
    <row r="54" spans="2:7" ht="12.75">
      <c r="B54" s="1" t="str">
        <f>'Nov 16-22'!B54</f>
        <v>208 Cedar Street Unit 2</v>
      </c>
      <c r="C54" s="1">
        <v>0</v>
      </c>
      <c r="D54" s="1">
        <v>1</v>
      </c>
      <c r="E54" s="1">
        <v>3</v>
      </c>
      <c r="F54" s="1">
        <v>8</v>
      </c>
      <c r="G54" s="1">
        <f t="shared" si="0"/>
        <v>12</v>
      </c>
    </row>
    <row r="55" spans="2:7" ht="12.75">
      <c r="B55" s="1" t="str">
        <f>'Nov 16-22'!B55</f>
        <v>22 Austin Street Unit 1</v>
      </c>
      <c r="C55" s="1">
        <v>137</v>
      </c>
      <c r="D55" s="1">
        <v>25</v>
      </c>
      <c r="E55" s="1">
        <v>14</v>
      </c>
      <c r="F55" s="1">
        <v>11</v>
      </c>
      <c r="G55" s="1">
        <f t="shared" si="0"/>
        <v>187</v>
      </c>
    </row>
    <row r="56" spans="2:7" ht="12.75">
      <c r="B56" s="1" t="str">
        <f>'Nov 16-22'!B56</f>
        <v>23 Granite Street Unit 3</v>
      </c>
      <c r="C56" s="1">
        <v>12</v>
      </c>
      <c r="D56" s="1">
        <v>0</v>
      </c>
      <c r="E56" s="1">
        <v>42</v>
      </c>
      <c r="F56" s="1">
        <v>3</v>
      </c>
      <c r="G56" s="1">
        <f t="shared" si="0"/>
        <v>57</v>
      </c>
    </row>
    <row r="57" spans="2:7" ht="12.75">
      <c r="B57" s="1" t="str">
        <f>'Nov 16-22'!B57</f>
        <v>23 Rogers Avenue Unit 1</v>
      </c>
      <c r="C57" s="1">
        <v>13</v>
      </c>
      <c r="D57" s="1">
        <v>22</v>
      </c>
      <c r="E57" s="1">
        <v>0</v>
      </c>
      <c r="F57" s="1">
        <v>0</v>
      </c>
      <c r="G57" s="1">
        <f t="shared" si="0"/>
        <v>35</v>
      </c>
    </row>
    <row r="58" spans="2:7" ht="12.75">
      <c r="B58" s="1" t="str">
        <f>'Nov 16-22'!B58</f>
        <v>231 Norfolk Street Unit 1</v>
      </c>
      <c r="C58" s="1">
        <v>6</v>
      </c>
      <c r="D58" s="1">
        <v>30</v>
      </c>
      <c r="E58" s="1">
        <v>0</v>
      </c>
      <c r="F58" s="1">
        <v>2</v>
      </c>
      <c r="G58" s="1">
        <f t="shared" si="0"/>
        <v>38</v>
      </c>
    </row>
    <row r="59" spans="2:7" ht="12.75">
      <c r="B59" s="1" t="str">
        <f>'Nov 16-22'!B59</f>
        <v>231 Norfolk Street Unit 4</v>
      </c>
      <c r="C59" s="1">
        <v>69</v>
      </c>
      <c r="D59" s="1">
        <v>2</v>
      </c>
      <c r="E59" s="1">
        <v>5</v>
      </c>
      <c r="F59" s="1">
        <v>0</v>
      </c>
      <c r="G59" s="1">
        <f t="shared" si="0"/>
        <v>76</v>
      </c>
    </row>
    <row r="60" spans="2:7" ht="12.75">
      <c r="B60" s="1" t="str">
        <f>'Nov 16-22'!B60</f>
        <v>24 Ashford Street Unit 2</v>
      </c>
      <c r="C60" s="1">
        <v>19</v>
      </c>
      <c r="D60" s="1">
        <v>15</v>
      </c>
      <c r="E60" s="1">
        <v>4</v>
      </c>
      <c r="F60" s="1">
        <v>3</v>
      </c>
      <c r="G60" s="1">
        <f t="shared" si="0"/>
        <v>41</v>
      </c>
    </row>
    <row r="61" spans="2:7" ht="12.75">
      <c r="B61" s="1" t="str">
        <f>'Nov 16-22'!B61</f>
        <v>25 Howes Street Unit 2</v>
      </c>
      <c r="C61" s="1">
        <v>20</v>
      </c>
      <c r="D61" s="1">
        <v>0</v>
      </c>
      <c r="E61" s="1">
        <v>78</v>
      </c>
      <c r="F61" s="1">
        <v>113</v>
      </c>
      <c r="G61" s="1">
        <f t="shared" si="0"/>
        <v>211</v>
      </c>
    </row>
    <row r="62" spans="2:7" ht="12.75">
      <c r="B62" s="1" t="str">
        <f>'Nov 16-22'!B62</f>
        <v>25 Howes Street Unit 3</v>
      </c>
      <c r="C62" s="1">
        <v>0</v>
      </c>
      <c r="D62" s="1">
        <v>11</v>
      </c>
      <c r="E62" s="1">
        <v>53</v>
      </c>
      <c r="F62" s="1">
        <v>53</v>
      </c>
      <c r="G62" s="1">
        <f t="shared" si="0"/>
        <v>117</v>
      </c>
    </row>
    <row r="63" spans="2:7" ht="12.75">
      <c r="B63" s="1" t="str">
        <f>'Nov 16-22'!B63</f>
        <v>26 Washington Terrace Unit 1</v>
      </c>
      <c r="C63" s="1">
        <v>0</v>
      </c>
      <c r="D63" s="1">
        <v>0</v>
      </c>
      <c r="E63" s="1">
        <v>48</v>
      </c>
      <c r="F63" s="1">
        <v>44</v>
      </c>
      <c r="G63" s="1">
        <f t="shared" si="0"/>
        <v>92</v>
      </c>
    </row>
    <row r="64" spans="2:7" ht="12.75">
      <c r="B64" s="1" t="str">
        <f>'Nov 16-22'!B64</f>
        <v>26 Washington Terrace Unit 2</v>
      </c>
      <c r="C64" s="1">
        <v>29</v>
      </c>
      <c r="D64" s="1">
        <v>0</v>
      </c>
      <c r="E64" s="1">
        <v>48</v>
      </c>
      <c r="F64" s="1">
        <v>31</v>
      </c>
      <c r="G64" s="1">
        <f t="shared" si="0"/>
        <v>108</v>
      </c>
    </row>
    <row r="65" spans="2:7" ht="12.75">
      <c r="B65" s="1" t="str">
        <f>'Nov 16-22'!B65</f>
        <v>267 Main Street Unit 4</v>
      </c>
      <c r="C65" s="1">
        <v>134</v>
      </c>
      <c r="D65" s="1">
        <v>55</v>
      </c>
      <c r="E65" s="1">
        <v>15</v>
      </c>
      <c r="F65" s="1">
        <v>20</v>
      </c>
      <c r="G65" s="1">
        <f t="shared" si="0"/>
        <v>224</v>
      </c>
    </row>
    <row r="66" spans="2:7" ht="12.75">
      <c r="B66" s="1" t="str">
        <f>'Nov 16-22'!B66</f>
        <v>275 Dorchester Street</v>
      </c>
      <c r="C66" s="1">
        <v>0</v>
      </c>
      <c r="D66" s="1">
        <v>0</v>
      </c>
      <c r="E66" s="1">
        <v>11</v>
      </c>
      <c r="F66" s="1">
        <v>19</v>
      </c>
      <c r="G66" s="1">
        <f t="shared" si="0"/>
        <v>30</v>
      </c>
    </row>
    <row r="67" spans="2:7" ht="12.75">
      <c r="B67" s="1" t="str">
        <f>'Nov 16-22'!B67</f>
        <v>31 Plymouth Street Unit 2</v>
      </c>
      <c r="C67" s="1">
        <v>6</v>
      </c>
      <c r="D67" s="1">
        <v>47</v>
      </c>
      <c r="E67" s="1">
        <v>0</v>
      </c>
      <c r="F67" s="1">
        <v>0</v>
      </c>
      <c r="G67" s="1">
        <f t="shared" si="0"/>
        <v>53</v>
      </c>
    </row>
    <row r="68" spans="2:7" ht="12.75">
      <c r="B68" s="1" t="str">
        <f>'Nov 16-22'!B68</f>
        <v>31 Plymouth Street Unit 3</v>
      </c>
      <c r="C68" s="1">
        <v>2</v>
      </c>
      <c r="D68" s="1">
        <v>26</v>
      </c>
      <c r="E68" s="1">
        <v>0</v>
      </c>
      <c r="F68" s="1">
        <v>28</v>
      </c>
      <c r="G68" s="1">
        <f t="shared" si="0"/>
        <v>56</v>
      </c>
    </row>
    <row r="69" spans="2:7" ht="12.75">
      <c r="B69" s="1" t="str">
        <f>'Nov 16-22'!B69</f>
        <v>31 South Street Unit 1</v>
      </c>
      <c r="C69" s="1">
        <v>7</v>
      </c>
      <c r="D69" s="1">
        <v>34</v>
      </c>
      <c r="E69" s="1">
        <v>2</v>
      </c>
      <c r="F69" s="1">
        <v>0</v>
      </c>
      <c r="G69" s="1">
        <f t="shared" si="0"/>
        <v>43</v>
      </c>
    </row>
    <row r="70" spans="2:7" ht="12.75">
      <c r="B70" s="1" t="str">
        <f>'Nov 16-22'!B70</f>
        <v>322.5 Western Avenue Unit 2</v>
      </c>
      <c r="C70" s="1">
        <v>0</v>
      </c>
      <c r="D70" s="1">
        <v>89</v>
      </c>
      <c r="E70" s="1">
        <v>13</v>
      </c>
      <c r="F70" s="1">
        <v>29</v>
      </c>
      <c r="G70" s="1">
        <f t="shared" si="0"/>
        <v>131</v>
      </c>
    </row>
    <row r="71" spans="2:7" ht="12.75">
      <c r="B71" s="1" t="str">
        <f>'Nov 16-22'!B71</f>
        <v>33 Merriam Street Unit 2</v>
      </c>
      <c r="C71" s="1">
        <v>17</v>
      </c>
      <c r="D71" s="1">
        <v>58</v>
      </c>
      <c r="E71" s="1">
        <v>16</v>
      </c>
      <c r="F71" s="1">
        <v>23</v>
      </c>
      <c r="G71" s="1">
        <f t="shared" si="0"/>
        <v>114</v>
      </c>
    </row>
    <row r="72" spans="2:7" ht="12.75">
      <c r="B72" s="1" t="str">
        <f>'Nov 16-22'!B72</f>
        <v>34 Cherokee Street Unit 3</v>
      </c>
      <c r="C72" s="1">
        <v>0</v>
      </c>
      <c r="D72" s="1">
        <v>42</v>
      </c>
      <c r="E72" s="1">
        <v>2</v>
      </c>
      <c r="F72" s="1">
        <v>5</v>
      </c>
      <c r="G72" s="1">
        <f t="shared" si="0"/>
        <v>49</v>
      </c>
    </row>
    <row r="73" spans="2:7" ht="12.75">
      <c r="B73" s="1" t="str">
        <f>'Nov 16-22'!B73</f>
        <v>34 Circuit Street Unit 3</v>
      </c>
      <c r="C73" s="1">
        <v>27</v>
      </c>
      <c r="D73" s="1">
        <v>31</v>
      </c>
      <c r="E73" s="1">
        <v>113</v>
      </c>
      <c r="F73" s="1">
        <v>77</v>
      </c>
      <c r="G73" s="1">
        <f t="shared" si="0"/>
        <v>248</v>
      </c>
    </row>
    <row r="74" spans="2:7" ht="12.75">
      <c r="B74" s="1" t="str">
        <f>'Nov 16-22'!B74</f>
        <v>348 E 8th Street Unit 1</v>
      </c>
      <c r="C74" s="1">
        <v>9</v>
      </c>
      <c r="D74" s="1">
        <v>9</v>
      </c>
      <c r="E74" s="1">
        <v>2</v>
      </c>
      <c r="F74" s="1">
        <v>0</v>
      </c>
      <c r="G74" s="1">
        <f t="shared" si="0"/>
        <v>20</v>
      </c>
    </row>
    <row r="75" spans="2:7" ht="12.75">
      <c r="B75" s="1" t="str">
        <f>'Nov 16-22'!B75</f>
        <v>35 South Street Unit 7</v>
      </c>
      <c r="C75" s="1">
        <v>11</v>
      </c>
      <c r="D75" s="1">
        <v>16</v>
      </c>
      <c r="E75" s="1">
        <v>12</v>
      </c>
      <c r="F75" s="1">
        <v>6</v>
      </c>
      <c r="G75" s="1">
        <f t="shared" si="0"/>
        <v>45</v>
      </c>
    </row>
    <row r="76" spans="2:7" ht="12.75">
      <c r="B76" s="1" t="str">
        <f>'Nov 16-22'!B76</f>
        <v>357 Windsor Street Unit 2</v>
      </c>
      <c r="C76" s="1">
        <v>0</v>
      </c>
      <c r="D76" s="1">
        <v>80</v>
      </c>
      <c r="E76" s="1">
        <v>0</v>
      </c>
      <c r="F76" s="1">
        <v>0</v>
      </c>
      <c r="G76" s="1">
        <f t="shared" si="0"/>
        <v>80</v>
      </c>
    </row>
    <row r="77" spans="2:7" ht="12.75">
      <c r="B77" s="1" t="str">
        <f>'Nov 16-22'!B77</f>
        <v>376 Prospect Street Unit 2</v>
      </c>
      <c r="C77" s="1">
        <v>8</v>
      </c>
      <c r="D77" s="1">
        <v>63</v>
      </c>
      <c r="E77" s="1">
        <v>5</v>
      </c>
      <c r="F77" s="1">
        <v>0</v>
      </c>
      <c r="G77" s="1">
        <f t="shared" si="0"/>
        <v>76</v>
      </c>
    </row>
    <row r="78" spans="2:7" ht="12.75">
      <c r="B78" s="1" t="str">
        <f>'Nov 16-22'!B78</f>
        <v>379 Broadway Street Unit 43</v>
      </c>
      <c r="C78" s="1">
        <v>18</v>
      </c>
      <c r="D78" s="1">
        <v>20</v>
      </c>
      <c r="E78" s="1">
        <v>0</v>
      </c>
      <c r="F78" s="1">
        <v>1</v>
      </c>
      <c r="G78" s="1">
        <f t="shared" si="0"/>
        <v>39</v>
      </c>
    </row>
    <row r="79" spans="2:7" ht="12.75">
      <c r="B79" s="1" t="str">
        <f>'Nov 16-22'!B79</f>
        <v>379 Broadway Street Unit 7</v>
      </c>
      <c r="C79" s="1">
        <v>0</v>
      </c>
      <c r="D79" s="1">
        <v>19</v>
      </c>
      <c r="E79" s="1">
        <v>58</v>
      </c>
      <c r="F79" s="1">
        <v>27</v>
      </c>
      <c r="G79" s="1">
        <f t="shared" si="0"/>
        <v>104</v>
      </c>
    </row>
    <row r="80" spans="2:7" ht="12.75">
      <c r="B80" s="1" t="str">
        <f>'Nov 16-22'!B80</f>
        <v>38 Day Street Unit 42</v>
      </c>
      <c r="C80" s="1">
        <v>44</v>
      </c>
      <c r="D80" s="1">
        <v>32</v>
      </c>
      <c r="E80" s="1">
        <v>19</v>
      </c>
      <c r="F80" s="1">
        <v>8</v>
      </c>
      <c r="G80" s="1">
        <f t="shared" si="0"/>
        <v>103</v>
      </c>
    </row>
    <row r="81" spans="2:7" ht="12.75">
      <c r="B81" s="1" t="str">
        <f>'Nov 16-22'!B81</f>
        <v>383 Broadway Street Unit 41</v>
      </c>
      <c r="C81" s="1">
        <v>0</v>
      </c>
      <c r="D81" s="1">
        <v>34</v>
      </c>
      <c r="E81" s="1">
        <v>0</v>
      </c>
      <c r="F81" s="1">
        <v>2</v>
      </c>
      <c r="G81" s="1">
        <f t="shared" si="0"/>
        <v>36</v>
      </c>
    </row>
    <row r="82" spans="2:7" ht="12.75">
      <c r="B82" s="1" t="str">
        <f>'Nov 16-22'!B82</f>
        <v>4 Elko Street Unit B1</v>
      </c>
      <c r="C82" s="1">
        <v>0</v>
      </c>
      <c r="D82" s="1">
        <v>17</v>
      </c>
      <c r="E82" s="1">
        <v>11</v>
      </c>
      <c r="F82" s="1">
        <v>2</v>
      </c>
      <c r="G82" s="1">
        <f t="shared" si="0"/>
        <v>30</v>
      </c>
    </row>
    <row r="83" spans="2:7" ht="12.75">
      <c r="B83" s="1" t="str">
        <f>'Nov 16-22'!B83</f>
        <v>4 Litchfield Street Unit 2</v>
      </c>
      <c r="C83" s="1">
        <v>13</v>
      </c>
      <c r="D83" s="1">
        <v>1</v>
      </c>
      <c r="E83" s="1">
        <v>16</v>
      </c>
      <c r="F83" s="1">
        <v>13</v>
      </c>
      <c r="G83" s="1">
        <f t="shared" si="0"/>
        <v>43</v>
      </c>
    </row>
    <row r="84" spans="2:7" ht="12.75">
      <c r="B84" s="1" t="str">
        <f>'Nov 16-22'!B84</f>
        <v>40 Sudan Street Unit 3</v>
      </c>
      <c r="C84" s="1">
        <v>8</v>
      </c>
      <c r="D84" s="1">
        <v>4</v>
      </c>
      <c r="E84" s="1">
        <v>13</v>
      </c>
      <c r="F84" s="1">
        <v>21</v>
      </c>
      <c r="G84" s="1">
        <f t="shared" si="0"/>
        <v>46</v>
      </c>
    </row>
    <row r="85" spans="2:7" ht="12.75">
      <c r="B85" s="1" t="str">
        <f>'Nov 16-22'!B85</f>
        <v>42 Marcella Street Unit 1</v>
      </c>
      <c r="C85" s="1">
        <v>9</v>
      </c>
      <c r="D85" s="1">
        <v>24</v>
      </c>
      <c r="E85" s="1">
        <v>0</v>
      </c>
      <c r="F85" s="1">
        <v>0</v>
      </c>
      <c r="G85" s="1">
        <f t="shared" si="0"/>
        <v>33</v>
      </c>
    </row>
    <row r="86" spans="2:7" ht="12.75">
      <c r="B86" s="1" t="str">
        <f>'Nov 16-22'!B86</f>
        <v>45 Crescent Avenue Unit 1</v>
      </c>
      <c r="C86" s="1">
        <v>7</v>
      </c>
      <c r="D86" s="1">
        <v>8</v>
      </c>
      <c r="E86" s="1">
        <v>6</v>
      </c>
      <c r="F86" s="1">
        <v>0</v>
      </c>
      <c r="G86" s="1">
        <f t="shared" si="0"/>
        <v>21</v>
      </c>
    </row>
    <row r="87" spans="2:7" ht="12.75">
      <c r="B87" s="1" t="str">
        <f>'Nov 16-22'!B87</f>
        <v>45 Crescent Avenue Unit 3</v>
      </c>
      <c r="C87" s="1">
        <v>8</v>
      </c>
      <c r="D87" s="1">
        <v>27</v>
      </c>
      <c r="E87" s="1">
        <v>12</v>
      </c>
      <c r="F87" s="1">
        <v>7</v>
      </c>
      <c r="G87" s="1">
        <f t="shared" si="0"/>
        <v>54</v>
      </c>
    </row>
    <row r="88" spans="2:7" ht="12.75">
      <c r="B88" s="1" t="str">
        <f>'Nov 16-22'!B88</f>
        <v>49 Boylston Street Unit 1</v>
      </c>
      <c r="C88" s="1">
        <v>0</v>
      </c>
      <c r="D88" s="1">
        <v>15</v>
      </c>
      <c r="E88" s="1">
        <v>31</v>
      </c>
      <c r="F88" s="1">
        <v>32</v>
      </c>
      <c r="G88" s="1">
        <f t="shared" si="0"/>
        <v>78</v>
      </c>
    </row>
    <row r="89" spans="2:7" ht="12.75">
      <c r="B89" s="1" t="str">
        <f>'Nov 16-22'!B89</f>
        <v>49 Paulina Street Unit 2</v>
      </c>
      <c r="C89" s="1">
        <v>1</v>
      </c>
      <c r="D89" s="1">
        <v>0</v>
      </c>
      <c r="E89" s="1">
        <v>3</v>
      </c>
      <c r="F89" s="1">
        <v>16</v>
      </c>
      <c r="G89" s="1">
        <f t="shared" si="0"/>
        <v>20</v>
      </c>
    </row>
    <row r="90" spans="2:7" ht="12.75">
      <c r="B90" s="1" t="str">
        <f>'Nov 16-22'!B90</f>
        <v>49 Paulina Street Unit 3</v>
      </c>
      <c r="C90" s="1">
        <v>25</v>
      </c>
      <c r="D90" s="1">
        <v>6</v>
      </c>
      <c r="E90" s="1">
        <v>22</v>
      </c>
      <c r="F90" s="1">
        <v>35</v>
      </c>
      <c r="G90" s="1">
        <f t="shared" si="0"/>
        <v>88</v>
      </c>
    </row>
    <row r="91" spans="2:7" ht="12.75">
      <c r="B91" s="1" t="str">
        <f>'Nov 16-22'!B91</f>
        <v>5 Condor Street Unit 3</v>
      </c>
      <c r="C91" s="1">
        <v>30</v>
      </c>
      <c r="D91" s="1">
        <v>0</v>
      </c>
      <c r="E91" s="1">
        <v>4</v>
      </c>
      <c r="F91" s="1">
        <v>17</v>
      </c>
      <c r="G91" s="1">
        <f t="shared" si="0"/>
        <v>51</v>
      </c>
    </row>
    <row r="92" spans="2:7" ht="12.75">
      <c r="B92" s="1" t="str">
        <f>'Nov 16-22'!B92</f>
        <v>5 Mark Street Unit 1</v>
      </c>
      <c r="C92" s="1">
        <v>15</v>
      </c>
      <c r="D92" s="1">
        <v>6</v>
      </c>
      <c r="E92" s="1">
        <v>10</v>
      </c>
      <c r="F92" s="1">
        <v>26</v>
      </c>
      <c r="G92" s="1">
        <f t="shared" si="0"/>
        <v>57</v>
      </c>
    </row>
    <row r="93" spans="2:7" ht="12.75">
      <c r="B93" s="1" t="str">
        <f>'Nov 16-22'!B93</f>
        <v>5 Mark Street Unit 2</v>
      </c>
      <c r="C93" s="1">
        <v>16</v>
      </c>
      <c r="D93" s="1">
        <v>69</v>
      </c>
      <c r="E93" s="1">
        <v>0</v>
      </c>
      <c r="F93" s="1">
        <v>0</v>
      </c>
      <c r="G93" s="1">
        <f t="shared" si="0"/>
        <v>85</v>
      </c>
    </row>
    <row r="94" spans="2:7" ht="12.75">
      <c r="B94" s="1" t="str">
        <f>'Nov 16-22'!B94</f>
        <v>51 Clifton Street Unit 2</v>
      </c>
      <c r="C94" s="1">
        <v>0</v>
      </c>
      <c r="D94" s="1">
        <v>134</v>
      </c>
      <c r="E94" s="1">
        <v>17</v>
      </c>
      <c r="F94" s="1">
        <v>1</v>
      </c>
      <c r="G94" s="1">
        <f t="shared" si="0"/>
        <v>152</v>
      </c>
    </row>
    <row r="95" spans="2:7" ht="12.75">
      <c r="B95" s="1" t="str">
        <f>'Nov 16-22'!B95</f>
        <v>6 7th Street</v>
      </c>
      <c r="C95" s="1">
        <v>2</v>
      </c>
      <c r="D95" s="1">
        <v>0</v>
      </c>
      <c r="E95" s="1">
        <v>104</v>
      </c>
      <c r="F95" s="1">
        <v>66</v>
      </c>
      <c r="G95" s="1">
        <f t="shared" si="0"/>
        <v>172</v>
      </c>
    </row>
    <row r="96" spans="2:7" ht="12.75">
      <c r="B96" s="1" t="str">
        <f>'Nov 16-22'!B96</f>
        <v>64 Sudan Street Unit 3</v>
      </c>
      <c r="C96" s="1">
        <v>22</v>
      </c>
      <c r="D96" s="1">
        <v>0</v>
      </c>
      <c r="E96" s="1">
        <v>71</v>
      </c>
      <c r="F96" s="1">
        <v>55</v>
      </c>
      <c r="G96" s="1">
        <f t="shared" si="0"/>
        <v>148</v>
      </c>
    </row>
    <row r="97" spans="2:7" ht="12.75">
      <c r="B97" s="1" t="str">
        <f>'Nov 16-22'!B97</f>
        <v>7 Grant Street Unit 2</v>
      </c>
      <c r="C97" s="1">
        <v>56</v>
      </c>
      <c r="D97" s="1">
        <v>9</v>
      </c>
      <c r="E97" s="1">
        <v>26</v>
      </c>
      <c r="F97" s="1">
        <v>28</v>
      </c>
      <c r="G97" s="1">
        <f t="shared" si="0"/>
        <v>119</v>
      </c>
    </row>
    <row r="98" spans="2:7" ht="12.75">
      <c r="B98" s="1" t="str">
        <f>'Nov 16-22'!B98</f>
        <v>76 King Street Unit 2</v>
      </c>
      <c r="C98" s="1">
        <v>30</v>
      </c>
      <c r="D98" s="1">
        <v>0</v>
      </c>
      <c r="E98" s="1">
        <v>10</v>
      </c>
      <c r="F98" s="1">
        <v>2</v>
      </c>
      <c r="G98" s="1">
        <f t="shared" si="0"/>
        <v>42</v>
      </c>
    </row>
    <row r="99" spans="2:7" ht="12.75">
      <c r="B99" s="1" t="str">
        <f>'Nov 16-22'!B99</f>
        <v>8 7th Street</v>
      </c>
      <c r="C99" s="1">
        <v>72</v>
      </c>
      <c r="D99" s="1">
        <v>8</v>
      </c>
      <c r="E99" s="1">
        <v>7</v>
      </c>
      <c r="F99" s="1">
        <v>4</v>
      </c>
      <c r="G99" s="1">
        <f t="shared" si="0"/>
        <v>91</v>
      </c>
    </row>
    <row r="100" spans="2:7" ht="12.75">
      <c r="B100" s="1" t="str">
        <f>'Nov 16-22'!B100</f>
        <v>8 Elko Street Unit 5</v>
      </c>
      <c r="C100" s="1">
        <v>0</v>
      </c>
      <c r="D100" s="1">
        <v>18</v>
      </c>
      <c r="E100" s="1">
        <v>21</v>
      </c>
      <c r="F100" s="1">
        <v>26</v>
      </c>
      <c r="G100" s="1">
        <f t="shared" si="0"/>
        <v>65</v>
      </c>
    </row>
    <row r="101" spans="2:7" ht="12.75">
      <c r="B101" s="1" t="str">
        <f>'Nov 16-22'!B101</f>
        <v>8 Elko Street Unit 6</v>
      </c>
      <c r="C101" s="1">
        <v>40</v>
      </c>
      <c r="D101" s="1">
        <v>0</v>
      </c>
      <c r="E101" s="1">
        <v>8</v>
      </c>
      <c r="F101" s="1">
        <v>14</v>
      </c>
      <c r="G101" s="1">
        <f t="shared" si="0"/>
        <v>62</v>
      </c>
    </row>
    <row r="102" spans="2:7" ht="12.75">
      <c r="B102" s="1" t="str">
        <f>'Nov 16-22'!B102</f>
        <v>8 Hardwick Terrace Unit 1</v>
      </c>
      <c r="C102" s="1">
        <v>22</v>
      </c>
      <c r="D102" s="1">
        <v>0</v>
      </c>
      <c r="E102" s="1">
        <v>19</v>
      </c>
      <c r="F102" s="1">
        <v>19</v>
      </c>
      <c r="G102" s="1">
        <f t="shared" si="0"/>
        <v>60</v>
      </c>
    </row>
    <row r="103" spans="2:7" ht="12.75">
      <c r="B103" s="1" t="str">
        <f>'Nov 16-22'!B103</f>
        <v>83 Highland Street Unit 2</v>
      </c>
      <c r="C103" s="1">
        <v>2</v>
      </c>
      <c r="D103" s="1">
        <v>29</v>
      </c>
      <c r="E103" s="1">
        <v>0</v>
      </c>
      <c r="F103" s="1">
        <v>0</v>
      </c>
      <c r="G103" s="1">
        <f t="shared" si="0"/>
        <v>31</v>
      </c>
    </row>
    <row r="104" spans="2:7" ht="12.75">
      <c r="B104" s="1" t="str">
        <f>'Nov 16-22'!B104</f>
        <v>83 Highland Street Unit 3</v>
      </c>
      <c r="C104" s="1">
        <v>15</v>
      </c>
      <c r="D104" s="1">
        <v>25</v>
      </c>
      <c r="E104" s="1">
        <v>1</v>
      </c>
      <c r="F104" s="1">
        <v>2</v>
      </c>
      <c r="G104" s="1">
        <f t="shared" si="0"/>
        <v>43</v>
      </c>
    </row>
    <row r="105" spans="2:7" ht="12.75">
      <c r="B105" s="1" t="str">
        <f>'Nov 16-22'!B105</f>
        <v>848 Huntington Avenue Unit 2</v>
      </c>
      <c r="C105" s="1">
        <v>29</v>
      </c>
      <c r="D105" s="1">
        <v>53</v>
      </c>
      <c r="E105" s="1">
        <v>13</v>
      </c>
      <c r="F105" s="1">
        <v>21</v>
      </c>
      <c r="G105" s="1">
        <f t="shared" si="0"/>
        <v>116</v>
      </c>
    </row>
    <row r="106" spans="2:7" ht="12.75">
      <c r="B106" s="1" t="str">
        <f>'Nov 16-22'!B106</f>
        <v>9 Fairfield Street Unit 1L</v>
      </c>
      <c r="C106" s="1">
        <v>26</v>
      </c>
      <c r="D106" s="1">
        <v>8</v>
      </c>
      <c r="E106" s="1">
        <v>28</v>
      </c>
      <c r="F106" s="1">
        <v>34</v>
      </c>
      <c r="G106" s="1">
        <f t="shared" si="0"/>
        <v>96</v>
      </c>
    </row>
    <row r="107" spans="2:7" ht="12.75">
      <c r="B107" s="1" t="str">
        <f>'Nov 16-22'!B107</f>
        <v>9 Fairfield Street Unit 1R</v>
      </c>
      <c r="C107" s="1">
        <v>30</v>
      </c>
      <c r="D107" s="1">
        <v>2</v>
      </c>
      <c r="E107" s="1">
        <v>13</v>
      </c>
      <c r="F107" s="1">
        <v>28</v>
      </c>
      <c r="G107" s="1">
        <f t="shared" si="0"/>
        <v>73</v>
      </c>
    </row>
    <row r="108" spans="2:7" ht="12.75">
      <c r="B108" s="1" t="str">
        <f>'Nov 16-22'!B108</f>
        <v>95 Upland Road Unit 2</v>
      </c>
      <c r="C108" s="1">
        <v>0</v>
      </c>
      <c r="D108" s="1">
        <v>19</v>
      </c>
      <c r="E108" s="1">
        <v>22</v>
      </c>
      <c r="F108" s="1">
        <v>53</v>
      </c>
      <c r="G108" s="1">
        <f t="shared" si="0"/>
        <v>94</v>
      </c>
    </row>
    <row r="109" spans="2:7" ht="12.75">
      <c r="B109" s="1" t="str">
        <f>'Nov 16-22'!B109</f>
        <v>96 Hammond Street Unit 3</v>
      </c>
      <c r="C109" s="1">
        <v>11</v>
      </c>
      <c r="D109" s="1">
        <v>4</v>
      </c>
      <c r="E109" s="1">
        <v>2</v>
      </c>
      <c r="F109" s="1">
        <v>3</v>
      </c>
      <c r="G109" s="1">
        <f t="shared" si="0"/>
        <v>20</v>
      </c>
    </row>
    <row r="110" spans="2:7" ht="12.75">
      <c r="B110" s="1" t="str">
        <f>'Nov 16-22'!B110</f>
        <v>96 Sheridan Street Unit 3</v>
      </c>
      <c r="C110" s="1">
        <v>0</v>
      </c>
      <c r="D110" s="1">
        <v>55</v>
      </c>
      <c r="E110" s="1">
        <v>14</v>
      </c>
      <c r="F110" s="1">
        <v>31</v>
      </c>
      <c r="G110" s="1">
        <f t="shared" si="0"/>
        <v>100</v>
      </c>
    </row>
    <row r="111" spans="2:7" ht="12.75">
      <c r="B111" s="1" t="str">
        <f>'Nov 16-22'!B111</f>
        <v>99 Marion Street Unit 3</v>
      </c>
      <c r="C111" s="1">
        <v>0</v>
      </c>
      <c r="D111" s="1">
        <v>6</v>
      </c>
      <c r="E111" s="1">
        <v>13</v>
      </c>
      <c r="F111" s="1">
        <v>18</v>
      </c>
      <c r="G111" s="1">
        <f t="shared" si="0"/>
        <v>37</v>
      </c>
    </row>
    <row r="112" spans="2:7" ht="12.75">
      <c r="B112" s="1">
        <f>'Nov 16-22'!B112</f>
        <v>0</v>
      </c>
    </row>
    <row r="113" spans="1:28" ht="13.15">
      <c r="A113" s="30"/>
      <c r="B113" s="30" t="str">
        <f>'Nov 16-22'!B113</f>
        <v>TOTAL</v>
      </c>
      <c r="C113" s="30">
        <f t="shared" ref="C113:F113" si="1">SUM(C3:C111)</f>
        <v>2395</v>
      </c>
      <c r="D113" s="30">
        <f t="shared" si="1"/>
        <v>2395</v>
      </c>
      <c r="E113" s="30">
        <f t="shared" si="1"/>
        <v>2020</v>
      </c>
      <c r="F113" s="30">
        <f t="shared" si="1"/>
        <v>2017</v>
      </c>
      <c r="G113" s="30">
        <f>SUM(C113:F113)</f>
        <v>8827</v>
      </c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4" spans="1:28" ht="12.75">
      <c r="B114" s="1">
        <f>'Nov 16-22'!B114</f>
        <v>0</v>
      </c>
    </row>
    <row r="116" spans="1:28" ht="12.75">
      <c r="B116" s="43" t="s">
        <v>0</v>
      </c>
      <c r="C116" s="43" t="s">
        <v>149</v>
      </c>
      <c r="D116" s="43" t="s">
        <v>150</v>
      </c>
      <c r="E116" s="43" t="s">
        <v>151</v>
      </c>
      <c r="F116" s="43" t="s">
        <v>152</v>
      </c>
    </row>
    <row r="117" spans="1:28" ht="12.75">
      <c r="B117" s="1" t="str">
        <f t="shared" ref="B117:B228" si="2">B3</f>
        <v>10 7th Street</v>
      </c>
      <c r="D117" s="44" t="str">
        <f t="shared" ref="D117:F117" si="3">IFERROR(D3/C3-1,"N/A")</f>
        <v>N/A</v>
      </c>
      <c r="E117" s="44">
        <f t="shared" si="3"/>
        <v>-0.82352941176470584</v>
      </c>
      <c r="F117" s="44">
        <f t="shared" si="3"/>
        <v>6.166666666666667</v>
      </c>
    </row>
    <row r="118" spans="1:28" ht="12.75">
      <c r="B118" s="1" t="str">
        <f t="shared" si="2"/>
        <v>1008 Tremont Street Unit 3</v>
      </c>
      <c r="D118" s="44">
        <f t="shared" ref="D118:F118" si="4">IFERROR(D4/C4-1,"N/A")</f>
        <v>-0.48</v>
      </c>
      <c r="E118" s="44">
        <f t="shared" si="4"/>
        <v>-0.30769230769230771</v>
      </c>
      <c r="F118" s="44">
        <f t="shared" si="4"/>
        <v>-0.44444444444444442</v>
      </c>
    </row>
    <row r="119" spans="1:28" ht="12.75">
      <c r="B119" s="1" t="str">
        <f t="shared" si="2"/>
        <v>1008 Tremont Street Unit 6</v>
      </c>
      <c r="D119" s="44">
        <f t="shared" ref="D119:F119" si="5">IFERROR(D5/C5-1,"N/A")</f>
        <v>-1</v>
      </c>
      <c r="E119" s="44" t="str">
        <f t="shared" si="5"/>
        <v>N/A</v>
      </c>
      <c r="F119" s="44" t="str">
        <f t="shared" si="5"/>
        <v>N/A</v>
      </c>
    </row>
    <row r="120" spans="1:28" ht="12.75">
      <c r="B120" s="1" t="str">
        <f t="shared" si="2"/>
        <v>101 Heath Street Unit 1</v>
      </c>
      <c r="D120" s="44">
        <f t="shared" ref="D120:F120" si="6">IFERROR(D6/C6-1,"N/A")</f>
        <v>-1</v>
      </c>
      <c r="E120" s="44" t="str">
        <f t="shared" si="6"/>
        <v>N/A</v>
      </c>
      <c r="F120" s="44">
        <f t="shared" si="6"/>
        <v>-0.19047619047619047</v>
      </c>
    </row>
    <row r="121" spans="1:28" ht="12.75">
      <c r="B121" s="1" t="str">
        <f t="shared" si="2"/>
        <v>106 Hyde Park Avenue Unit 2</v>
      </c>
      <c r="D121" s="44" t="str">
        <f t="shared" ref="D121:F121" si="7">IFERROR(D7/C7-1,"N/A")</f>
        <v>N/A</v>
      </c>
      <c r="E121" s="44">
        <f t="shared" si="7"/>
        <v>-0.15384615384615385</v>
      </c>
      <c r="F121" s="44">
        <f t="shared" si="7"/>
        <v>0.18181818181818188</v>
      </c>
    </row>
    <row r="122" spans="1:28" ht="12.75">
      <c r="B122" s="1" t="str">
        <f t="shared" si="2"/>
        <v>106 Hyde Park Avenue Unit 3</v>
      </c>
      <c r="D122" s="44">
        <f t="shared" ref="D122:F122" si="8">IFERROR(D8/C8-1,"N/A")</f>
        <v>-0.36170212765957444</v>
      </c>
      <c r="E122" s="44">
        <f t="shared" si="8"/>
        <v>0.89999999999999991</v>
      </c>
      <c r="F122" s="44">
        <f t="shared" si="8"/>
        <v>-0.64912280701754388</v>
      </c>
    </row>
    <row r="123" spans="1:28" ht="12.75">
      <c r="B123" s="1" t="str">
        <f t="shared" si="2"/>
        <v>108 Central Street Unit 3L</v>
      </c>
      <c r="D123" s="44">
        <f t="shared" ref="D123:F123" si="9">IFERROR(D9/C9-1,"N/A")</f>
        <v>-0.42307692307692313</v>
      </c>
      <c r="E123" s="44">
        <f t="shared" si="9"/>
        <v>0.53333333333333344</v>
      </c>
      <c r="F123" s="44">
        <f t="shared" si="9"/>
        <v>0.21739130434782616</v>
      </c>
    </row>
    <row r="124" spans="1:28" ht="12.75">
      <c r="B124" s="1" t="str">
        <f t="shared" si="2"/>
        <v>108 Hyde Park Avenue Unit 2</v>
      </c>
      <c r="D124" s="44">
        <f t="shared" ref="D124:F124" si="10">IFERROR(D10/C10-1,"N/A")</f>
        <v>-0.52941176470588236</v>
      </c>
      <c r="E124" s="44">
        <f t="shared" si="10"/>
        <v>-0.375</v>
      </c>
      <c r="F124" s="44">
        <f t="shared" si="10"/>
        <v>-0.5</v>
      </c>
    </row>
    <row r="125" spans="1:28" ht="12.75">
      <c r="B125" s="1" t="str">
        <f t="shared" si="2"/>
        <v>108 Hyde Park Avenue Unit 3</v>
      </c>
      <c r="D125" s="44">
        <f t="shared" ref="D125:F125" si="11">IFERROR(D11/C11-1,"N/A")</f>
        <v>-0.97752808988764039</v>
      </c>
      <c r="E125" s="44">
        <f t="shared" si="11"/>
        <v>3</v>
      </c>
      <c r="F125" s="44">
        <f t="shared" si="11"/>
        <v>0.125</v>
      </c>
    </row>
    <row r="126" spans="1:28" ht="12.75">
      <c r="B126" s="1" t="str">
        <f t="shared" si="2"/>
        <v>1099 Cambridge Street Unit 1</v>
      </c>
      <c r="D126" s="44">
        <f t="shared" ref="D126:F126" si="12">IFERROR(D12/C12-1,"N/A")</f>
        <v>6</v>
      </c>
      <c r="E126" s="44">
        <f t="shared" si="12"/>
        <v>-0.6607142857142857</v>
      </c>
      <c r="F126" s="44">
        <f t="shared" si="12"/>
        <v>0</v>
      </c>
    </row>
    <row r="127" spans="1:28" ht="12.75">
      <c r="B127" s="1" t="str">
        <f t="shared" si="2"/>
        <v>110 Hamilton Street Unit 2</v>
      </c>
      <c r="D127" s="44">
        <f t="shared" ref="D127:F127" si="13">IFERROR(D13/C13-1,"N/A")</f>
        <v>0.24137931034482762</v>
      </c>
      <c r="E127" s="44">
        <f t="shared" si="13"/>
        <v>-0.875</v>
      </c>
      <c r="F127" s="44">
        <f t="shared" si="13"/>
        <v>0.55555555555555558</v>
      </c>
    </row>
    <row r="128" spans="1:28" ht="12.75">
      <c r="B128" s="1" t="str">
        <f t="shared" si="2"/>
        <v>110 Hamilton Street Unit 3</v>
      </c>
      <c r="D128" s="44">
        <f t="shared" ref="D128:F128" si="14">IFERROR(D14/C14-1,"N/A")</f>
        <v>-1</v>
      </c>
      <c r="E128" s="44" t="str">
        <f t="shared" si="14"/>
        <v>N/A</v>
      </c>
      <c r="F128" s="44" t="str">
        <f t="shared" si="14"/>
        <v>N/A</v>
      </c>
    </row>
    <row r="129" spans="2:6" ht="12.75">
      <c r="B129" s="1" t="str">
        <f t="shared" si="2"/>
        <v>1111 Boylston Street Unit 26</v>
      </c>
      <c r="D129" s="44">
        <f t="shared" ref="D129:F129" si="15">IFERROR(D15/C15-1,"N/A")</f>
        <v>19</v>
      </c>
      <c r="E129" s="44">
        <f t="shared" si="15"/>
        <v>7.4999999999999956E-2</v>
      </c>
      <c r="F129" s="44">
        <f t="shared" si="15"/>
        <v>0.32558139534883712</v>
      </c>
    </row>
    <row r="130" spans="2:6" ht="12.75">
      <c r="B130" s="1" t="str">
        <f t="shared" si="2"/>
        <v>114 Thornton Street Unit 1</v>
      </c>
      <c r="D130" s="44">
        <f t="shared" ref="D130:F130" si="16">IFERROR(D16/C16-1,"N/A")</f>
        <v>-0.29032258064516125</v>
      </c>
      <c r="E130" s="44">
        <f t="shared" si="16"/>
        <v>0.31818181818181812</v>
      </c>
      <c r="F130" s="44">
        <f t="shared" si="16"/>
        <v>-6.8965517241379337E-2</v>
      </c>
    </row>
    <row r="131" spans="2:6" ht="12.75">
      <c r="B131" s="1" t="str">
        <f t="shared" si="2"/>
        <v>116 Thornton Street Unit 2</v>
      </c>
      <c r="D131" s="44">
        <f t="shared" ref="D131:F131" si="17">IFERROR(D17/C17-1,"N/A")</f>
        <v>1.8888888888888888</v>
      </c>
      <c r="E131" s="44">
        <f t="shared" si="17"/>
        <v>-1</v>
      </c>
      <c r="F131" s="44" t="str">
        <f t="shared" si="17"/>
        <v>N/A</v>
      </c>
    </row>
    <row r="132" spans="2:6" ht="12.75">
      <c r="B132" s="1" t="str">
        <f t="shared" si="2"/>
        <v>116 Thornton Street Unit 3</v>
      </c>
      <c r="D132" s="44">
        <f t="shared" ref="D132:F132" si="18">IFERROR(D18/C18-1,"N/A")</f>
        <v>0.875</v>
      </c>
      <c r="E132" s="44">
        <f t="shared" si="18"/>
        <v>0.73333333333333339</v>
      </c>
      <c r="F132" s="44">
        <f t="shared" si="18"/>
        <v>3.8461538461538547E-2</v>
      </c>
    </row>
    <row r="133" spans="2:6" ht="12.75">
      <c r="B133" s="1" t="str">
        <f t="shared" si="2"/>
        <v>12 7th Street</v>
      </c>
      <c r="D133" s="44">
        <f t="shared" ref="D133:F133" si="19">IFERROR(D19/C19-1,"N/A")</f>
        <v>-1</v>
      </c>
      <c r="E133" s="44" t="str">
        <f t="shared" si="19"/>
        <v>N/A</v>
      </c>
      <c r="F133" s="44" t="str">
        <f t="shared" si="19"/>
        <v>N/A</v>
      </c>
    </row>
    <row r="134" spans="2:6" ht="12.75">
      <c r="B134" s="1" t="str">
        <f t="shared" si="2"/>
        <v>12 Estrella Street Unit 2</v>
      </c>
      <c r="D134" s="44">
        <f t="shared" ref="D134:F134" si="20">IFERROR(D20/C20-1,"N/A")</f>
        <v>42</v>
      </c>
      <c r="E134" s="44">
        <f t="shared" si="20"/>
        <v>-0.86046511627906974</v>
      </c>
      <c r="F134" s="44">
        <f t="shared" si="20"/>
        <v>-0.16666666666666663</v>
      </c>
    </row>
    <row r="135" spans="2:6" ht="12.75">
      <c r="B135" s="1" t="str">
        <f t="shared" si="2"/>
        <v>12 Stoneholm Street Unit 610</v>
      </c>
      <c r="D135" s="44">
        <f t="shared" ref="D135:F135" si="21">IFERROR(D21/C21-1,"N/A")</f>
        <v>-0.96296296296296302</v>
      </c>
      <c r="E135" s="44">
        <f t="shared" si="21"/>
        <v>16</v>
      </c>
      <c r="F135" s="44">
        <f t="shared" si="21"/>
        <v>0.35294117647058831</v>
      </c>
    </row>
    <row r="136" spans="2:6" ht="12.75">
      <c r="B136" s="1" t="str">
        <f t="shared" si="2"/>
        <v>12 Verndale Street Unit 1</v>
      </c>
      <c r="D136" s="44">
        <f t="shared" ref="D136:F136" si="22">IFERROR(D22/C22-1,"N/A")</f>
        <v>1.25</v>
      </c>
      <c r="E136" s="44">
        <f t="shared" si="22"/>
        <v>-0.18518518518518523</v>
      </c>
      <c r="F136" s="44">
        <f t="shared" si="22"/>
        <v>0.27272727272727271</v>
      </c>
    </row>
    <row r="137" spans="2:6" ht="12.75">
      <c r="B137" s="1" t="str">
        <f t="shared" si="2"/>
        <v>12 Verndale Street Unit 2</v>
      </c>
      <c r="D137" s="44">
        <f t="shared" ref="D137:F137" si="23">IFERROR(D23/C23-1,"N/A")</f>
        <v>-7.6923076923076872E-2</v>
      </c>
      <c r="E137" s="44">
        <f t="shared" si="23"/>
        <v>5.333333333333333</v>
      </c>
      <c r="F137" s="44">
        <f t="shared" si="23"/>
        <v>-0.72368421052631571</v>
      </c>
    </row>
    <row r="138" spans="2:6" ht="12.75">
      <c r="B138" s="1" t="str">
        <f t="shared" si="2"/>
        <v>122 Central Street Unit 2</v>
      </c>
      <c r="D138" s="44">
        <f t="shared" ref="D138:F138" si="24">IFERROR(D24/C24-1,"N/A")</f>
        <v>-0.83750000000000002</v>
      </c>
      <c r="E138" s="44">
        <f t="shared" si="24"/>
        <v>-0.84615384615384615</v>
      </c>
      <c r="F138" s="44">
        <f t="shared" si="24"/>
        <v>1</v>
      </c>
    </row>
    <row r="139" spans="2:6" ht="12.75">
      <c r="B139" s="1" t="str">
        <f t="shared" si="2"/>
        <v>1410 Columbia Road Unit 5B</v>
      </c>
      <c r="D139" s="44">
        <f t="shared" ref="D139:F139" si="25">IFERROR(D25/C25-1,"N/A")</f>
        <v>-0.52631578947368429</v>
      </c>
      <c r="E139" s="44">
        <f t="shared" si="25"/>
        <v>0.11111111111111116</v>
      </c>
      <c r="F139" s="44">
        <f t="shared" si="25"/>
        <v>0.19999999999999996</v>
      </c>
    </row>
    <row r="140" spans="2:6" ht="12.75">
      <c r="B140" s="1" t="str">
        <f t="shared" si="2"/>
        <v>146 Hillside Street Unit 1</v>
      </c>
      <c r="D140" s="44">
        <f t="shared" ref="D140:F140" si="26">IFERROR(D26/C26-1,"N/A")</f>
        <v>-0.76190476190476186</v>
      </c>
      <c r="E140" s="44">
        <f t="shared" si="26"/>
        <v>0.26666666666666661</v>
      </c>
      <c r="F140" s="44">
        <f t="shared" si="26"/>
        <v>-0.36842105263157898</v>
      </c>
    </row>
    <row r="141" spans="2:6" ht="12.75">
      <c r="B141" s="1" t="str">
        <f t="shared" si="2"/>
        <v>147 Columbia Street Unit 3R</v>
      </c>
      <c r="D141" s="44">
        <f t="shared" ref="D141:F141" si="27">IFERROR(D27/C27-1,"N/A")</f>
        <v>0.7</v>
      </c>
      <c r="E141" s="44">
        <f t="shared" si="27"/>
        <v>1.1470588235294117</v>
      </c>
      <c r="F141" s="44">
        <f t="shared" si="27"/>
        <v>0.49315068493150682</v>
      </c>
    </row>
    <row r="142" spans="2:6" ht="12.75">
      <c r="B142" s="1" t="str">
        <f t="shared" si="2"/>
        <v>154 Magazine Street Unit 1</v>
      </c>
      <c r="D142" s="44">
        <f t="shared" ref="D142:F142" si="28">IFERROR(D28/C28-1,"N/A")</f>
        <v>1.263157894736842</v>
      </c>
      <c r="E142" s="44">
        <f t="shared" si="28"/>
        <v>-0.65116279069767447</v>
      </c>
      <c r="F142" s="44">
        <f t="shared" si="28"/>
        <v>-0.19999999999999996</v>
      </c>
    </row>
    <row r="143" spans="2:6" ht="12.75">
      <c r="B143" s="1" t="str">
        <f t="shared" si="2"/>
        <v>154 Magazine Street Unit 2</v>
      </c>
      <c r="D143" s="44">
        <f t="shared" ref="D143:F143" si="29">IFERROR(D29/C29-1,"N/A")</f>
        <v>2.53125</v>
      </c>
      <c r="E143" s="44">
        <f t="shared" si="29"/>
        <v>-0.80530973451327437</v>
      </c>
      <c r="F143" s="44">
        <f t="shared" si="29"/>
        <v>0.36363636363636354</v>
      </c>
    </row>
    <row r="144" spans="2:6" ht="12.75">
      <c r="B144" s="1" t="str">
        <f t="shared" si="2"/>
        <v>1578 Beacon Street Unit 5</v>
      </c>
      <c r="D144" s="44">
        <f t="shared" ref="D144:F144" si="30">IFERROR(D30/C30-1,"N/A")</f>
        <v>0</v>
      </c>
      <c r="E144" s="44">
        <f t="shared" si="30"/>
        <v>4.5</v>
      </c>
      <c r="F144" s="44">
        <f t="shared" si="30"/>
        <v>0.33333333333333326</v>
      </c>
    </row>
    <row r="145" spans="2:6" ht="12.75">
      <c r="B145" s="1" t="str">
        <f t="shared" si="2"/>
        <v>1578 Beacon Street Unit 7</v>
      </c>
      <c r="D145" s="44">
        <f t="shared" ref="D145:F145" si="31">IFERROR(D31/C31-1,"N/A")</f>
        <v>2.75</v>
      </c>
      <c r="E145" s="44">
        <f t="shared" si="31"/>
        <v>4.4000000000000004</v>
      </c>
      <c r="F145" s="44">
        <f t="shared" si="31"/>
        <v>-0.61728395061728403</v>
      </c>
    </row>
    <row r="146" spans="2:6" ht="12.75">
      <c r="B146" s="1" t="str">
        <f t="shared" si="2"/>
        <v>1578 Beacon Street Unit 8</v>
      </c>
      <c r="D146" s="44">
        <f t="shared" ref="D146:F146" si="32">IFERROR(D32/C32-1,"N/A")</f>
        <v>-0.8</v>
      </c>
      <c r="E146" s="44">
        <f t="shared" si="32"/>
        <v>0.81818181818181812</v>
      </c>
      <c r="F146" s="44">
        <f t="shared" si="32"/>
        <v>5.0000000000000044E-2</v>
      </c>
    </row>
    <row r="147" spans="2:6" ht="12.75">
      <c r="B147" s="1" t="str">
        <f t="shared" si="2"/>
        <v>158 Boston Street Unit 2</v>
      </c>
      <c r="D147" s="44">
        <f t="shared" ref="D147:F147" si="33">IFERROR(D33/C33-1,"N/A")</f>
        <v>3.0294117647058822</v>
      </c>
      <c r="E147" s="44">
        <f t="shared" si="33"/>
        <v>-0.97080291970802923</v>
      </c>
      <c r="F147" s="44">
        <f t="shared" si="33"/>
        <v>0.75</v>
      </c>
    </row>
    <row r="148" spans="2:6" ht="12.75">
      <c r="B148" s="1" t="str">
        <f t="shared" si="2"/>
        <v>158 Magazine Street Unit 27</v>
      </c>
      <c r="D148" s="44">
        <f t="shared" ref="D148:F148" si="34">IFERROR(D34/C34-1,"N/A")</f>
        <v>2</v>
      </c>
      <c r="E148" s="44">
        <f t="shared" si="34"/>
        <v>2.5</v>
      </c>
      <c r="F148" s="44">
        <f t="shared" si="34"/>
        <v>-0.97619047619047616</v>
      </c>
    </row>
    <row r="149" spans="2:6" ht="12.75">
      <c r="B149" s="1" t="str">
        <f t="shared" si="2"/>
        <v>158 Magazine Street Unit 6</v>
      </c>
      <c r="D149" s="44">
        <f t="shared" ref="D149:F149" si="35">IFERROR(D35/C35-1,"N/A")</f>
        <v>-0.23529411764705888</v>
      </c>
      <c r="E149" s="44">
        <f t="shared" si="35"/>
        <v>-0.84615384615384615</v>
      </c>
      <c r="F149" s="44">
        <f t="shared" si="35"/>
        <v>-1</v>
      </c>
    </row>
    <row r="150" spans="2:6" ht="12.75">
      <c r="B150" s="1" t="str">
        <f t="shared" si="2"/>
        <v>158 Magazine Street Unit 7</v>
      </c>
      <c r="D150" s="44">
        <f t="shared" ref="D150:F150" si="36">IFERROR(D36/C36-1,"N/A")</f>
        <v>18</v>
      </c>
      <c r="E150" s="44">
        <f t="shared" si="36"/>
        <v>-0.26315789473684215</v>
      </c>
      <c r="F150" s="44">
        <f t="shared" si="36"/>
        <v>0.5714285714285714</v>
      </c>
    </row>
    <row r="151" spans="2:6" ht="12.75">
      <c r="B151" s="1" t="str">
        <f t="shared" si="2"/>
        <v>16A Forest Street Unit 33</v>
      </c>
      <c r="D151" s="44">
        <f t="shared" ref="D151:F151" si="37">IFERROR(D37/C37-1,"N/A")</f>
        <v>1.2222222222222223</v>
      </c>
      <c r="E151" s="44">
        <f t="shared" si="37"/>
        <v>5.0000000000000044E-2</v>
      </c>
      <c r="F151" s="44">
        <f t="shared" si="37"/>
        <v>0.28571428571428581</v>
      </c>
    </row>
    <row r="152" spans="2:6" ht="12.75">
      <c r="B152" s="1" t="str">
        <f t="shared" si="2"/>
        <v>17 Kenneson Road Unit 1</v>
      </c>
      <c r="D152" s="44">
        <f t="shared" ref="D152:F152" si="38">IFERROR(D38/C38-1,"N/A")</f>
        <v>-1</v>
      </c>
      <c r="E152" s="44" t="str">
        <f t="shared" si="38"/>
        <v>N/A</v>
      </c>
      <c r="F152" s="44">
        <f t="shared" si="38"/>
        <v>0.78571428571428581</v>
      </c>
    </row>
    <row r="153" spans="2:6" ht="12.75">
      <c r="B153" s="1" t="str">
        <f t="shared" si="2"/>
        <v>174 W 8th Street Unit 2</v>
      </c>
      <c r="D153" s="44">
        <f t="shared" ref="D153:F153" si="39">IFERROR(D39/C39-1,"N/A")</f>
        <v>-1</v>
      </c>
      <c r="E153" s="44" t="str">
        <f t="shared" si="39"/>
        <v>N/A</v>
      </c>
      <c r="F153" s="44">
        <f t="shared" si="39"/>
        <v>3.5</v>
      </c>
    </row>
    <row r="154" spans="2:6" ht="12.75">
      <c r="B154" s="1" t="str">
        <f t="shared" si="2"/>
        <v>179 Massachusetts Avenue Unit 2</v>
      </c>
      <c r="D154" s="44">
        <f t="shared" ref="D154:F154" si="40">IFERROR(D40/C40-1,"N/A")</f>
        <v>2.625</v>
      </c>
      <c r="E154" s="44">
        <f t="shared" si="40"/>
        <v>-0.37931034482758619</v>
      </c>
      <c r="F154" s="44">
        <f t="shared" si="40"/>
        <v>0</v>
      </c>
    </row>
    <row r="155" spans="2:6" ht="12.75">
      <c r="B155" s="1" t="str">
        <f t="shared" si="2"/>
        <v>179 Massachusetts Avenue Unit 3</v>
      </c>
      <c r="D155" s="44">
        <f t="shared" ref="D155:F155" si="41">IFERROR(D41/C41-1,"N/A")</f>
        <v>-0.77777777777777779</v>
      </c>
      <c r="E155" s="44">
        <f t="shared" si="41"/>
        <v>2.3333333333333335</v>
      </c>
      <c r="F155" s="44">
        <f t="shared" si="41"/>
        <v>5.0000000000000044E-2</v>
      </c>
    </row>
    <row r="156" spans="2:6" ht="12.75">
      <c r="B156" s="1" t="str">
        <f t="shared" si="2"/>
        <v>18 Mount Hood Road Unit 1</v>
      </c>
      <c r="D156" s="44">
        <f t="shared" ref="D156:F156" si="42">IFERROR(D42/C42-1,"N/A")</f>
        <v>-0.94117647058823528</v>
      </c>
      <c r="E156" s="44">
        <f t="shared" si="42"/>
        <v>-1</v>
      </c>
      <c r="F156" s="44" t="str">
        <f t="shared" si="42"/>
        <v>N/A</v>
      </c>
    </row>
    <row r="157" spans="2:6" ht="12.75">
      <c r="B157" s="1" t="str">
        <f t="shared" si="2"/>
        <v>18 Mount Hood Road Unit 2</v>
      </c>
      <c r="D157" s="44">
        <f t="shared" ref="D157:F157" si="43">IFERROR(D43/C43-1,"N/A")</f>
        <v>-0.83720930232558133</v>
      </c>
      <c r="E157" s="44">
        <f t="shared" si="43"/>
        <v>-1</v>
      </c>
      <c r="F157" s="44" t="str">
        <f t="shared" si="43"/>
        <v>N/A</v>
      </c>
    </row>
    <row r="158" spans="2:6" ht="12.75">
      <c r="B158" s="1" t="str">
        <f t="shared" si="2"/>
        <v>19 Mercer Street Unit 1</v>
      </c>
      <c r="D158" s="44">
        <f t="shared" ref="D158:F158" si="44">IFERROR(D44/C44-1,"N/A")</f>
        <v>-0.84955752212389379</v>
      </c>
      <c r="E158" s="44">
        <f t="shared" si="44"/>
        <v>-0.52941176470588236</v>
      </c>
      <c r="F158" s="44">
        <f t="shared" si="44"/>
        <v>0.625</v>
      </c>
    </row>
    <row r="159" spans="2:6" ht="12.75">
      <c r="B159" s="1" t="str">
        <f t="shared" si="2"/>
        <v>19 Wallingford Road Unit 1</v>
      </c>
      <c r="D159" s="44">
        <f t="shared" ref="D159:F159" si="45">IFERROR(D45/C45-1,"N/A")</f>
        <v>3.5</v>
      </c>
      <c r="E159" s="44">
        <f t="shared" si="45"/>
        <v>-3.703703703703709E-2</v>
      </c>
      <c r="F159" s="44">
        <f t="shared" si="45"/>
        <v>-0.69230769230769229</v>
      </c>
    </row>
    <row r="160" spans="2:6" ht="12.75">
      <c r="B160" s="1" t="str">
        <f t="shared" si="2"/>
        <v>192 Alleghany Street Unit 2</v>
      </c>
      <c r="D160" s="44">
        <f t="shared" ref="D160:F160" si="46">IFERROR(D46/C46-1,"N/A")</f>
        <v>-1</v>
      </c>
      <c r="E160" s="44" t="str">
        <f t="shared" si="46"/>
        <v>N/A</v>
      </c>
      <c r="F160" s="44">
        <f t="shared" si="46"/>
        <v>-9.0909090909090939E-2</v>
      </c>
    </row>
    <row r="161" spans="2:6" ht="12.75">
      <c r="B161" s="1" t="str">
        <f t="shared" si="2"/>
        <v>192 Third Street Unit 1</v>
      </c>
      <c r="D161" s="44" t="str">
        <f t="shared" ref="D161:F161" si="47">IFERROR(D47/C47-1,"N/A")</f>
        <v>N/A</v>
      </c>
      <c r="E161" s="44">
        <f t="shared" si="47"/>
        <v>-0.45454545454545459</v>
      </c>
      <c r="F161" s="44">
        <f t="shared" si="47"/>
        <v>1.6666666666666665</v>
      </c>
    </row>
    <row r="162" spans="2:6" ht="12.75">
      <c r="B162" s="1" t="str">
        <f t="shared" si="2"/>
        <v>192 Third Street Unit 2</v>
      </c>
      <c r="D162" s="44">
        <f t="shared" ref="D162:F162" si="48">IFERROR(D48/C48-1,"N/A")</f>
        <v>6.333333333333333</v>
      </c>
      <c r="E162" s="44">
        <f t="shared" si="48"/>
        <v>-0.84090909090909094</v>
      </c>
      <c r="F162" s="44">
        <f t="shared" si="48"/>
        <v>1</v>
      </c>
    </row>
    <row r="163" spans="2:6" ht="12.75">
      <c r="B163" s="1" t="str">
        <f t="shared" si="2"/>
        <v>2 Montfern Avenue Unit 1</v>
      </c>
      <c r="D163" s="44">
        <f t="shared" ref="D163:F163" si="49">IFERROR(D49/C49-1,"N/A")</f>
        <v>-0.76470588235294112</v>
      </c>
      <c r="E163" s="44">
        <f t="shared" si="49"/>
        <v>-0.375</v>
      </c>
      <c r="F163" s="44">
        <f t="shared" si="49"/>
        <v>0</v>
      </c>
    </row>
    <row r="164" spans="2:6" ht="12.75">
      <c r="B164" s="1" t="str">
        <f t="shared" si="2"/>
        <v>2 Montfern Avenue Unit 2</v>
      </c>
      <c r="D164" s="44">
        <f t="shared" ref="D164:F164" si="50">IFERROR(D50/C50-1,"N/A")</f>
        <v>-0.30769230769230771</v>
      </c>
      <c r="E164" s="44">
        <f t="shared" si="50"/>
        <v>-1</v>
      </c>
      <c r="F164" s="44" t="str">
        <f t="shared" si="50"/>
        <v>N/A</v>
      </c>
    </row>
    <row r="165" spans="2:6" ht="12.75">
      <c r="B165" s="1" t="str">
        <f t="shared" si="2"/>
        <v>2 Montfern Avenue Unit 3</v>
      </c>
      <c r="D165" s="44" t="str">
        <f t="shared" ref="D165:F165" si="51">IFERROR(D51/C51-1,"N/A")</f>
        <v>N/A</v>
      </c>
      <c r="E165" s="44">
        <f t="shared" si="51"/>
        <v>-0.7142857142857143</v>
      </c>
      <c r="F165" s="44">
        <f t="shared" si="51"/>
        <v>0.5</v>
      </c>
    </row>
    <row r="166" spans="2:6" ht="12.75">
      <c r="B166" s="1" t="str">
        <f t="shared" si="2"/>
        <v>20 Reedsdale Street</v>
      </c>
      <c r="D166" s="44">
        <f t="shared" ref="D166:F166" si="52">IFERROR(D52/C52-1,"N/A")</f>
        <v>-0.46666666666666667</v>
      </c>
      <c r="E166" s="44">
        <f t="shared" si="52"/>
        <v>-1</v>
      </c>
      <c r="F166" s="44" t="str">
        <f t="shared" si="52"/>
        <v>N/A</v>
      </c>
    </row>
    <row r="167" spans="2:6" ht="12.75">
      <c r="B167" s="1" t="str">
        <f t="shared" si="2"/>
        <v>20 Sudan Street Unit 1</v>
      </c>
      <c r="D167" s="44">
        <f t="shared" ref="D167:F167" si="53">IFERROR(D53/C53-1,"N/A")</f>
        <v>-1</v>
      </c>
      <c r="E167" s="44" t="str">
        <f t="shared" si="53"/>
        <v>N/A</v>
      </c>
      <c r="F167" s="44">
        <f t="shared" si="53"/>
        <v>0.61904761904761907</v>
      </c>
    </row>
    <row r="168" spans="2:6" ht="12.75">
      <c r="B168" s="1" t="str">
        <f t="shared" si="2"/>
        <v>208 Cedar Street Unit 2</v>
      </c>
      <c r="D168" s="44" t="str">
        <f t="shared" ref="D168:F168" si="54">IFERROR(D54/C54-1,"N/A")</f>
        <v>N/A</v>
      </c>
      <c r="E168" s="44">
        <f t="shared" si="54"/>
        <v>2</v>
      </c>
      <c r="F168" s="44">
        <f t="shared" si="54"/>
        <v>1.6666666666666665</v>
      </c>
    </row>
    <row r="169" spans="2:6" ht="12.75">
      <c r="B169" s="1" t="str">
        <f t="shared" si="2"/>
        <v>22 Austin Street Unit 1</v>
      </c>
      <c r="D169" s="44">
        <f t="shared" ref="D169:F169" si="55">IFERROR(D55/C55-1,"N/A")</f>
        <v>-0.81751824817518248</v>
      </c>
      <c r="E169" s="44">
        <f t="shared" si="55"/>
        <v>-0.43999999999999995</v>
      </c>
      <c r="F169" s="44">
        <f t="shared" si="55"/>
        <v>-0.2142857142857143</v>
      </c>
    </row>
    <row r="170" spans="2:6" ht="12.75">
      <c r="B170" s="1" t="str">
        <f t="shared" si="2"/>
        <v>23 Granite Street Unit 3</v>
      </c>
      <c r="D170" s="44">
        <f t="shared" ref="D170:F170" si="56">IFERROR(D56/C56-1,"N/A")</f>
        <v>-1</v>
      </c>
      <c r="E170" s="44" t="str">
        <f t="shared" si="56"/>
        <v>N/A</v>
      </c>
      <c r="F170" s="44">
        <f t="shared" si="56"/>
        <v>-0.9285714285714286</v>
      </c>
    </row>
    <row r="171" spans="2:6" ht="12.75">
      <c r="B171" s="1" t="str">
        <f t="shared" si="2"/>
        <v>23 Rogers Avenue Unit 1</v>
      </c>
      <c r="D171" s="44">
        <f t="shared" ref="D171:F171" si="57">IFERROR(D57/C57-1,"N/A")</f>
        <v>0.69230769230769229</v>
      </c>
      <c r="E171" s="44">
        <f t="shared" si="57"/>
        <v>-1</v>
      </c>
      <c r="F171" s="44" t="str">
        <f t="shared" si="57"/>
        <v>N/A</v>
      </c>
    </row>
    <row r="172" spans="2:6" ht="12.75">
      <c r="B172" s="1" t="str">
        <f t="shared" si="2"/>
        <v>231 Norfolk Street Unit 1</v>
      </c>
      <c r="D172" s="44">
        <f t="shared" ref="D172:F172" si="58">IFERROR(D58/C58-1,"N/A")</f>
        <v>4</v>
      </c>
      <c r="E172" s="44">
        <f t="shared" si="58"/>
        <v>-1</v>
      </c>
      <c r="F172" s="44" t="str">
        <f t="shared" si="58"/>
        <v>N/A</v>
      </c>
    </row>
    <row r="173" spans="2:6" ht="12.75">
      <c r="B173" s="1" t="str">
        <f t="shared" si="2"/>
        <v>231 Norfolk Street Unit 4</v>
      </c>
      <c r="D173" s="44">
        <f t="shared" ref="D173:F173" si="59">IFERROR(D59/C59-1,"N/A")</f>
        <v>-0.97101449275362317</v>
      </c>
      <c r="E173" s="44">
        <f t="shared" si="59"/>
        <v>1.5</v>
      </c>
      <c r="F173" s="44">
        <f t="shared" si="59"/>
        <v>-1</v>
      </c>
    </row>
    <row r="174" spans="2:6" ht="12.75">
      <c r="B174" s="1" t="str">
        <f t="shared" si="2"/>
        <v>24 Ashford Street Unit 2</v>
      </c>
      <c r="D174" s="44">
        <f t="shared" ref="D174:F174" si="60">IFERROR(D60/C60-1,"N/A")</f>
        <v>-0.21052631578947367</v>
      </c>
      <c r="E174" s="44">
        <f t="shared" si="60"/>
        <v>-0.73333333333333339</v>
      </c>
      <c r="F174" s="44">
        <f t="shared" si="60"/>
        <v>-0.25</v>
      </c>
    </row>
    <row r="175" spans="2:6" ht="12.75">
      <c r="B175" s="1" t="str">
        <f t="shared" si="2"/>
        <v>25 Howes Street Unit 2</v>
      </c>
      <c r="D175" s="44">
        <f t="shared" ref="D175:F175" si="61">IFERROR(D61/C61-1,"N/A")</f>
        <v>-1</v>
      </c>
      <c r="E175" s="44" t="str">
        <f t="shared" si="61"/>
        <v>N/A</v>
      </c>
      <c r="F175" s="44">
        <f t="shared" si="61"/>
        <v>0.44871794871794868</v>
      </c>
    </row>
    <row r="176" spans="2:6" ht="12.75">
      <c r="B176" s="1" t="str">
        <f t="shared" si="2"/>
        <v>25 Howes Street Unit 3</v>
      </c>
      <c r="D176" s="44" t="str">
        <f t="shared" ref="D176:F176" si="62">IFERROR(D62/C62-1,"N/A")</f>
        <v>N/A</v>
      </c>
      <c r="E176" s="44">
        <f t="shared" si="62"/>
        <v>3.8181818181818183</v>
      </c>
      <c r="F176" s="44">
        <f t="shared" si="62"/>
        <v>0</v>
      </c>
    </row>
    <row r="177" spans="2:6" ht="12.75">
      <c r="B177" s="1" t="str">
        <f t="shared" si="2"/>
        <v>26 Washington Terrace Unit 1</v>
      </c>
      <c r="D177" s="44" t="str">
        <f t="shared" ref="D177:F177" si="63">IFERROR(D63/C63-1,"N/A")</f>
        <v>N/A</v>
      </c>
      <c r="E177" s="44" t="str">
        <f t="shared" si="63"/>
        <v>N/A</v>
      </c>
      <c r="F177" s="44">
        <f t="shared" si="63"/>
        <v>-8.333333333333337E-2</v>
      </c>
    </row>
    <row r="178" spans="2:6" ht="12.75">
      <c r="B178" s="1" t="str">
        <f t="shared" si="2"/>
        <v>26 Washington Terrace Unit 2</v>
      </c>
      <c r="D178" s="44">
        <f t="shared" ref="D178:F178" si="64">IFERROR(D64/C64-1,"N/A")</f>
        <v>-1</v>
      </c>
      <c r="E178" s="44" t="str">
        <f t="shared" si="64"/>
        <v>N/A</v>
      </c>
      <c r="F178" s="44">
        <f t="shared" si="64"/>
        <v>-0.35416666666666663</v>
      </c>
    </row>
    <row r="179" spans="2:6" ht="12.75">
      <c r="B179" s="1" t="str">
        <f t="shared" si="2"/>
        <v>267 Main Street Unit 4</v>
      </c>
      <c r="D179" s="44">
        <f t="shared" ref="D179:F179" si="65">IFERROR(D65/C65-1,"N/A")</f>
        <v>-0.58955223880597019</v>
      </c>
      <c r="E179" s="44">
        <f t="shared" si="65"/>
        <v>-0.72727272727272729</v>
      </c>
      <c r="F179" s="44">
        <f t="shared" si="65"/>
        <v>0.33333333333333326</v>
      </c>
    </row>
    <row r="180" spans="2:6" ht="12.75">
      <c r="B180" s="1" t="str">
        <f t="shared" si="2"/>
        <v>275 Dorchester Street</v>
      </c>
      <c r="D180" s="44" t="str">
        <f t="shared" ref="D180:F180" si="66">IFERROR(D66/C66-1,"N/A")</f>
        <v>N/A</v>
      </c>
      <c r="E180" s="44" t="str">
        <f t="shared" si="66"/>
        <v>N/A</v>
      </c>
      <c r="F180" s="44">
        <f t="shared" si="66"/>
        <v>0.72727272727272729</v>
      </c>
    </row>
    <row r="181" spans="2:6" ht="12.75">
      <c r="B181" s="1" t="str">
        <f t="shared" si="2"/>
        <v>31 Plymouth Street Unit 2</v>
      </c>
      <c r="D181" s="44">
        <f t="shared" ref="D181:F181" si="67">IFERROR(D67/C67-1,"N/A")</f>
        <v>6.833333333333333</v>
      </c>
      <c r="E181" s="44">
        <f t="shared" si="67"/>
        <v>-1</v>
      </c>
      <c r="F181" s="44" t="str">
        <f t="shared" si="67"/>
        <v>N/A</v>
      </c>
    </row>
    <row r="182" spans="2:6" ht="12.75">
      <c r="B182" s="1" t="str">
        <f t="shared" si="2"/>
        <v>31 Plymouth Street Unit 3</v>
      </c>
      <c r="D182" s="44">
        <f t="shared" ref="D182:F182" si="68">IFERROR(D68/C68-1,"N/A")</f>
        <v>12</v>
      </c>
      <c r="E182" s="44">
        <f t="shared" si="68"/>
        <v>-1</v>
      </c>
      <c r="F182" s="44" t="str">
        <f t="shared" si="68"/>
        <v>N/A</v>
      </c>
    </row>
    <row r="183" spans="2:6" ht="12.75">
      <c r="B183" s="1" t="str">
        <f t="shared" si="2"/>
        <v>31 South Street Unit 1</v>
      </c>
      <c r="D183" s="44">
        <f t="shared" ref="D183:F183" si="69">IFERROR(D69/C69-1,"N/A")</f>
        <v>3.8571428571428568</v>
      </c>
      <c r="E183" s="44">
        <f t="shared" si="69"/>
        <v>-0.94117647058823528</v>
      </c>
      <c r="F183" s="44">
        <f t="shared" si="69"/>
        <v>-1</v>
      </c>
    </row>
    <row r="184" spans="2:6" ht="12.75">
      <c r="B184" s="1" t="str">
        <f t="shared" si="2"/>
        <v>322.5 Western Avenue Unit 2</v>
      </c>
      <c r="D184" s="44" t="str">
        <f t="shared" ref="D184:F184" si="70">IFERROR(D70/C70-1,"N/A")</f>
        <v>N/A</v>
      </c>
      <c r="E184" s="44">
        <f t="shared" si="70"/>
        <v>-0.8539325842696629</v>
      </c>
      <c r="F184" s="44">
        <f t="shared" si="70"/>
        <v>1.2307692307692308</v>
      </c>
    </row>
    <row r="185" spans="2:6" ht="12.75">
      <c r="B185" s="1" t="str">
        <f t="shared" si="2"/>
        <v>33 Merriam Street Unit 2</v>
      </c>
      <c r="D185" s="44">
        <f t="shared" ref="D185:F185" si="71">IFERROR(D71/C71-1,"N/A")</f>
        <v>2.4117647058823528</v>
      </c>
      <c r="E185" s="44">
        <f t="shared" si="71"/>
        <v>-0.72413793103448276</v>
      </c>
      <c r="F185" s="44">
        <f t="shared" si="71"/>
        <v>0.4375</v>
      </c>
    </row>
    <row r="186" spans="2:6" ht="12.75">
      <c r="B186" s="1" t="str">
        <f t="shared" si="2"/>
        <v>34 Cherokee Street Unit 3</v>
      </c>
      <c r="D186" s="44" t="str">
        <f t="shared" ref="D186:F186" si="72">IFERROR(D72/C72-1,"N/A")</f>
        <v>N/A</v>
      </c>
      <c r="E186" s="44">
        <f t="shared" si="72"/>
        <v>-0.95238095238095233</v>
      </c>
      <c r="F186" s="44">
        <f t="shared" si="72"/>
        <v>1.5</v>
      </c>
    </row>
    <row r="187" spans="2:6" ht="12.75">
      <c r="B187" s="1" t="str">
        <f t="shared" si="2"/>
        <v>34 Circuit Street Unit 3</v>
      </c>
      <c r="D187" s="44">
        <f t="shared" ref="D187:F187" si="73">IFERROR(D73/C73-1,"N/A")</f>
        <v>0.14814814814814814</v>
      </c>
      <c r="E187" s="44">
        <f t="shared" si="73"/>
        <v>2.6451612903225805</v>
      </c>
      <c r="F187" s="44">
        <f t="shared" si="73"/>
        <v>-0.31858407079646023</v>
      </c>
    </row>
    <row r="188" spans="2:6" ht="12.75">
      <c r="B188" s="1" t="str">
        <f t="shared" si="2"/>
        <v>348 E 8th Street Unit 1</v>
      </c>
      <c r="D188" s="44">
        <f t="shared" ref="D188:F188" si="74">IFERROR(D74/C74-1,"N/A")</f>
        <v>0</v>
      </c>
      <c r="E188" s="44">
        <f t="shared" si="74"/>
        <v>-0.77777777777777779</v>
      </c>
      <c r="F188" s="44">
        <f t="shared" si="74"/>
        <v>-1</v>
      </c>
    </row>
    <row r="189" spans="2:6" ht="12.75">
      <c r="B189" s="1" t="str">
        <f t="shared" si="2"/>
        <v>35 South Street Unit 7</v>
      </c>
      <c r="D189" s="44">
        <f t="shared" ref="D189:F189" si="75">IFERROR(D75/C75-1,"N/A")</f>
        <v>0.45454545454545459</v>
      </c>
      <c r="E189" s="44">
        <f t="shared" si="75"/>
        <v>-0.25</v>
      </c>
      <c r="F189" s="44">
        <f t="shared" si="75"/>
        <v>-0.5</v>
      </c>
    </row>
    <row r="190" spans="2:6" ht="12.75">
      <c r="B190" s="1" t="str">
        <f t="shared" si="2"/>
        <v>357 Windsor Street Unit 2</v>
      </c>
      <c r="D190" s="44" t="str">
        <f t="shared" ref="D190:F190" si="76">IFERROR(D76/C76-1,"N/A")</f>
        <v>N/A</v>
      </c>
      <c r="E190" s="44">
        <f t="shared" si="76"/>
        <v>-1</v>
      </c>
      <c r="F190" s="44" t="str">
        <f t="shared" si="76"/>
        <v>N/A</v>
      </c>
    </row>
    <row r="191" spans="2:6" ht="12.75">
      <c r="B191" s="1" t="str">
        <f t="shared" si="2"/>
        <v>376 Prospect Street Unit 2</v>
      </c>
      <c r="D191" s="44">
        <f t="shared" ref="D191:F191" si="77">IFERROR(D77/C77-1,"N/A")</f>
        <v>6.875</v>
      </c>
      <c r="E191" s="44">
        <f t="shared" si="77"/>
        <v>-0.92063492063492069</v>
      </c>
      <c r="F191" s="44">
        <f t="shared" si="77"/>
        <v>-1</v>
      </c>
    </row>
    <row r="192" spans="2:6" ht="12.75">
      <c r="B192" s="1" t="str">
        <f t="shared" si="2"/>
        <v>379 Broadway Street Unit 43</v>
      </c>
      <c r="D192" s="44">
        <f t="shared" ref="D192:F192" si="78">IFERROR(D78/C78-1,"N/A")</f>
        <v>0.11111111111111116</v>
      </c>
      <c r="E192" s="44">
        <f t="shared" si="78"/>
        <v>-1</v>
      </c>
      <c r="F192" s="44" t="str">
        <f t="shared" si="78"/>
        <v>N/A</v>
      </c>
    </row>
    <row r="193" spans="2:6" ht="12.75">
      <c r="B193" s="1" t="str">
        <f t="shared" si="2"/>
        <v>379 Broadway Street Unit 7</v>
      </c>
      <c r="D193" s="44" t="str">
        <f t="shared" ref="D193:F193" si="79">IFERROR(D79/C79-1,"N/A")</f>
        <v>N/A</v>
      </c>
      <c r="E193" s="44">
        <f t="shared" si="79"/>
        <v>2.0526315789473686</v>
      </c>
      <c r="F193" s="44">
        <f t="shared" si="79"/>
        <v>-0.53448275862068972</v>
      </c>
    </row>
    <row r="194" spans="2:6" ht="12.75">
      <c r="B194" s="1" t="str">
        <f t="shared" si="2"/>
        <v>38 Day Street Unit 42</v>
      </c>
      <c r="D194" s="44">
        <f t="shared" ref="D194:F194" si="80">IFERROR(D80/C80-1,"N/A")</f>
        <v>-0.27272727272727271</v>
      </c>
      <c r="E194" s="44">
        <f t="shared" si="80"/>
        <v>-0.40625</v>
      </c>
      <c r="F194" s="44">
        <f t="shared" si="80"/>
        <v>-0.57894736842105265</v>
      </c>
    </row>
    <row r="195" spans="2:6" ht="12.75">
      <c r="B195" s="1" t="str">
        <f t="shared" si="2"/>
        <v>383 Broadway Street Unit 41</v>
      </c>
      <c r="D195" s="44" t="str">
        <f t="shared" ref="D195:F195" si="81">IFERROR(D81/C81-1,"N/A")</f>
        <v>N/A</v>
      </c>
      <c r="E195" s="44">
        <f t="shared" si="81"/>
        <v>-1</v>
      </c>
      <c r="F195" s="44" t="str">
        <f t="shared" si="81"/>
        <v>N/A</v>
      </c>
    </row>
    <row r="196" spans="2:6" ht="12.75">
      <c r="B196" s="1" t="str">
        <f t="shared" si="2"/>
        <v>4 Elko Street Unit B1</v>
      </c>
      <c r="D196" s="44" t="str">
        <f t="shared" ref="D196:F196" si="82">IFERROR(D82/C82-1,"N/A")</f>
        <v>N/A</v>
      </c>
      <c r="E196" s="44">
        <f t="shared" si="82"/>
        <v>-0.3529411764705882</v>
      </c>
      <c r="F196" s="44">
        <f t="shared" si="82"/>
        <v>-0.81818181818181812</v>
      </c>
    </row>
    <row r="197" spans="2:6" ht="12.75">
      <c r="B197" s="1" t="str">
        <f t="shared" si="2"/>
        <v>4 Litchfield Street Unit 2</v>
      </c>
      <c r="D197" s="44">
        <f t="shared" ref="D197:F197" si="83">IFERROR(D83/C83-1,"N/A")</f>
        <v>-0.92307692307692313</v>
      </c>
      <c r="E197" s="44">
        <f t="shared" si="83"/>
        <v>15</v>
      </c>
      <c r="F197" s="44">
        <f t="shared" si="83"/>
        <v>-0.1875</v>
      </c>
    </row>
    <row r="198" spans="2:6" ht="12.75">
      <c r="B198" s="1" t="str">
        <f t="shared" si="2"/>
        <v>40 Sudan Street Unit 3</v>
      </c>
      <c r="D198" s="44">
        <f t="shared" ref="D198:F198" si="84">IFERROR(D84/C84-1,"N/A")</f>
        <v>-0.5</v>
      </c>
      <c r="E198" s="44">
        <f t="shared" si="84"/>
        <v>2.25</v>
      </c>
      <c r="F198" s="44">
        <f t="shared" si="84"/>
        <v>0.61538461538461542</v>
      </c>
    </row>
    <row r="199" spans="2:6" ht="12.75">
      <c r="B199" s="1" t="str">
        <f t="shared" si="2"/>
        <v>42 Marcella Street Unit 1</v>
      </c>
      <c r="D199" s="44">
        <f t="shared" ref="D199:F199" si="85">IFERROR(D85/C85-1,"N/A")</f>
        <v>1.6666666666666665</v>
      </c>
      <c r="E199" s="44">
        <f t="shared" si="85"/>
        <v>-1</v>
      </c>
      <c r="F199" s="44" t="str">
        <f t="shared" si="85"/>
        <v>N/A</v>
      </c>
    </row>
    <row r="200" spans="2:6" ht="12.75">
      <c r="B200" s="1" t="str">
        <f t="shared" si="2"/>
        <v>45 Crescent Avenue Unit 1</v>
      </c>
      <c r="D200" s="44">
        <f t="shared" ref="D200:F200" si="86">IFERROR(D86/C86-1,"N/A")</f>
        <v>0.14285714285714279</v>
      </c>
      <c r="E200" s="44">
        <f t="shared" si="86"/>
        <v>-0.25</v>
      </c>
      <c r="F200" s="44">
        <f t="shared" si="86"/>
        <v>-1</v>
      </c>
    </row>
    <row r="201" spans="2:6" ht="12.75">
      <c r="B201" s="1" t="str">
        <f t="shared" si="2"/>
        <v>45 Crescent Avenue Unit 3</v>
      </c>
      <c r="D201" s="44">
        <f t="shared" ref="D201:F201" si="87">IFERROR(D87/C87-1,"N/A")</f>
        <v>2.375</v>
      </c>
      <c r="E201" s="44">
        <f t="shared" si="87"/>
        <v>-0.55555555555555558</v>
      </c>
      <c r="F201" s="44">
        <f t="shared" si="87"/>
        <v>-0.41666666666666663</v>
      </c>
    </row>
    <row r="202" spans="2:6" ht="12.75">
      <c r="B202" s="1" t="str">
        <f t="shared" si="2"/>
        <v>49 Boylston Street Unit 1</v>
      </c>
      <c r="D202" s="44" t="str">
        <f t="shared" ref="D202:F202" si="88">IFERROR(D88/C88-1,"N/A")</f>
        <v>N/A</v>
      </c>
      <c r="E202" s="44">
        <f t="shared" si="88"/>
        <v>1.0666666666666669</v>
      </c>
      <c r="F202" s="44">
        <f t="shared" si="88"/>
        <v>3.2258064516129004E-2</v>
      </c>
    </row>
    <row r="203" spans="2:6" ht="12.75">
      <c r="B203" s="1" t="str">
        <f t="shared" si="2"/>
        <v>49 Paulina Street Unit 2</v>
      </c>
      <c r="D203" s="44">
        <f t="shared" ref="D203:F203" si="89">IFERROR(D89/C89-1,"N/A")</f>
        <v>-1</v>
      </c>
      <c r="E203" s="44" t="str">
        <f t="shared" si="89"/>
        <v>N/A</v>
      </c>
      <c r="F203" s="44">
        <f t="shared" si="89"/>
        <v>4.333333333333333</v>
      </c>
    </row>
    <row r="204" spans="2:6" ht="12.75">
      <c r="B204" s="1" t="str">
        <f t="shared" si="2"/>
        <v>49 Paulina Street Unit 3</v>
      </c>
      <c r="D204" s="44">
        <f t="shared" ref="D204:F204" si="90">IFERROR(D90/C90-1,"N/A")</f>
        <v>-0.76</v>
      </c>
      <c r="E204" s="44">
        <f t="shared" si="90"/>
        <v>2.6666666666666665</v>
      </c>
      <c r="F204" s="44">
        <f t="shared" si="90"/>
        <v>0.59090909090909083</v>
      </c>
    </row>
    <row r="205" spans="2:6" ht="12.75">
      <c r="B205" s="1" t="str">
        <f t="shared" si="2"/>
        <v>5 Condor Street Unit 3</v>
      </c>
      <c r="D205" s="44">
        <f t="shared" ref="D205:F205" si="91">IFERROR(D91/C91-1,"N/A")</f>
        <v>-1</v>
      </c>
      <c r="E205" s="44" t="str">
        <f t="shared" si="91"/>
        <v>N/A</v>
      </c>
      <c r="F205" s="44">
        <f t="shared" si="91"/>
        <v>3.25</v>
      </c>
    </row>
    <row r="206" spans="2:6" ht="12.75">
      <c r="B206" s="1" t="str">
        <f t="shared" si="2"/>
        <v>5 Mark Street Unit 1</v>
      </c>
      <c r="D206" s="44">
        <f t="shared" ref="D206:F206" si="92">IFERROR(D92/C92-1,"N/A")</f>
        <v>-0.6</v>
      </c>
      <c r="E206" s="44">
        <f t="shared" si="92"/>
        <v>0.66666666666666674</v>
      </c>
      <c r="F206" s="44">
        <f t="shared" si="92"/>
        <v>1.6</v>
      </c>
    </row>
    <row r="207" spans="2:6" ht="12.75">
      <c r="B207" s="1" t="str">
        <f t="shared" si="2"/>
        <v>5 Mark Street Unit 2</v>
      </c>
      <c r="D207" s="44">
        <f t="shared" ref="D207:F207" si="93">IFERROR(D93/C93-1,"N/A")</f>
        <v>3.3125</v>
      </c>
      <c r="E207" s="44">
        <f t="shared" si="93"/>
        <v>-1</v>
      </c>
      <c r="F207" s="44" t="str">
        <f t="shared" si="93"/>
        <v>N/A</v>
      </c>
    </row>
    <row r="208" spans="2:6" ht="12.75">
      <c r="B208" s="1" t="str">
        <f t="shared" si="2"/>
        <v>51 Clifton Street Unit 2</v>
      </c>
      <c r="D208" s="44" t="str">
        <f t="shared" ref="D208:F208" si="94">IFERROR(D94/C94-1,"N/A")</f>
        <v>N/A</v>
      </c>
      <c r="E208" s="44">
        <f t="shared" si="94"/>
        <v>-0.87313432835820892</v>
      </c>
      <c r="F208" s="44">
        <f t="shared" si="94"/>
        <v>-0.94117647058823528</v>
      </c>
    </row>
    <row r="209" spans="2:6" ht="12.75">
      <c r="B209" s="1" t="str">
        <f t="shared" si="2"/>
        <v>6 7th Street</v>
      </c>
      <c r="D209" s="44">
        <f t="shared" ref="D209:F209" si="95">IFERROR(D95/C95-1,"N/A")</f>
        <v>-1</v>
      </c>
      <c r="E209" s="44" t="str">
        <f t="shared" si="95"/>
        <v>N/A</v>
      </c>
      <c r="F209" s="44">
        <f t="shared" si="95"/>
        <v>-0.36538461538461542</v>
      </c>
    </row>
    <row r="210" spans="2:6" ht="12.75">
      <c r="B210" s="1" t="str">
        <f t="shared" si="2"/>
        <v>64 Sudan Street Unit 3</v>
      </c>
      <c r="D210" s="44">
        <f t="shared" ref="D210:F210" si="96">IFERROR(D96/C96-1,"N/A")</f>
        <v>-1</v>
      </c>
      <c r="E210" s="44" t="str">
        <f t="shared" si="96"/>
        <v>N/A</v>
      </c>
      <c r="F210" s="44">
        <f t="shared" si="96"/>
        <v>-0.22535211267605637</v>
      </c>
    </row>
    <row r="211" spans="2:6" ht="12.75">
      <c r="B211" s="1" t="str">
        <f t="shared" si="2"/>
        <v>7 Grant Street Unit 2</v>
      </c>
      <c r="D211" s="44">
        <f t="shared" ref="D211:F211" si="97">IFERROR(D97/C97-1,"N/A")</f>
        <v>-0.8392857142857143</v>
      </c>
      <c r="E211" s="44">
        <f t="shared" si="97"/>
        <v>1.8888888888888888</v>
      </c>
      <c r="F211" s="44">
        <f t="shared" si="97"/>
        <v>7.6923076923076872E-2</v>
      </c>
    </row>
    <row r="212" spans="2:6" ht="12.75">
      <c r="B212" s="1" t="str">
        <f t="shared" si="2"/>
        <v>76 King Street Unit 2</v>
      </c>
      <c r="D212" s="44">
        <f t="shared" ref="D212:F212" si="98">IFERROR(D98/C98-1,"N/A")</f>
        <v>-1</v>
      </c>
      <c r="E212" s="44" t="str">
        <f t="shared" si="98"/>
        <v>N/A</v>
      </c>
      <c r="F212" s="44">
        <f t="shared" si="98"/>
        <v>-0.8</v>
      </c>
    </row>
    <row r="213" spans="2:6" ht="12.75">
      <c r="B213" s="1" t="str">
        <f t="shared" si="2"/>
        <v>8 7th Street</v>
      </c>
      <c r="D213" s="44">
        <f t="shared" ref="D213:F213" si="99">IFERROR(D99/C99-1,"N/A")</f>
        <v>-0.88888888888888884</v>
      </c>
      <c r="E213" s="44">
        <f t="shared" si="99"/>
        <v>-0.125</v>
      </c>
      <c r="F213" s="44">
        <f t="shared" si="99"/>
        <v>-0.4285714285714286</v>
      </c>
    </row>
    <row r="214" spans="2:6" ht="12.75">
      <c r="B214" s="1" t="str">
        <f t="shared" si="2"/>
        <v>8 Elko Street Unit 5</v>
      </c>
      <c r="D214" s="44" t="str">
        <f t="shared" ref="D214:F214" si="100">IFERROR(D100/C100-1,"N/A")</f>
        <v>N/A</v>
      </c>
      <c r="E214" s="44">
        <f t="shared" si="100"/>
        <v>0.16666666666666674</v>
      </c>
      <c r="F214" s="44">
        <f t="shared" si="100"/>
        <v>0.23809523809523814</v>
      </c>
    </row>
    <row r="215" spans="2:6" ht="12.75">
      <c r="B215" s="1" t="str">
        <f t="shared" si="2"/>
        <v>8 Elko Street Unit 6</v>
      </c>
      <c r="D215" s="44">
        <f t="shared" ref="D215:F215" si="101">IFERROR(D101/C101-1,"N/A")</f>
        <v>-1</v>
      </c>
      <c r="E215" s="44" t="str">
        <f t="shared" si="101"/>
        <v>N/A</v>
      </c>
      <c r="F215" s="44">
        <f t="shared" si="101"/>
        <v>0.75</v>
      </c>
    </row>
    <row r="216" spans="2:6" ht="12.75">
      <c r="B216" s="1" t="str">
        <f t="shared" si="2"/>
        <v>8 Hardwick Terrace Unit 1</v>
      </c>
      <c r="D216" s="44">
        <f t="shared" ref="D216:F216" si="102">IFERROR(D102/C102-1,"N/A")</f>
        <v>-1</v>
      </c>
      <c r="E216" s="44" t="str">
        <f t="shared" si="102"/>
        <v>N/A</v>
      </c>
      <c r="F216" s="44">
        <f t="shared" si="102"/>
        <v>0</v>
      </c>
    </row>
    <row r="217" spans="2:6" ht="12.75">
      <c r="B217" s="1" t="str">
        <f t="shared" si="2"/>
        <v>83 Highland Street Unit 2</v>
      </c>
      <c r="D217" s="44">
        <f t="shared" ref="D217:F217" si="103">IFERROR(D103/C103-1,"N/A")</f>
        <v>13.5</v>
      </c>
      <c r="E217" s="44">
        <f t="shared" si="103"/>
        <v>-1</v>
      </c>
      <c r="F217" s="44" t="str">
        <f t="shared" si="103"/>
        <v>N/A</v>
      </c>
    </row>
    <row r="218" spans="2:6" ht="12.75">
      <c r="B218" s="1" t="str">
        <f t="shared" si="2"/>
        <v>83 Highland Street Unit 3</v>
      </c>
      <c r="D218" s="44">
        <f t="shared" ref="D218:F218" si="104">IFERROR(D104/C104-1,"N/A")</f>
        <v>0.66666666666666674</v>
      </c>
      <c r="E218" s="44">
        <f t="shared" si="104"/>
        <v>-0.96</v>
      </c>
      <c r="F218" s="44">
        <f t="shared" si="104"/>
        <v>1</v>
      </c>
    </row>
    <row r="219" spans="2:6" ht="12.75">
      <c r="B219" s="1" t="str">
        <f t="shared" si="2"/>
        <v>848 Huntington Avenue Unit 2</v>
      </c>
      <c r="D219" s="44">
        <f t="shared" ref="D219:F219" si="105">IFERROR(D105/C105-1,"N/A")</f>
        <v>0.82758620689655182</v>
      </c>
      <c r="E219" s="44">
        <f t="shared" si="105"/>
        <v>-0.75471698113207553</v>
      </c>
      <c r="F219" s="44">
        <f t="shared" si="105"/>
        <v>0.61538461538461542</v>
      </c>
    </row>
    <row r="220" spans="2:6" ht="12.75">
      <c r="B220" s="1" t="str">
        <f t="shared" si="2"/>
        <v>9 Fairfield Street Unit 1L</v>
      </c>
      <c r="D220" s="44">
        <f t="shared" ref="D220:F220" si="106">IFERROR(D106/C106-1,"N/A")</f>
        <v>-0.69230769230769229</v>
      </c>
      <c r="E220" s="44">
        <f t="shared" si="106"/>
        <v>2.5</v>
      </c>
      <c r="F220" s="44">
        <f t="shared" si="106"/>
        <v>0.21428571428571419</v>
      </c>
    </row>
    <row r="221" spans="2:6" ht="12.75">
      <c r="B221" s="1" t="str">
        <f t="shared" si="2"/>
        <v>9 Fairfield Street Unit 1R</v>
      </c>
      <c r="D221" s="44">
        <f t="shared" ref="D221:F221" si="107">IFERROR(D107/C107-1,"N/A")</f>
        <v>-0.93333333333333335</v>
      </c>
      <c r="E221" s="44">
        <f t="shared" si="107"/>
        <v>5.5</v>
      </c>
      <c r="F221" s="44">
        <f t="shared" si="107"/>
        <v>1.1538461538461537</v>
      </c>
    </row>
    <row r="222" spans="2:6" ht="12.75">
      <c r="B222" s="1" t="str">
        <f t="shared" si="2"/>
        <v>95 Upland Road Unit 2</v>
      </c>
      <c r="D222" s="44" t="str">
        <f t="shared" ref="D222:F222" si="108">IFERROR(D108/C108-1,"N/A")</f>
        <v>N/A</v>
      </c>
      <c r="E222" s="44">
        <f t="shared" si="108"/>
        <v>0.15789473684210531</v>
      </c>
      <c r="F222" s="44">
        <f t="shared" si="108"/>
        <v>1.4090909090909092</v>
      </c>
    </row>
    <row r="223" spans="2:6" ht="12.75">
      <c r="B223" s="1" t="str">
        <f t="shared" si="2"/>
        <v>96 Hammond Street Unit 3</v>
      </c>
      <c r="D223" s="44">
        <f t="shared" ref="D223:F223" si="109">IFERROR(D109/C109-1,"N/A")</f>
        <v>-0.63636363636363635</v>
      </c>
      <c r="E223" s="44">
        <f t="shared" si="109"/>
        <v>-0.5</v>
      </c>
      <c r="F223" s="44">
        <f t="shared" si="109"/>
        <v>0.5</v>
      </c>
    </row>
    <row r="224" spans="2:6" ht="12.75">
      <c r="B224" s="1" t="str">
        <f t="shared" si="2"/>
        <v>96 Sheridan Street Unit 3</v>
      </c>
      <c r="D224" s="44" t="str">
        <f t="shared" ref="D224:F224" si="110">IFERROR(D110/C110-1,"N/A")</f>
        <v>N/A</v>
      </c>
      <c r="E224" s="44">
        <f t="shared" si="110"/>
        <v>-0.74545454545454548</v>
      </c>
      <c r="F224" s="44">
        <f t="shared" si="110"/>
        <v>1.2142857142857144</v>
      </c>
    </row>
    <row r="225" spans="1:28" ht="12.75">
      <c r="B225" s="1" t="str">
        <f t="shared" si="2"/>
        <v>99 Marion Street Unit 3</v>
      </c>
      <c r="D225" s="44" t="str">
        <f t="shared" ref="D225:F225" si="111">IFERROR(D111/C111-1,"N/A")</f>
        <v>N/A</v>
      </c>
      <c r="E225" s="44">
        <f t="shared" si="111"/>
        <v>1.1666666666666665</v>
      </c>
      <c r="F225" s="44">
        <f t="shared" si="111"/>
        <v>0.38461538461538458</v>
      </c>
    </row>
    <row r="226" spans="1:28" ht="12.75">
      <c r="B226" s="1">
        <f t="shared" si="2"/>
        <v>0</v>
      </c>
      <c r="D226" s="17"/>
      <c r="E226" s="17"/>
      <c r="F226" s="17"/>
    </row>
    <row r="227" spans="1:28" ht="13.15">
      <c r="A227" s="30"/>
      <c r="B227" s="30" t="str">
        <f t="shared" si="2"/>
        <v>TOTAL</v>
      </c>
      <c r="C227" s="30"/>
      <c r="D227" s="45">
        <f t="shared" ref="D227:F227" si="112">IFERROR(D113/C113-1,"N/A")</f>
        <v>0</v>
      </c>
      <c r="E227" s="45">
        <f t="shared" si="112"/>
        <v>-0.1565762004175365</v>
      </c>
      <c r="F227" s="45">
        <f t="shared" si="112"/>
        <v>-1.4851485148514865E-3</v>
      </c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</row>
    <row r="228" spans="1:28" ht="12.75">
      <c r="B228" s="1">
        <f t="shared" si="2"/>
        <v>0</v>
      </c>
    </row>
  </sheetData>
  <autoFilter ref="B2:L111" xr:uid="{00000000-0009-0000-0000-00000B000000}">
    <sortState xmlns:xlrd2="http://schemas.microsoft.com/office/spreadsheetml/2017/richdata2" ref="B2:L111">
      <sortCondition ref="B2:B111"/>
      <sortCondition descending="1" ref="G2:G111"/>
      <sortCondition ref="D2:D111"/>
      <sortCondition descending="1" ref="F2:F11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B2:T116"/>
  <sheetViews>
    <sheetView workbookViewId="0"/>
  </sheetViews>
  <sheetFormatPr defaultColWidth="14.3984375" defaultRowHeight="15.75" customHeight="1"/>
  <cols>
    <col min="1" max="1" width="5.1328125" customWidth="1"/>
    <col min="2" max="2" width="30" customWidth="1"/>
    <col min="3" max="11" width="18" customWidth="1"/>
  </cols>
  <sheetData>
    <row r="2" spans="2:20" ht="15.75" customHeight="1">
      <c r="B2" s="41" t="str">
        <f>'Nov 2-8'!B2</f>
        <v>UNIT</v>
      </c>
      <c r="C2" s="41" t="str">
        <f>'Nov 2-8'!C2</f>
        <v>Unique Pageviews</v>
      </c>
      <c r="D2" s="42" t="s">
        <v>156</v>
      </c>
      <c r="E2" s="41" t="str">
        <f>'Nov 2-8'!D2</f>
        <v>Entrances</v>
      </c>
      <c r="F2" s="41" t="str">
        <f>'Nov 2-8'!E2</f>
        <v>RSVPs</v>
      </c>
      <c r="G2" s="41" t="str">
        <f>'Nov 2-8'!F2</f>
        <v>Roommate Intros</v>
      </c>
      <c r="H2" s="41" t="str">
        <f>'Nov 2-8'!G2</f>
        <v>Leases Sent</v>
      </c>
      <c r="I2" s="41" t="str">
        <f>'Nov 2-8'!H2</f>
        <v>Leases Signed</v>
      </c>
      <c r="J2" s="41" t="str">
        <f>'Nov 2-8'!I2</f>
        <v>Availbility</v>
      </c>
      <c r="K2" s="41" t="str">
        <f>'Nov 2-8'!J2</f>
        <v>Date Available</v>
      </c>
      <c r="L2" s="1">
        <f>'Nov 2-8'!K2</f>
        <v>0</v>
      </c>
      <c r="M2" s="1">
        <f>'Nov 2-8'!L2</f>
        <v>0</v>
      </c>
      <c r="N2" s="1">
        <f>'Nov 2-8'!M2</f>
        <v>0</v>
      </c>
      <c r="O2" s="1">
        <f>'Nov 2-8'!N2</f>
        <v>0</v>
      </c>
      <c r="P2" s="1">
        <f>'Nov 2-8'!O2</f>
        <v>0</v>
      </c>
      <c r="Q2" s="1">
        <f>'Nov 2-8'!P2</f>
        <v>0</v>
      </c>
      <c r="R2" s="1">
        <f>'Nov 2-8'!Q2</f>
        <v>0</v>
      </c>
      <c r="S2" s="1">
        <f>'Nov 2-8'!R2</f>
        <v>0</v>
      </c>
      <c r="T2" s="1">
        <f>'Nov 2-8'!S2</f>
        <v>0</v>
      </c>
    </row>
    <row r="3" spans="2:20">
      <c r="B3" s="1" t="str">
        <f>'Nov 16-22'!B3</f>
        <v>10 7th Street</v>
      </c>
      <c r="C3" s="1">
        <f t="array" ref="C3">INDEX('Nov 23-29'!D:D,MATCH($B3,'Nov 23-29'!$B:$B,0))-INDEX('Nov 16-22'!D:D,MATCH($B3,'Nov 16-22'!$B:$B,0))</f>
        <v>-16</v>
      </c>
      <c r="D3" s="1">
        <v>-49</v>
      </c>
      <c r="E3" s="1">
        <v>-10</v>
      </c>
      <c r="F3" s="1">
        <v>-1</v>
      </c>
      <c r="G3" s="1">
        <v>0</v>
      </c>
      <c r="H3" s="1">
        <v>0</v>
      </c>
      <c r="I3" s="1">
        <v>0</v>
      </c>
    </row>
    <row r="4" spans="2:20">
      <c r="B4" s="1" t="str">
        <f>'Nov 16-22'!B4</f>
        <v>1008 Tremont Street Unit 3</v>
      </c>
      <c r="C4" s="1">
        <f t="array" ref="C4">INDEX('Nov 23-29'!D:D,MATCH($B4,'Nov 23-29'!$B:$B,0))-INDEX('Nov 16-22'!D:D,MATCH($B4,'Nov 16-22'!$B:$B,0))</f>
        <v>16</v>
      </c>
      <c r="D4" s="1">
        <v>28</v>
      </c>
      <c r="E4" s="1">
        <v>7</v>
      </c>
      <c r="F4" s="1">
        <v>2</v>
      </c>
      <c r="G4" s="1">
        <v>0</v>
      </c>
      <c r="H4" s="1">
        <v>0</v>
      </c>
      <c r="I4" s="1">
        <v>0</v>
      </c>
    </row>
    <row r="5" spans="2:20">
      <c r="B5" s="1" t="str">
        <f>'Nov 16-22'!B5</f>
        <v>1008 Tremont Street Unit 6</v>
      </c>
      <c r="C5" s="1">
        <f t="array" ref="C5">INDEX('Nov 23-29'!D:D,MATCH($B5,'Nov 23-29'!$B:$B,0))-INDEX('Nov 16-22'!D:D,MATCH($B5,'Nov 16-22'!$B:$B,0))</f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2:20">
      <c r="B6" s="1" t="str">
        <f>'Nov 16-22'!B6</f>
        <v>101 Heath Street Unit 1</v>
      </c>
      <c r="C6" s="1">
        <f t="array" ref="C6">INDEX('Nov 23-29'!D:D,MATCH($B6,'Nov 23-29'!$B:$B,0))-INDEX('Nov 16-22'!D:D,MATCH($B6,'Nov 16-22'!$B:$B,0))</f>
        <v>-5</v>
      </c>
      <c r="D6" s="1">
        <v>-17</v>
      </c>
      <c r="E6" s="1">
        <v>-5</v>
      </c>
      <c r="F6" s="1">
        <v>0</v>
      </c>
      <c r="G6" s="1">
        <v>0</v>
      </c>
      <c r="H6" s="1">
        <v>0</v>
      </c>
      <c r="I6" s="1">
        <v>0</v>
      </c>
    </row>
    <row r="7" spans="2:20">
      <c r="B7" s="1" t="str">
        <f>'Nov 16-22'!B7</f>
        <v>106 Hyde Park Avenue Unit 2</v>
      </c>
      <c r="C7" s="1">
        <f t="array" ref="C7">INDEX('Nov 23-29'!D:D,MATCH($B7,'Nov 23-29'!$B:$B,0))-INDEX('Nov 16-22'!D:D,MATCH($B7,'Nov 16-22'!$B:$B,0))</f>
        <v>0</v>
      </c>
      <c r="D7" s="1">
        <v>-9</v>
      </c>
      <c r="E7" s="1">
        <v>-2</v>
      </c>
      <c r="F7" s="1">
        <v>0</v>
      </c>
      <c r="G7" s="1">
        <v>-2</v>
      </c>
      <c r="H7" s="1">
        <v>0</v>
      </c>
      <c r="I7" s="1">
        <v>0</v>
      </c>
    </row>
    <row r="8" spans="2:20">
      <c r="B8" s="1" t="str">
        <f>'Nov 16-22'!B8</f>
        <v>106 Hyde Park Avenue Unit 3</v>
      </c>
      <c r="C8" s="1">
        <f t="array" ref="C8">INDEX('Nov 23-29'!D:D,MATCH($B8,'Nov 23-29'!$B:$B,0))-INDEX('Nov 16-22'!D:D,MATCH($B8,'Nov 16-22'!$B:$B,0))</f>
        <v>5</v>
      </c>
      <c r="D8" s="1">
        <v>2</v>
      </c>
      <c r="E8" s="1">
        <v>-2</v>
      </c>
      <c r="F8" s="1">
        <v>0</v>
      </c>
      <c r="G8" s="1">
        <v>-2</v>
      </c>
      <c r="H8" s="1">
        <v>0</v>
      </c>
      <c r="I8" s="1">
        <v>0</v>
      </c>
    </row>
    <row r="9" spans="2:20">
      <c r="B9" s="1" t="str">
        <f>'Nov 16-22'!B9</f>
        <v>108 Central Street Unit 3L</v>
      </c>
      <c r="C9" s="1">
        <f t="array" ref="C9">INDEX('Nov 23-29'!D:D,MATCH($B9,'Nov 23-29'!$B:$B,0))-INDEX('Nov 16-22'!D:D,MATCH($B9,'Nov 16-22'!$B:$B,0))</f>
        <v>8</v>
      </c>
      <c r="D9" s="1">
        <v>13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2:20">
      <c r="B10" s="1" t="str">
        <f>'Nov 16-22'!B10</f>
        <v>108 Hyde Park Avenue Unit 2</v>
      </c>
      <c r="C10" s="1">
        <f t="array" ref="C10">INDEX('Nov 23-29'!D:D,MATCH($B10,'Nov 23-29'!$B:$B,0))-INDEX('Nov 16-22'!D:D,MATCH($B10,'Nov 16-22'!$B:$B,0))</f>
        <v>7</v>
      </c>
      <c r="D10" s="1">
        <v>15</v>
      </c>
      <c r="E10" s="1">
        <v>1</v>
      </c>
      <c r="F10" s="1">
        <v>0</v>
      </c>
      <c r="G10" s="1">
        <v>-2</v>
      </c>
      <c r="H10" s="1">
        <v>0</v>
      </c>
      <c r="I10" s="1">
        <v>0</v>
      </c>
    </row>
    <row r="11" spans="2:20">
      <c r="B11" s="1" t="str">
        <f>'Nov 16-22'!B11</f>
        <v>108 Hyde Park Avenue Unit 3</v>
      </c>
      <c r="C11" s="1">
        <f t="array" ref="C11">INDEX('Nov 23-29'!D:D,MATCH($B11,'Nov 23-29'!$B:$B,0))-INDEX('Nov 16-22'!D:D,MATCH($B11,'Nov 16-22'!$B:$B,0))</f>
        <v>3</v>
      </c>
      <c r="D11" s="1">
        <v>13</v>
      </c>
      <c r="E11" s="1">
        <v>0</v>
      </c>
      <c r="F11" s="1">
        <v>2</v>
      </c>
      <c r="G11" s="1">
        <v>-2</v>
      </c>
      <c r="H11" s="1">
        <v>0</v>
      </c>
      <c r="I11" s="1">
        <v>0</v>
      </c>
    </row>
    <row r="12" spans="2:20">
      <c r="B12" s="1" t="str">
        <f>'Nov 16-22'!B12</f>
        <v>1099 Cambridge Street Unit 1</v>
      </c>
      <c r="C12" s="1">
        <f t="array" ref="C12">INDEX('Nov 23-29'!D:D,MATCH($B12,'Nov 23-29'!$B:$B,0))-INDEX('Nov 16-22'!D:D,MATCH($B12,'Nov 16-22'!$B:$B,0))</f>
        <v>14</v>
      </c>
      <c r="D12" s="1">
        <v>9</v>
      </c>
      <c r="E12" s="1">
        <v>-13</v>
      </c>
      <c r="F12" s="1">
        <v>-1</v>
      </c>
      <c r="G12" s="1">
        <v>-3</v>
      </c>
      <c r="H12" s="1">
        <v>0</v>
      </c>
      <c r="I12" s="1">
        <v>0</v>
      </c>
    </row>
    <row r="13" spans="2:20">
      <c r="B13" s="1" t="str">
        <f>'Nov 16-22'!B13</f>
        <v>110 Hamilton Street Unit 2</v>
      </c>
      <c r="C13" s="1">
        <f t="array" ref="C13">INDEX('Nov 23-29'!D:D,MATCH($B13,'Nov 23-29'!$B:$B,0))-INDEX('Nov 16-22'!D:D,MATCH($B13,'Nov 16-22'!$B:$B,0))</f>
        <v>36</v>
      </c>
      <c r="D13" s="1">
        <v>4</v>
      </c>
      <c r="E13" s="1">
        <v>7</v>
      </c>
      <c r="F13" s="1">
        <v>7</v>
      </c>
      <c r="G13" s="1">
        <v>-2</v>
      </c>
      <c r="H13" s="1">
        <v>0</v>
      </c>
      <c r="I13" s="1">
        <v>0</v>
      </c>
    </row>
    <row r="14" spans="2:20">
      <c r="B14" s="1" t="str">
        <f>'Nov 16-22'!B14</f>
        <v>110 Hamilton Street Unit 3</v>
      </c>
      <c r="C14" s="1">
        <f t="array" ref="C14">INDEX('Nov 23-29'!D:D,MATCH($B14,'Nov 23-29'!$B:$B,0))-INDEX('Nov 16-22'!D:D,MATCH($B14,'Nov 16-22'!$B:$B,0))</f>
        <v>-2</v>
      </c>
      <c r="D14" s="1">
        <v>-8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2:20">
      <c r="B15" s="1" t="str">
        <f>'Nov 16-22'!B15</f>
        <v>1111 Boylston Street Unit 26</v>
      </c>
      <c r="C15" s="1">
        <f t="array" ref="C15">INDEX('Nov 23-29'!D:D,MATCH($B15,'Nov 23-29'!$B:$B,0))-INDEX('Nov 16-22'!D:D,MATCH($B15,'Nov 16-22'!$B:$B,0))</f>
        <v>2</v>
      </c>
      <c r="D15" s="1">
        <v>4</v>
      </c>
      <c r="E15" s="1">
        <v>-11</v>
      </c>
      <c r="F15" s="1">
        <v>1</v>
      </c>
      <c r="G15" s="1">
        <v>0</v>
      </c>
      <c r="H15" s="1">
        <v>0</v>
      </c>
      <c r="I15" s="1">
        <v>0</v>
      </c>
    </row>
    <row r="16" spans="2:20">
      <c r="B16" s="1" t="str">
        <f>'Nov 16-22'!B16</f>
        <v>114 Thornton Street Unit 1</v>
      </c>
      <c r="C16" s="1">
        <f t="array" ref="C16">INDEX('Nov 23-29'!D:D,MATCH($B16,'Nov 23-29'!$B:$B,0))-INDEX('Nov 16-22'!D:D,MATCH($B16,'Nov 16-22'!$B:$B,0))</f>
        <v>0</v>
      </c>
      <c r="D16" s="1">
        <v>-8</v>
      </c>
      <c r="E16" s="1">
        <v>-3</v>
      </c>
      <c r="F16" s="1">
        <v>1</v>
      </c>
      <c r="G16" s="1">
        <v>0</v>
      </c>
      <c r="H16" s="1">
        <v>0</v>
      </c>
      <c r="I16" s="1">
        <v>0</v>
      </c>
    </row>
    <row r="17" spans="2:9">
      <c r="B17" s="1" t="str">
        <f>'Nov 16-22'!B17</f>
        <v>116 Thornton Street Unit 2</v>
      </c>
      <c r="C17" s="1">
        <f t="array" ref="C17">INDEX('Nov 23-29'!D:D,MATCH($B17,'Nov 23-29'!$B:$B,0))-INDEX('Nov 16-22'!D:D,MATCH($B17,'Nov 16-22'!$B:$B,0))</f>
        <v>6</v>
      </c>
      <c r="D17" s="1">
        <v>2</v>
      </c>
      <c r="E17" s="1">
        <v>-5</v>
      </c>
      <c r="F17" s="1">
        <v>0</v>
      </c>
      <c r="G17" s="1">
        <v>-2</v>
      </c>
      <c r="H17" s="1">
        <v>0</v>
      </c>
      <c r="I17" s="1">
        <v>0</v>
      </c>
    </row>
    <row r="18" spans="2:9">
      <c r="B18" s="1" t="str">
        <f>'Nov 16-22'!B18</f>
        <v>116 Thornton Street Unit 3</v>
      </c>
      <c r="C18" s="1">
        <f t="array" ref="C18">INDEX('Nov 23-29'!D:D,MATCH($B18,'Nov 23-29'!$B:$B,0))-INDEX('Nov 16-22'!D:D,MATCH($B18,'Nov 16-22'!$B:$B,0))</f>
        <v>-18</v>
      </c>
      <c r="D18" s="1">
        <v>-43</v>
      </c>
      <c r="E18" s="1">
        <v>-2</v>
      </c>
      <c r="F18" s="1">
        <v>-1</v>
      </c>
      <c r="G18" s="1">
        <v>-2</v>
      </c>
      <c r="H18" s="1">
        <v>0</v>
      </c>
      <c r="I18" s="1">
        <v>-1</v>
      </c>
    </row>
    <row r="19" spans="2:9">
      <c r="B19" s="1" t="str">
        <f>'Nov 16-22'!B19</f>
        <v>12 7th Street</v>
      </c>
      <c r="C19" s="1">
        <f t="array" ref="C19">INDEX('Nov 23-29'!D:D,MATCH($B19,'Nov 23-29'!$B:$B,0))-INDEX('Nov 16-22'!D:D,MATCH($B19,'Nov 16-22'!$B:$B,0))</f>
        <v>2</v>
      </c>
      <c r="D19" s="1">
        <v>9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</row>
    <row r="20" spans="2:9" ht="12.75">
      <c r="B20" s="1" t="str">
        <f>'Nov 16-22'!B20</f>
        <v>12 Estrella Street Unit 2</v>
      </c>
      <c r="C20" s="1">
        <f t="array" ref="C20">INDEX('Nov 23-29'!D:D,MATCH($B20,'Nov 23-29'!$B:$B,0))-INDEX('Nov 16-22'!D:D,MATCH($B20,'Nov 16-22'!$B:$B,0))</f>
        <v>-2</v>
      </c>
      <c r="D20" s="1">
        <v>-8</v>
      </c>
      <c r="E20" s="1">
        <v>-8</v>
      </c>
      <c r="F20" s="1">
        <v>1</v>
      </c>
      <c r="G20" s="1">
        <v>-2</v>
      </c>
      <c r="H20" s="1">
        <v>0</v>
      </c>
      <c r="I20" s="1">
        <v>0</v>
      </c>
    </row>
    <row r="21" spans="2:9" ht="12.75">
      <c r="B21" s="1" t="str">
        <f>'Nov 16-22'!B21</f>
        <v>12 Stoneholm Street Unit 610</v>
      </c>
      <c r="C21" s="1">
        <f t="array" ref="C21">INDEX('Nov 23-29'!D:D,MATCH($B21,'Nov 23-29'!$B:$B,0))-INDEX('Nov 16-22'!D:D,MATCH($B21,'Nov 16-22'!$B:$B,0))</f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2:9" ht="12.75">
      <c r="B22" s="1" t="str">
        <f>'Nov 16-22'!B22</f>
        <v>12 Verndale Street Unit 1</v>
      </c>
      <c r="C22" s="1">
        <f t="array" ref="C22">INDEX('Nov 23-29'!D:D,MATCH($B22,'Nov 23-29'!$B:$B,0))-INDEX('Nov 16-22'!D:D,MATCH($B22,'Nov 16-22'!$B:$B,0))</f>
        <v>31</v>
      </c>
      <c r="D22" s="1">
        <v>17</v>
      </c>
      <c r="E22" s="1">
        <v>11</v>
      </c>
      <c r="F22" s="1">
        <v>1</v>
      </c>
      <c r="G22" s="1">
        <v>-4</v>
      </c>
      <c r="H22" s="1">
        <v>1</v>
      </c>
      <c r="I22" s="1">
        <v>-1</v>
      </c>
    </row>
    <row r="23" spans="2:9" ht="12.75">
      <c r="B23" s="1" t="str">
        <f>'Nov 16-22'!B23</f>
        <v>12 Verndale Street Unit 2</v>
      </c>
      <c r="C23" s="1">
        <f t="array" ref="C23">INDEX('Nov 23-29'!D:D,MATCH($B23,'Nov 23-29'!$B:$B,0))-INDEX('Nov 16-22'!D:D,MATCH($B23,'Nov 16-22'!$B:$B,0))</f>
        <v>5</v>
      </c>
      <c r="D23" s="1">
        <v>-2</v>
      </c>
      <c r="E23" s="1">
        <v>-1</v>
      </c>
      <c r="F23" s="1">
        <v>3</v>
      </c>
      <c r="G23" s="1">
        <v>-4</v>
      </c>
      <c r="H23" s="1">
        <v>1</v>
      </c>
      <c r="I23" s="1">
        <v>-2</v>
      </c>
    </row>
    <row r="24" spans="2:9" ht="12.75">
      <c r="B24" s="1" t="str">
        <f>'Nov 16-22'!B24</f>
        <v>122 Central Street Unit 2</v>
      </c>
      <c r="C24" s="1">
        <f t="array" ref="C24">INDEX('Nov 23-29'!D:D,MATCH($B24,'Nov 23-29'!$B:$B,0))-INDEX('Nov 16-22'!D:D,MATCH($B24,'Nov 16-22'!$B:$B,0))</f>
        <v>5</v>
      </c>
      <c r="D24" s="1">
        <v>9</v>
      </c>
      <c r="E24" s="1">
        <v>6</v>
      </c>
      <c r="F24" s="1">
        <v>1</v>
      </c>
      <c r="G24" s="1">
        <v>0</v>
      </c>
      <c r="H24" s="1">
        <v>0</v>
      </c>
      <c r="I24" s="1">
        <v>0</v>
      </c>
    </row>
    <row r="25" spans="2:9" ht="12.75">
      <c r="B25" s="1" t="str">
        <f>'Nov 16-22'!B25</f>
        <v>1410 Columbia Road Unit 5B</v>
      </c>
      <c r="C25" s="1">
        <f t="array" ref="C25">INDEX('Nov 23-29'!D:D,MATCH($B25,'Nov 23-29'!$B:$B,0))-INDEX('Nov 16-22'!D:D,MATCH($B25,'Nov 16-22'!$B:$B,0))</f>
        <v>-9</v>
      </c>
      <c r="D25" s="1">
        <v>-26</v>
      </c>
      <c r="E25" s="1">
        <v>-1</v>
      </c>
      <c r="F25" s="1">
        <v>1</v>
      </c>
      <c r="G25" s="1">
        <v>0</v>
      </c>
      <c r="H25" s="1">
        <v>0</v>
      </c>
      <c r="I25" s="1">
        <v>0</v>
      </c>
    </row>
    <row r="26" spans="2:9" ht="12.75">
      <c r="B26" s="1" t="str">
        <f>'Nov 16-22'!B26</f>
        <v>146 Hillside Street Unit 1</v>
      </c>
      <c r="C26" s="1">
        <f t="array" ref="C26">INDEX('Nov 23-29'!D:D,MATCH($B26,'Nov 23-29'!$B:$B,0))-INDEX('Nov 16-22'!D:D,MATCH($B26,'Nov 16-22'!$B:$B,0))</f>
        <v>-6</v>
      </c>
      <c r="D26" s="1">
        <v>-15</v>
      </c>
      <c r="E26" s="1">
        <v>-2</v>
      </c>
      <c r="F26" s="1">
        <v>1</v>
      </c>
      <c r="G26" s="1">
        <v>0</v>
      </c>
      <c r="H26" s="1">
        <v>0</v>
      </c>
      <c r="I26" s="1">
        <v>0</v>
      </c>
    </row>
    <row r="27" spans="2:9" ht="12.75">
      <c r="B27" s="1" t="str">
        <f>'Nov 16-22'!B27</f>
        <v>147 Columbia Street Unit 3R</v>
      </c>
      <c r="C27" s="1">
        <f t="array" ref="C27">INDEX('Nov 23-29'!D:D,MATCH($B27,'Nov 23-29'!$B:$B,0))-INDEX('Nov 16-22'!D:D,MATCH($B27,'Nov 16-22'!$B:$B,0))</f>
        <v>5</v>
      </c>
      <c r="D27" s="1">
        <v>1</v>
      </c>
      <c r="E27" s="1">
        <v>-1</v>
      </c>
      <c r="F27" s="1">
        <v>0</v>
      </c>
      <c r="G27" s="1">
        <v>1</v>
      </c>
      <c r="H27" s="1">
        <v>0</v>
      </c>
      <c r="I27" s="1">
        <v>0</v>
      </c>
    </row>
    <row r="28" spans="2:9" ht="12.75">
      <c r="B28" s="1" t="str">
        <f>'Nov 16-22'!B28</f>
        <v>154 Magazine Street Unit 1</v>
      </c>
      <c r="C28" s="1">
        <f t="array" ref="C28">INDEX('Nov 23-29'!D:D,MATCH($B28,'Nov 23-29'!$B:$B,0))-INDEX('Nov 16-22'!D:D,MATCH($B28,'Nov 16-22'!$B:$B,0))</f>
        <v>-7</v>
      </c>
      <c r="D28" s="1">
        <v>-25</v>
      </c>
      <c r="E28" s="1">
        <v>3</v>
      </c>
      <c r="F28" s="1">
        <v>-4</v>
      </c>
      <c r="G28" s="1">
        <v>0</v>
      </c>
      <c r="H28" s="1">
        <v>0</v>
      </c>
      <c r="I28" s="1">
        <v>0</v>
      </c>
    </row>
    <row r="29" spans="2:9" ht="12.75">
      <c r="B29" s="1" t="str">
        <f>'Nov 16-22'!B29</f>
        <v>154 Magazine Street Unit 2</v>
      </c>
      <c r="C29" s="1">
        <f t="array" ref="C29">INDEX('Nov 23-29'!D:D,MATCH($B29,'Nov 23-29'!$B:$B,0))-INDEX('Nov 16-22'!D:D,MATCH($B29,'Nov 16-22'!$B:$B,0))</f>
        <v>-50</v>
      </c>
      <c r="D29" s="1">
        <v>-14</v>
      </c>
      <c r="E29" s="1">
        <v>-26</v>
      </c>
      <c r="F29" s="1">
        <v>-6</v>
      </c>
      <c r="G29" s="1">
        <v>-2</v>
      </c>
      <c r="H29" s="1">
        <v>-1</v>
      </c>
      <c r="I29" s="1">
        <v>-3</v>
      </c>
    </row>
    <row r="30" spans="2:9" ht="12.75">
      <c r="B30" s="1" t="str">
        <f>'Nov 16-22'!B30</f>
        <v>1578 Beacon Street Unit 5</v>
      </c>
      <c r="C30" s="1">
        <f t="array" ref="C30">INDEX('Nov 23-29'!D:D,MATCH($B30,'Nov 23-29'!$B:$B,0))-INDEX('Nov 16-22'!D:D,MATCH($B30,'Nov 16-22'!$B:$B,0))</f>
        <v>-1</v>
      </c>
      <c r="D30" s="1">
        <v>0</v>
      </c>
      <c r="E30" s="1">
        <v>0</v>
      </c>
      <c r="F30" s="1">
        <v>2</v>
      </c>
      <c r="G30" s="1">
        <v>0</v>
      </c>
      <c r="H30" s="1">
        <v>0</v>
      </c>
      <c r="I30" s="1">
        <v>0</v>
      </c>
    </row>
    <row r="31" spans="2:9" ht="12.75">
      <c r="B31" s="1" t="str">
        <f>'Nov 16-22'!B31</f>
        <v>1578 Beacon Street Unit 7</v>
      </c>
      <c r="C31" s="1">
        <f t="array" ref="C31">INDEX('Nov 23-29'!D:D,MATCH($B31,'Nov 23-29'!$B:$B,0))-INDEX('Nov 16-22'!D:D,MATCH($B31,'Nov 16-22'!$B:$B,0))</f>
        <v>1</v>
      </c>
      <c r="D31" s="1">
        <v>3</v>
      </c>
      <c r="E31" s="1">
        <v>4</v>
      </c>
      <c r="F31" s="1">
        <v>3</v>
      </c>
      <c r="G31" s="1">
        <v>-2</v>
      </c>
      <c r="H31" s="1">
        <v>1</v>
      </c>
      <c r="I31" s="1">
        <v>1</v>
      </c>
    </row>
    <row r="32" spans="2:9" ht="12.75">
      <c r="B32" s="1" t="str">
        <f>'Nov 16-22'!B32</f>
        <v>1578 Beacon Street Unit 8</v>
      </c>
      <c r="C32" s="1">
        <f t="array" ref="C32">INDEX('Nov 23-29'!D:D,MATCH($B32,'Nov 23-29'!$B:$B,0))-INDEX('Nov 16-22'!D:D,MATCH($B32,'Nov 16-22'!$B:$B,0))</f>
        <v>2</v>
      </c>
      <c r="D32" s="1">
        <v>8</v>
      </c>
      <c r="E32" s="1">
        <v>0</v>
      </c>
      <c r="F32" s="1">
        <v>1</v>
      </c>
      <c r="G32" s="1">
        <v>-2</v>
      </c>
      <c r="H32" s="1">
        <v>0</v>
      </c>
      <c r="I32" s="1">
        <v>0</v>
      </c>
    </row>
    <row r="33" spans="2:9" ht="12.75">
      <c r="B33" s="1" t="str">
        <f>'Nov 16-22'!B33</f>
        <v>158 Boston Street Unit 2</v>
      </c>
      <c r="C33" s="1">
        <f t="array" ref="C33">INDEX('Nov 23-29'!D:D,MATCH($B33,'Nov 23-29'!$B:$B,0))-INDEX('Nov 16-22'!D:D,MATCH($B33,'Nov 16-22'!$B:$B,0))</f>
        <v>-55</v>
      </c>
      <c r="D33" s="1">
        <v>-32</v>
      </c>
      <c r="E33" s="1">
        <v>-25</v>
      </c>
      <c r="F33" s="1">
        <v>0</v>
      </c>
      <c r="G33" s="1">
        <v>0</v>
      </c>
      <c r="H33" s="1">
        <v>-1</v>
      </c>
      <c r="I33" s="1">
        <v>-1</v>
      </c>
    </row>
    <row r="34" spans="2:9" ht="12.75">
      <c r="B34" s="1" t="str">
        <f>'Nov 16-22'!B34</f>
        <v>158 Magazine Street Unit 27</v>
      </c>
      <c r="C34" s="1">
        <f t="array" ref="C34">INDEX('Nov 23-29'!D:D,MATCH($B34,'Nov 23-29'!$B:$B,0))-INDEX('Nov 16-22'!D:D,MATCH($B34,'Nov 16-22'!$B:$B,0))</f>
        <v>1</v>
      </c>
      <c r="D34" s="1">
        <v>-4</v>
      </c>
      <c r="E34" s="1">
        <v>5</v>
      </c>
      <c r="F34" s="1">
        <v>-1</v>
      </c>
      <c r="G34" s="1">
        <v>0</v>
      </c>
      <c r="H34" s="1">
        <v>0</v>
      </c>
      <c r="I34" s="1">
        <v>0</v>
      </c>
    </row>
    <row r="35" spans="2:9" ht="12.75">
      <c r="B35" s="1" t="str">
        <f>'Nov 16-22'!B35</f>
        <v>158 Magazine Street Unit 6</v>
      </c>
      <c r="C35" s="1">
        <f t="array" ref="C35">INDEX('Nov 23-29'!D:D,MATCH($B35,'Nov 23-29'!$B:$B,0))-INDEX('Nov 16-22'!D:D,MATCH($B35,'Nov 16-22'!$B:$B,0))</f>
        <v>10</v>
      </c>
      <c r="D35" s="1">
        <v>19</v>
      </c>
      <c r="E35" s="1">
        <v>0</v>
      </c>
      <c r="F35" s="1">
        <v>-1</v>
      </c>
      <c r="G35" s="1">
        <v>-1</v>
      </c>
      <c r="H35" s="1">
        <v>0</v>
      </c>
      <c r="I35" s="1">
        <v>0</v>
      </c>
    </row>
    <row r="36" spans="2:9" ht="12.75">
      <c r="B36" s="1" t="str">
        <f>'Nov 16-22'!B36</f>
        <v>158 Magazine Street Unit 7</v>
      </c>
      <c r="C36" s="1">
        <f t="array" ref="C36">INDEX('Nov 23-29'!D:D,MATCH($B36,'Nov 23-29'!$B:$B,0))-INDEX('Nov 16-22'!D:D,MATCH($B36,'Nov 16-22'!$B:$B,0))</f>
        <v>0</v>
      </c>
      <c r="D36" s="1">
        <v>2</v>
      </c>
      <c r="E36" s="1">
        <v>4</v>
      </c>
      <c r="F36" s="1">
        <v>-4</v>
      </c>
      <c r="G36" s="1">
        <v>-1</v>
      </c>
      <c r="H36" s="1">
        <v>-1</v>
      </c>
      <c r="I36" s="1">
        <v>0</v>
      </c>
    </row>
    <row r="37" spans="2:9" ht="12.75">
      <c r="B37" s="1" t="str">
        <f>'Nov 16-22'!B37</f>
        <v>16A Forest Street Unit 33</v>
      </c>
      <c r="C37" s="1">
        <f t="array" ref="C37">INDEX('Nov 23-29'!D:D,MATCH($B37,'Nov 23-29'!$B:$B,0))-INDEX('Nov 16-22'!D:D,MATCH($B37,'Nov 16-22'!$B:$B,0))</f>
        <v>2</v>
      </c>
      <c r="D37" s="1">
        <v>0</v>
      </c>
      <c r="E37" s="1">
        <v>4</v>
      </c>
      <c r="F37" s="1">
        <v>1</v>
      </c>
      <c r="G37" s="1">
        <v>0</v>
      </c>
      <c r="H37" s="1">
        <v>0</v>
      </c>
      <c r="I37" s="1">
        <v>0</v>
      </c>
    </row>
    <row r="38" spans="2:9" ht="12.75">
      <c r="B38" s="1" t="str">
        <f>'Nov 16-22'!B38</f>
        <v>17 Kenneson Road Unit 1</v>
      </c>
      <c r="C38" s="1">
        <f t="array" ref="C38">INDEX('Nov 23-29'!D:D,MATCH($B38,'Nov 23-29'!$B:$B,0))-INDEX('Nov 16-22'!D:D,MATCH($B38,'Nov 16-22'!$B:$B,0))</f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2:9" ht="12.75">
      <c r="B39" s="1" t="str">
        <f>'Nov 16-22'!B39</f>
        <v>174 W 8th Street Unit 2</v>
      </c>
      <c r="C39" s="1">
        <f t="array" ref="C39">INDEX('Nov 23-29'!D:D,MATCH($B39,'Nov 23-29'!$B:$B,0))-INDEX('Nov 16-22'!D:D,MATCH($B39,'Nov 16-22'!$B:$B,0))</f>
        <v>-2</v>
      </c>
      <c r="D39" s="1">
        <v>-8</v>
      </c>
      <c r="E39" s="1">
        <v>-2</v>
      </c>
      <c r="F39" s="1">
        <v>0</v>
      </c>
      <c r="G39" s="1">
        <v>0</v>
      </c>
      <c r="H39" s="1">
        <v>0</v>
      </c>
      <c r="I39" s="1">
        <v>0</v>
      </c>
    </row>
    <row r="40" spans="2:9" ht="12.75">
      <c r="B40" s="1" t="str">
        <f>'Nov 16-22'!B40</f>
        <v>179 Massachusetts Avenue Unit 2</v>
      </c>
      <c r="C40" s="1">
        <f t="array" ref="C40">INDEX('Nov 23-29'!D:D,MATCH($B40,'Nov 23-29'!$B:$B,0))-INDEX('Nov 16-22'!D:D,MATCH($B40,'Nov 16-22'!$B:$B,0))</f>
        <v>2</v>
      </c>
      <c r="D40" s="1">
        <v>-1</v>
      </c>
      <c r="E40" s="1">
        <v>-2</v>
      </c>
      <c r="F40" s="1">
        <v>0</v>
      </c>
      <c r="G40" s="1">
        <v>0</v>
      </c>
      <c r="H40" s="1">
        <v>0</v>
      </c>
      <c r="I40" s="1">
        <v>0</v>
      </c>
    </row>
    <row r="41" spans="2:9" ht="12.75">
      <c r="B41" s="1" t="str">
        <f>'Nov 16-22'!B41</f>
        <v>179 Massachusetts Avenue Unit 3</v>
      </c>
      <c r="C41" s="1">
        <f t="array" ref="C41">INDEX('Nov 23-29'!D:D,MATCH($B41,'Nov 23-29'!$B:$B,0))-INDEX('Nov 16-22'!D:D,MATCH($B41,'Nov 16-22'!$B:$B,0))</f>
        <v>0</v>
      </c>
      <c r="D41" s="1">
        <v>4</v>
      </c>
      <c r="E41" s="1">
        <v>-1</v>
      </c>
      <c r="F41" s="1">
        <v>-1</v>
      </c>
      <c r="G41" s="1">
        <v>0</v>
      </c>
      <c r="H41" s="1">
        <v>0</v>
      </c>
      <c r="I41" s="1">
        <v>0</v>
      </c>
    </row>
    <row r="42" spans="2:9" ht="12.75">
      <c r="B42" s="1" t="str">
        <f>'Nov 16-22'!B42</f>
        <v>18 Mount Hood Road Unit 1</v>
      </c>
      <c r="C42" s="1">
        <f t="array" ref="C42">INDEX('Nov 23-29'!D:D,MATCH($B42,'Nov 23-29'!$B:$B,0))-INDEX('Nov 16-22'!D:D,MATCH($B42,'Nov 16-22'!$B:$B,0))</f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2:9" ht="12.75">
      <c r="B43" s="1" t="str">
        <f>'Nov 16-22'!B43</f>
        <v>18 Mount Hood Road Unit 2</v>
      </c>
      <c r="C43" s="1">
        <f t="array" ref="C43">INDEX('Nov 23-29'!D:D,MATCH($B43,'Nov 23-29'!$B:$B,0))-INDEX('Nov 16-22'!D:D,MATCH($B43,'Nov 16-22'!$B:$B,0))</f>
        <v>-6</v>
      </c>
      <c r="D43" s="1">
        <v>-21</v>
      </c>
      <c r="E43" s="1">
        <v>-6</v>
      </c>
      <c r="F43" s="1">
        <v>0</v>
      </c>
      <c r="G43" s="1">
        <v>0</v>
      </c>
      <c r="H43" s="1">
        <v>0</v>
      </c>
      <c r="I43" s="1">
        <v>0</v>
      </c>
    </row>
    <row r="44" spans="2:9" ht="12.75">
      <c r="B44" s="1" t="str">
        <f>'Nov 16-22'!B44</f>
        <v>19 Mercer Street Unit 1</v>
      </c>
      <c r="C44" s="1">
        <f t="array" ref="C44">INDEX('Nov 23-29'!D:D,MATCH($B44,'Nov 23-29'!$B:$B,0))-INDEX('Nov 16-22'!D:D,MATCH($B44,'Nov 16-22'!$B:$B,0))</f>
        <v>-3</v>
      </c>
      <c r="D44" s="1">
        <v>-7</v>
      </c>
      <c r="E44" s="1">
        <v>-1</v>
      </c>
      <c r="F44" s="1">
        <v>0</v>
      </c>
      <c r="G44" s="1">
        <v>0</v>
      </c>
      <c r="H44" s="1">
        <v>0</v>
      </c>
      <c r="I44" s="1">
        <v>0</v>
      </c>
    </row>
    <row r="45" spans="2:9" ht="12.75">
      <c r="B45" s="1" t="str">
        <f>'Nov 16-22'!B45</f>
        <v>19 Wallingford Road Unit 1</v>
      </c>
      <c r="C45" s="1">
        <f t="array" ref="C45">INDEX('Nov 23-29'!D:D,MATCH($B45,'Nov 23-29'!$B:$B,0))-INDEX('Nov 16-22'!D:D,MATCH($B45,'Nov 16-22'!$B:$B,0))</f>
        <v>6</v>
      </c>
      <c r="D45" s="1">
        <v>7</v>
      </c>
      <c r="E45" s="1">
        <v>-3</v>
      </c>
      <c r="F45" s="1">
        <v>2</v>
      </c>
      <c r="G45" s="1">
        <v>2</v>
      </c>
      <c r="H45" s="1">
        <v>0</v>
      </c>
      <c r="I45" s="1">
        <v>1</v>
      </c>
    </row>
    <row r="46" spans="2:9" ht="12.75">
      <c r="B46" s="1" t="str">
        <f>'Nov 16-22'!B46</f>
        <v>192 Alleghany Street Unit 2</v>
      </c>
      <c r="C46" s="1">
        <f t="array" ref="C46">INDEX('Nov 23-29'!D:D,MATCH($B46,'Nov 23-29'!$B:$B,0))-INDEX('Nov 16-22'!D:D,MATCH($B46,'Nov 16-22'!$B:$B,0))</f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2:9" ht="12.75">
      <c r="B47" s="1" t="str">
        <f>'Nov 16-22'!B47</f>
        <v>192 Third Street Unit 1</v>
      </c>
      <c r="C47" s="1">
        <f t="array" ref="C47">INDEX('Nov 23-29'!D:D,MATCH($B47,'Nov 23-29'!$B:$B,0))-INDEX('Nov 16-22'!D:D,MATCH($B47,'Nov 16-22'!$B:$B,0))</f>
        <v>1</v>
      </c>
      <c r="D47" s="1">
        <v>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2:9" ht="12.75">
      <c r="B48" s="1" t="str">
        <f>'Nov 16-22'!B48</f>
        <v>192 Third Street Unit 2</v>
      </c>
      <c r="C48" s="1">
        <f t="array" ref="C48">INDEX('Nov 23-29'!D:D,MATCH($B48,'Nov 23-29'!$B:$B,0))-INDEX('Nov 16-22'!D:D,MATCH($B48,'Nov 16-22'!$B:$B,0))</f>
        <v>11</v>
      </c>
      <c r="D48" s="1">
        <v>7</v>
      </c>
      <c r="E48" s="1">
        <v>2</v>
      </c>
      <c r="F48" s="1">
        <v>0</v>
      </c>
      <c r="G48" s="1">
        <v>-1</v>
      </c>
      <c r="H48" s="1">
        <v>0</v>
      </c>
      <c r="I48" s="1">
        <v>-1</v>
      </c>
    </row>
    <row r="49" spans="2:9" ht="12.75">
      <c r="B49" s="1" t="str">
        <f>'Nov 16-22'!B49</f>
        <v>2 Montfern Avenue Unit 1</v>
      </c>
      <c r="C49" s="1">
        <f t="array" ref="C49">INDEX('Nov 23-29'!D:D,MATCH($B49,'Nov 23-29'!$B:$B,0))-INDEX('Nov 16-22'!D:D,MATCH($B49,'Nov 16-22'!$B:$B,0))</f>
        <v>1</v>
      </c>
      <c r="D49" s="1">
        <v>-4</v>
      </c>
      <c r="E49" s="1">
        <v>0</v>
      </c>
      <c r="F49" s="1">
        <v>-2</v>
      </c>
      <c r="G49" s="1">
        <v>0</v>
      </c>
      <c r="H49" s="1">
        <v>0</v>
      </c>
      <c r="I49" s="1">
        <v>0</v>
      </c>
    </row>
    <row r="50" spans="2:9" ht="12.75">
      <c r="B50" s="1" t="str">
        <f>'Nov 16-22'!B50</f>
        <v>2 Montfern Avenue Unit 2</v>
      </c>
      <c r="C50" s="1">
        <f t="array" ref="C50">INDEX('Nov 23-29'!D:D,MATCH($B50,'Nov 23-29'!$B:$B,0))-INDEX('Nov 16-22'!D:D,MATCH($B50,'Nov 16-22'!$B:$B,0))</f>
        <v>13</v>
      </c>
      <c r="D50" s="1">
        <v>12</v>
      </c>
      <c r="E50" s="1">
        <v>12</v>
      </c>
      <c r="F50" s="1">
        <v>0</v>
      </c>
      <c r="G50" s="1">
        <v>2</v>
      </c>
      <c r="H50" s="1">
        <v>0</v>
      </c>
      <c r="I50" s="1">
        <v>1</v>
      </c>
    </row>
    <row r="51" spans="2:9" ht="12.75">
      <c r="B51" s="1" t="str">
        <f>'Nov 16-22'!B51</f>
        <v>2 Montfern Avenue Unit 3</v>
      </c>
      <c r="C51" s="1">
        <f t="array" ref="C51">INDEX('Nov 23-29'!D:D,MATCH($B51,'Nov 23-29'!$B:$B,0))-INDEX('Nov 16-22'!D:D,MATCH($B51,'Nov 16-22'!$B:$B,0))</f>
        <v>5</v>
      </c>
      <c r="D51" s="1">
        <v>3</v>
      </c>
      <c r="E51" s="1">
        <v>-1</v>
      </c>
      <c r="F51" s="1">
        <v>0</v>
      </c>
      <c r="G51" s="1">
        <v>0</v>
      </c>
      <c r="H51" s="1">
        <v>0</v>
      </c>
      <c r="I51" s="1">
        <v>0</v>
      </c>
    </row>
    <row r="52" spans="2:9" ht="12.75">
      <c r="B52" s="1" t="str">
        <f>'Nov 16-22'!B52</f>
        <v>20 Reedsdale Street</v>
      </c>
      <c r="C52" s="1">
        <f t="array" ref="C52">INDEX('Nov 23-29'!D:D,MATCH($B52,'Nov 23-29'!$B:$B,0))-INDEX('Nov 16-22'!D:D,MATCH($B52,'Nov 16-22'!$B:$B,0))</f>
        <v>8</v>
      </c>
      <c r="D52" s="1">
        <v>13</v>
      </c>
      <c r="E52" s="1">
        <v>-4</v>
      </c>
      <c r="F52" s="1">
        <v>2</v>
      </c>
      <c r="G52" s="1">
        <v>0</v>
      </c>
      <c r="H52" s="1">
        <v>0</v>
      </c>
      <c r="I52" s="1">
        <v>0</v>
      </c>
    </row>
    <row r="53" spans="2:9" ht="12.75">
      <c r="B53" s="1" t="str">
        <f>'Nov 16-22'!B53</f>
        <v>20 Sudan Street Unit 1</v>
      </c>
      <c r="C53" s="1">
        <f t="array" ref="C53">INDEX('Nov 23-29'!D:D,MATCH($B53,'Nov 23-29'!$B:$B,0))-INDEX('Nov 16-22'!D:D,MATCH($B53,'Nov 16-22'!$B:$B,0))</f>
        <v>1</v>
      </c>
      <c r="D53" s="1">
        <v>6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</row>
    <row r="54" spans="2:9" ht="12.75">
      <c r="B54" s="1" t="str">
        <f>'Nov 16-22'!B54</f>
        <v>208 Cedar Street Unit 2</v>
      </c>
      <c r="C54" s="1">
        <f t="array" ref="C54">INDEX('Nov 23-29'!D:D,MATCH($B54,'Nov 23-29'!$B:$B,0))-INDEX('Nov 16-22'!D:D,MATCH($B54,'Nov 16-22'!$B:$B,0))</f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2:9" ht="12.75">
      <c r="B55" s="1" t="str">
        <f>'Nov 16-22'!B55</f>
        <v>22 Austin Street Unit 1</v>
      </c>
      <c r="C55" s="1">
        <f t="array" ref="C55">INDEX('Nov 23-29'!D:D,MATCH($B55,'Nov 23-29'!$B:$B,0))-INDEX('Nov 16-22'!D:D,MATCH($B55,'Nov 16-22'!$B:$B,0))</f>
        <v>1</v>
      </c>
      <c r="D55" s="1">
        <v>2</v>
      </c>
      <c r="E55" s="1">
        <v>2</v>
      </c>
      <c r="F55" s="1">
        <v>1</v>
      </c>
      <c r="G55" s="1">
        <v>1</v>
      </c>
      <c r="H55" s="1">
        <v>0</v>
      </c>
      <c r="I55" s="1">
        <v>-1</v>
      </c>
    </row>
    <row r="56" spans="2:9" ht="12.75">
      <c r="B56" s="1" t="str">
        <f>'Nov 16-22'!B56</f>
        <v>23 Granite Street Unit 3</v>
      </c>
      <c r="C56" s="1">
        <f t="array" ref="C56">INDEX('Nov 23-29'!D:D,MATCH($B56,'Nov 23-29'!$B:$B,0))-INDEX('Nov 16-22'!D:D,MATCH($B56,'Nov 16-22'!$B:$B,0))</f>
        <v>-5</v>
      </c>
      <c r="D56" s="1">
        <v>-17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2:9" ht="12.75">
      <c r="B57" s="1" t="str">
        <f>'Nov 16-22'!B57</f>
        <v>23 Rogers Avenue Unit 1</v>
      </c>
      <c r="C57" s="1">
        <f t="array" ref="C57">INDEX('Nov 23-29'!D:D,MATCH($B57,'Nov 23-29'!$B:$B,0))-INDEX('Nov 16-22'!D:D,MATCH($B57,'Nov 16-22'!$B:$B,0))</f>
        <v>15</v>
      </c>
      <c r="D57" s="1">
        <v>27</v>
      </c>
      <c r="E57" s="1">
        <v>6</v>
      </c>
      <c r="F57" s="1">
        <v>1</v>
      </c>
      <c r="G57" s="1">
        <v>1</v>
      </c>
      <c r="H57" s="1">
        <v>1</v>
      </c>
      <c r="I57" s="1">
        <v>1</v>
      </c>
    </row>
    <row r="58" spans="2:9" ht="12.75">
      <c r="B58" s="1" t="str">
        <f>'Nov 16-22'!B58</f>
        <v>231 Norfolk Street Unit 1</v>
      </c>
      <c r="C58" s="1">
        <f t="array" ref="C58">INDEX('Nov 23-29'!D:D,MATCH($B58,'Nov 23-29'!$B:$B,0))-INDEX('Nov 16-22'!D:D,MATCH($B58,'Nov 16-22'!$B:$B,0))</f>
        <v>6</v>
      </c>
      <c r="D58" s="1">
        <v>6</v>
      </c>
      <c r="E58" s="1">
        <v>4</v>
      </c>
      <c r="F58" s="1">
        <v>0</v>
      </c>
      <c r="G58" s="1">
        <v>1</v>
      </c>
      <c r="H58" s="1">
        <v>0</v>
      </c>
      <c r="I58" s="1">
        <v>0</v>
      </c>
    </row>
    <row r="59" spans="2:9" ht="12.75">
      <c r="B59" s="1" t="str">
        <f>'Nov 16-22'!B59</f>
        <v>231 Norfolk Street Unit 4</v>
      </c>
      <c r="C59" s="1">
        <f t="array" ref="C59">INDEX('Nov 23-29'!D:D,MATCH($B59,'Nov 23-29'!$B:$B,0))-INDEX('Nov 16-22'!D:D,MATCH($B59,'Nov 16-22'!$B:$B,0))</f>
        <v>5</v>
      </c>
      <c r="D59" s="1">
        <v>17</v>
      </c>
      <c r="E59" s="1">
        <v>0</v>
      </c>
      <c r="F59" s="1">
        <v>-1</v>
      </c>
      <c r="G59" s="1">
        <v>0</v>
      </c>
      <c r="H59" s="1">
        <v>0</v>
      </c>
      <c r="I59" s="1">
        <v>0</v>
      </c>
    </row>
    <row r="60" spans="2:9" ht="12.75">
      <c r="B60" s="1" t="str">
        <f>'Nov 16-22'!B60</f>
        <v>24 Ashford Street Unit 2</v>
      </c>
      <c r="C60" s="1">
        <f t="array" ref="C60">INDEX('Nov 23-29'!D:D,MATCH($B60,'Nov 23-29'!$B:$B,0))-INDEX('Nov 16-22'!D:D,MATCH($B60,'Nov 16-22'!$B:$B,0))</f>
        <v>-3</v>
      </c>
      <c r="D60" s="1">
        <v>-15</v>
      </c>
      <c r="E60" s="1">
        <v>-1</v>
      </c>
      <c r="F60" s="1">
        <v>0</v>
      </c>
      <c r="G60" s="1">
        <v>0</v>
      </c>
      <c r="H60" s="1">
        <v>0</v>
      </c>
      <c r="I60" s="1">
        <v>0</v>
      </c>
    </row>
    <row r="61" spans="2:9" ht="12.75">
      <c r="B61" s="1" t="str">
        <f>'Nov 16-22'!B61</f>
        <v>25 Howes Street Unit 2</v>
      </c>
      <c r="C61" s="1">
        <f t="array" ref="C61">INDEX('Nov 23-29'!D:D,MATCH($B61,'Nov 23-29'!$B:$B,0))-INDEX('Nov 16-22'!D:D,MATCH($B61,'Nov 16-22'!$B:$B,0))</f>
        <v>3</v>
      </c>
      <c r="D61" s="1">
        <v>14</v>
      </c>
      <c r="E61" s="1">
        <v>1</v>
      </c>
      <c r="F61" s="1">
        <v>-1</v>
      </c>
      <c r="G61" s="1">
        <v>0</v>
      </c>
      <c r="H61" s="1">
        <v>0</v>
      </c>
      <c r="I61" s="1">
        <v>0</v>
      </c>
    </row>
    <row r="62" spans="2:9" ht="12.75">
      <c r="B62" s="1" t="str">
        <f>'Nov 16-22'!B62</f>
        <v>25 Howes Street Unit 3</v>
      </c>
      <c r="C62" s="1">
        <f t="array" ref="C62">INDEX('Nov 23-29'!D:D,MATCH($B62,'Nov 23-29'!$B:$B,0))-INDEX('Nov 16-22'!D:D,MATCH($B62,'Nov 16-22'!$B:$B,0))</f>
        <v>-4</v>
      </c>
      <c r="D62" s="1">
        <v>-21</v>
      </c>
      <c r="E62" s="1">
        <v>-4</v>
      </c>
      <c r="F62" s="1">
        <v>1</v>
      </c>
      <c r="G62" s="1">
        <v>1</v>
      </c>
      <c r="H62" s="1">
        <v>0</v>
      </c>
      <c r="I62" s="1">
        <v>0</v>
      </c>
    </row>
    <row r="63" spans="2:9" ht="12.75">
      <c r="B63" s="1" t="str">
        <f>'Nov 16-22'!B63</f>
        <v>26 Washington Terrace Unit 1</v>
      </c>
      <c r="C63" s="1">
        <f t="array" ref="C63">INDEX('Nov 23-29'!D:D,MATCH($B63,'Nov 23-29'!$B:$B,0))-INDEX('Nov 16-22'!D:D,MATCH($B63,'Nov 16-22'!$B:$B,0))</f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2:9" ht="12.75">
      <c r="B64" s="1" t="str">
        <f>'Nov 16-22'!B64</f>
        <v>26 Washington Terrace Unit 2</v>
      </c>
      <c r="C64" s="1">
        <f t="array" ref="C64">INDEX('Nov 23-29'!D:D,MATCH($B64,'Nov 23-29'!$B:$B,0))-INDEX('Nov 16-22'!D:D,MATCH($B64,'Nov 16-22'!$B:$B,0))</f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2:9" ht="12.75">
      <c r="B65" s="1" t="str">
        <f>'Nov 16-22'!B65</f>
        <v>267 Main Street Unit 4</v>
      </c>
      <c r="C65" s="1">
        <f t="array" ref="C65">INDEX('Nov 23-29'!D:D,MATCH($B65,'Nov 23-29'!$B:$B,0))-INDEX('Nov 16-22'!D:D,MATCH($B65,'Nov 16-22'!$B:$B,0))</f>
        <v>11</v>
      </c>
      <c r="D65" s="1">
        <v>13</v>
      </c>
      <c r="E65" s="1">
        <v>1</v>
      </c>
      <c r="F65" s="1">
        <v>0</v>
      </c>
      <c r="G65" s="1">
        <v>0</v>
      </c>
      <c r="H65" s="1">
        <v>0</v>
      </c>
      <c r="I65" s="1">
        <v>0</v>
      </c>
    </row>
    <row r="66" spans="2:9" ht="12.75">
      <c r="B66" s="1" t="str">
        <f>'Nov 16-22'!B66</f>
        <v>275 Dorchester Street</v>
      </c>
      <c r="C66" s="1">
        <f t="array" ref="C66">INDEX('Nov 23-29'!D:D,MATCH($B66,'Nov 23-29'!$B:$B,0))-INDEX('Nov 16-22'!D:D,MATCH($B66,'Nov 16-22'!$B:$B,0))</f>
        <v>14</v>
      </c>
      <c r="D66" s="1">
        <v>31</v>
      </c>
      <c r="E66" s="1">
        <v>4</v>
      </c>
      <c r="F66" s="1">
        <v>2</v>
      </c>
      <c r="G66" s="1">
        <v>0</v>
      </c>
      <c r="H66" s="1">
        <v>1</v>
      </c>
      <c r="I66" s="1">
        <v>0</v>
      </c>
    </row>
    <row r="67" spans="2:9" ht="12.75">
      <c r="B67" s="1" t="str">
        <f>'Nov 16-22'!B67</f>
        <v>31 Plymouth Street Unit 2</v>
      </c>
      <c r="C67" s="1">
        <f t="array" ref="C67">INDEX('Nov 23-29'!D:D,MATCH($B67,'Nov 23-29'!$B:$B,0))-INDEX('Nov 16-22'!D:D,MATCH($B67,'Nov 16-22'!$B:$B,0))</f>
        <v>-3</v>
      </c>
      <c r="D67" s="1">
        <v>-3</v>
      </c>
      <c r="E67" s="1">
        <v>-6</v>
      </c>
      <c r="F67" s="1">
        <v>-1</v>
      </c>
      <c r="G67" s="1">
        <v>-1</v>
      </c>
      <c r="H67" s="1">
        <v>0</v>
      </c>
      <c r="I67" s="1">
        <v>0</v>
      </c>
    </row>
    <row r="68" spans="2:9" ht="12.75">
      <c r="B68" s="1" t="str">
        <f>'Nov 16-22'!B68</f>
        <v>31 Plymouth Street Unit 3</v>
      </c>
      <c r="C68" s="1">
        <f t="array" ref="C68">INDEX('Nov 23-29'!D:D,MATCH($B68,'Nov 23-29'!$B:$B,0))-INDEX('Nov 16-22'!D:D,MATCH($B68,'Nov 16-22'!$B:$B,0))</f>
        <v>13</v>
      </c>
      <c r="D68" s="1">
        <v>15</v>
      </c>
      <c r="E68" s="1">
        <v>10</v>
      </c>
      <c r="F68" s="1">
        <v>-5</v>
      </c>
      <c r="G68" s="1">
        <v>-1</v>
      </c>
      <c r="H68" s="1">
        <v>0</v>
      </c>
      <c r="I68" s="1">
        <v>0</v>
      </c>
    </row>
    <row r="69" spans="2:9" ht="12.75">
      <c r="B69" s="1" t="str">
        <f>'Nov 16-22'!B69</f>
        <v>31 South Street Unit 1</v>
      </c>
      <c r="C69" s="1">
        <f t="array" ref="C69">INDEX('Nov 23-29'!D:D,MATCH($B69,'Nov 23-29'!$B:$B,0))-INDEX('Nov 16-22'!D:D,MATCH($B69,'Nov 16-22'!$B:$B,0))</f>
        <v>-39</v>
      </c>
      <c r="D69" s="1">
        <v>-63</v>
      </c>
      <c r="E69" s="1">
        <v>-20</v>
      </c>
      <c r="F69" s="1">
        <v>0</v>
      </c>
      <c r="G69" s="1">
        <v>0</v>
      </c>
      <c r="H69" s="1">
        <v>0</v>
      </c>
      <c r="I69" s="1">
        <v>0</v>
      </c>
    </row>
    <row r="70" spans="2:9" ht="12.75">
      <c r="B70" s="1" t="str">
        <f>'Nov 16-22'!B70</f>
        <v>322.5 Western Avenue Unit 2</v>
      </c>
      <c r="C70" s="1">
        <f t="array" ref="C70">INDEX('Nov 23-29'!D:D,MATCH($B70,'Nov 23-29'!$B:$B,0))-INDEX('Nov 16-22'!D:D,MATCH($B70,'Nov 16-22'!$B:$B,0))</f>
        <v>35</v>
      </c>
      <c r="D70" s="1">
        <v>3</v>
      </c>
      <c r="E70" s="1">
        <v>9</v>
      </c>
      <c r="F70" s="1">
        <v>1</v>
      </c>
      <c r="G70" s="1">
        <v>0</v>
      </c>
      <c r="H70" s="1">
        <v>1</v>
      </c>
      <c r="I70" s="1">
        <v>1</v>
      </c>
    </row>
    <row r="71" spans="2:9" ht="12.75">
      <c r="B71" s="1" t="str">
        <f>'Nov 16-22'!B71</f>
        <v>33 Merriam Street Unit 2</v>
      </c>
      <c r="C71" s="1">
        <f t="array" ref="C71">INDEX('Nov 23-29'!D:D,MATCH($B71,'Nov 23-29'!$B:$B,0))-INDEX('Nov 16-22'!D:D,MATCH($B71,'Nov 16-22'!$B:$B,0))</f>
        <v>-4</v>
      </c>
      <c r="D71" s="1">
        <v>2</v>
      </c>
      <c r="E71" s="1">
        <v>6</v>
      </c>
      <c r="F71" s="1">
        <v>0</v>
      </c>
      <c r="G71" s="1">
        <v>2</v>
      </c>
      <c r="H71" s="1">
        <v>1</v>
      </c>
      <c r="I71" s="1">
        <v>1</v>
      </c>
    </row>
    <row r="72" spans="2:9" ht="12.75">
      <c r="B72" s="1" t="str">
        <f>'Nov 16-22'!B72</f>
        <v>34 Cherokee Street Unit 3</v>
      </c>
      <c r="C72" s="1">
        <f t="array" ref="C72">INDEX('Nov 23-29'!D:D,MATCH($B72,'Nov 23-29'!$B:$B,0))-INDEX('Nov 16-22'!D:D,MATCH($B72,'Nov 16-22'!$B:$B,0))</f>
        <v>-17</v>
      </c>
      <c r="D72" s="1">
        <v>-5</v>
      </c>
      <c r="E72" s="1">
        <v>-5</v>
      </c>
      <c r="F72" s="1">
        <v>3</v>
      </c>
      <c r="G72" s="1">
        <v>-4</v>
      </c>
      <c r="H72" s="1">
        <v>0</v>
      </c>
      <c r="I72" s="1">
        <v>0</v>
      </c>
    </row>
    <row r="73" spans="2:9" ht="12.75">
      <c r="B73" s="1" t="str">
        <f>'Nov 16-22'!B73</f>
        <v>34 Circuit Street Unit 3</v>
      </c>
      <c r="C73" s="1">
        <f t="array" ref="C73">INDEX('Nov 23-29'!D:D,MATCH($B73,'Nov 23-29'!$B:$B,0))-INDEX('Nov 16-22'!D:D,MATCH($B73,'Nov 16-22'!$B:$B,0))</f>
        <v>8</v>
      </c>
      <c r="D73" s="1">
        <v>13</v>
      </c>
      <c r="E73" s="1">
        <v>-3</v>
      </c>
      <c r="F73" s="1">
        <v>0</v>
      </c>
      <c r="G73" s="1">
        <v>1</v>
      </c>
      <c r="H73" s="1">
        <v>0</v>
      </c>
      <c r="I73" s="1">
        <v>0</v>
      </c>
    </row>
    <row r="74" spans="2:9" ht="12.75">
      <c r="B74" s="1" t="str">
        <f>'Nov 16-22'!B74</f>
        <v>348 E 8th Street Unit 1</v>
      </c>
      <c r="C74" s="1">
        <f t="array" ref="C74">INDEX('Nov 23-29'!D:D,MATCH($B74,'Nov 23-29'!$B:$B,0))-INDEX('Nov 16-22'!D:D,MATCH($B74,'Nov 16-22'!$B:$B,0))</f>
        <v>13</v>
      </c>
      <c r="D74" s="1">
        <v>30</v>
      </c>
      <c r="E74" s="1">
        <v>4</v>
      </c>
      <c r="F74" s="1">
        <v>2</v>
      </c>
      <c r="G74" s="1">
        <v>0</v>
      </c>
      <c r="H74" s="1">
        <v>0</v>
      </c>
      <c r="I74" s="1">
        <v>0</v>
      </c>
    </row>
    <row r="75" spans="2:9" ht="12.75">
      <c r="B75" s="1" t="str">
        <f>'Nov 16-22'!B75</f>
        <v>35 South Street Unit 7</v>
      </c>
      <c r="C75" s="1">
        <f t="array" ref="C75">INDEX('Nov 23-29'!D:D,MATCH($B75,'Nov 23-29'!$B:$B,0))-INDEX('Nov 16-22'!D:D,MATCH($B75,'Nov 16-22'!$B:$B,0))</f>
        <v>13</v>
      </c>
      <c r="D75" s="1">
        <v>28</v>
      </c>
      <c r="E75" s="1">
        <v>6</v>
      </c>
      <c r="F75" s="1">
        <v>0</v>
      </c>
      <c r="G75" s="1">
        <v>0</v>
      </c>
      <c r="H75" s="1">
        <v>0</v>
      </c>
      <c r="I75" s="1">
        <v>0</v>
      </c>
    </row>
    <row r="76" spans="2:9" ht="12.75">
      <c r="B76" s="1" t="str">
        <f>'Nov 16-22'!B76</f>
        <v>357 Windsor Street Unit 2</v>
      </c>
      <c r="C76" s="1">
        <f t="array" ref="C76">INDEX('Nov 23-29'!D:D,MATCH($B76,'Nov 23-29'!$B:$B,0))-INDEX('Nov 16-22'!D:D,MATCH($B76,'Nov 16-22'!$B:$B,0))</f>
        <v>-38</v>
      </c>
      <c r="D76" s="1">
        <v>-2</v>
      </c>
      <c r="E76" s="1">
        <v>-9</v>
      </c>
      <c r="F76" s="1">
        <v>-1</v>
      </c>
      <c r="G76" s="1">
        <v>-2</v>
      </c>
      <c r="H76" s="1">
        <v>0</v>
      </c>
      <c r="I76" s="1">
        <v>1</v>
      </c>
    </row>
    <row r="77" spans="2:9" ht="12.75">
      <c r="B77" s="1" t="str">
        <f>'Nov 16-22'!B77</f>
        <v>376 Prospect Street Unit 2</v>
      </c>
      <c r="C77" s="1">
        <f t="array" ref="C77">INDEX('Nov 23-29'!D:D,MATCH($B77,'Nov 23-29'!$B:$B,0))-INDEX('Nov 16-22'!D:D,MATCH($B77,'Nov 16-22'!$B:$B,0))</f>
        <v>-16</v>
      </c>
      <c r="D77" s="1">
        <v>1</v>
      </c>
      <c r="E77" s="1">
        <v>-18</v>
      </c>
      <c r="F77" s="1">
        <v>-4</v>
      </c>
      <c r="G77" s="1">
        <v>1</v>
      </c>
      <c r="H77" s="1">
        <v>0</v>
      </c>
      <c r="I77" s="1">
        <v>0</v>
      </c>
    </row>
    <row r="78" spans="2:9" ht="12.75">
      <c r="B78" s="1" t="str">
        <f>'Nov 16-22'!B78</f>
        <v>379 Broadway Street Unit 43</v>
      </c>
      <c r="C78" s="1">
        <f t="array" ref="C78">INDEX('Nov 23-29'!D:D,MATCH($B78,'Nov 23-29'!$B:$B,0))-INDEX('Nov 16-22'!D:D,MATCH($B78,'Nov 16-22'!$B:$B,0))</f>
        <v>-8</v>
      </c>
      <c r="D78" s="1">
        <v>-23</v>
      </c>
      <c r="E78" s="1">
        <v>-1</v>
      </c>
      <c r="F78" s="1">
        <v>1</v>
      </c>
      <c r="G78" s="1">
        <v>0</v>
      </c>
      <c r="H78" s="1">
        <v>0</v>
      </c>
      <c r="I78" s="1">
        <v>0</v>
      </c>
    </row>
    <row r="79" spans="2:9" ht="12.75">
      <c r="B79" s="1" t="str">
        <f>'Nov 16-22'!B79</f>
        <v>379 Broadway Street Unit 7</v>
      </c>
      <c r="C79" s="1">
        <f t="array" ref="C79">INDEX('Nov 23-29'!D:D,MATCH($B79,'Nov 23-29'!$B:$B,0))-INDEX('Nov 16-22'!D:D,MATCH($B79,'Nov 16-22'!$B:$B,0))</f>
        <v>6</v>
      </c>
      <c r="D79" s="1">
        <v>12</v>
      </c>
      <c r="E79" s="1">
        <v>2</v>
      </c>
      <c r="F79" s="1">
        <v>2</v>
      </c>
      <c r="G79" s="1">
        <v>0</v>
      </c>
      <c r="H79" s="1">
        <v>0</v>
      </c>
      <c r="I79" s="1">
        <v>0</v>
      </c>
    </row>
    <row r="80" spans="2:9" ht="12.75">
      <c r="B80" s="1" t="str">
        <f>'Nov 16-22'!B80</f>
        <v>38 Day Street Unit 42</v>
      </c>
      <c r="C80" s="1">
        <f t="array" ref="C80">INDEX('Nov 23-29'!D:D,MATCH($B80,'Nov 23-29'!$B:$B,0))-INDEX('Nov 16-22'!D:D,MATCH($B80,'Nov 16-22'!$B:$B,0))</f>
        <v>0</v>
      </c>
      <c r="D80" s="1">
        <v>-9</v>
      </c>
      <c r="E80" s="1">
        <v>-4</v>
      </c>
      <c r="F80" s="1">
        <v>-1</v>
      </c>
      <c r="G80" s="1">
        <v>-1</v>
      </c>
      <c r="H80" s="1">
        <v>0</v>
      </c>
      <c r="I80" s="1">
        <v>0</v>
      </c>
    </row>
    <row r="81" spans="2:9" ht="12.75">
      <c r="B81" s="1" t="str">
        <f>'Nov 16-22'!B81</f>
        <v>383 Broadway Street Unit 41</v>
      </c>
      <c r="C81" s="1">
        <f t="array" ref="C81">INDEX('Nov 23-29'!D:D,MATCH($B81,'Nov 23-29'!$B:$B,0))-INDEX('Nov 16-22'!D:D,MATCH($B81,'Nov 16-22'!$B:$B,0))</f>
        <v>-3</v>
      </c>
      <c r="D81" s="1">
        <v>-16</v>
      </c>
      <c r="E81" s="1">
        <v>-2</v>
      </c>
      <c r="F81" s="1">
        <v>-1</v>
      </c>
      <c r="G81" s="1">
        <v>0</v>
      </c>
      <c r="H81" s="1">
        <v>0</v>
      </c>
      <c r="I81" s="1">
        <v>0</v>
      </c>
    </row>
    <row r="82" spans="2:9" ht="12.75">
      <c r="B82" s="1" t="str">
        <f>'Nov 16-22'!B82</f>
        <v>4 Elko Street Unit B1</v>
      </c>
      <c r="C82" s="1">
        <f t="array" ref="C82">INDEX('Nov 23-29'!D:D,MATCH($B82,'Nov 23-29'!$B:$B,0))-INDEX('Nov 16-22'!D:D,MATCH($B82,'Nov 16-22'!$B:$B,0))</f>
        <v>37</v>
      </c>
      <c r="D82" s="1">
        <v>59</v>
      </c>
      <c r="E82" s="1">
        <v>21</v>
      </c>
      <c r="F82" s="1">
        <v>1</v>
      </c>
      <c r="G82" s="1">
        <v>-2</v>
      </c>
      <c r="H82" s="1">
        <v>0</v>
      </c>
      <c r="I82" s="1">
        <v>0</v>
      </c>
    </row>
    <row r="83" spans="2:9" ht="12.75">
      <c r="B83" s="1" t="str">
        <f>'Nov 16-22'!B83</f>
        <v>4 Litchfield Street Unit 2</v>
      </c>
      <c r="C83" s="1">
        <f t="array" ref="C83">INDEX('Nov 23-29'!D:D,MATCH($B83,'Nov 23-29'!$B:$B,0))-INDEX('Nov 16-22'!D:D,MATCH($B83,'Nov 16-22'!$B:$B,0))</f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2:9" ht="12.75">
      <c r="B84" s="1" t="str">
        <f>'Nov 16-22'!B84</f>
        <v>40 Sudan Street Unit 3</v>
      </c>
      <c r="C84" s="1">
        <f t="array" ref="C84">INDEX('Nov 23-29'!D:D,MATCH($B84,'Nov 23-29'!$B:$B,0))-INDEX('Nov 16-22'!D:D,MATCH($B84,'Nov 16-22'!$B:$B,0))</f>
        <v>3</v>
      </c>
      <c r="D84" s="1">
        <v>10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2:9" ht="12.75">
      <c r="B85" s="1" t="str">
        <f>'Nov 16-22'!B85</f>
        <v>42 Marcella Street Unit 1</v>
      </c>
      <c r="C85" s="1">
        <f t="array" ref="C85">INDEX('Nov 23-29'!D:D,MATCH($B85,'Nov 23-29'!$B:$B,0))-INDEX('Nov 16-22'!D:D,MATCH($B85,'Nov 16-22'!$B:$B,0))</f>
        <v>8</v>
      </c>
      <c r="D85" s="1">
        <v>5</v>
      </c>
      <c r="E85" s="1">
        <v>1</v>
      </c>
      <c r="F85" s="1">
        <v>-2</v>
      </c>
      <c r="G85" s="1">
        <v>-1</v>
      </c>
      <c r="H85" s="1">
        <v>0</v>
      </c>
      <c r="I85" s="1">
        <v>0</v>
      </c>
    </row>
    <row r="86" spans="2:9" ht="12.75">
      <c r="B86" s="1" t="str">
        <f>'Nov 16-22'!B86</f>
        <v>45 Crescent Avenue Unit 1</v>
      </c>
      <c r="C86" s="1">
        <f t="array" ref="C86">INDEX('Nov 23-29'!D:D,MATCH($B86,'Nov 23-29'!$B:$B,0))-INDEX('Nov 16-22'!D:D,MATCH($B86,'Nov 16-22'!$B:$B,0))</f>
        <v>5</v>
      </c>
      <c r="D86" s="1">
        <v>10</v>
      </c>
      <c r="E86" s="1">
        <v>-2</v>
      </c>
      <c r="F86" s="1">
        <v>2</v>
      </c>
      <c r="G86" s="1">
        <v>0</v>
      </c>
      <c r="H86" s="1">
        <v>0</v>
      </c>
      <c r="I86" s="1">
        <v>0</v>
      </c>
    </row>
    <row r="87" spans="2:9" ht="12.75">
      <c r="B87" s="1" t="str">
        <f>'Nov 16-22'!B87</f>
        <v>45 Crescent Avenue Unit 3</v>
      </c>
      <c r="C87" s="1">
        <f t="array" ref="C87">INDEX('Nov 23-29'!D:D,MATCH($B87,'Nov 23-29'!$B:$B,0))-INDEX('Nov 16-22'!D:D,MATCH($B87,'Nov 16-22'!$B:$B,0))</f>
        <v>7</v>
      </c>
      <c r="D87" s="1">
        <v>8</v>
      </c>
      <c r="E87" s="1">
        <v>2</v>
      </c>
      <c r="F87" s="1">
        <v>1</v>
      </c>
      <c r="G87" s="1">
        <v>-1</v>
      </c>
      <c r="H87" s="1">
        <v>0</v>
      </c>
      <c r="I87" s="1">
        <v>0</v>
      </c>
    </row>
    <row r="88" spans="2:9" ht="12.75">
      <c r="B88" s="1" t="str">
        <f>'Nov 16-22'!B88</f>
        <v>49 Boylston Street Unit 1</v>
      </c>
      <c r="C88" s="1">
        <f t="array" ref="C88">INDEX('Nov 23-29'!D:D,MATCH($B88,'Nov 23-29'!$B:$B,0))-INDEX('Nov 16-22'!D:D,MATCH($B88,'Nov 16-22'!$B:$B,0))</f>
        <v>17</v>
      </c>
      <c r="D88" s="1">
        <v>29</v>
      </c>
      <c r="E88" s="1">
        <v>1</v>
      </c>
      <c r="F88" s="1">
        <v>1</v>
      </c>
      <c r="G88" s="1">
        <v>-1</v>
      </c>
      <c r="H88" s="1">
        <v>0</v>
      </c>
      <c r="I88" s="1">
        <v>0</v>
      </c>
    </row>
    <row r="89" spans="2:9" ht="12.75">
      <c r="B89" s="1" t="str">
        <f>'Nov 16-22'!B89</f>
        <v>49 Paulina Street Unit 2</v>
      </c>
      <c r="C89" s="1">
        <f t="array" ref="C89">INDEX('Nov 23-29'!D:D,MATCH($B89,'Nov 23-29'!$B:$B,0))-INDEX('Nov 16-22'!D:D,MATCH($B89,'Nov 16-22'!$B:$B,0))</f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2:9" ht="12.75">
      <c r="B90" s="1" t="str">
        <f>'Nov 16-22'!B90</f>
        <v>49 Paulina Street Unit 3</v>
      </c>
      <c r="C90" s="1">
        <f t="array" ref="C90">INDEX('Nov 23-29'!D:D,MATCH($B90,'Nov 23-29'!$B:$B,0))-INDEX('Nov 16-22'!D:D,MATCH($B90,'Nov 16-22'!$B:$B,0))</f>
        <v>-1</v>
      </c>
      <c r="D90" s="1">
        <v>0</v>
      </c>
      <c r="E90" s="1">
        <v>2</v>
      </c>
      <c r="F90" s="1">
        <v>1</v>
      </c>
      <c r="G90" s="1">
        <v>0</v>
      </c>
      <c r="H90" s="1">
        <v>0</v>
      </c>
      <c r="I90" s="1">
        <v>0</v>
      </c>
    </row>
    <row r="91" spans="2:9" ht="12.75">
      <c r="B91" s="1" t="str">
        <f>'Nov 16-22'!B91</f>
        <v>5 Condor Street Unit 3</v>
      </c>
      <c r="C91" s="1">
        <f t="array" ref="C91">INDEX('Nov 23-29'!D:D,MATCH($B91,'Nov 23-29'!$B:$B,0))-INDEX('Nov 16-22'!D:D,MATCH($B91,'Nov 16-22'!$B:$B,0))</f>
        <v>2</v>
      </c>
      <c r="D91" s="1">
        <v>9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</row>
    <row r="92" spans="2:9" ht="12.75">
      <c r="B92" s="1" t="str">
        <f>'Nov 16-22'!B92</f>
        <v>5 Mark Street Unit 1</v>
      </c>
      <c r="C92" s="1">
        <f t="array" ref="C92">INDEX('Nov 23-29'!D:D,MATCH($B92,'Nov 23-29'!$B:$B,0))-INDEX('Nov 16-22'!D:D,MATCH($B92,'Nov 16-22'!$B:$B,0))</f>
        <v>-11</v>
      </c>
      <c r="D92" s="1">
        <v>-30</v>
      </c>
      <c r="E92" s="1">
        <v>0</v>
      </c>
      <c r="F92" s="1">
        <v>-4</v>
      </c>
      <c r="G92" s="1">
        <v>-1</v>
      </c>
      <c r="H92" s="1">
        <v>0</v>
      </c>
      <c r="I92" s="1">
        <v>0</v>
      </c>
    </row>
    <row r="93" spans="2:9" ht="12.75">
      <c r="B93" s="1" t="str">
        <f>'Nov 16-22'!B93</f>
        <v>5 Mark Street Unit 2</v>
      </c>
      <c r="C93" s="1">
        <f t="array" ref="C93">INDEX('Nov 23-29'!D:D,MATCH($B93,'Nov 23-29'!$B:$B,0))-INDEX('Nov 16-22'!D:D,MATCH($B93,'Nov 16-22'!$B:$B,0))</f>
        <v>-36</v>
      </c>
      <c r="D93" s="1">
        <v>-2</v>
      </c>
      <c r="E93" s="1">
        <v>-3</v>
      </c>
      <c r="F93" s="1">
        <v>-1</v>
      </c>
      <c r="G93" s="1">
        <v>0</v>
      </c>
      <c r="H93" s="1">
        <v>0</v>
      </c>
      <c r="I93" s="1">
        <v>1</v>
      </c>
    </row>
    <row r="94" spans="2:9" ht="12.75">
      <c r="B94" s="1" t="str">
        <f>'Nov 16-22'!B94</f>
        <v>51 Clifton Street Unit 2</v>
      </c>
      <c r="C94" s="1">
        <f t="array" ref="C94">INDEX('Nov 23-29'!D:D,MATCH($B94,'Nov 23-29'!$B:$B,0))-INDEX('Nov 16-22'!D:D,MATCH($B94,'Nov 16-22'!$B:$B,0))</f>
        <v>-37</v>
      </c>
      <c r="D94" s="1">
        <v>-33</v>
      </c>
      <c r="E94" s="1">
        <v>-6</v>
      </c>
      <c r="F94" s="1">
        <v>-2</v>
      </c>
      <c r="G94" s="1">
        <v>0</v>
      </c>
      <c r="H94" s="1">
        <v>0</v>
      </c>
      <c r="I94" s="1">
        <v>0</v>
      </c>
    </row>
    <row r="95" spans="2:9" ht="12.75">
      <c r="B95" s="1" t="str">
        <f>'Nov 16-22'!B95</f>
        <v>6 7th Street</v>
      </c>
      <c r="C95" s="1">
        <f t="array" ref="C95">INDEX('Nov 23-29'!D:D,MATCH($B95,'Nov 23-29'!$B:$B,0))-INDEX('Nov 16-22'!D:D,MATCH($B95,'Nov 16-22'!$B:$B,0))</f>
        <v>2</v>
      </c>
      <c r="D95" s="1">
        <v>9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2:9" ht="12.75">
      <c r="B96" s="1" t="str">
        <f>'Nov 16-22'!B96</f>
        <v>64 Sudan Street Unit 3</v>
      </c>
      <c r="C96" s="1">
        <f t="array" ref="C96">INDEX('Nov 23-29'!D:D,MATCH($B96,'Nov 23-29'!$B:$B,0))-INDEX('Nov 16-22'!D:D,MATCH($B96,'Nov 16-22'!$B:$B,0))</f>
        <v>0</v>
      </c>
      <c r="D96" s="1">
        <v>0</v>
      </c>
      <c r="E96" s="1">
        <v>0</v>
      </c>
      <c r="F96" s="1">
        <v>-1</v>
      </c>
      <c r="G96" s="1">
        <v>0</v>
      </c>
      <c r="H96" s="1">
        <v>0</v>
      </c>
      <c r="I96" s="1">
        <v>0</v>
      </c>
    </row>
    <row r="97" spans="2:9" ht="12.75">
      <c r="B97" s="1" t="str">
        <f>'Nov 16-22'!B97</f>
        <v>7 Grant Street Unit 2</v>
      </c>
      <c r="C97" s="1">
        <f t="array" ref="C97">INDEX('Nov 23-29'!D:D,MATCH($B97,'Nov 23-29'!$B:$B,0))-INDEX('Nov 16-22'!D:D,MATCH($B97,'Nov 16-22'!$B:$B,0))</f>
        <v>-5</v>
      </c>
      <c r="D97" s="1">
        <v>-13</v>
      </c>
      <c r="E97" s="1">
        <v>-3</v>
      </c>
      <c r="F97" s="1">
        <v>1</v>
      </c>
      <c r="G97" s="1">
        <v>0</v>
      </c>
      <c r="H97" s="1">
        <v>0</v>
      </c>
      <c r="I97" s="1">
        <v>0</v>
      </c>
    </row>
    <row r="98" spans="2:9" ht="12.75">
      <c r="B98" s="1" t="str">
        <f>'Nov 16-22'!B98</f>
        <v>76 King Street Unit 2</v>
      </c>
      <c r="C98" s="1">
        <f t="array" ref="C98">INDEX('Nov 23-29'!D:D,MATCH($B98,'Nov 23-29'!$B:$B,0))-INDEX('Nov 16-22'!D:D,MATCH($B98,'Nov 16-22'!$B:$B,0))</f>
        <v>28</v>
      </c>
      <c r="D98" s="1">
        <v>69</v>
      </c>
      <c r="E98" s="1">
        <v>5</v>
      </c>
      <c r="F98" s="1">
        <v>1</v>
      </c>
      <c r="G98" s="1">
        <v>0</v>
      </c>
      <c r="H98" s="1">
        <v>1</v>
      </c>
      <c r="I98" s="1">
        <v>0</v>
      </c>
    </row>
    <row r="99" spans="2:9" ht="12.75">
      <c r="B99" s="1" t="str">
        <f>'Nov 16-22'!B99</f>
        <v>8 7th Street</v>
      </c>
      <c r="C99" s="1">
        <f t="array" ref="C99">INDEX('Nov 23-29'!D:D,MATCH($B99,'Nov 23-29'!$B:$B,0))-INDEX('Nov 16-22'!D:D,MATCH($B99,'Nov 16-22'!$B:$B,0))</f>
        <v>-3</v>
      </c>
      <c r="D99" s="1">
        <v>-17</v>
      </c>
      <c r="E99" s="1">
        <v>-3</v>
      </c>
      <c r="F99" s="1">
        <v>0</v>
      </c>
      <c r="G99" s="1">
        <v>2</v>
      </c>
      <c r="H99" s="1">
        <v>0</v>
      </c>
      <c r="I99" s="1">
        <v>0</v>
      </c>
    </row>
    <row r="100" spans="2:9" ht="12.75">
      <c r="B100" s="1" t="str">
        <f>'Nov 16-22'!B100</f>
        <v>8 Elko Street Unit 5</v>
      </c>
      <c r="C100" s="1">
        <f t="array" ref="C100">INDEX('Nov 23-29'!D:D,MATCH($B100,'Nov 23-29'!$B:$B,0))-INDEX('Nov 16-22'!D:D,MATCH($B100,'Nov 16-22'!$B:$B,0))</f>
        <v>1</v>
      </c>
      <c r="D100" s="1">
        <v>8</v>
      </c>
      <c r="E100" s="1">
        <v>2</v>
      </c>
      <c r="F100" s="1">
        <v>0</v>
      </c>
      <c r="G100" s="1">
        <v>-2</v>
      </c>
      <c r="H100" s="1">
        <v>0</v>
      </c>
      <c r="I100" s="1">
        <v>0</v>
      </c>
    </row>
    <row r="101" spans="2:9" ht="12.75">
      <c r="B101" s="1" t="str">
        <f>'Nov 16-22'!B101</f>
        <v>8 Elko Street Unit 6</v>
      </c>
      <c r="C101" s="1">
        <f t="array" ref="C101">INDEX('Nov 23-29'!D:D,MATCH($B101,'Nov 23-29'!$B:$B,0))-INDEX('Nov 16-22'!D:D,MATCH($B101,'Nov 16-22'!$B:$B,0))</f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2:9" ht="12.75">
      <c r="B102" s="1" t="str">
        <f>'Nov 16-22'!B102</f>
        <v>8 Hardwick Terrace Unit 1</v>
      </c>
      <c r="C102" s="1">
        <f t="array" ref="C102">INDEX('Nov 23-29'!D:D,MATCH($B102,'Nov 23-29'!$B:$B,0))-INDEX('Nov 16-22'!D:D,MATCH($B102,'Nov 16-22'!$B:$B,0))</f>
        <v>1</v>
      </c>
      <c r="D102" s="1">
        <v>3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</row>
    <row r="103" spans="2:9" ht="12.75">
      <c r="B103" s="1" t="str">
        <f>'Nov 16-22'!B103</f>
        <v>83 Highland Street Unit 2</v>
      </c>
      <c r="C103" s="1">
        <f t="array" ref="C103">INDEX('Nov 23-29'!D:D,MATCH($B103,'Nov 23-29'!$B:$B,0))-INDEX('Nov 16-22'!D:D,MATCH($B103,'Nov 16-22'!$B:$B,0))</f>
        <v>6</v>
      </c>
      <c r="D103" s="1">
        <v>1</v>
      </c>
      <c r="E103" s="1">
        <v>0</v>
      </c>
      <c r="F103" s="1">
        <v>1</v>
      </c>
      <c r="G103" s="1">
        <v>0</v>
      </c>
      <c r="H103" s="1">
        <v>0</v>
      </c>
      <c r="I103" s="1">
        <v>0</v>
      </c>
    </row>
    <row r="104" spans="2:9" ht="12.75">
      <c r="B104" s="1" t="str">
        <f>'Nov 16-22'!B104</f>
        <v>83 Highland Street Unit 3</v>
      </c>
      <c r="C104" s="1">
        <f t="array" ref="C104">INDEX('Nov 23-29'!D:D,MATCH($B104,'Nov 23-29'!$B:$B,0))-INDEX('Nov 16-22'!D:D,MATCH($B104,'Nov 16-22'!$B:$B,0))</f>
        <v>8</v>
      </c>
      <c r="D104" s="1">
        <v>10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</row>
    <row r="105" spans="2:9" ht="12.75">
      <c r="B105" s="1" t="str">
        <f>'Nov 16-22'!B105</f>
        <v>848 Huntington Avenue Unit 2</v>
      </c>
      <c r="C105" s="1">
        <f t="array" ref="C105">INDEX('Nov 23-29'!D:D,MATCH($B105,'Nov 23-29'!$B:$B,0))-INDEX('Nov 16-22'!D:D,MATCH($B105,'Nov 16-22'!$B:$B,0))</f>
        <v>-31</v>
      </c>
      <c r="D105" s="1">
        <v>-20</v>
      </c>
      <c r="E105" s="1">
        <v>2</v>
      </c>
      <c r="F105" s="1">
        <v>-2</v>
      </c>
      <c r="G105" s="1">
        <v>-2</v>
      </c>
      <c r="H105" s="1">
        <v>0</v>
      </c>
      <c r="I105" s="1">
        <v>0</v>
      </c>
    </row>
    <row r="106" spans="2:9" ht="12.75">
      <c r="B106" s="1" t="str">
        <f>'Nov 16-22'!B106</f>
        <v>9 Fairfield Street Unit 1L</v>
      </c>
      <c r="C106" s="1">
        <f t="array" ref="C106">INDEX('Nov 23-29'!D:D,MATCH($B106,'Nov 23-29'!$B:$B,0))-INDEX('Nov 16-22'!D:D,MATCH($B106,'Nov 16-22'!$B:$B,0))</f>
        <v>-5</v>
      </c>
      <c r="D106" s="1">
        <v>-11</v>
      </c>
      <c r="E106" s="1">
        <v>-3</v>
      </c>
      <c r="F106" s="1">
        <v>0</v>
      </c>
      <c r="G106" s="1">
        <v>0</v>
      </c>
      <c r="H106" s="1">
        <v>0</v>
      </c>
      <c r="I106" s="1">
        <v>0</v>
      </c>
    </row>
    <row r="107" spans="2:9" ht="12.75">
      <c r="B107" s="1" t="str">
        <f>'Nov 16-22'!B107</f>
        <v>9 Fairfield Street Unit 1R</v>
      </c>
      <c r="C107" s="1">
        <f t="array" ref="C107">INDEX('Nov 23-29'!D:D,MATCH($B107,'Nov 23-29'!$B:$B,0))-INDEX('Nov 16-22'!D:D,MATCH($B107,'Nov 16-22'!$B:$B,0))</f>
        <v>-4</v>
      </c>
      <c r="D107" s="1">
        <v>-7</v>
      </c>
      <c r="E107" s="1">
        <v>-2</v>
      </c>
      <c r="F107" s="1">
        <v>1</v>
      </c>
      <c r="G107" s="1">
        <v>0</v>
      </c>
      <c r="H107" s="1">
        <v>0</v>
      </c>
      <c r="I107" s="1">
        <v>0</v>
      </c>
    </row>
    <row r="108" spans="2:9" ht="12.75">
      <c r="B108" s="1" t="str">
        <f>'Nov 16-22'!B108</f>
        <v>95 Upland Road Unit 2</v>
      </c>
      <c r="C108" s="1">
        <f t="array" ref="C108">INDEX('Nov 23-29'!D:D,MATCH($B108,'Nov 23-29'!$B:$B,0))-INDEX('Nov 16-22'!D:D,MATCH($B108,'Nov 16-22'!$B:$B,0))</f>
        <v>2</v>
      </c>
      <c r="D108" s="1">
        <v>0</v>
      </c>
      <c r="E108" s="1">
        <v>-1</v>
      </c>
      <c r="F108" s="1">
        <v>2</v>
      </c>
      <c r="G108" s="1">
        <v>0</v>
      </c>
      <c r="H108" s="1">
        <v>0</v>
      </c>
      <c r="I108" s="1">
        <v>-1</v>
      </c>
    </row>
    <row r="109" spans="2:9" ht="12.75">
      <c r="B109" s="1" t="str">
        <f>'Nov 16-22'!B109</f>
        <v>96 Hammond Street Unit 3</v>
      </c>
      <c r="C109" s="1">
        <f t="array" ref="C109">INDEX('Nov 23-29'!D:D,MATCH($B109,'Nov 23-29'!$B:$B,0))-INDEX('Nov 16-22'!D:D,MATCH($B109,'Nov 16-22'!$B:$B,0))</f>
        <v>-2</v>
      </c>
      <c r="D109" s="1">
        <v>-8</v>
      </c>
      <c r="E109" s="1">
        <v>-1</v>
      </c>
      <c r="F109" s="1">
        <v>0</v>
      </c>
      <c r="G109" s="1">
        <v>0</v>
      </c>
      <c r="H109" s="1">
        <v>0</v>
      </c>
      <c r="I109" s="1">
        <v>0</v>
      </c>
    </row>
    <row r="110" spans="2:9" ht="12.75">
      <c r="B110" s="1" t="str">
        <f>'Nov 16-22'!B110</f>
        <v>96 Sheridan Street Unit 3</v>
      </c>
      <c r="C110" s="1">
        <f t="array" ref="C110">INDEX('Nov 23-29'!D:D,MATCH($B110,'Nov 23-29'!$B:$B,0))-INDEX('Nov 16-22'!D:D,MATCH($B110,'Nov 16-22'!$B:$B,0))</f>
        <v>-41</v>
      </c>
      <c r="D110" s="1">
        <f t="array" ref="D110">INDEX('Nov 23-29'!E:E,MATCH($B110,'Nov 23-29'!$B:$B,0))-INDEX('Nov 16-22'!E:E,MATCH($B110,'Nov 16-22'!$B:$B,0))</f>
        <v>-12</v>
      </c>
      <c r="E110" s="1">
        <v>-12</v>
      </c>
      <c r="F110" s="1">
        <v>0</v>
      </c>
      <c r="G110" s="1">
        <v>-1</v>
      </c>
      <c r="H110" s="1">
        <v>0</v>
      </c>
      <c r="I110" s="1">
        <v>1</v>
      </c>
    </row>
    <row r="111" spans="2:9" ht="12.75">
      <c r="B111" s="1" t="str">
        <f>'Nov 16-22'!B111</f>
        <v>99 Marion Street Unit 3</v>
      </c>
      <c r="C111" s="1">
        <f t="array" ref="C111">INDEX('Nov 23-29'!D:D,MATCH($B111,'Nov 23-29'!$B:$B,0))-INDEX('Nov 16-22'!D:D,MATCH($B111,'Nov 16-22'!$B:$B,0))</f>
        <v>16</v>
      </c>
      <c r="D111" s="1">
        <v>29</v>
      </c>
      <c r="E111" s="1">
        <v>5</v>
      </c>
      <c r="F111" s="1">
        <v>1</v>
      </c>
      <c r="G111" s="1">
        <v>0</v>
      </c>
      <c r="H111" s="1">
        <v>0</v>
      </c>
      <c r="I111" s="1">
        <v>0</v>
      </c>
    </row>
    <row r="112" spans="2:9" ht="12.75">
      <c r="B112" s="1">
        <f>'Nov 16-22'!B112</f>
        <v>0</v>
      </c>
    </row>
    <row r="113" spans="2:2" ht="12.75">
      <c r="B113" s="1" t="str">
        <f>'Nov 16-22'!B113</f>
        <v>TOTAL</v>
      </c>
    </row>
    <row r="114" spans="2:2" ht="12.75">
      <c r="B114" s="1">
        <f>'Nov 16-22'!B114</f>
        <v>0</v>
      </c>
    </row>
    <row r="115" spans="2:2" ht="12.75">
      <c r="B115" s="1" t="str">
        <f>'Nov 16-22'!B115</f>
        <v>On the Market</v>
      </c>
    </row>
    <row r="116" spans="2:2" ht="12.75">
      <c r="B116" s="1">
        <f>'Nov 16-22'!B116</f>
        <v>0</v>
      </c>
    </row>
  </sheetData>
  <autoFilter ref="B2:K111" xr:uid="{00000000-0009-0000-0000-00000C000000}">
    <sortState xmlns:xlrd2="http://schemas.microsoft.com/office/spreadsheetml/2017/richdata2" ref="B2:K111">
      <sortCondition ref="B2:B111"/>
      <sortCondition ref="D2:D111"/>
      <sortCondition descending="1" ref="F2:F11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B2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.75" customHeight="1"/>
  <cols>
    <col min="1" max="1" width="2.73046875" customWidth="1"/>
    <col min="2" max="2" width="30" customWidth="1"/>
    <col min="3" max="10" width="17.265625" customWidth="1"/>
    <col min="20" max="20" width="18.53125" customWidth="1"/>
  </cols>
  <sheetData>
    <row r="1" spans="1:24" ht="12.75">
      <c r="B1" s="21" t="s">
        <v>157</v>
      </c>
    </row>
    <row r="2" spans="1:24" ht="28.5" customHeight="1">
      <c r="B2" s="6" t="s">
        <v>0</v>
      </c>
      <c r="C2" s="7" t="s">
        <v>1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8</v>
      </c>
      <c r="J2" s="7" t="s">
        <v>9</v>
      </c>
      <c r="K2" s="7" t="s">
        <v>10</v>
      </c>
      <c r="L2" s="46" t="s">
        <v>158</v>
      </c>
      <c r="M2" s="46" t="s">
        <v>13</v>
      </c>
      <c r="N2" s="46" t="s">
        <v>14</v>
      </c>
      <c r="O2" s="46" t="s">
        <v>15</v>
      </c>
      <c r="P2" s="10" t="s">
        <v>12</v>
      </c>
    </row>
    <row r="3" spans="1:24" ht="12.75">
      <c r="A3" s="21">
        <v>1</v>
      </c>
      <c r="B3" s="13" t="s">
        <v>40</v>
      </c>
      <c r="C3" s="14" t="s">
        <v>147</v>
      </c>
      <c r="D3" s="15">
        <v>113</v>
      </c>
      <c r="E3" s="15">
        <v>30</v>
      </c>
      <c r="F3" s="15">
        <v>2</v>
      </c>
      <c r="G3" s="15">
        <v>2</v>
      </c>
      <c r="H3" s="15">
        <v>1</v>
      </c>
      <c r="I3" s="15">
        <v>1</v>
      </c>
      <c r="J3" s="15">
        <v>3</v>
      </c>
      <c r="K3" s="1" t="s">
        <v>20</v>
      </c>
      <c r="L3" s="17">
        <f t="shared" ref="L3:L113" si="0">IFERROR(J3/D3, " ")</f>
        <v>2.6548672566371681E-2</v>
      </c>
      <c r="M3" s="17">
        <f t="shared" ref="M3:M111" si="1">IFERROR(J3/G3, " ")</f>
        <v>1.5</v>
      </c>
      <c r="N3" s="17">
        <f t="shared" ref="N3:N29" si="2">IFERROR(J3/H3, " ")</f>
        <v>3</v>
      </c>
      <c r="O3" s="17">
        <f t="shared" ref="O3:O111" si="3">IFERROR(J3/I3, " ")</f>
        <v>3</v>
      </c>
      <c r="P3" s="17">
        <f t="shared" ref="P3:P113" si="4">IFERROR(G3/D3," ")</f>
        <v>1.7699115044247787E-2</v>
      </c>
      <c r="T3" s="47" t="s">
        <v>159</v>
      </c>
      <c r="U3" s="48"/>
      <c r="V3" s="48"/>
      <c r="W3" s="48"/>
      <c r="X3" s="48"/>
    </row>
    <row r="4" spans="1:24" ht="12.75">
      <c r="A4" s="12">
        <f t="shared" ref="A4:A111" si="5">A3+1</f>
        <v>2</v>
      </c>
      <c r="B4" s="13" t="s">
        <v>42</v>
      </c>
      <c r="C4" s="14" t="s">
        <v>147</v>
      </c>
      <c r="D4" s="15">
        <v>109</v>
      </c>
      <c r="E4" s="15">
        <v>20</v>
      </c>
      <c r="F4" s="15">
        <v>8</v>
      </c>
      <c r="G4" s="15">
        <v>2</v>
      </c>
      <c r="H4" s="15"/>
      <c r="I4" s="15"/>
      <c r="J4" s="15"/>
      <c r="K4" s="1" t="s">
        <v>20</v>
      </c>
      <c r="L4" s="17">
        <f t="shared" si="0"/>
        <v>0</v>
      </c>
      <c r="M4" s="17">
        <f t="shared" si="1"/>
        <v>0</v>
      </c>
      <c r="N4" s="17" t="str">
        <f t="shared" si="2"/>
        <v xml:space="preserve"> </v>
      </c>
      <c r="O4" s="17" t="str">
        <f t="shared" si="3"/>
        <v xml:space="preserve"> </v>
      </c>
      <c r="P4" s="17">
        <f t="shared" si="4"/>
        <v>1.834862385321101E-2</v>
      </c>
      <c r="T4" s="48" t="s">
        <v>160</v>
      </c>
      <c r="U4" s="48" t="s">
        <v>3</v>
      </c>
      <c r="V4" s="48" t="s">
        <v>4</v>
      </c>
      <c r="W4" s="48" t="s">
        <v>6</v>
      </c>
      <c r="X4" s="48" t="s">
        <v>161</v>
      </c>
    </row>
    <row r="5" spans="1:24" ht="12.75">
      <c r="A5" s="12">
        <f t="shared" si="5"/>
        <v>3</v>
      </c>
      <c r="B5" s="13" t="s">
        <v>90</v>
      </c>
      <c r="C5" s="14" t="s">
        <v>147</v>
      </c>
      <c r="D5" s="15">
        <v>77</v>
      </c>
      <c r="E5" s="15">
        <v>18</v>
      </c>
      <c r="F5" s="15">
        <v>2</v>
      </c>
      <c r="G5" s="15">
        <v>1</v>
      </c>
      <c r="H5" s="15"/>
      <c r="I5" s="15">
        <v>1</v>
      </c>
      <c r="J5" s="15">
        <v>1</v>
      </c>
      <c r="K5" s="1" t="s">
        <v>20</v>
      </c>
      <c r="L5" s="17">
        <f t="shared" si="0"/>
        <v>1.2987012987012988E-2</v>
      </c>
      <c r="M5" s="17">
        <f t="shared" si="1"/>
        <v>1</v>
      </c>
      <c r="N5" s="17" t="str">
        <f t="shared" si="2"/>
        <v xml:space="preserve"> </v>
      </c>
      <c r="O5" s="17">
        <f t="shared" si="3"/>
        <v>1</v>
      </c>
      <c r="P5" s="17">
        <f t="shared" si="4"/>
        <v>1.2987012987012988E-2</v>
      </c>
      <c r="T5" s="49"/>
      <c r="U5" s="50"/>
      <c r="V5" s="50"/>
      <c r="W5" s="50"/>
      <c r="X5" s="51" t="e">
        <f t="shared" ref="X5:X14" si="6">W5/U5</f>
        <v>#DIV/0!</v>
      </c>
    </row>
    <row r="6" spans="1:24" ht="12.75">
      <c r="A6" s="12">
        <f t="shared" si="5"/>
        <v>4</v>
      </c>
      <c r="B6" s="13" t="s">
        <v>102</v>
      </c>
      <c r="C6" s="14" t="s">
        <v>147</v>
      </c>
      <c r="D6" s="15">
        <v>66</v>
      </c>
      <c r="E6" s="15">
        <v>17</v>
      </c>
      <c r="F6" s="15">
        <v>1</v>
      </c>
      <c r="G6" s="15">
        <v>2</v>
      </c>
      <c r="H6" s="15"/>
      <c r="I6" s="15">
        <v>1</v>
      </c>
      <c r="J6" s="15"/>
      <c r="K6" s="1" t="s">
        <v>29</v>
      </c>
      <c r="L6" s="17">
        <f t="shared" si="0"/>
        <v>0</v>
      </c>
      <c r="M6" s="17">
        <f t="shared" si="1"/>
        <v>0</v>
      </c>
      <c r="N6" s="17" t="str">
        <f t="shared" si="2"/>
        <v xml:space="preserve"> </v>
      </c>
      <c r="O6" s="17">
        <f t="shared" si="3"/>
        <v>0</v>
      </c>
      <c r="P6" s="17">
        <f t="shared" si="4"/>
        <v>3.0303030303030304E-2</v>
      </c>
      <c r="T6" s="49"/>
      <c r="U6" s="50"/>
      <c r="V6" s="50"/>
      <c r="W6" s="50"/>
      <c r="X6" s="51" t="e">
        <f t="shared" si="6"/>
        <v>#DIV/0!</v>
      </c>
    </row>
    <row r="7" spans="1:24" ht="12.75">
      <c r="A7" s="12">
        <f t="shared" si="5"/>
        <v>5</v>
      </c>
      <c r="B7" s="13" t="s">
        <v>117</v>
      </c>
      <c r="C7" s="14" t="s">
        <v>147</v>
      </c>
      <c r="D7" s="15">
        <v>57</v>
      </c>
      <c r="E7" s="15">
        <v>11</v>
      </c>
      <c r="F7" s="15">
        <v>2</v>
      </c>
      <c r="G7" s="15">
        <v>0</v>
      </c>
      <c r="H7" s="15"/>
      <c r="I7" s="15"/>
      <c r="J7" s="15"/>
      <c r="K7" s="1" t="s">
        <v>20</v>
      </c>
      <c r="L7" s="17">
        <f t="shared" si="0"/>
        <v>0</v>
      </c>
      <c r="M7" s="17" t="str">
        <f t="shared" si="1"/>
        <v xml:space="preserve"> </v>
      </c>
      <c r="N7" s="17" t="str">
        <f t="shared" si="2"/>
        <v xml:space="preserve"> </v>
      </c>
      <c r="O7" s="17" t="str">
        <f t="shared" si="3"/>
        <v xml:space="preserve"> </v>
      </c>
      <c r="P7" s="17">
        <f t="shared" si="4"/>
        <v>0</v>
      </c>
      <c r="T7" s="49"/>
      <c r="U7" s="50"/>
      <c r="V7" s="50"/>
      <c r="W7" s="50"/>
      <c r="X7" s="51" t="e">
        <f t="shared" si="6"/>
        <v>#DIV/0!</v>
      </c>
    </row>
    <row r="8" spans="1:24" ht="12.75">
      <c r="A8" s="12">
        <f t="shared" si="5"/>
        <v>6</v>
      </c>
      <c r="B8" s="13" t="s">
        <v>76</v>
      </c>
      <c r="C8" s="14" t="s">
        <v>147</v>
      </c>
      <c r="D8" s="15">
        <v>55</v>
      </c>
      <c r="E8" s="15">
        <v>10</v>
      </c>
      <c r="F8" s="15">
        <v>1</v>
      </c>
      <c r="G8" s="15">
        <v>2</v>
      </c>
      <c r="H8" s="15"/>
      <c r="I8" s="15"/>
      <c r="J8" s="15"/>
      <c r="K8" s="1" t="s">
        <v>34</v>
      </c>
      <c r="L8" s="17">
        <f t="shared" si="0"/>
        <v>0</v>
      </c>
      <c r="M8" s="17">
        <f t="shared" si="1"/>
        <v>0</v>
      </c>
      <c r="N8" s="17" t="str">
        <f t="shared" si="2"/>
        <v xml:space="preserve"> </v>
      </c>
      <c r="O8" s="17" t="str">
        <f t="shared" si="3"/>
        <v xml:space="preserve"> </v>
      </c>
      <c r="P8" s="18">
        <f t="shared" si="4"/>
        <v>3.6363636363636362E-2</v>
      </c>
      <c r="T8" s="49"/>
      <c r="U8" s="50"/>
      <c r="V8" s="50"/>
      <c r="W8" s="50"/>
      <c r="X8" s="51" t="e">
        <f t="shared" si="6"/>
        <v>#DIV/0!</v>
      </c>
    </row>
    <row r="9" spans="1:24" ht="12.75">
      <c r="A9" s="12">
        <f t="shared" si="5"/>
        <v>7</v>
      </c>
      <c r="B9" s="13" t="s">
        <v>25</v>
      </c>
      <c r="C9" s="14" t="s">
        <v>147</v>
      </c>
      <c r="D9" s="15">
        <v>54</v>
      </c>
      <c r="E9" s="15">
        <v>10</v>
      </c>
      <c r="F9" s="15">
        <v>4</v>
      </c>
      <c r="G9" s="15">
        <v>0</v>
      </c>
      <c r="H9" s="15"/>
      <c r="I9" s="15"/>
      <c r="J9" s="15"/>
      <c r="K9" s="1" t="s">
        <v>34</v>
      </c>
      <c r="L9" s="17">
        <f t="shared" si="0"/>
        <v>0</v>
      </c>
      <c r="M9" s="17" t="str">
        <f t="shared" si="1"/>
        <v xml:space="preserve"> </v>
      </c>
      <c r="N9" s="17" t="str">
        <f t="shared" si="2"/>
        <v xml:space="preserve"> </v>
      </c>
      <c r="O9" s="17" t="str">
        <f t="shared" si="3"/>
        <v xml:space="preserve"> </v>
      </c>
      <c r="P9" s="17">
        <f t="shared" si="4"/>
        <v>0</v>
      </c>
      <c r="T9" s="49"/>
      <c r="U9" s="50"/>
      <c r="V9" s="50"/>
      <c r="W9" s="50"/>
      <c r="X9" s="51" t="e">
        <f t="shared" si="6"/>
        <v>#DIV/0!</v>
      </c>
    </row>
    <row r="10" spans="1:24" ht="12.75">
      <c r="A10" s="12">
        <f t="shared" si="5"/>
        <v>8</v>
      </c>
      <c r="B10" s="13" t="s">
        <v>125</v>
      </c>
      <c r="C10" s="14" t="s">
        <v>147</v>
      </c>
      <c r="D10" s="15">
        <v>53</v>
      </c>
      <c r="E10" s="15">
        <v>17</v>
      </c>
      <c r="F10" s="15">
        <v>0</v>
      </c>
      <c r="G10" s="15">
        <v>1</v>
      </c>
      <c r="H10" s="15"/>
      <c r="I10" s="15"/>
      <c r="J10" s="15"/>
      <c r="K10" s="1" t="s">
        <v>126</v>
      </c>
      <c r="L10" s="17">
        <f t="shared" si="0"/>
        <v>0</v>
      </c>
      <c r="M10" s="17">
        <f t="shared" si="1"/>
        <v>0</v>
      </c>
      <c r="N10" s="17" t="str">
        <f t="shared" si="2"/>
        <v xml:space="preserve"> </v>
      </c>
      <c r="O10" s="17" t="str">
        <f t="shared" si="3"/>
        <v xml:space="preserve"> </v>
      </c>
      <c r="P10" s="17">
        <f t="shared" si="4"/>
        <v>1.8867924528301886E-2</v>
      </c>
      <c r="T10" s="52"/>
      <c r="U10" s="53"/>
      <c r="V10" s="53"/>
      <c r="W10" s="53"/>
      <c r="X10" s="54" t="e">
        <f t="shared" si="6"/>
        <v>#DIV/0!</v>
      </c>
    </row>
    <row r="11" spans="1:24" ht="12.75">
      <c r="A11" s="12">
        <f t="shared" si="5"/>
        <v>9</v>
      </c>
      <c r="B11" s="13" t="s">
        <v>58</v>
      </c>
      <c r="C11" s="14" t="s">
        <v>147</v>
      </c>
      <c r="D11" s="15">
        <v>53</v>
      </c>
      <c r="E11" s="15">
        <v>12</v>
      </c>
      <c r="F11" s="15">
        <v>1</v>
      </c>
      <c r="G11" s="15">
        <v>0</v>
      </c>
      <c r="H11" s="15">
        <v>1</v>
      </c>
      <c r="I11" s="15"/>
      <c r="J11" s="15"/>
      <c r="K11" s="1" t="s">
        <v>20</v>
      </c>
      <c r="L11" s="17">
        <f t="shared" si="0"/>
        <v>0</v>
      </c>
      <c r="M11" s="17" t="str">
        <f t="shared" si="1"/>
        <v xml:space="preserve"> </v>
      </c>
      <c r="N11" s="17">
        <f t="shared" si="2"/>
        <v>0</v>
      </c>
      <c r="O11" s="17" t="str">
        <f t="shared" si="3"/>
        <v xml:space="preserve"> </v>
      </c>
      <c r="P11" s="18">
        <f t="shared" si="4"/>
        <v>0</v>
      </c>
      <c r="T11" s="49"/>
      <c r="U11" s="50"/>
      <c r="V11" s="50"/>
      <c r="W11" s="50"/>
      <c r="X11" s="51" t="e">
        <f t="shared" si="6"/>
        <v>#DIV/0!</v>
      </c>
    </row>
    <row r="12" spans="1:24" ht="12.75">
      <c r="A12" s="12">
        <f t="shared" si="5"/>
        <v>10</v>
      </c>
      <c r="B12" s="13" t="s">
        <v>32</v>
      </c>
      <c r="C12" s="14" t="s">
        <v>147</v>
      </c>
      <c r="D12" s="15">
        <v>44</v>
      </c>
      <c r="E12" s="15">
        <v>19</v>
      </c>
      <c r="F12" s="15">
        <v>2</v>
      </c>
      <c r="G12" s="15">
        <v>2</v>
      </c>
      <c r="H12" s="15">
        <v>1</v>
      </c>
      <c r="I12" s="15">
        <v>1</v>
      </c>
      <c r="J12" s="15"/>
      <c r="K12" s="1" t="s">
        <v>20</v>
      </c>
      <c r="L12" s="17">
        <f t="shared" si="0"/>
        <v>0</v>
      </c>
      <c r="M12" s="17">
        <f t="shared" si="1"/>
        <v>0</v>
      </c>
      <c r="N12" s="17">
        <f t="shared" si="2"/>
        <v>0</v>
      </c>
      <c r="O12" s="17">
        <f t="shared" si="3"/>
        <v>0</v>
      </c>
      <c r="P12" s="18">
        <f t="shared" si="4"/>
        <v>4.5454545454545456E-2</v>
      </c>
      <c r="T12" s="49"/>
      <c r="U12" s="50"/>
      <c r="V12" s="50"/>
      <c r="W12" s="50"/>
      <c r="X12" s="51" t="e">
        <f t="shared" si="6"/>
        <v>#DIV/0!</v>
      </c>
    </row>
    <row r="13" spans="1:24" ht="12.75">
      <c r="A13" s="12">
        <f t="shared" si="5"/>
        <v>11</v>
      </c>
      <c r="B13" s="13" t="s">
        <v>31</v>
      </c>
      <c r="C13" s="14" t="s">
        <v>147</v>
      </c>
      <c r="D13" s="15">
        <v>44</v>
      </c>
      <c r="E13" s="15">
        <v>13</v>
      </c>
      <c r="F13" s="15">
        <v>2</v>
      </c>
      <c r="G13" s="15">
        <v>1</v>
      </c>
      <c r="H13" s="15"/>
      <c r="I13" s="15"/>
      <c r="J13" s="15"/>
      <c r="K13" s="1" t="s">
        <v>20</v>
      </c>
      <c r="L13" s="17">
        <f t="shared" si="0"/>
        <v>0</v>
      </c>
      <c r="M13" s="17">
        <f t="shared" si="1"/>
        <v>0</v>
      </c>
      <c r="N13" s="17" t="str">
        <f t="shared" si="2"/>
        <v xml:space="preserve"> </v>
      </c>
      <c r="O13" s="17" t="str">
        <f t="shared" si="3"/>
        <v xml:space="preserve"> </v>
      </c>
      <c r="P13" s="18">
        <f t="shared" si="4"/>
        <v>2.2727272727272728E-2</v>
      </c>
      <c r="T13" s="52"/>
      <c r="U13" s="53"/>
      <c r="V13" s="53"/>
      <c r="W13" s="53"/>
      <c r="X13" s="54" t="e">
        <f t="shared" si="6"/>
        <v>#DIV/0!</v>
      </c>
    </row>
    <row r="14" spans="1:24" ht="12.75">
      <c r="A14" s="12">
        <f t="shared" si="5"/>
        <v>12</v>
      </c>
      <c r="B14" s="13" t="s">
        <v>66</v>
      </c>
      <c r="C14" s="14" t="s">
        <v>147</v>
      </c>
      <c r="D14" s="15">
        <v>43</v>
      </c>
      <c r="E14" s="15">
        <v>22</v>
      </c>
      <c r="F14" s="15">
        <v>1</v>
      </c>
      <c r="G14" s="15">
        <v>0</v>
      </c>
      <c r="H14" s="15"/>
      <c r="I14" s="15"/>
      <c r="J14" s="15"/>
      <c r="K14" s="1" t="s">
        <v>34</v>
      </c>
      <c r="L14" s="17">
        <f t="shared" si="0"/>
        <v>0</v>
      </c>
      <c r="M14" s="17" t="str">
        <f t="shared" si="1"/>
        <v xml:space="preserve"> </v>
      </c>
      <c r="N14" s="17" t="str">
        <f t="shared" si="2"/>
        <v xml:space="preserve"> </v>
      </c>
      <c r="O14" s="17" t="str">
        <f t="shared" si="3"/>
        <v xml:space="preserve"> </v>
      </c>
      <c r="P14" s="18">
        <f t="shared" si="4"/>
        <v>0</v>
      </c>
      <c r="T14" s="49"/>
      <c r="U14" s="50"/>
      <c r="V14" s="50"/>
      <c r="W14" s="50"/>
      <c r="X14" s="51" t="e">
        <f t="shared" si="6"/>
        <v>#DIV/0!</v>
      </c>
    </row>
    <row r="15" spans="1:24" ht="12.75">
      <c r="A15" s="12">
        <f t="shared" si="5"/>
        <v>13</v>
      </c>
      <c r="B15" s="13" t="s">
        <v>59</v>
      </c>
      <c r="C15" s="14" t="s">
        <v>147</v>
      </c>
      <c r="D15" s="15">
        <v>35</v>
      </c>
      <c r="E15" s="15">
        <v>18</v>
      </c>
      <c r="F15" s="15">
        <v>2</v>
      </c>
      <c r="G15" s="15">
        <v>2</v>
      </c>
      <c r="H15" s="15"/>
      <c r="I15" s="15">
        <v>1</v>
      </c>
      <c r="J15" s="15">
        <v>1</v>
      </c>
      <c r="K15" s="1" t="s">
        <v>34</v>
      </c>
      <c r="L15" s="17">
        <f t="shared" si="0"/>
        <v>2.8571428571428571E-2</v>
      </c>
      <c r="M15" s="17">
        <f t="shared" si="1"/>
        <v>0.5</v>
      </c>
      <c r="N15" s="17" t="str">
        <f t="shared" si="2"/>
        <v xml:space="preserve"> </v>
      </c>
      <c r="O15" s="17">
        <f t="shared" si="3"/>
        <v>1</v>
      </c>
      <c r="P15" s="18">
        <f t="shared" si="4"/>
        <v>5.7142857142857141E-2</v>
      </c>
      <c r="T15" s="13"/>
      <c r="U15" s="19"/>
      <c r="V15" s="19"/>
      <c r="W15" s="19"/>
      <c r="X15" s="20"/>
    </row>
    <row r="16" spans="1:24" ht="12.75">
      <c r="A16" s="12">
        <f t="shared" si="5"/>
        <v>14</v>
      </c>
      <c r="B16" s="13" t="s">
        <v>136</v>
      </c>
      <c r="C16" s="14" t="s">
        <v>147</v>
      </c>
      <c r="D16" s="15">
        <v>34</v>
      </c>
      <c r="E16" s="15">
        <v>19</v>
      </c>
      <c r="F16" s="15">
        <v>0</v>
      </c>
      <c r="G16" s="15">
        <v>4</v>
      </c>
      <c r="H16" s="15"/>
      <c r="I16" s="15"/>
      <c r="J16" s="15"/>
      <c r="K16" s="1" t="s">
        <v>34</v>
      </c>
      <c r="L16" s="17">
        <f t="shared" si="0"/>
        <v>0</v>
      </c>
      <c r="M16" s="17">
        <f t="shared" si="1"/>
        <v>0</v>
      </c>
      <c r="N16" s="17" t="str">
        <f t="shared" si="2"/>
        <v xml:space="preserve"> </v>
      </c>
      <c r="O16" s="17" t="str">
        <f t="shared" si="3"/>
        <v xml:space="preserve"> </v>
      </c>
      <c r="P16" s="18">
        <f t="shared" si="4"/>
        <v>0.11764705882352941</v>
      </c>
      <c r="T16" s="25"/>
      <c r="U16" s="25"/>
      <c r="V16" s="25"/>
      <c r="W16" s="25"/>
      <c r="X16" s="25"/>
    </row>
    <row r="17" spans="1:24" ht="12.75">
      <c r="A17" s="12">
        <f t="shared" si="5"/>
        <v>15</v>
      </c>
      <c r="B17" s="13" t="s">
        <v>56</v>
      </c>
      <c r="C17" s="14" t="s">
        <v>147</v>
      </c>
      <c r="D17" s="15">
        <v>34</v>
      </c>
      <c r="E17" s="15">
        <v>17</v>
      </c>
      <c r="F17" s="15">
        <v>3</v>
      </c>
      <c r="G17" s="15">
        <v>2</v>
      </c>
      <c r="H17" s="15"/>
      <c r="I17" s="15">
        <v>1</v>
      </c>
      <c r="J17" s="15"/>
      <c r="K17" s="1" t="s">
        <v>37</v>
      </c>
      <c r="L17" s="17">
        <f t="shared" si="0"/>
        <v>0</v>
      </c>
      <c r="M17" s="17">
        <f t="shared" si="1"/>
        <v>0</v>
      </c>
      <c r="N17" s="17" t="str">
        <f t="shared" si="2"/>
        <v xml:space="preserve"> </v>
      </c>
      <c r="O17" s="17">
        <f t="shared" si="3"/>
        <v>0</v>
      </c>
      <c r="P17" s="17">
        <f t="shared" si="4"/>
        <v>5.8823529411764705E-2</v>
      </c>
      <c r="T17" s="25"/>
      <c r="U17" s="25"/>
      <c r="V17" s="25"/>
      <c r="W17" s="25"/>
      <c r="X17" s="25"/>
    </row>
    <row r="18" spans="1:24" ht="12.75">
      <c r="A18" s="12">
        <f t="shared" si="5"/>
        <v>16</v>
      </c>
      <c r="B18" s="13" t="s">
        <v>74</v>
      </c>
      <c r="C18" s="14" t="s">
        <v>147</v>
      </c>
      <c r="D18" s="15">
        <v>32</v>
      </c>
      <c r="E18" s="15">
        <v>7</v>
      </c>
      <c r="F18" s="15">
        <v>5</v>
      </c>
      <c r="G18" s="15">
        <v>0</v>
      </c>
      <c r="H18" s="15">
        <v>1</v>
      </c>
      <c r="I18" s="15">
        <v>1</v>
      </c>
      <c r="J18" s="15"/>
      <c r="K18" s="1" t="s">
        <v>20</v>
      </c>
      <c r="L18" s="17">
        <f t="shared" si="0"/>
        <v>0</v>
      </c>
      <c r="M18" s="17" t="str">
        <f t="shared" si="1"/>
        <v xml:space="preserve"> </v>
      </c>
      <c r="N18" s="17">
        <f t="shared" si="2"/>
        <v>0</v>
      </c>
      <c r="O18" s="17">
        <f t="shared" si="3"/>
        <v>0</v>
      </c>
      <c r="P18" s="17">
        <f t="shared" si="4"/>
        <v>0</v>
      </c>
      <c r="T18" s="47" t="s">
        <v>162</v>
      </c>
      <c r="U18" s="48"/>
      <c r="V18" s="48"/>
      <c r="W18" s="48"/>
      <c r="X18" s="48"/>
    </row>
    <row r="19" spans="1:24" ht="12.75">
      <c r="A19" s="12">
        <f t="shared" si="5"/>
        <v>17</v>
      </c>
      <c r="B19" s="13" t="s">
        <v>45</v>
      </c>
      <c r="C19" s="14" t="s">
        <v>147</v>
      </c>
      <c r="D19" s="15">
        <v>31</v>
      </c>
      <c r="E19" s="15">
        <v>11</v>
      </c>
      <c r="F19" s="15">
        <v>3</v>
      </c>
      <c r="G19" s="15">
        <v>2</v>
      </c>
      <c r="H19" s="15"/>
      <c r="I19" s="15"/>
      <c r="J19" s="15"/>
      <c r="K19" s="1" t="s">
        <v>20</v>
      </c>
      <c r="L19" s="17">
        <f t="shared" si="0"/>
        <v>0</v>
      </c>
      <c r="M19" s="17">
        <f t="shared" si="1"/>
        <v>0</v>
      </c>
      <c r="N19" s="17" t="str">
        <f t="shared" si="2"/>
        <v xml:space="preserve"> </v>
      </c>
      <c r="O19" s="17" t="str">
        <f t="shared" si="3"/>
        <v xml:space="preserve"> </v>
      </c>
      <c r="P19" s="17">
        <f t="shared" si="4"/>
        <v>6.4516129032258063E-2</v>
      </c>
      <c r="T19" s="48" t="s">
        <v>160</v>
      </c>
      <c r="U19" s="48" t="s">
        <v>3</v>
      </c>
      <c r="V19" s="48" t="s">
        <v>4</v>
      </c>
      <c r="W19" s="48" t="s">
        <v>6</v>
      </c>
      <c r="X19" s="48" t="s">
        <v>161</v>
      </c>
    </row>
    <row r="20" spans="1:24" ht="12.75">
      <c r="A20" s="12">
        <f t="shared" si="5"/>
        <v>18</v>
      </c>
      <c r="B20" s="13" t="s">
        <v>123</v>
      </c>
      <c r="C20" s="14" t="s">
        <v>147</v>
      </c>
      <c r="D20" s="15">
        <v>31</v>
      </c>
      <c r="E20" s="15">
        <v>11</v>
      </c>
      <c r="F20" s="15">
        <v>1</v>
      </c>
      <c r="G20" s="15">
        <v>1</v>
      </c>
      <c r="H20" s="15"/>
      <c r="I20" s="15"/>
      <c r="J20" s="15"/>
      <c r="K20" s="1" t="s">
        <v>34</v>
      </c>
      <c r="L20" s="17">
        <f t="shared" si="0"/>
        <v>0</v>
      </c>
      <c r="M20" s="17">
        <f t="shared" si="1"/>
        <v>0</v>
      </c>
      <c r="N20" s="17" t="str">
        <f t="shared" si="2"/>
        <v xml:space="preserve"> </v>
      </c>
      <c r="O20" s="17" t="str">
        <f t="shared" si="3"/>
        <v xml:space="preserve"> </v>
      </c>
      <c r="P20" s="17">
        <f t="shared" si="4"/>
        <v>3.2258064516129031E-2</v>
      </c>
      <c r="T20" s="55"/>
      <c r="U20" s="56"/>
      <c r="V20" s="56"/>
      <c r="W20" s="56"/>
      <c r="X20" s="57" t="e">
        <f t="shared" ref="X20:X30" si="7">W20/U20</f>
        <v>#DIV/0!</v>
      </c>
    </row>
    <row r="21" spans="1:24" ht="12.75">
      <c r="A21" s="12">
        <f t="shared" si="5"/>
        <v>19</v>
      </c>
      <c r="B21" s="13" t="s">
        <v>33</v>
      </c>
      <c r="C21" s="14" t="s">
        <v>147</v>
      </c>
      <c r="D21" s="15">
        <v>31</v>
      </c>
      <c r="E21" s="15">
        <v>3</v>
      </c>
      <c r="F21" s="15">
        <v>1</v>
      </c>
      <c r="G21" s="15">
        <v>0</v>
      </c>
      <c r="H21" s="15"/>
      <c r="I21" s="15"/>
      <c r="J21" s="15"/>
      <c r="K21" s="1" t="s">
        <v>34</v>
      </c>
      <c r="L21" s="17">
        <f t="shared" si="0"/>
        <v>0</v>
      </c>
      <c r="M21" s="17" t="str">
        <f t="shared" si="1"/>
        <v xml:space="preserve"> </v>
      </c>
      <c r="N21" s="17" t="str">
        <f t="shared" si="2"/>
        <v xml:space="preserve"> </v>
      </c>
      <c r="O21" s="17" t="str">
        <f t="shared" si="3"/>
        <v xml:space="preserve"> </v>
      </c>
      <c r="P21" s="17">
        <f t="shared" si="4"/>
        <v>0</v>
      </c>
      <c r="T21" s="55"/>
      <c r="U21" s="56"/>
      <c r="V21" s="56"/>
      <c r="W21" s="56"/>
      <c r="X21" s="57" t="e">
        <f t="shared" si="7"/>
        <v>#DIV/0!</v>
      </c>
    </row>
    <row r="22" spans="1:24" ht="12.75">
      <c r="A22" s="12">
        <f t="shared" si="5"/>
        <v>20</v>
      </c>
      <c r="B22" s="13" t="s">
        <v>135</v>
      </c>
      <c r="C22" s="14" t="s">
        <v>147</v>
      </c>
      <c r="D22" s="15">
        <v>30</v>
      </c>
      <c r="E22" s="15">
        <v>6</v>
      </c>
      <c r="F22" s="15">
        <v>1</v>
      </c>
      <c r="G22" s="15">
        <v>4</v>
      </c>
      <c r="H22" s="15"/>
      <c r="I22" s="15"/>
      <c r="J22" s="15"/>
      <c r="K22" s="1" t="s">
        <v>20</v>
      </c>
      <c r="L22" s="17">
        <f t="shared" si="0"/>
        <v>0</v>
      </c>
      <c r="M22" s="17">
        <f t="shared" si="1"/>
        <v>0</v>
      </c>
      <c r="N22" s="17" t="str">
        <f t="shared" si="2"/>
        <v xml:space="preserve"> </v>
      </c>
      <c r="O22" s="17" t="str">
        <f t="shared" si="3"/>
        <v xml:space="preserve"> </v>
      </c>
      <c r="P22" s="17">
        <f t="shared" si="4"/>
        <v>0.13333333333333333</v>
      </c>
      <c r="T22" s="55"/>
      <c r="U22" s="56"/>
      <c r="V22" s="56"/>
      <c r="W22" s="56"/>
      <c r="X22" s="57" t="e">
        <f t="shared" si="7"/>
        <v>#DIV/0!</v>
      </c>
    </row>
    <row r="23" spans="1:24" ht="12.75">
      <c r="A23" s="12">
        <f t="shared" si="5"/>
        <v>21</v>
      </c>
      <c r="B23" s="13" t="s">
        <v>50</v>
      </c>
      <c r="C23" s="14" t="s">
        <v>147</v>
      </c>
      <c r="D23" s="15">
        <v>30</v>
      </c>
      <c r="E23" s="15">
        <v>6</v>
      </c>
      <c r="F23" s="15">
        <v>0</v>
      </c>
      <c r="G23" s="15">
        <v>0</v>
      </c>
      <c r="H23" s="15"/>
      <c r="I23" s="15"/>
      <c r="J23" s="15"/>
      <c r="K23" s="1" t="s">
        <v>34</v>
      </c>
      <c r="L23" s="17">
        <f t="shared" si="0"/>
        <v>0</v>
      </c>
      <c r="M23" s="17" t="str">
        <f t="shared" si="1"/>
        <v xml:space="preserve"> </v>
      </c>
      <c r="N23" s="17" t="str">
        <f t="shared" si="2"/>
        <v xml:space="preserve"> </v>
      </c>
      <c r="O23" s="17" t="str">
        <f t="shared" si="3"/>
        <v xml:space="preserve"> </v>
      </c>
      <c r="P23" s="17">
        <f t="shared" si="4"/>
        <v>0</v>
      </c>
      <c r="T23" s="55"/>
      <c r="U23" s="56"/>
      <c r="V23" s="56"/>
      <c r="W23" s="56"/>
      <c r="X23" s="57" t="e">
        <f t="shared" si="7"/>
        <v>#DIV/0!</v>
      </c>
    </row>
    <row r="24" spans="1:24" ht="12.75">
      <c r="A24" s="12">
        <f t="shared" si="5"/>
        <v>22</v>
      </c>
      <c r="B24" s="13" t="s">
        <v>67</v>
      </c>
      <c r="C24" s="14" t="s">
        <v>147</v>
      </c>
      <c r="D24" s="15">
        <v>29</v>
      </c>
      <c r="E24" s="15">
        <v>8</v>
      </c>
      <c r="F24" s="15">
        <v>2</v>
      </c>
      <c r="G24" s="15">
        <v>0</v>
      </c>
      <c r="H24" s="15"/>
      <c r="I24" s="15"/>
      <c r="J24" s="15"/>
      <c r="K24" s="1" t="s">
        <v>34</v>
      </c>
      <c r="L24" s="17">
        <f t="shared" si="0"/>
        <v>0</v>
      </c>
      <c r="M24" s="17" t="str">
        <f t="shared" si="1"/>
        <v xml:space="preserve"> </v>
      </c>
      <c r="N24" s="17" t="str">
        <f t="shared" si="2"/>
        <v xml:space="preserve"> </v>
      </c>
      <c r="O24" s="17" t="str">
        <f t="shared" si="3"/>
        <v xml:space="preserve"> </v>
      </c>
      <c r="P24" s="17">
        <f t="shared" si="4"/>
        <v>0</v>
      </c>
      <c r="T24" s="58"/>
      <c r="U24" s="59"/>
      <c r="V24" s="59"/>
      <c r="W24" s="59"/>
      <c r="X24" s="60" t="e">
        <f t="shared" si="7"/>
        <v>#DIV/0!</v>
      </c>
    </row>
    <row r="25" spans="1:24" ht="12.75">
      <c r="A25" s="12">
        <f t="shared" si="5"/>
        <v>23</v>
      </c>
      <c r="B25" s="13" t="s">
        <v>97</v>
      </c>
      <c r="C25" s="14" t="s">
        <v>147</v>
      </c>
      <c r="D25" s="15">
        <v>28</v>
      </c>
      <c r="E25" s="15">
        <v>8</v>
      </c>
      <c r="F25" s="15">
        <v>0</v>
      </c>
      <c r="G25" s="15">
        <v>1</v>
      </c>
      <c r="H25" s="15"/>
      <c r="I25" s="15"/>
      <c r="J25" s="15"/>
      <c r="K25" s="1" t="s">
        <v>20</v>
      </c>
      <c r="L25" s="17">
        <f t="shared" si="0"/>
        <v>0</v>
      </c>
      <c r="M25" s="17">
        <f t="shared" si="1"/>
        <v>0</v>
      </c>
      <c r="N25" s="17" t="str">
        <f t="shared" si="2"/>
        <v xml:space="preserve"> </v>
      </c>
      <c r="O25" s="17" t="str">
        <f t="shared" si="3"/>
        <v xml:space="preserve"> </v>
      </c>
      <c r="P25" s="17">
        <f t="shared" si="4"/>
        <v>3.5714285714285712E-2</v>
      </c>
      <c r="T25" s="55"/>
      <c r="U25" s="56"/>
      <c r="V25" s="56"/>
      <c r="W25" s="56"/>
      <c r="X25" s="57" t="e">
        <f t="shared" si="7"/>
        <v>#DIV/0!</v>
      </c>
    </row>
    <row r="26" spans="1:24" ht="12.75">
      <c r="A26" s="12">
        <f t="shared" si="5"/>
        <v>24</v>
      </c>
      <c r="B26" s="13" t="s">
        <v>61</v>
      </c>
      <c r="C26" s="14" t="s">
        <v>147</v>
      </c>
      <c r="D26" s="15">
        <v>28</v>
      </c>
      <c r="E26" s="15">
        <v>9</v>
      </c>
      <c r="F26" s="15">
        <v>1</v>
      </c>
      <c r="G26" s="15">
        <v>1</v>
      </c>
      <c r="H26" s="15">
        <v>1</v>
      </c>
      <c r="I26" s="15">
        <v>1</v>
      </c>
      <c r="J26" s="15"/>
      <c r="K26" s="1" t="s">
        <v>20</v>
      </c>
      <c r="L26" s="17">
        <f t="shared" si="0"/>
        <v>0</v>
      </c>
      <c r="M26" s="17">
        <f t="shared" si="1"/>
        <v>0</v>
      </c>
      <c r="N26" s="17">
        <f t="shared" si="2"/>
        <v>0</v>
      </c>
      <c r="O26" s="17">
        <f t="shared" si="3"/>
        <v>0</v>
      </c>
      <c r="P26" s="17">
        <f t="shared" si="4"/>
        <v>3.5714285714285712E-2</v>
      </c>
      <c r="T26" s="55"/>
      <c r="U26" s="56"/>
      <c r="V26" s="56"/>
      <c r="W26" s="56"/>
      <c r="X26" s="57" t="e">
        <f t="shared" si="7"/>
        <v>#DIV/0!</v>
      </c>
    </row>
    <row r="27" spans="1:24" ht="12.75">
      <c r="A27" s="12">
        <f t="shared" si="5"/>
        <v>25</v>
      </c>
      <c r="B27" s="13" t="s">
        <v>86</v>
      </c>
      <c r="C27" s="14" t="s">
        <v>147</v>
      </c>
      <c r="D27" s="15">
        <v>28</v>
      </c>
      <c r="E27" s="15">
        <v>0</v>
      </c>
      <c r="F27" s="15">
        <v>1</v>
      </c>
      <c r="G27" s="15">
        <v>0</v>
      </c>
      <c r="H27" s="15"/>
      <c r="I27" s="15"/>
      <c r="J27" s="15"/>
      <c r="K27" s="1" t="s">
        <v>20</v>
      </c>
      <c r="L27" s="17">
        <f t="shared" si="0"/>
        <v>0</v>
      </c>
      <c r="M27" s="17" t="str">
        <f t="shared" si="1"/>
        <v xml:space="preserve"> </v>
      </c>
      <c r="N27" s="17" t="str">
        <f t="shared" si="2"/>
        <v xml:space="preserve"> </v>
      </c>
      <c r="O27" s="17" t="str">
        <f t="shared" si="3"/>
        <v xml:space="preserve"> </v>
      </c>
      <c r="P27" s="61">
        <f t="shared" si="4"/>
        <v>0</v>
      </c>
      <c r="T27" s="55"/>
      <c r="U27" s="56"/>
      <c r="V27" s="56"/>
      <c r="W27" s="56"/>
      <c r="X27" s="57" t="e">
        <f t="shared" si="7"/>
        <v>#DIV/0!</v>
      </c>
    </row>
    <row r="28" spans="1:24" ht="12.75">
      <c r="A28" s="12">
        <f t="shared" si="5"/>
        <v>26</v>
      </c>
      <c r="B28" s="13" t="s">
        <v>129</v>
      </c>
      <c r="C28" s="14" t="s">
        <v>147</v>
      </c>
      <c r="D28" s="15">
        <v>28</v>
      </c>
      <c r="E28" s="15">
        <v>5</v>
      </c>
      <c r="F28" s="15">
        <v>1</v>
      </c>
      <c r="G28" s="15">
        <v>0</v>
      </c>
      <c r="H28" s="15"/>
      <c r="I28" s="15"/>
      <c r="J28" s="15"/>
      <c r="K28" s="1" t="s">
        <v>20</v>
      </c>
      <c r="L28" s="17">
        <f t="shared" si="0"/>
        <v>0</v>
      </c>
      <c r="M28" s="17" t="str">
        <f t="shared" si="1"/>
        <v xml:space="preserve"> </v>
      </c>
      <c r="N28" s="17" t="str">
        <f t="shared" si="2"/>
        <v xml:space="preserve"> </v>
      </c>
      <c r="O28" s="17" t="str">
        <f t="shared" si="3"/>
        <v xml:space="preserve"> </v>
      </c>
      <c r="P28" s="17">
        <f t="shared" si="4"/>
        <v>0</v>
      </c>
      <c r="T28" s="55"/>
      <c r="U28" s="56"/>
      <c r="V28" s="56"/>
      <c r="W28" s="56"/>
      <c r="X28" s="57" t="e">
        <f t="shared" si="7"/>
        <v>#DIV/0!</v>
      </c>
    </row>
    <row r="29" spans="1:24" ht="12.75">
      <c r="A29" s="12">
        <f t="shared" si="5"/>
        <v>27</v>
      </c>
      <c r="B29" s="13" t="s">
        <v>94</v>
      </c>
      <c r="C29" s="15" t="s">
        <v>147</v>
      </c>
      <c r="D29" s="15">
        <v>28</v>
      </c>
      <c r="E29" s="15">
        <v>5</v>
      </c>
      <c r="F29" s="15">
        <v>1</v>
      </c>
      <c r="G29" s="15">
        <v>0</v>
      </c>
      <c r="H29" s="15">
        <v>1</v>
      </c>
      <c r="I29" s="15"/>
      <c r="J29" s="15"/>
      <c r="K29" s="27" t="s">
        <v>24</v>
      </c>
      <c r="L29" s="17">
        <f t="shared" si="0"/>
        <v>0</v>
      </c>
      <c r="M29" s="17" t="str">
        <f t="shared" si="1"/>
        <v xml:space="preserve"> </v>
      </c>
      <c r="N29" s="17">
        <f t="shared" si="2"/>
        <v>0</v>
      </c>
      <c r="O29" s="17" t="str">
        <f t="shared" si="3"/>
        <v xml:space="preserve"> </v>
      </c>
      <c r="P29" s="17">
        <f t="shared" si="4"/>
        <v>0</v>
      </c>
      <c r="T29" s="55"/>
      <c r="U29" s="56"/>
      <c r="V29" s="56"/>
      <c r="W29" s="56"/>
      <c r="X29" s="57" t="e">
        <f t="shared" si="7"/>
        <v>#DIV/0!</v>
      </c>
    </row>
    <row r="30" spans="1:24" ht="12.75">
      <c r="A30" s="12">
        <f t="shared" si="5"/>
        <v>28</v>
      </c>
      <c r="B30" s="13" t="s">
        <v>91</v>
      </c>
      <c r="C30" s="14" t="s">
        <v>147</v>
      </c>
      <c r="D30" s="15">
        <v>27</v>
      </c>
      <c r="E30" s="15">
        <v>12</v>
      </c>
      <c r="F30" s="15">
        <v>1</v>
      </c>
      <c r="G30" s="15">
        <v>1</v>
      </c>
      <c r="H30" s="15"/>
      <c r="I30" s="15"/>
      <c r="J30" s="15"/>
      <c r="K30" s="1" t="s">
        <v>20</v>
      </c>
      <c r="L30" s="17">
        <f t="shared" si="0"/>
        <v>0</v>
      </c>
      <c r="M30" s="17">
        <f t="shared" si="1"/>
        <v>0</v>
      </c>
      <c r="N30" s="17" t="str">
        <f>IFERROR(J30/#REF!, " ")</f>
        <v xml:space="preserve"> </v>
      </c>
      <c r="O30" s="17" t="str">
        <f t="shared" si="3"/>
        <v xml:space="preserve"> </v>
      </c>
      <c r="P30" s="61">
        <f t="shared" si="4"/>
        <v>3.7037037037037035E-2</v>
      </c>
      <c r="T30" s="55"/>
      <c r="U30" s="56"/>
      <c r="V30" s="56"/>
      <c r="W30" s="56"/>
      <c r="X30" s="57" t="e">
        <f t="shared" si="7"/>
        <v>#DIV/0!</v>
      </c>
    </row>
    <row r="31" spans="1:24" ht="12.75">
      <c r="A31" s="12">
        <f t="shared" si="5"/>
        <v>29</v>
      </c>
      <c r="B31" s="13" t="s">
        <v>19</v>
      </c>
      <c r="C31" s="14" t="s">
        <v>147</v>
      </c>
      <c r="D31" s="15">
        <v>27</v>
      </c>
      <c r="E31" s="15">
        <v>5</v>
      </c>
      <c r="F31" s="15">
        <v>1</v>
      </c>
      <c r="G31" s="15">
        <v>0</v>
      </c>
      <c r="H31" s="15"/>
      <c r="I31" s="15"/>
      <c r="J31" s="15"/>
      <c r="K31" s="1" t="s">
        <v>20</v>
      </c>
      <c r="L31" s="17">
        <f t="shared" si="0"/>
        <v>0</v>
      </c>
      <c r="M31" s="17" t="str">
        <f t="shared" si="1"/>
        <v xml:space="preserve"> </v>
      </c>
      <c r="N31" s="17" t="str">
        <f t="shared" ref="N31:N37" si="8">IFERROR(J31/H31, " ")</f>
        <v xml:space="preserve"> </v>
      </c>
      <c r="O31" s="17" t="str">
        <f t="shared" si="3"/>
        <v xml:space="preserve"> </v>
      </c>
      <c r="P31" s="17">
        <f t="shared" si="4"/>
        <v>0</v>
      </c>
    </row>
    <row r="32" spans="1:24" ht="12.75">
      <c r="A32" s="12">
        <f t="shared" si="5"/>
        <v>30</v>
      </c>
      <c r="B32" s="13" t="s">
        <v>21</v>
      </c>
      <c r="C32" s="14" t="s">
        <v>147</v>
      </c>
      <c r="D32" s="15">
        <v>27</v>
      </c>
      <c r="E32" s="15">
        <v>12</v>
      </c>
      <c r="F32" s="15">
        <v>1</v>
      </c>
      <c r="G32" s="15">
        <v>0</v>
      </c>
      <c r="H32" s="15"/>
      <c r="I32" s="15"/>
      <c r="J32" s="15"/>
      <c r="K32" s="1" t="s">
        <v>20</v>
      </c>
      <c r="L32" s="17">
        <f t="shared" si="0"/>
        <v>0</v>
      </c>
      <c r="M32" s="17" t="str">
        <f t="shared" si="1"/>
        <v xml:space="preserve"> </v>
      </c>
      <c r="N32" s="17" t="str">
        <f t="shared" si="8"/>
        <v xml:space="preserve"> </v>
      </c>
      <c r="O32" s="17" t="str">
        <f t="shared" si="3"/>
        <v xml:space="preserve"> </v>
      </c>
      <c r="P32" s="61">
        <f t="shared" si="4"/>
        <v>0</v>
      </c>
    </row>
    <row r="33" spans="1:16" ht="12.75">
      <c r="A33" s="12">
        <f t="shared" si="5"/>
        <v>31</v>
      </c>
      <c r="B33" s="13" t="s">
        <v>80</v>
      </c>
      <c r="C33" s="14" t="s">
        <v>147</v>
      </c>
      <c r="D33" s="15">
        <v>26</v>
      </c>
      <c r="E33" s="15">
        <v>10</v>
      </c>
      <c r="F33" s="15">
        <v>3</v>
      </c>
      <c r="G33" s="15">
        <v>0</v>
      </c>
      <c r="H33" s="15">
        <v>1</v>
      </c>
      <c r="I33" s="15"/>
      <c r="J33" s="15"/>
      <c r="K33" s="1" t="s">
        <v>39</v>
      </c>
      <c r="L33" s="17">
        <f t="shared" si="0"/>
        <v>0</v>
      </c>
      <c r="M33" s="17" t="str">
        <f t="shared" si="1"/>
        <v xml:space="preserve"> </v>
      </c>
      <c r="N33" s="17">
        <f t="shared" si="8"/>
        <v>0</v>
      </c>
      <c r="O33" s="17" t="str">
        <f t="shared" si="3"/>
        <v xml:space="preserve"> </v>
      </c>
      <c r="P33" s="17">
        <f t="shared" si="4"/>
        <v>0</v>
      </c>
    </row>
    <row r="34" spans="1:16" ht="12.75">
      <c r="A34" s="12">
        <f t="shared" si="5"/>
        <v>32</v>
      </c>
      <c r="B34" s="13" t="s">
        <v>65</v>
      </c>
      <c r="C34" s="14" t="s">
        <v>147</v>
      </c>
      <c r="D34" s="15">
        <v>26</v>
      </c>
      <c r="E34" s="15">
        <v>5</v>
      </c>
      <c r="F34" s="15">
        <v>1</v>
      </c>
      <c r="G34" s="15">
        <v>0</v>
      </c>
      <c r="H34" s="15"/>
      <c r="I34" s="15"/>
      <c r="J34" s="15"/>
      <c r="K34" s="1" t="s">
        <v>20</v>
      </c>
      <c r="L34" s="17">
        <f t="shared" si="0"/>
        <v>0</v>
      </c>
      <c r="M34" s="17" t="str">
        <f t="shared" si="1"/>
        <v xml:space="preserve"> </v>
      </c>
      <c r="N34" s="17" t="str">
        <f t="shared" si="8"/>
        <v xml:space="preserve"> </v>
      </c>
      <c r="O34" s="17" t="str">
        <f t="shared" si="3"/>
        <v xml:space="preserve"> </v>
      </c>
      <c r="P34" s="17">
        <f t="shared" si="4"/>
        <v>0</v>
      </c>
    </row>
    <row r="35" spans="1:16" ht="12.75">
      <c r="A35" s="12">
        <f t="shared" si="5"/>
        <v>33</v>
      </c>
      <c r="B35" s="13" t="s">
        <v>104</v>
      </c>
      <c r="C35" s="14" t="s">
        <v>147</v>
      </c>
      <c r="D35" s="15">
        <v>25</v>
      </c>
      <c r="E35" s="15">
        <v>3</v>
      </c>
      <c r="F35" s="15">
        <v>0</v>
      </c>
      <c r="G35" s="15">
        <v>0</v>
      </c>
      <c r="H35" s="15"/>
      <c r="I35" s="15"/>
      <c r="J35" s="15"/>
      <c r="K35" s="1" t="s">
        <v>20</v>
      </c>
      <c r="L35" s="17">
        <f t="shared" si="0"/>
        <v>0</v>
      </c>
      <c r="M35" s="17" t="str">
        <f t="shared" si="1"/>
        <v xml:space="preserve"> </v>
      </c>
      <c r="N35" s="17" t="str">
        <f t="shared" si="8"/>
        <v xml:space="preserve"> </v>
      </c>
      <c r="O35" s="17" t="str">
        <f t="shared" si="3"/>
        <v xml:space="preserve"> </v>
      </c>
      <c r="P35" s="17">
        <f t="shared" si="4"/>
        <v>0</v>
      </c>
    </row>
    <row r="36" spans="1:16" ht="12.75">
      <c r="A36" s="12">
        <f t="shared" si="5"/>
        <v>34</v>
      </c>
      <c r="B36" s="13" t="s">
        <v>44</v>
      </c>
      <c r="C36" s="14" t="s">
        <v>147</v>
      </c>
      <c r="D36" s="15">
        <v>23</v>
      </c>
      <c r="E36" s="15">
        <v>6</v>
      </c>
      <c r="F36" s="15">
        <v>1</v>
      </c>
      <c r="G36" s="15">
        <v>1</v>
      </c>
      <c r="H36" s="15"/>
      <c r="I36" s="15"/>
      <c r="J36" s="15"/>
      <c r="K36" s="21" t="s">
        <v>20</v>
      </c>
      <c r="L36" s="17">
        <f t="shared" si="0"/>
        <v>0</v>
      </c>
      <c r="M36" s="17">
        <f t="shared" si="1"/>
        <v>0</v>
      </c>
      <c r="N36" s="17" t="str">
        <f t="shared" si="8"/>
        <v xml:space="preserve"> </v>
      </c>
      <c r="O36" s="17" t="str">
        <f t="shared" si="3"/>
        <v xml:space="preserve"> </v>
      </c>
      <c r="P36" s="17">
        <f t="shared" si="4"/>
        <v>4.3478260869565216E-2</v>
      </c>
    </row>
    <row r="37" spans="1:16" ht="12.75">
      <c r="A37" s="12">
        <f t="shared" si="5"/>
        <v>35</v>
      </c>
      <c r="B37" s="13" t="s">
        <v>48</v>
      </c>
      <c r="C37" s="14" t="s">
        <v>147</v>
      </c>
      <c r="D37" s="15">
        <v>23</v>
      </c>
      <c r="E37" s="15">
        <v>2</v>
      </c>
      <c r="F37" s="15">
        <v>2</v>
      </c>
      <c r="G37" s="15">
        <v>0</v>
      </c>
      <c r="H37" s="15"/>
      <c r="I37" s="15"/>
      <c r="J37" s="15"/>
      <c r="K37" s="1" t="s">
        <v>20</v>
      </c>
      <c r="L37" s="17">
        <f t="shared" si="0"/>
        <v>0</v>
      </c>
      <c r="M37" s="17" t="str">
        <f t="shared" si="1"/>
        <v xml:space="preserve"> </v>
      </c>
      <c r="N37" s="17" t="str">
        <f t="shared" si="8"/>
        <v xml:space="preserve"> </v>
      </c>
      <c r="O37" s="17" t="str">
        <f t="shared" si="3"/>
        <v xml:space="preserve"> </v>
      </c>
      <c r="P37" s="18">
        <f t="shared" si="4"/>
        <v>0</v>
      </c>
    </row>
    <row r="38" spans="1:16" ht="12.75">
      <c r="A38" s="12">
        <f t="shared" si="5"/>
        <v>36</v>
      </c>
      <c r="B38" s="13" t="s">
        <v>99</v>
      </c>
      <c r="C38" s="14" t="s">
        <v>147</v>
      </c>
      <c r="D38" s="15">
        <v>22</v>
      </c>
      <c r="E38" s="15">
        <v>4</v>
      </c>
      <c r="F38" s="15">
        <v>1</v>
      </c>
      <c r="G38" s="15">
        <v>0</v>
      </c>
      <c r="I38" s="15"/>
      <c r="J38" s="15"/>
      <c r="K38" s="1" t="s">
        <v>20</v>
      </c>
      <c r="L38" s="17">
        <f t="shared" si="0"/>
        <v>0</v>
      </c>
      <c r="M38" s="17" t="str">
        <f t="shared" si="1"/>
        <v xml:space="preserve"> </v>
      </c>
      <c r="N38" s="17" t="str">
        <f>IFERROR(J38/H39, " ")</f>
        <v xml:space="preserve"> </v>
      </c>
      <c r="O38" s="17" t="str">
        <f t="shared" si="3"/>
        <v xml:space="preserve"> </v>
      </c>
      <c r="P38" s="17">
        <f t="shared" si="4"/>
        <v>0</v>
      </c>
    </row>
    <row r="39" spans="1:16" ht="12.75">
      <c r="A39" s="12">
        <f t="shared" si="5"/>
        <v>37</v>
      </c>
      <c r="B39" s="13" t="s">
        <v>27</v>
      </c>
      <c r="C39" s="14" t="s">
        <v>147</v>
      </c>
      <c r="D39" s="15">
        <v>21</v>
      </c>
      <c r="E39" s="15">
        <v>6</v>
      </c>
      <c r="F39" s="15">
        <v>1</v>
      </c>
      <c r="G39" s="15">
        <v>2</v>
      </c>
      <c r="H39" s="15"/>
      <c r="I39" s="15"/>
      <c r="J39" s="15"/>
      <c r="K39" s="1" t="s">
        <v>20</v>
      </c>
      <c r="L39" s="17">
        <f t="shared" si="0"/>
        <v>0</v>
      </c>
      <c r="M39" s="17">
        <f t="shared" si="1"/>
        <v>0</v>
      </c>
      <c r="N39" s="17" t="str">
        <f t="shared" ref="N39:N111" si="9">IFERROR(J39/H39, " ")</f>
        <v xml:space="preserve"> </v>
      </c>
      <c r="O39" s="17" t="str">
        <f t="shared" si="3"/>
        <v xml:space="preserve"> </v>
      </c>
      <c r="P39" s="17">
        <f t="shared" si="4"/>
        <v>9.5238095238095233E-2</v>
      </c>
    </row>
    <row r="40" spans="1:16" ht="12.75">
      <c r="A40" s="12">
        <f t="shared" si="5"/>
        <v>38</v>
      </c>
      <c r="B40" s="13" t="s">
        <v>124</v>
      </c>
      <c r="C40" s="14" t="s">
        <v>147</v>
      </c>
      <c r="D40" s="15">
        <v>21</v>
      </c>
      <c r="E40" s="15">
        <v>6</v>
      </c>
      <c r="F40" s="15">
        <v>0</v>
      </c>
      <c r="G40" s="15">
        <v>1</v>
      </c>
      <c r="H40" s="15"/>
      <c r="I40" s="15"/>
      <c r="J40" s="15"/>
      <c r="K40" s="1" t="s">
        <v>34</v>
      </c>
      <c r="L40" s="17">
        <f t="shared" si="0"/>
        <v>0</v>
      </c>
      <c r="M40" s="17">
        <f t="shared" si="1"/>
        <v>0</v>
      </c>
      <c r="N40" s="17" t="str">
        <f t="shared" si="9"/>
        <v xml:space="preserve"> </v>
      </c>
      <c r="O40" s="17" t="str">
        <f t="shared" si="3"/>
        <v xml:space="preserve"> </v>
      </c>
      <c r="P40" s="17">
        <f t="shared" si="4"/>
        <v>4.7619047619047616E-2</v>
      </c>
    </row>
    <row r="41" spans="1:16" ht="12.75">
      <c r="A41" s="12">
        <f t="shared" si="5"/>
        <v>39</v>
      </c>
      <c r="B41" s="13" t="s">
        <v>95</v>
      </c>
      <c r="C41" s="14" t="s">
        <v>147</v>
      </c>
      <c r="D41" s="15">
        <v>21</v>
      </c>
      <c r="E41" s="15">
        <v>6</v>
      </c>
      <c r="F41" s="15">
        <v>0</v>
      </c>
      <c r="G41" s="15">
        <v>0</v>
      </c>
      <c r="H41" s="15"/>
      <c r="I41" s="15"/>
      <c r="J41" s="15"/>
      <c r="K41" s="1" t="s">
        <v>20</v>
      </c>
      <c r="L41" s="17">
        <f t="shared" si="0"/>
        <v>0</v>
      </c>
      <c r="M41" s="17" t="str">
        <f t="shared" si="1"/>
        <v xml:space="preserve"> </v>
      </c>
      <c r="N41" s="17" t="str">
        <f t="shared" si="9"/>
        <v xml:space="preserve"> </v>
      </c>
      <c r="O41" s="17" t="str">
        <f t="shared" si="3"/>
        <v xml:space="preserve"> </v>
      </c>
      <c r="P41" s="17">
        <f t="shared" si="4"/>
        <v>0</v>
      </c>
    </row>
    <row r="42" spans="1:16" ht="13.5">
      <c r="A42" s="12">
        <f t="shared" si="5"/>
        <v>40</v>
      </c>
      <c r="B42" s="13" t="s">
        <v>98</v>
      </c>
      <c r="C42" s="14" t="s">
        <v>147</v>
      </c>
      <c r="D42" s="15">
        <v>21</v>
      </c>
      <c r="E42" s="15">
        <v>4</v>
      </c>
      <c r="F42" s="15">
        <v>2</v>
      </c>
      <c r="G42" s="15">
        <v>0</v>
      </c>
      <c r="H42" s="15"/>
      <c r="I42" s="15"/>
      <c r="J42" s="28"/>
      <c r="K42" s="1" t="s">
        <v>34</v>
      </c>
      <c r="L42" s="17">
        <f t="shared" si="0"/>
        <v>0</v>
      </c>
      <c r="M42" s="17" t="str">
        <f t="shared" si="1"/>
        <v xml:space="preserve"> </v>
      </c>
      <c r="N42" s="17" t="str">
        <f t="shared" si="9"/>
        <v xml:space="preserve"> </v>
      </c>
      <c r="O42" s="17" t="str">
        <f t="shared" si="3"/>
        <v xml:space="preserve"> </v>
      </c>
      <c r="P42" s="17">
        <f t="shared" si="4"/>
        <v>0</v>
      </c>
    </row>
    <row r="43" spans="1:16" ht="12.75">
      <c r="A43" s="12">
        <f t="shared" si="5"/>
        <v>41</v>
      </c>
      <c r="B43" s="13" t="s">
        <v>70</v>
      </c>
      <c r="C43" s="14" t="s">
        <v>147</v>
      </c>
      <c r="D43" s="15">
        <v>21</v>
      </c>
      <c r="E43" s="15">
        <v>3</v>
      </c>
      <c r="F43" s="15">
        <v>2</v>
      </c>
      <c r="G43" s="15">
        <v>0</v>
      </c>
      <c r="H43" s="15"/>
      <c r="I43" s="15"/>
      <c r="J43" s="15"/>
      <c r="K43" s="1" t="s">
        <v>20</v>
      </c>
      <c r="L43" s="17">
        <f t="shared" si="0"/>
        <v>0</v>
      </c>
      <c r="M43" s="17" t="str">
        <f t="shared" si="1"/>
        <v xml:space="preserve"> </v>
      </c>
      <c r="N43" s="17" t="str">
        <f t="shared" si="9"/>
        <v xml:space="preserve"> </v>
      </c>
      <c r="O43" s="17" t="str">
        <f t="shared" si="3"/>
        <v xml:space="preserve"> </v>
      </c>
      <c r="P43" s="17">
        <f t="shared" si="4"/>
        <v>0</v>
      </c>
    </row>
    <row r="44" spans="1:16" ht="12.75">
      <c r="A44" s="12">
        <f t="shared" si="5"/>
        <v>42</v>
      </c>
      <c r="B44" s="13" t="s">
        <v>30</v>
      </c>
      <c r="C44" s="14" t="s">
        <v>147</v>
      </c>
      <c r="D44" s="15">
        <v>20</v>
      </c>
      <c r="E44" s="15">
        <v>5</v>
      </c>
      <c r="F44" s="15">
        <v>1</v>
      </c>
      <c r="G44" s="15">
        <v>0</v>
      </c>
      <c r="H44" s="15"/>
      <c r="I44" s="15"/>
      <c r="J44" s="15"/>
      <c r="K44" s="1" t="s">
        <v>20</v>
      </c>
      <c r="L44" s="17">
        <f t="shared" si="0"/>
        <v>0</v>
      </c>
      <c r="M44" s="17" t="str">
        <f t="shared" si="1"/>
        <v xml:space="preserve"> </v>
      </c>
      <c r="N44" s="17" t="str">
        <f t="shared" si="9"/>
        <v xml:space="preserve"> </v>
      </c>
      <c r="O44" s="17" t="str">
        <f t="shared" si="3"/>
        <v xml:space="preserve"> </v>
      </c>
      <c r="P44" s="17">
        <f t="shared" si="4"/>
        <v>0</v>
      </c>
    </row>
    <row r="45" spans="1:16" ht="12.75">
      <c r="A45" s="12">
        <f t="shared" si="5"/>
        <v>43</v>
      </c>
      <c r="B45" s="13" t="s">
        <v>72</v>
      </c>
      <c r="C45" s="15" t="s">
        <v>142</v>
      </c>
      <c r="D45" s="15">
        <v>20</v>
      </c>
      <c r="E45" s="15">
        <v>14</v>
      </c>
      <c r="F45" s="15">
        <v>0</v>
      </c>
      <c r="G45" s="15">
        <v>0</v>
      </c>
      <c r="H45" s="15"/>
      <c r="I45" s="15"/>
      <c r="J45" s="15"/>
      <c r="K45" s="21" t="s">
        <v>20</v>
      </c>
      <c r="L45" s="17">
        <f t="shared" si="0"/>
        <v>0</v>
      </c>
      <c r="M45" s="17" t="str">
        <f t="shared" si="1"/>
        <v xml:space="preserve"> </v>
      </c>
      <c r="N45" s="17" t="str">
        <f t="shared" si="9"/>
        <v xml:space="preserve"> </v>
      </c>
      <c r="O45" s="17" t="str">
        <f t="shared" si="3"/>
        <v xml:space="preserve"> </v>
      </c>
      <c r="P45" s="17">
        <f t="shared" si="4"/>
        <v>0</v>
      </c>
    </row>
    <row r="46" spans="1:16" ht="12.75">
      <c r="A46" s="12">
        <f t="shared" si="5"/>
        <v>44</v>
      </c>
      <c r="B46" s="13" t="s">
        <v>26</v>
      </c>
      <c r="C46" s="14" t="s">
        <v>147</v>
      </c>
      <c r="D46" s="15">
        <v>19</v>
      </c>
      <c r="E46" s="15">
        <v>1</v>
      </c>
      <c r="F46" s="15">
        <v>0</v>
      </c>
      <c r="G46" s="15">
        <v>1</v>
      </c>
      <c r="H46" s="15"/>
      <c r="I46" s="15"/>
      <c r="J46" s="15"/>
      <c r="K46" s="1" t="s">
        <v>20</v>
      </c>
      <c r="L46" s="17">
        <f t="shared" si="0"/>
        <v>0</v>
      </c>
      <c r="M46" s="17">
        <f t="shared" si="1"/>
        <v>0</v>
      </c>
      <c r="N46" s="17" t="str">
        <f t="shared" si="9"/>
        <v xml:space="preserve"> </v>
      </c>
      <c r="O46" s="17" t="str">
        <f t="shared" si="3"/>
        <v xml:space="preserve"> </v>
      </c>
      <c r="P46" s="17">
        <f t="shared" si="4"/>
        <v>5.2631578947368418E-2</v>
      </c>
    </row>
    <row r="47" spans="1:16" ht="12.75">
      <c r="A47" s="12">
        <f t="shared" si="5"/>
        <v>45</v>
      </c>
      <c r="B47" s="13" t="s">
        <v>54</v>
      </c>
      <c r="C47" s="14" t="s">
        <v>147</v>
      </c>
      <c r="D47" s="15">
        <v>19</v>
      </c>
      <c r="E47" s="15">
        <v>1</v>
      </c>
      <c r="F47" s="15">
        <v>0</v>
      </c>
      <c r="G47" s="15">
        <v>1</v>
      </c>
      <c r="H47" s="15"/>
      <c r="I47" s="15"/>
      <c r="J47" s="15"/>
      <c r="K47" s="1" t="s">
        <v>20</v>
      </c>
      <c r="L47" s="17">
        <f t="shared" si="0"/>
        <v>0</v>
      </c>
      <c r="M47" s="17">
        <f t="shared" si="1"/>
        <v>0</v>
      </c>
      <c r="N47" s="17" t="str">
        <f t="shared" si="9"/>
        <v xml:space="preserve"> </v>
      </c>
      <c r="O47" s="17" t="str">
        <f t="shared" si="3"/>
        <v xml:space="preserve"> </v>
      </c>
      <c r="P47" s="17">
        <f t="shared" si="4"/>
        <v>5.2631578947368418E-2</v>
      </c>
    </row>
    <row r="48" spans="1:16" ht="12.75">
      <c r="A48" s="12">
        <f t="shared" si="5"/>
        <v>46</v>
      </c>
      <c r="B48" s="13" t="s">
        <v>47</v>
      </c>
      <c r="C48" s="14" t="s">
        <v>147</v>
      </c>
      <c r="D48" s="15">
        <v>19</v>
      </c>
      <c r="E48" s="15">
        <v>1</v>
      </c>
      <c r="F48" s="15">
        <v>1</v>
      </c>
      <c r="G48" s="15">
        <v>0</v>
      </c>
      <c r="H48" s="15"/>
      <c r="I48" s="15"/>
      <c r="J48" s="15"/>
      <c r="K48" s="1" t="s">
        <v>20</v>
      </c>
      <c r="L48" s="17">
        <f t="shared" si="0"/>
        <v>0</v>
      </c>
      <c r="M48" s="17" t="str">
        <f t="shared" si="1"/>
        <v xml:space="preserve"> </v>
      </c>
      <c r="N48" s="17" t="str">
        <f t="shared" si="9"/>
        <v xml:space="preserve"> </v>
      </c>
      <c r="O48" s="17" t="str">
        <f t="shared" si="3"/>
        <v xml:space="preserve"> </v>
      </c>
      <c r="P48" s="17">
        <f t="shared" si="4"/>
        <v>0</v>
      </c>
    </row>
    <row r="49" spans="1:16" ht="12.75">
      <c r="A49" s="12">
        <f t="shared" si="5"/>
        <v>47</v>
      </c>
      <c r="B49" s="13" t="s">
        <v>38</v>
      </c>
      <c r="C49" s="14" t="s">
        <v>147</v>
      </c>
      <c r="D49" s="15">
        <v>18</v>
      </c>
      <c r="E49" s="15">
        <v>8</v>
      </c>
      <c r="F49" s="15">
        <v>1</v>
      </c>
      <c r="G49" s="15">
        <v>0</v>
      </c>
      <c r="H49" s="15"/>
      <c r="I49" s="15"/>
      <c r="J49" s="15"/>
      <c r="K49" s="1" t="s">
        <v>39</v>
      </c>
      <c r="L49" s="17">
        <f t="shared" si="0"/>
        <v>0</v>
      </c>
      <c r="M49" s="17" t="str">
        <f t="shared" si="1"/>
        <v xml:space="preserve"> </v>
      </c>
      <c r="N49" s="17" t="str">
        <f t="shared" si="9"/>
        <v xml:space="preserve"> </v>
      </c>
      <c r="O49" s="17" t="str">
        <f t="shared" si="3"/>
        <v xml:space="preserve"> </v>
      </c>
      <c r="P49" s="17">
        <f t="shared" si="4"/>
        <v>0</v>
      </c>
    </row>
    <row r="50" spans="1:16" ht="12.75">
      <c r="A50" s="12">
        <f t="shared" si="5"/>
        <v>48</v>
      </c>
      <c r="B50" s="13" t="s">
        <v>41</v>
      </c>
      <c r="C50" s="14" t="s">
        <v>147</v>
      </c>
      <c r="D50" s="15">
        <v>18</v>
      </c>
      <c r="E50" s="15">
        <v>1</v>
      </c>
      <c r="F50" s="15">
        <v>1</v>
      </c>
      <c r="G50" s="15">
        <v>0</v>
      </c>
      <c r="H50" s="15"/>
      <c r="I50" s="15"/>
      <c r="J50" s="15"/>
      <c r="K50" s="1" t="s">
        <v>34</v>
      </c>
      <c r="L50" s="17">
        <f t="shared" si="0"/>
        <v>0</v>
      </c>
      <c r="M50" s="17" t="str">
        <f t="shared" si="1"/>
        <v xml:space="preserve"> </v>
      </c>
      <c r="N50" s="17" t="str">
        <f t="shared" si="9"/>
        <v xml:space="preserve"> </v>
      </c>
      <c r="O50" s="17" t="str">
        <f t="shared" si="3"/>
        <v xml:space="preserve"> </v>
      </c>
      <c r="P50" s="17">
        <f t="shared" si="4"/>
        <v>0</v>
      </c>
    </row>
    <row r="51" spans="1:16" ht="12.75">
      <c r="A51" s="12">
        <f t="shared" si="5"/>
        <v>49</v>
      </c>
      <c r="B51" s="13" t="s">
        <v>87</v>
      </c>
      <c r="C51" s="14" t="s">
        <v>147</v>
      </c>
      <c r="D51" s="15">
        <v>18</v>
      </c>
      <c r="E51" s="15">
        <v>5</v>
      </c>
      <c r="F51" s="15">
        <v>2</v>
      </c>
      <c r="G51" s="15">
        <v>0</v>
      </c>
      <c r="H51" s="15">
        <v>1</v>
      </c>
      <c r="I51" s="15"/>
      <c r="J51" s="15"/>
      <c r="K51" s="1" t="s">
        <v>34</v>
      </c>
      <c r="L51" s="17">
        <f t="shared" si="0"/>
        <v>0</v>
      </c>
      <c r="M51" s="17" t="str">
        <f t="shared" si="1"/>
        <v xml:space="preserve"> </v>
      </c>
      <c r="N51" s="17">
        <f t="shared" si="9"/>
        <v>0</v>
      </c>
      <c r="O51" s="17" t="str">
        <f t="shared" si="3"/>
        <v xml:space="preserve"> </v>
      </c>
      <c r="P51" s="17">
        <f t="shared" si="4"/>
        <v>0</v>
      </c>
    </row>
    <row r="52" spans="1:16" ht="12.75">
      <c r="A52" s="12">
        <f t="shared" si="5"/>
        <v>50</v>
      </c>
      <c r="B52" s="13" t="s">
        <v>46</v>
      </c>
      <c r="C52" s="14" t="s">
        <v>147</v>
      </c>
      <c r="D52" s="15">
        <v>17</v>
      </c>
      <c r="E52" s="15">
        <v>3</v>
      </c>
      <c r="F52" s="15">
        <v>3</v>
      </c>
      <c r="G52" s="15">
        <v>1</v>
      </c>
      <c r="H52" s="15"/>
      <c r="I52" s="15"/>
      <c r="J52" s="15"/>
      <c r="K52" s="1" t="s">
        <v>37</v>
      </c>
      <c r="L52" s="17">
        <f t="shared" si="0"/>
        <v>0</v>
      </c>
      <c r="M52" s="17">
        <f t="shared" si="1"/>
        <v>0</v>
      </c>
      <c r="N52" s="17" t="str">
        <f t="shared" si="9"/>
        <v xml:space="preserve"> </v>
      </c>
      <c r="O52" s="17" t="str">
        <f t="shared" si="3"/>
        <v xml:space="preserve"> </v>
      </c>
      <c r="P52" s="17">
        <f t="shared" si="4"/>
        <v>5.8823529411764705E-2</v>
      </c>
    </row>
    <row r="53" spans="1:16" ht="12.75">
      <c r="A53" s="12">
        <f t="shared" si="5"/>
        <v>51</v>
      </c>
      <c r="B53" s="13" t="s">
        <v>73</v>
      </c>
      <c r="C53" s="14" t="s">
        <v>147</v>
      </c>
      <c r="D53" s="15">
        <v>17</v>
      </c>
      <c r="E53" s="15">
        <v>6</v>
      </c>
      <c r="F53" s="15">
        <v>0</v>
      </c>
      <c r="G53" s="15">
        <v>0</v>
      </c>
      <c r="H53" s="15"/>
      <c r="I53" s="15"/>
      <c r="J53" s="15"/>
      <c r="K53" s="1" t="s">
        <v>20</v>
      </c>
      <c r="L53" s="17">
        <f t="shared" si="0"/>
        <v>0</v>
      </c>
      <c r="M53" s="17" t="str">
        <f t="shared" si="1"/>
        <v xml:space="preserve"> </v>
      </c>
      <c r="N53" s="17" t="str">
        <f t="shared" si="9"/>
        <v xml:space="preserve"> </v>
      </c>
      <c r="O53" s="17" t="str">
        <f t="shared" si="3"/>
        <v xml:space="preserve"> </v>
      </c>
      <c r="P53" s="17">
        <f t="shared" si="4"/>
        <v>0</v>
      </c>
    </row>
    <row r="54" spans="1:16" ht="12.75">
      <c r="A54" s="12">
        <f t="shared" si="5"/>
        <v>52</v>
      </c>
      <c r="B54" s="13" t="s">
        <v>69</v>
      </c>
      <c r="C54" s="14" t="s">
        <v>147</v>
      </c>
      <c r="D54" s="15">
        <v>16</v>
      </c>
      <c r="E54" s="15">
        <v>1</v>
      </c>
      <c r="F54" s="15">
        <v>0</v>
      </c>
      <c r="G54" s="15">
        <v>0</v>
      </c>
      <c r="H54" s="15"/>
      <c r="I54" s="15"/>
      <c r="J54" s="15"/>
      <c r="K54" s="1" t="s">
        <v>20</v>
      </c>
      <c r="L54" s="17">
        <f t="shared" si="0"/>
        <v>0</v>
      </c>
      <c r="M54" s="17" t="str">
        <f t="shared" si="1"/>
        <v xml:space="preserve"> </v>
      </c>
      <c r="N54" s="17" t="str">
        <f t="shared" si="9"/>
        <v xml:space="preserve"> </v>
      </c>
      <c r="O54" s="17" t="str">
        <f t="shared" si="3"/>
        <v xml:space="preserve"> </v>
      </c>
      <c r="P54" s="17">
        <f t="shared" si="4"/>
        <v>0</v>
      </c>
    </row>
    <row r="55" spans="1:16" ht="12.75">
      <c r="A55" s="12">
        <f t="shared" si="5"/>
        <v>53</v>
      </c>
      <c r="B55" s="13" t="s">
        <v>84</v>
      </c>
      <c r="C55" s="14" t="s">
        <v>147</v>
      </c>
      <c r="D55" s="15">
        <v>16</v>
      </c>
      <c r="E55" s="15">
        <v>4</v>
      </c>
      <c r="F55" s="15">
        <v>2</v>
      </c>
      <c r="G55" s="15">
        <v>0</v>
      </c>
      <c r="H55" s="15"/>
      <c r="I55" s="15"/>
      <c r="J55" s="15"/>
      <c r="K55" s="1" t="s">
        <v>20</v>
      </c>
      <c r="L55" s="17">
        <f t="shared" si="0"/>
        <v>0</v>
      </c>
      <c r="M55" s="17" t="str">
        <f t="shared" si="1"/>
        <v xml:space="preserve"> </v>
      </c>
      <c r="N55" s="17" t="str">
        <f t="shared" si="9"/>
        <v xml:space="preserve"> </v>
      </c>
      <c r="O55" s="17" t="str">
        <f t="shared" si="3"/>
        <v xml:space="preserve"> </v>
      </c>
      <c r="P55" s="17">
        <f t="shared" si="4"/>
        <v>0</v>
      </c>
    </row>
    <row r="56" spans="1:16" ht="12.75">
      <c r="A56" s="12">
        <f t="shared" si="5"/>
        <v>54</v>
      </c>
      <c r="B56" s="13" t="s">
        <v>22</v>
      </c>
      <c r="C56" s="14" t="s">
        <v>147</v>
      </c>
      <c r="D56" s="15">
        <v>14</v>
      </c>
      <c r="E56" s="15">
        <v>2</v>
      </c>
      <c r="F56" s="15">
        <v>0</v>
      </c>
      <c r="G56" s="15">
        <v>0</v>
      </c>
      <c r="H56" s="15"/>
      <c r="I56" s="15"/>
      <c r="J56" s="15"/>
      <c r="K56" s="1" t="s">
        <v>20</v>
      </c>
      <c r="L56" s="17">
        <f t="shared" si="0"/>
        <v>0</v>
      </c>
      <c r="M56" s="17" t="str">
        <f t="shared" si="1"/>
        <v xml:space="preserve"> </v>
      </c>
      <c r="N56" s="17" t="str">
        <f t="shared" si="9"/>
        <v xml:space="preserve"> </v>
      </c>
      <c r="O56" s="17" t="str">
        <f t="shared" si="3"/>
        <v xml:space="preserve"> </v>
      </c>
      <c r="P56" s="17">
        <f t="shared" si="4"/>
        <v>0</v>
      </c>
    </row>
    <row r="57" spans="1:16" ht="12.75">
      <c r="A57" s="12">
        <f t="shared" si="5"/>
        <v>55</v>
      </c>
      <c r="B57" s="13" t="s">
        <v>60</v>
      </c>
      <c r="C57" s="14" t="s">
        <v>147</v>
      </c>
      <c r="D57" s="15">
        <v>14</v>
      </c>
      <c r="E57" s="15">
        <v>3</v>
      </c>
      <c r="F57" s="15">
        <v>2</v>
      </c>
      <c r="G57" s="15">
        <v>0</v>
      </c>
      <c r="H57" s="15"/>
      <c r="I57" s="15"/>
      <c r="J57" s="15"/>
      <c r="K57" s="1" t="s">
        <v>20</v>
      </c>
      <c r="L57" s="17">
        <f t="shared" si="0"/>
        <v>0</v>
      </c>
      <c r="M57" s="17" t="str">
        <f t="shared" si="1"/>
        <v xml:space="preserve"> </v>
      </c>
      <c r="N57" s="17" t="str">
        <f t="shared" si="9"/>
        <v xml:space="preserve"> </v>
      </c>
      <c r="O57" s="17" t="str">
        <f t="shared" si="3"/>
        <v xml:space="preserve"> </v>
      </c>
      <c r="P57" s="17">
        <f t="shared" si="4"/>
        <v>0</v>
      </c>
    </row>
    <row r="58" spans="1:16" ht="12.75">
      <c r="A58" s="12">
        <f t="shared" si="5"/>
        <v>56</v>
      </c>
      <c r="B58" s="13" t="s">
        <v>36</v>
      </c>
      <c r="C58" s="14" t="s">
        <v>147</v>
      </c>
      <c r="D58" s="15">
        <v>14</v>
      </c>
      <c r="E58" s="15">
        <v>1</v>
      </c>
      <c r="F58" s="15">
        <v>2</v>
      </c>
      <c r="G58" s="15">
        <v>0</v>
      </c>
      <c r="H58" s="15"/>
      <c r="I58" s="15"/>
      <c r="J58" s="15"/>
      <c r="K58" s="1" t="s">
        <v>37</v>
      </c>
      <c r="L58" s="17">
        <f t="shared" si="0"/>
        <v>0</v>
      </c>
      <c r="M58" s="17" t="str">
        <f t="shared" si="1"/>
        <v xml:space="preserve"> </v>
      </c>
      <c r="N58" s="17" t="str">
        <f t="shared" si="9"/>
        <v xml:space="preserve"> </v>
      </c>
      <c r="O58" s="17" t="str">
        <f t="shared" si="3"/>
        <v xml:space="preserve"> </v>
      </c>
      <c r="P58" s="17">
        <f t="shared" si="4"/>
        <v>0</v>
      </c>
    </row>
    <row r="59" spans="1:16" ht="12.75">
      <c r="A59" s="12">
        <f t="shared" si="5"/>
        <v>57</v>
      </c>
      <c r="B59" s="13" t="s">
        <v>96</v>
      </c>
      <c r="C59" s="14" t="s">
        <v>147</v>
      </c>
      <c r="D59" s="15">
        <v>13</v>
      </c>
      <c r="E59" s="15">
        <v>6</v>
      </c>
      <c r="F59" s="15">
        <v>1</v>
      </c>
      <c r="G59" s="15">
        <v>0</v>
      </c>
      <c r="H59" s="15"/>
      <c r="I59" s="15"/>
      <c r="J59" s="15"/>
      <c r="K59" s="1" t="s">
        <v>20</v>
      </c>
      <c r="L59" s="17">
        <f t="shared" si="0"/>
        <v>0</v>
      </c>
      <c r="M59" s="17" t="str">
        <f t="shared" si="1"/>
        <v xml:space="preserve"> </v>
      </c>
      <c r="N59" s="17" t="str">
        <f t="shared" si="9"/>
        <v xml:space="preserve"> </v>
      </c>
      <c r="O59" s="17" t="str">
        <f t="shared" si="3"/>
        <v xml:space="preserve"> </v>
      </c>
      <c r="P59" s="17">
        <f t="shared" si="4"/>
        <v>0</v>
      </c>
    </row>
    <row r="60" spans="1:16" ht="12.75">
      <c r="A60" s="12">
        <f t="shared" si="5"/>
        <v>58</v>
      </c>
      <c r="B60" s="13" t="s">
        <v>88</v>
      </c>
      <c r="C60" s="14" t="s">
        <v>142</v>
      </c>
      <c r="D60" s="15">
        <v>13</v>
      </c>
      <c r="E60" s="15">
        <v>2</v>
      </c>
      <c r="F60" s="15">
        <v>0</v>
      </c>
      <c r="G60" s="15">
        <v>0</v>
      </c>
      <c r="H60" s="15"/>
      <c r="I60" s="15"/>
      <c r="J60" s="15"/>
      <c r="K60" s="1" t="s">
        <v>24</v>
      </c>
      <c r="L60" s="17">
        <f t="shared" si="0"/>
        <v>0</v>
      </c>
      <c r="M60" s="17" t="str">
        <f t="shared" si="1"/>
        <v xml:space="preserve"> </v>
      </c>
      <c r="N60" s="17" t="str">
        <f t="shared" si="9"/>
        <v xml:space="preserve"> </v>
      </c>
      <c r="O60" s="17" t="str">
        <f t="shared" si="3"/>
        <v xml:space="preserve"> </v>
      </c>
      <c r="P60" s="17">
        <f t="shared" si="4"/>
        <v>0</v>
      </c>
    </row>
    <row r="61" spans="1:16" ht="12.75">
      <c r="A61" s="12">
        <f t="shared" si="5"/>
        <v>59</v>
      </c>
      <c r="B61" s="13" t="s">
        <v>62</v>
      </c>
      <c r="C61" s="14" t="s">
        <v>147</v>
      </c>
      <c r="D61" s="15">
        <v>13</v>
      </c>
      <c r="E61" s="15">
        <v>2</v>
      </c>
      <c r="F61" s="15">
        <v>2</v>
      </c>
      <c r="G61" s="15">
        <v>0</v>
      </c>
      <c r="H61" s="15"/>
      <c r="I61" s="15"/>
      <c r="J61" s="15"/>
      <c r="K61" s="1" t="s">
        <v>20</v>
      </c>
      <c r="L61" s="18">
        <f t="shared" si="0"/>
        <v>0</v>
      </c>
      <c r="M61" s="17" t="str">
        <f t="shared" si="1"/>
        <v xml:space="preserve"> </v>
      </c>
      <c r="N61" s="18" t="str">
        <f t="shared" si="9"/>
        <v xml:space="preserve"> </v>
      </c>
      <c r="O61" s="18" t="str">
        <f t="shared" si="3"/>
        <v xml:space="preserve"> </v>
      </c>
      <c r="P61" s="17">
        <f t="shared" si="4"/>
        <v>0</v>
      </c>
    </row>
    <row r="62" spans="1:16" ht="12.75">
      <c r="A62" s="12">
        <f t="shared" si="5"/>
        <v>60</v>
      </c>
      <c r="B62" s="13" t="s">
        <v>122</v>
      </c>
      <c r="C62" s="15" t="s">
        <v>142</v>
      </c>
      <c r="D62" s="15">
        <v>12</v>
      </c>
      <c r="E62" s="15">
        <v>10</v>
      </c>
      <c r="F62" s="15">
        <v>0</v>
      </c>
      <c r="G62" s="15">
        <v>0</v>
      </c>
      <c r="H62" s="15"/>
      <c r="I62" s="15"/>
      <c r="J62" s="15"/>
      <c r="K62" s="21" t="s">
        <v>20</v>
      </c>
      <c r="L62" s="18">
        <f t="shared" si="0"/>
        <v>0</v>
      </c>
      <c r="M62" s="18" t="str">
        <f t="shared" si="1"/>
        <v xml:space="preserve"> </v>
      </c>
      <c r="N62" s="17" t="str">
        <f t="shared" si="9"/>
        <v xml:space="preserve"> </v>
      </c>
      <c r="O62" s="17" t="str">
        <f t="shared" si="3"/>
        <v xml:space="preserve"> </v>
      </c>
      <c r="P62" s="17">
        <f t="shared" si="4"/>
        <v>0</v>
      </c>
    </row>
    <row r="63" spans="1:16" ht="12.75">
      <c r="A63" s="12">
        <f t="shared" si="5"/>
        <v>61</v>
      </c>
      <c r="B63" s="13" t="s">
        <v>28</v>
      </c>
      <c r="C63" s="14" t="s">
        <v>147</v>
      </c>
      <c r="D63" s="15">
        <v>12</v>
      </c>
      <c r="E63" s="15">
        <v>4</v>
      </c>
      <c r="F63" s="15">
        <v>1</v>
      </c>
      <c r="G63" s="15">
        <v>0</v>
      </c>
      <c r="H63" s="15"/>
      <c r="I63" s="15"/>
      <c r="J63" s="15"/>
      <c r="K63" s="1" t="s">
        <v>29</v>
      </c>
      <c r="L63" s="17">
        <f t="shared" si="0"/>
        <v>0</v>
      </c>
      <c r="M63" s="17" t="str">
        <f t="shared" si="1"/>
        <v xml:space="preserve"> </v>
      </c>
      <c r="N63" s="17" t="str">
        <f t="shared" si="9"/>
        <v xml:space="preserve"> </v>
      </c>
      <c r="O63" s="17" t="str">
        <f t="shared" si="3"/>
        <v xml:space="preserve"> </v>
      </c>
      <c r="P63" s="17">
        <f t="shared" si="4"/>
        <v>0</v>
      </c>
    </row>
    <row r="64" spans="1:16" ht="12.75">
      <c r="A64" s="12">
        <f t="shared" si="5"/>
        <v>62</v>
      </c>
      <c r="B64" s="13" t="s">
        <v>71</v>
      </c>
      <c r="C64" s="14" t="s">
        <v>147</v>
      </c>
      <c r="D64" s="15">
        <v>12</v>
      </c>
      <c r="E64" s="15">
        <v>1</v>
      </c>
      <c r="F64" s="15">
        <v>1</v>
      </c>
      <c r="G64" s="15">
        <v>0</v>
      </c>
      <c r="H64" s="15"/>
      <c r="I64" s="15"/>
      <c r="J64" s="15"/>
      <c r="K64" s="1" t="s">
        <v>20</v>
      </c>
      <c r="L64" s="17">
        <f t="shared" si="0"/>
        <v>0</v>
      </c>
      <c r="M64" s="17" t="str">
        <f t="shared" si="1"/>
        <v xml:space="preserve"> </v>
      </c>
      <c r="N64" s="17" t="str">
        <f t="shared" si="9"/>
        <v xml:space="preserve"> </v>
      </c>
      <c r="O64" s="17" t="str">
        <f t="shared" si="3"/>
        <v xml:space="preserve"> </v>
      </c>
      <c r="P64" s="17">
        <f t="shared" si="4"/>
        <v>0</v>
      </c>
    </row>
    <row r="65" spans="1:16" ht="12.75">
      <c r="A65" s="12">
        <f t="shared" si="5"/>
        <v>63</v>
      </c>
      <c r="B65" s="13" t="s">
        <v>115</v>
      </c>
      <c r="C65" s="14" t="s">
        <v>147</v>
      </c>
      <c r="D65" s="15">
        <v>11</v>
      </c>
      <c r="E65" s="15">
        <v>0</v>
      </c>
      <c r="F65" s="15">
        <v>1</v>
      </c>
      <c r="G65" s="15">
        <v>2</v>
      </c>
      <c r="H65" s="15"/>
      <c r="I65" s="15"/>
      <c r="J65" s="15"/>
      <c r="K65" s="1" t="s">
        <v>29</v>
      </c>
      <c r="L65" s="17">
        <f t="shared" si="0"/>
        <v>0</v>
      </c>
      <c r="M65" s="17">
        <f t="shared" si="1"/>
        <v>0</v>
      </c>
      <c r="N65" s="17" t="str">
        <f t="shared" si="9"/>
        <v xml:space="preserve"> </v>
      </c>
      <c r="O65" s="17" t="str">
        <f t="shared" si="3"/>
        <v xml:space="preserve"> </v>
      </c>
      <c r="P65" s="17">
        <f t="shared" si="4"/>
        <v>0.18181818181818182</v>
      </c>
    </row>
    <row r="66" spans="1:16" ht="12.75">
      <c r="A66" s="12">
        <f t="shared" si="5"/>
        <v>64</v>
      </c>
      <c r="B66" s="13" t="s">
        <v>101</v>
      </c>
      <c r="C66" s="14" t="s">
        <v>147</v>
      </c>
      <c r="D66" s="15">
        <v>9</v>
      </c>
      <c r="E66" s="15">
        <v>3</v>
      </c>
      <c r="F66" s="15">
        <v>1</v>
      </c>
      <c r="G66" s="15">
        <v>1</v>
      </c>
      <c r="H66" s="15"/>
      <c r="I66" s="15"/>
      <c r="J66" s="15"/>
      <c r="K66" s="1" t="s">
        <v>34</v>
      </c>
      <c r="L66" s="17">
        <f t="shared" si="0"/>
        <v>0</v>
      </c>
      <c r="M66" s="17">
        <f t="shared" si="1"/>
        <v>0</v>
      </c>
      <c r="N66" s="17" t="str">
        <f t="shared" si="9"/>
        <v xml:space="preserve"> </v>
      </c>
      <c r="O66" s="17" t="str">
        <f t="shared" si="3"/>
        <v xml:space="preserve"> </v>
      </c>
      <c r="P66" s="17">
        <f t="shared" si="4"/>
        <v>0.1111111111111111</v>
      </c>
    </row>
    <row r="67" spans="1:16" ht="12.75">
      <c r="A67" s="12">
        <f t="shared" si="5"/>
        <v>65</v>
      </c>
      <c r="B67" s="13" t="s">
        <v>78</v>
      </c>
      <c r="C67" s="14" t="s">
        <v>147</v>
      </c>
      <c r="D67" s="15">
        <v>8</v>
      </c>
      <c r="E67" s="15">
        <v>0</v>
      </c>
      <c r="F67" s="15">
        <v>1</v>
      </c>
      <c r="G67" s="15">
        <v>0</v>
      </c>
      <c r="H67" s="15"/>
      <c r="I67" s="15"/>
      <c r="J67" s="15"/>
      <c r="K67" s="1" t="s">
        <v>20</v>
      </c>
      <c r="L67" s="17">
        <f t="shared" si="0"/>
        <v>0</v>
      </c>
      <c r="M67" s="17" t="str">
        <f t="shared" si="1"/>
        <v xml:space="preserve"> </v>
      </c>
      <c r="N67" s="17" t="str">
        <f t="shared" si="9"/>
        <v xml:space="preserve"> </v>
      </c>
      <c r="O67" s="17" t="str">
        <f t="shared" si="3"/>
        <v xml:space="preserve"> </v>
      </c>
      <c r="P67" s="17">
        <f t="shared" si="4"/>
        <v>0</v>
      </c>
    </row>
    <row r="68" spans="1:16" ht="12.75">
      <c r="A68" s="12">
        <f t="shared" si="5"/>
        <v>66</v>
      </c>
      <c r="B68" s="13" t="s">
        <v>108</v>
      </c>
      <c r="C68" s="14" t="s">
        <v>142</v>
      </c>
      <c r="D68" s="15">
        <v>8</v>
      </c>
      <c r="E68" s="15">
        <v>0</v>
      </c>
      <c r="F68" s="15">
        <v>0</v>
      </c>
      <c r="G68" s="15">
        <v>0</v>
      </c>
      <c r="H68" s="15"/>
      <c r="I68" s="15"/>
      <c r="J68" s="15"/>
      <c r="K68" s="1" t="s">
        <v>24</v>
      </c>
      <c r="L68" s="17">
        <f t="shared" si="0"/>
        <v>0</v>
      </c>
      <c r="M68" s="17" t="str">
        <f t="shared" si="1"/>
        <v xml:space="preserve"> </v>
      </c>
      <c r="N68" s="17" t="str">
        <f t="shared" si="9"/>
        <v xml:space="preserve"> </v>
      </c>
      <c r="O68" s="17" t="str">
        <f t="shared" si="3"/>
        <v xml:space="preserve"> </v>
      </c>
      <c r="P68" s="17">
        <f t="shared" si="4"/>
        <v>0</v>
      </c>
    </row>
    <row r="69" spans="1:16" ht="12.75">
      <c r="A69" s="12">
        <f t="shared" si="5"/>
        <v>67</v>
      </c>
      <c r="B69" s="13" t="s">
        <v>93</v>
      </c>
      <c r="C69" s="14" t="s">
        <v>147</v>
      </c>
      <c r="D69" s="15">
        <v>8</v>
      </c>
      <c r="E69" s="15">
        <v>2</v>
      </c>
      <c r="F69" s="15">
        <v>1</v>
      </c>
      <c r="G69" s="15">
        <v>0</v>
      </c>
      <c r="H69" s="15"/>
      <c r="I69" s="15"/>
      <c r="J69" s="15"/>
      <c r="K69" s="1" t="s">
        <v>20</v>
      </c>
      <c r="L69" s="17">
        <f t="shared" si="0"/>
        <v>0</v>
      </c>
      <c r="M69" s="17" t="str">
        <f t="shared" si="1"/>
        <v xml:space="preserve"> </v>
      </c>
      <c r="N69" s="17" t="str">
        <f t="shared" si="9"/>
        <v xml:space="preserve"> </v>
      </c>
      <c r="O69" s="17" t="str">
        <f t="shared" si="3"/>
        <v xml:space="preserve"> </v>
      </c>
      <c r="P69" s="17">
        <f t="shared" si="4"/>
        <v>0</v>
      </c>
    </row>
    <row r="70" spans="1:16" ht="12.75">
      <c r="A70" s="12">
        <f t="shared" si="5"/>
        <v>68</v>
      </c>
      <c r="B70" s="13" t="s">
        <v>79</v>
      </c>
      <c r="C70" s="14" t="s">
        <v>147</v>
      </c>
      <c r="D70" s="15">
        <v>7</v>
      </c>
      <c r="E70" s="15">
        <v>0</v>
      </c>
      <c r="F70" s="15">
        <v>0</v>
      </c>
      <c r="G70" s="15">
        <v>0</v>
      </c>
      <c r="H70" s="15"/>
      <c r="I70" s="15"/>
      <c r="J70" s="15"/>
      <c r="K70" s="1" t="s">
        <v>64</v>
      </c>
      <c r="L70" s="17">
        <f t="shared" si="0"/>
        <v>0</v>
      </c>
      <c r="M70" s="17" t="str">
        <f t="shared" si="1"/>
        <v xml:space="preserve"> </v>
      </c>
      <c r="N70" s="17" t="str">
        <f t="shared" si="9"/>
        <v xml:space="preserve"> </v>
      </c>
      <c r="O70" s="17" t="str">
        <f t="shared" si="3"/>
        <v xml:space="preserve"> </v>
      </c>
      <c r="P70" s="17">
        <f t="shared" si="4"/>
        <v>0</v>
      </c>
    </row>
    <row r="71" spans="1:16" ht="12.75">
      <c r="A71" s="12">
        <f t="shared" si="5"/>
        <v>69</v>
      </c>
      <c r="B71" s="13" t="s">
        <v>109</v>
      </c>
      <c r="C71" s="14" t="s">
        <v>147</v>
      </c>
      <c r="D71" s="15">
        <v>7</v>
      </c>
      <c r="E71" s="15">
        <v>1</v>
      </c>
      <c r="F71" s="15">
        <v>1</v>
      </c>
      <c r="G71" s="15">
        <v>0</v>
      </c>
      <c r="H71" s="15"/>
      <c r="I71" s="15"/>
      <c r="J71" s="15"/>
      <c r="K71" s="1" t="s">
        <v>37</v>
      </c>
      <c r="L71" s="17">
        <f t="shared" si="0"/>
        <v>0</v>
      </c>
      <c r="M71" s="17" t="str">
        <f t="shared" si="1"/>
        <v xml:space="preserve"> </v>
      </c>
      <c r="N71" s="17" t="str">
        <f t="shared" si="9"/>
        <v xml:space="preserve"> </v>
      </c>
      <c r="O71" s="17" t="str">
        <f t="shared" si="3"/>
        <v xml:space="preserve"> </v>
      </c>
      <c r="P71" s="17">
        <f t="shared" si="4"/>
        <v>0</v>
      </c>
    </row>
    <row r="72" spans="1:16" ht="12.75">
      <c r="A72" s="12">
        <f t="shared" si="5"/>
        <v>70</v>
      </c>
      <c r="B72" s="13" t="s">
        <v>17</v>
      </c>
      <c r="C72" s="14" t="s">
        <v>147</v>
      </c>
      <c r="D72" s="15">
        <v>6</v>
      </c>
      <c r="E72" s="15">
        <v>2</v>
      </c>
      <c r="F72" s="15">
        <v>2</v>
      </c>
      <c r="G72" s="15">
        <v>0</v>
      </c>
      <c r="H72" s="15"/>
      <c r="I72" s="15"/>
      <c r="J72" s="15"/>
      <c r="K72" s="1" t="s">
        <v>18</v>
      </c>
      <c r="L72" s="17">
        <f t="shared" si="0"/>
        <v>0</v>
      </c>
      <c r="M72" s="17" t="str">
        <f t="shared" si="1"/>
        <v xml:space="preserve"> </v>
      </c>
      <c r="N72" s="17" t="str">
        <f t="shared" si="9"/>
        <v xml:space="preserve"> </v>
      </c>
      <c r="O72" s="17" t="str">
        <f t="shared" si="3"/>
        <v xml:space="preserve"> </v>
      </c>
      <c r="P72" s="17">
        <f t="shared" si="4"/>
        <v>0</v>
      </c>
    </row>
    <row r="73" spans="1:16" ht="12.75">
      <c r="A73" s="12">
        <f t="shared" si="5"/>
        <v>71</v>
      </c>
      <c r="B73" s="13" t="s">
        <v>110</v>
      </c>
      <c r="C73" s="14" t="s">
        <v>147</v>
      </c>
      <c r="D73" s="15">
        <v>5</v>
      </c>
      <c r="E73" s="15">
        <v>0</v>
      </c>
      <c r="F73" s="15">
        <v>2</v>
      </c>
      <c r="G73" s="15">
        <v>0</v>
      </c>
      <c r="H73" s="15"/>
      <c r="I73" s="15"/>
      <c r="J73" s="15"/>
      <c r="K73" s="1" t="s">
        <v>34</v>
      </c>
      <c r="L73" s="17">
        <f t="shared" si="0"/>
        <v>0</v>
      </c>
      <c r="M73" s="17" t="str">
        <f t="shared" si="1"/>
        <v xml:space="preserve"> </v>
      </c>
      <c r="N73" s="17" t="str">
        <f t="shared" si="9"/>
        <v xml:space="preserve"> </v>
      </c>
      <c r="O73" s="17" t="str">
        <f t="shared" si="3"/>
        <v xml:space="preserve"> </v>
      </c>
      <c r="P73" s="17">
        <f t="shared" si="4"/>
        <v>0</v>
      </c>
    </row>
    <row r="74" spans="1:16" ht="12.75">
      <c r="A74" s="12">
        <f t="shared" si="5"/>
        <v>72</v>
      </c>
      <c r="B74" s="13" t="s">
        <v>23</v>
      </c>
      <c r="C74" s="14" t="s">
        <v>142</v>
      </c>
      <c r="D74" s="15">
        <v>5</v>
      </c>
      <c r="E74" s="15">
        <v>4</v>
      </c>
      <c r="F74" s="15">
        <v>0</v>
      </c>
      <c r="G74" s="15">
        <v>0</v>
      </c>
      <c r="H74" s="15"/>
      <c r="I74" s="15"/>
      <c r="J74" s="15"/>
      <c r="K74" s="1" t="s">
        <v>24</v>
      </c>
      <c r="L74" s="17">
        <f t="shared" si="0"/>
        <v>0</v>
      </c>
      <c r="M74" s="17" t="str">
        <f t="shared" si="1"/>
        <v xml:space="preserve"> </v>
      </c>
      <c r="N74" s="17" t="str">
        <f t="shared" si="9"/>
        <v xml:space="preserve"> </v>
      </c>
      <c r="O74" s="17" t="str">
        <f t="shared" si="3"/>
        <v xml:space="preserve"> </v>
      </c>
      <c r="P74" s="17">
        <f t="shared" si="4"/>
        <v>0</v>
      </c>
    </row>
    <row r="75" spans="1:16" ht="12.75">
      <c r="A75" s="12">
        <f t="shared" si="5"/>
        <v>73</v>
      </c>
      <c r="B75" s="13" t="s">
        <v>116</v>
      </c>
      <c r="C75" s="14" t="s">
        <v>147</v>
      </c>
      <c r="D75" s="15">
        <v>5</v>
      </c>
      <c r="E75" s="15">
        <v>2</v>
      </c>
      <c r="F75" s="15">
        <v>1</v>
      </c>
      <c r="G75" s="15">
        <v>0</v>
      </c>
      <c r="H75" s="15"/>
      <c r="I75" s="15"/>
      <c r="J75" s="15"/>
      <c r="K75" s="1" t="s">
        <v>64</v>
      </c>
      <c r="L75" s="17">
        <f t="shared" si="0"/>
        <v>0</v>
      </c>
      <c r="M75" s="17" t="str">
        <f t="shared" si="1"/>
        <v xml:space="preserve"> </v>
      </c>
      <c r="N75" s="17" t="str">
        <f t="shared" si="9"/>
        <v xml:space="preserve"> </v>
      </c>
      <c r="O75" s="17" t="str">
        <f t="shared" si="3"/>
        <v xml:space="preserve"> </v>
      </c>
      <c r="P75" s="17">
        <f t="shared" si="4"/>
        <v>0</v>
      </c>
    </row>
    <row r="76" spans="1:16" ht="12.75">
      <c r="A76" s="12">
        <f t="shared" si="5"/>
        <v>74</v>
      </c>
      <c r="B76" s="13" t="s">
        <v>81</v>
      </c>
      <c r="C76" s="14" t="s">
        <v>147</v>
      </c>
      <c r="D76" s="15">
        <v>5</v>
      </c>
      <c r="E76" s="15">
        <v>1</v>
      </c>
      <c r="F76" s="15">
        <v>0</v>
      </c>
      <c r="G76" s="15">
        <v>0</v>
      </c>
      <c r="H76" s="15"/>
      <c r="I76" s="15"/>
      <c r="J76" s="15"/>
      <c r="K76" s="1" t="s">
        <v>64</v>
      </c>
      <c r="L76" s="17">
        <f t="shared" si="0"/>
        <v>0</v>
      </c>
      <c r="M76" s="17" t="str">
        <f t="shared" si="1"/>
        <v xml:space="preserve"> </v>
      </c>
      <c r="N76" s="17" t="str">
        <f t="shared" si="9"/>
        <v xml:space="preserve"> </v>
      </c>
      <c r="O76" s="17" t="str">
        <f t="shared" si="3"/>
        <v xml:space="preserve"> </v>
      </c>
      <c r="P76" s="17">
        <f t="shared" si="4"/>
        <v>0</v>
      </c>
    </row>
    <row r="77" spans="1:16" ht="12.75">
      <c r="A77" s="12">
        <f t="shared" si="5"/>
        <v>75</v>
      </c>
      <c r="B77" s="13" t="s">
        <v>92</v>
      </c>
      <c r="C77" s="14" t="s">
        <v>147</v>
      </c>
      <c r="D77" s="15">
        <v>5</v>
      </c>
      <c r="E77" s="15">
        <v>0</v>
      </c>
      <c r="F77" s="15">
        <v>1</v>
      </c>
      <c r="G77" s="15">
        <v>0</v>
      </c>
      <c r="H77" s="15"/>
      <c r="I77" s="15"/>
      <c r="J77" s="15"/>
      <c r="K77" s="1" t="s">
        <v>64</v>
      </c>
      <c r="L77" s="17">
        <f t="shared" si="0"/>
        <v>0</v>
      </c>
      <c r="M77" s="17" t="str">
        <f t="shared" si="1"/>
        <v xml:space="preserve"> </v>
      </c>
      <c r="N77" s="17" t="str">
        <f t="shared" si="9"/>
        <v xml:space="preserve"> </v>
      </c>
      <c r="O77" s="17" t="str">
        <f t="shared" si="3"/>
        <v xml:space="preserve"> </v>
      </c>
      <c r="P77" s="17">
        <f t="shared" si="4"/>
        <v>0</v>
      </c>
    </row>
    <row r="78" spans="1:16" ht="12.75">
      <c r="A78" s="12">
        <f t="shared" si="5"/>
        <v>76</v>
      </c>
      <c r="B78" s="13" t="s">
        <v>51</v>
      </c>
      <c r="C78" s="14" t="s">
        <v>147</v>
      </c>
      <c r="D78" s="15">
        <v>4</v>
      </c>
      <c r="E78" s="15">
        <v>0</v>
      </c>
      <c r="F78" s="15">
        <v>2</v>
      </c>
      <c r="G78" s="15">
        <v>0</v>
      </c>
      <c r="H78" s="15"/>
      <c r="I78" s="15"/>
      <c r="J78" s="15"/>
      <c r="K78" s="1" t="s">
        <v>20</v>
      </c>
      <c r="L78" s="17">
        <f t="shared" si="0"/>
        <v>0</v>
      </c>
      <c r="M78" s="17" t="str">
        <f t="shared" si="1"/>
        <v xml:space="preserve"> </v>
      </c>
      <c r="N78" s="17" t="str">
        <f t="shared" si="9"/>
        <v xml:space="preserve"> </v>
      </c>
      <c r="O78" s="17" t="str">
        <f t="shared" si="3"/>
        <v xml:space="preserve"> </v>
      </c>
      <c r="P78" s="17">
        <f t="shared" si="4"/>
        <v>0</v>
      </c>
    </row>
    <row r="79" spans="1:16" ht="12.75">
      <c r="A79" s="12">
        <f t="shared" si="5"/>
        <v>77</v>
      </c>
      <c r="B79" s="13" t="s">
        <v>49</v>
      </c>
      <c r="C79" s="14" t="s">
        <v>147</v>
      </c>
      <c r="D79" s="15">
        <v>4</v>
      </c>
      <c r="E79" s="15">
        <v>0</v>
      </c>
      <c r="F79" s="15">
        <v>0</v>
      </c>
      <c r="G79" s="15">
        <v>0</v>
      </c>
      <c r="H79" s="15"/>
      <c r="I79" s="15"/>
      <c r="J79" s="15"/>
      <c r="K79" s="1" t="s">
        <v>37</v>
      </c>
      <c r="L79" s="17">
        <f t="shared" si="0"/>
        <v>0</v>
      </c>
      <c r="M79" s="17" t="str">
        <f t="shared" si="1"/>
        <v xml:space="preserve"> </v>
      </c>
      <c r="N79" s="17" t="str">
        <f t="shared" si="9"/>
        <v xml:space="preserve"> </v>
      </c>
      <c r="O79" s="17" t="str">
        <f t="shared" si="3"/>
        <v xml:space="preserve"> </v>
      </c>
      <c r="P79" s="17">
        <f t="shared" si="4"/>
        <v>0</v>
      </c>
    </row>
    <row r="80" spans="1:16" ht="12.75">
      <c r="A80" s="12">
        <f t="shared" si="5"/>
        <v>78</v>
      </c>
      <c r="B80" s="13" t="s">
        <v>112</v>
      </c>
      <c r="C80" s="14" t="s">
        <v>147</v>
      </c>
      <c r="D80" s="15">
        <v>3</v>
      </c>
      <c r="E80" s="15">
        <v>0</v>
      </c>
      <c r="F80" s="15">
        <v>3</v>
      </c>
      <c r="G80" s="15">
        <v>0</v>
      </c>
      <c r="H80" s="15"/>
      <c r="I80" s="15"/>
      <c r="J80" s="15"/>
      <c r="K80" s="1" t="s">
        <v>37</v>
      </c>
      <c r="L80" s="17">
        <f t="shared" si="0"/>
        <v>0</v>
      </c>
      <c r="M80" s="17" t="str">
        <f t="shared" si="1"/>
        <v xml:space="preserve"> </v>
      </c>
      <c r="N80" s="17" t="str">
        <f t="shared" si="9"/>
        <v xml:space="preserve"> </v>
      </c>
      <c r="O80" s="17" t="str">
        <f t="shared" si="3"/>
        <v xml:space="preserve"> </v>
      </c>
      <c r="P80" s="17">
        <f t="shared" si="4"/>
        <v>0</v>
      </c>
    </row>
    <row r="81" spans="1:16" ht="12.75">
      <c r="A81" s="12">
        <f t="shared" si="5"/>
        <v>79</v>
      </c>
      <c r="B81" s="13" t="s">
        <v>106</v>
      </c>
      <c r="C81" s="14" t="s">
        <v>142</v>
      </c>
      <c r="D81" s="15">
        <v>3</v>
      </c>
      <c r="E81" s="15">
        <v>0</v>
      </c>
      <c r="F81" s="15">
        <v>0</v>
      </c>
      <c r="G81" s="15">
        <v>0</v>
      </c>
      <c r="H81" s="15"/>
      <c r="I81" s="15"/>
      <c r="J81" s="15"/>
      <c r="K81" s="1" t="s">
        <v>24</v>
      </c>
      <c r="L81" s="17">
        <f t="shared" si="0"/>
        <v>0</v>
      </c>
      <c r="M81" s="17" t="str">
        <f t="shared" si="1"/>
        <v xml:space="preserve"> </v>
      </c>
      <c r="N81" s="17" t="str">
        <f t="shared" si="9"/>
        <v xml:space="preserve"> </v>
      </c>
      <c r="O81" s="17" t="str">
        <f t="shared" si="3"/>
        <v xml:space="preserve"> </v>
      </c>
      <c r="P81" s="17">
        <f t="shared" si="4"/>
        <v>0</v>
      </c>
    </row>
    <row r="82" spans="1:16" ht="12.75">
      <c r="A82" s="12">
        <f t="shared" si="5"/>
        <v>80</v>
      </c>
      <c r="B82" s="13" t="s">
        <v>85</v>
      </c>
      <c r="C82" s="14" t="s">
        <v>147</v>
      </c>
      <c r="D82" s="15">
        <v>3</v>
      </c>
      <c r="E82" s="15">
        <v>0</v>
      </c>
      <c r="F82" s="15">
        <v>2</v>
      </c>
      <c r="G82" s="15">
        <v>0</v>
      </c>
      <c r="H82" s="15"/>
      <c r="I82" s="15"/>
      <c r="J82" s="15"/>
      <c r="K82" s="1" t="s">
        <v>37</v>
      </c>
      <c r="L82" s="17">
        <f t="shared" si="0"/>
        <v>0</v>
      </c>
      <c r="M82" s="17" t="str">
        <f t="shared" si="1"/>
        <v xml:space="preserve"> </v>
      </c>
      <c r="N82" s="17" t="str">
        <f t="shared" si="9"/>
        <v xml:space="preserve"> </v>
      </c>
      <c r="O82" s="17" t="str">
        <f t="shared" si="3"/>
        <v xml:space="preserve"> </v>
      </c>
      <c r="P82" s="17">
        <f t="shared" si="4"/>
        <v>0</v>
      </c>
    </row>
    <row r="83" spans="1:16" ht="12.75">
      <c r="A83" s="12">
        <f t="shared" si="5"/>
        <v>81</v>
      </c>
      <c r="B83" s="13" t="s">
        <v>55</v>
      </c>
      <c r="C83" s="14" t="s">
        <v>142</v>
      </c>
      <c r="D83" s="15">
        <v>3</v>
      </c>
      <c r="E83" s="15">
        <v>1</v>
      </c>
      <c r="F83" s="15">
        <v>0</v>
      </c>
      <c r="G83" s="15">
        <v>0</v>
      </c>
      <c r="H83" s="15"/>
      <c r="I83" s="15"/>
      <c r="J83" s="15"/>
      <c r="K83" s="1" t="s">
        <v>24</v>
      </c>
      <c r="L83" s="17">
        <f t="shared" si="0"/>
        <v>0</v>
      </c>
      <c r="M83" s="17" t="str">
        <f t="shared" si="1"/>
        <v xml:space="preserve"> </v>
      </c>
      <c r="N83" s="17" t="str">
        <f t="shared" si="9"/>
        <v xml:space="preserve"> </v>
      </c>
      <c r="O83" s="17" t="str">
        <f t="shared" si="3"/>
        <v xml:space="preserve"> </v>
      </c>
      <c r="P83" s="17">
        <f t="shared" si="4"/>
        <v>0</v>
      </c>
    </row>
    <row r="84" spans="1:16" ht="12.75">
      <c r="A84" s="12">
        <f t="shared" si="5"/>
        <v>82</v>
      </c>
      <c r="B84" s="13" t="s">
        <v>137</v>
      </c>
      <c r="C84" s="15" t="s">
        <v>142</v>
      </c>
      <c r="D84" s="15">
        <v>3</v>
      </c>
      <c r="E84" s="15">
        <v>3</v>
      </c>
      <c r="F84" s="15">
        <v>0</v>
      </c>
      <c r="G84" s="15">
        <v>0</v>
      </c>
      <c r="H84" s="15"/>
      <c r="I84" s="15"/>
      <c r="J84" s="15"/>
      <c r="K84" s="1" t="s">
        <v>138</v>
      </c>
      <c r="L84" s="17">
        <f t="shared" si="0"/>
        <v>0</v>
      </c>
      <c r="M84" s="17" t="str">
        <f t="shared" si="1"/>
        <v xml:space="preserve"> </v>
      </c>
      <c r="N84" s="17" t="str">
        <f t="shared" si="9"/>
        <v xml:space="preserve"> </v>
      </c>
      <c r="O84" s="17" t="str">
        <f t="shared" si="3"/>
        <v xml:space="preserve"> </v>
      </c>
      <c r="P84" s="17">
        <f t="shared" si="4"/>
        <v>0</v>
      </c>
    </row>
    <row r="85" spans="1:16" ht="12.75">
      <c r="A85" s="12">
        <f t="shared" si="5"/>
        <v>83</v>
      </c>
      <c r="B85" s="13" t="s">
        <v>105</v>
      </c>
      <c r="C85" s="14" t="s">
        <v>142</v>
      </c>
      <c r="D85" s="15">
        <v>2</v>
      </c>
      <c r="E85" s="15">
        <v>0</v>
      </c>
      <c r="F85" s="15">
        <v>0</v>
      </c>
      <c r="G85" s="15">
        <v>0</v>
      </c>
      <c r="H85" s="15"/>
      <c r="I85" s="15"/>
      <c r="J85" s="15"/>
      <c r="K85" s="1" t="s">
        <v>24</v>
      </c>
      <c r="L85" s="17">
        <f t="shared" si="0"/>
        <v>0</v>
      </c>
      <c r="M85" s="17" t="str">
        <f t="shared" si="1"/>
        <v xml:space="preserve"> </v>
      </c>
      <c r="N85" s="17" t="str">
        <f t="shared" si="9"/>
        <v xml:space="preserve"> </v>
      </c>
      <c r="O85" s="17" t="str">
        <f t="shared" si="3"/>
        <v xml:space="preserve"> </v>
      </c>
      <c r="P85" s="17">
        <f t="shared" si="4"/>
        <v>0</v>
      </c>
    </row>
    <row r="86" spans="1:16" ht="12.75">
      <c r="A86" s="12">
        <f t="shared" si="5"/>
        <v>84</v>
      </c>
      <c r="B86" s="13" t="s">
        <v>89</v>
      </c>
      <c r="C86" s="14" t="s">
        <v>147</v>
      </c>
      <c r="D86" s="15">
        <v>2</v>
      </c>
      <c r="E86" s="15">
        <v>0</v>
      </c>
      <c r="F86" s="15">
        <v>1</v>
      </c>
      <c r="G86" s="15">
        <v>0</v>
      </c>
      <c r="H86" s="15"/>
      <c r="I86" s="15"/>
      <c r="J86" s="15"/>
      <c r="K86" s="1" t="s">
        <v>39</v>
      </c>
      <c r="L86" s="17">
        <f t="shared" si="0"/>
        <v>0</v>
      </c>
      <c r="M86" s="17" t="str">
        <f t="shared" si="1"/>
        <v xml:space="preserve"> </v>
      </c>
      <c r="N86" s="17" t="str">
        <f t="shared" si="9"/>
        <v xml:space="preserve"> </v>
      </c>
      <c r="O86" s="17" t="str">
        <f t="shared" si="3"/>
        <v xml:space="preserve"> </v>
      </c>
      <c r="P86" s="17">
        <f t="shared" si="4"/>
        <v>0</v>
      </c>
    </row>
    <row r="87" spans="1:16" ht="12.75">
      <c r="A87" s="12">
        <f t="shared" si="5"/>
        <v>85</v>
      </c>
      <c r="B87" s="13" t="s">
        <v>63</v>
      </c>
      <c r="C87" s="14" t="s">
        <v>147</v>
      </c>
      <c r="D87" s="15">
        <v>2</v>
      </c>
      <c r="E87" s="15">
        <v>0</v>
      </c>
      <c r="F87" s="15">
        <v>1</v>
      </c>
      <c r="G87" s="15">
        <v>0</v>
      </c>
      <c r="H87" s="15"/>
      <c r="I87" s="15"/>
      <c r="J87" s="15"/>
      <c r="K87" s="1" t="s">
        <v>64</v>
      </c>
      <c r="L87" s="17">
        <f t="shared" si="0"/>
        <v>0</v>
      </c>
      <c r="M87" s="17" t="str">
        <f t="shared" si="1"/>
        <v xml:space="preserve"> </v>
      </c>
      <c r="N87" s="17" t="str">
        <f t="shared" si="9"/>
        <v xml:space="preserve"> </v>
      </c>
      <c r="O87" s="17" t="str">
        <f t="shared" si="3"/>
        <v xml:space="preserve"> </v>
      </c>
      <c r="P87" s="17">
        <f t="shared" si="4"/>
        <v>0</v>
      </c>
    </row>
    <row r="88" spans="1:16" ht="12.75">
      <c r="A88" s="12">
        <f t="shared" si="5"/>
        <v>86</v>
      </c>
      <c r="B88" s="13" t="s">
        <v>107</v>
      </c>
      <c r="C88" s="14" t="s">
        <v>142</v>
      </c>
      <c r="D88" s="15">
        <v>2</v>
      </c>
      <c r="E88" s="15">
        <v>2</v>
      </c>
      <c r="F88" s="15">
        <v>0</v>
      </c>
      <c r="G88" s="15">
        <v>0</v>
      </c>
      <c r="H88" s="15"/>
      <c r="I88" s="15"/>
      <c r="J88" s="15"/>
      <c r="K88" s="1" t="s">
        <v>24</v>
      </c>
      <c r="L88" s="17">
        <f t="shared" si="0"/>
        <v>0</v>
      </c>
      <c r="M88" s="17" t="str">
        <f t="shared" si="1"/>
        <v xml:space="preserve"> </v>
      </c>
      <c r="N88" s="17" t="str">
        <f t="shared" si="9"/>
        <v xml:space="preserve"> </v>
      </c>
      <c r="O88" s="17" t="str">
        <f t="shared" si="3"/>
        <v xml:space="preserve"> </v>
      </c>
      <c r="P88" s="17">
        <f t="shared" si="4"/>
        <v>0</v>
      </c>
    </row>
    <row r="89" spans="1:16" ht="12.75">
      <c r="A89" s="12">
        <f t="shared" si="5"/>
        <v>87</v>
      </c>
      <c r="B89" s="13" t="s">
        <v>113</v>
      </c>
      <c r="C89" s="14" t="s">
        <v>142</v>
      </c>
      <c r="D89" s="15">
        <v>2</v>
      </c>
      <c r="E89" s="15">
        <v>0</v>
      </c>
      <c r="F89" s="15">
        <v>0</v>
      </c>
      <c r="G89" s="15">
        <v>0</v>
      </c>
      <c r="H89" s="15"/>
      <c r="I89" s="15"/>
      <c r="J89" s="15"/>
      <c r="K89" s="1" t="s">
        <v>24</v>
      </c>
      <c r="L89" s="17">
        <f t="shared" si="0"/>
        <v>0</v>
      </c>
      <c r="M89" s="17" t="str">
        <f t="shared" si="1"/>
        <v xml:space="preserve"> </v>
      </c>
      <c r="N89" s="17" t="str">
        <f t="shared" si="9"/>
        <v xml:space="preserve"> </v>
      </c>
      <c r="O89" s="17" t="str">
        <f t="shared" si="3"/>
        <v xml:space="preserve"> </v>
      </c>
      <c r="P89" s="17">
        <f t="shared" si="4"/>
        <v>0</v>
      </c>
    </row>
    <row r="90" spans="1:16" ht="12.75">
      <c r="A90" s="12">
        <f t="shared" si="5"/>
        <v>88</v>
      </c>
      <c r="B90" s="13" t="s">
        <v>103</v>
      </c>
      <c r="C90" s="14" t="s">
        <v>147</v>
      </c>
      <c r="D90" s="15">
        <v>2</v>
      </c>
      <c r="E90" s="15">
        <v>2</v>
      </c>
      <c r="F90" s="15">
        <v>1</v>
      </c>
      <c r="G90" s="15">
        <v>0</v>
      </c>
      <c r="H90" s="15"/>
      <c r="I90" s="15"/>
      <c r="J90" s="15"/>
      <c r="K90" s="1" t="s">
        <v>20</v>
      </c>
      <c r="L90" s="17">
        <f t="shared" si="0"/>
        <v>0</v>
      </c>
      <c r="M90" s="17" t="str">
        <f t="shared" si="1"/>
        <v xml:space="preserve"> </v>
      </c>
      <c r="N90" s="17" t="str">
        <f t="shared" si="9"/>
        <v xml:space="preserve"> </v>
      </c>
      <c r="O90" s="17" t="str">
        <f t="shared" si="3"/>
        <v xml:space="preserve"> </v>
      </c>
      <c r="P90" s="17">
        <f t="shared" si="4"/>
        <v>0</v>
      </c>
    </row>
    <row r="91" spans="1:16" ht="12.75">
      <c r="A91" s="12">
        <f t="shared" si="5"/>
        <v>89</v>
      </c>
      <c r="B91" s="13" t="s">
        <v>77</v>
      </c>
      <c r="C91" s="14" t="s">
        <v>147</v>
      </c>
      <c r="D91" s="15">
        <v>1</v>
      </c>
      <c r="E91" s="15">
        <v>0</v>
      </c>
      <c r="F91" s="15">
        <v>1</v>
      </c>
      <c r="G91" s="15">
        <v>1</v>
      </c>
      <c r="H91" s="15"/>
      <c r="I91" s="15">
        <v>1</v>
      </c>
      <c r="J91" s="15"/>
      <c r="K91" s="1" t="s">
        <v>20</v>
      </c>
      <c r="L91" s="17">
        <f t="shared" si="0"/>
        <v>0</v>
      </c>
      <c r="M91" s="17">
        <f t="shared" si="1"/>
        <v>0</v>
      </c>
      <c r="N91" s="17" t="str">
        <f t="shared" si="9"/>
        <v xml:space="preserve"> </v>
      </c>
      <c r="O91" s="17">
        <f t="shared" si="3"/>
        <v>0</v>
      </c>
      <c r="P91" s="17">
        <f t="shared" si="4"/>
        <v>1</v>
      </c>
    </row>
    <row r="92" spans="1:16" ht="12.75">
      <c r="A92" s="12">
        <f t="shared" si="5"/>
        <v>90</v>
      </c>
      <c r="B92" s="13" t="s">
        <v>57</v>
      </c>
      <c r="C92" s="15" t="s">
        <v>142</v>
      </c>
      <c r="D92" s="15">
        <v>1</v>
      </c>
      <c r="E92" s="15">
        <v>1</v>
      </c>
      <c r="F92" s="15">
        <v>0</v>
      </c>
      <c r="G92" s="15">
        <v>0</v>
      </c>
      <c r="H92" s="15"/>
      <c r="I92" s="15"/>
      <c r="J92" s="15"/>
      <c r="K92" s="21" t="s">
        <v>20</v>
      </c>
      <c r="L92" s="24">
        <f t="shared" si="0"/>
        <v>0</v>
      </c>
      <c r="M92" s="24" t="str">
        <f t="shared" si="1"/>
        <v xml:space="preserve"> </v>
      </c>
      <c r="N92" s="18" t="str">
        <f t="shared" si="9"/>
        <v xml:space="preserve"> </v>
      </c>
      <c r="O92" s="18" t="str">
        <f t="shared" si="3"/>
        <v xml:space="preserve"> </v>
      </c>
      <c r="P92" s="17">
        <f t="shared" si="4"/>
        <v>0</v>
      </c>
    </row>
    <row r="93" spans="1:16" ht="12.75">
      <c r="A93" s="12">
        <f t="shared" si="5"/>
        <v>91</v>
      </c>
      <c r="B93" s="13" t="s">
        <v>121</v>
      </c>
      <c r="C93" s="14" t="s">
        <v>142</v>
      </c>
      <c r="D93" s="15">
        <v>1</v>
      </c>
      <c r="E93" s="15">
        <v>1</v>
      </c>
      <c r="F93" s="15">
        <v>1</v>
      </c>
      <c r="G93" s="15">
        <v>0</v>
      </c>
      <c r="H93" s="15"/>
      <c r="I93" s="15"/>
      <c r="J93" s="15"/>
      <c r="K93" s="1" t="s">
        <v>24</v>
      </c>
      <c r="L93" s="17">
        <f t="shared" si="0"/>
        <v>0</v>
      </c>
      <c r="M93" s="17" t="str">
        <f t="shared" si="1"/>
        <v xml:space="preserve"> </v>
      </c>
      <c r="N93" s="17" t="str">
        <f t="shared" si="9"/>
        <v xml:space="preserve"> </v>
      </c>
      <c r="O93" s="17" t="str">
        <f t="shared" si="3"/>
        <v xml:space="preserve"> </v>
      </c>
      <c r="P93" s="17">
        <f t="shared" si="4"/>
        <v>0</v>
      </c>
    </row>
    <row r="94" spans="1:16" ht="12.75">
      <c r="A94" s="12">
        <f t="shared" si="5"/>
        <v>92</v>
      </c>
      <c r="B94" s="13" t="s">
        <v>100</v>
      </c>
      <c r="C94" s="14" t="s">
        <v>142</v>
      </c>
      <c r="D94" s="15">
        <v>0</v>
      </c>
      <c r="E94" s="15">
        <v>0</v>
      </c>
      <c r="F94" s="15">
        <v>0</v>
      </c>
      <c r="G94" s="15">
        <v>0</v>
      </c>
      <c r="H94" s="15"/>
      <c r="I94" s="15"/>
      <c r="J94" s="15"/>
      <c r="K94" s="1" t="s">
        <v>24</v>
      </c>
      <c r="L94" s="17" t="str">
        <f t="shared" si="0"/>
        <v xml:space="preserve"> </v>
      </c>
      <c r="M94" s="17" t="str">
        <f t="shared" si="1"/>
        <v xml:space="preserve"> </v>
      </c>
      <c r="N94" s="17" t="str">
        <f t="shared" si="9"/>
        <v xml:space="preserve"> </v>
      </c>
      <c r="O94" s="17" t="str">
        <f t="shared" si="3"/>
        <v xml:space="preserve"> </v>
      </c>
      <c r="P94" s="17" t="str">
        <f t="shared" si="4"/>
        <v xml:space="preserve"> </v>
      </c>
    </row>
    <row r="95" spans="1:16" ht="12.75">
      <c r="A95" s="12">
        <f t="shared" si="5"/>
        <v>93</v>
      </c>
      <c r="B95" s="13" t="s">
        <v>75</v>
      </c>
      <c r="C95" s="14" t="s">
        <v>142</v>
      </c>
      <c r="D95" s="15">
        <v>0</v>
      </c>
      <c r="E95" s="15">
        <v>0</v>
      </c>
      <c r="F95" s="15">
        <v>0</v>
      </c>
      <c r="G95" s="15">
        <v>0</v>
      </c>
      <c r="H95" s="15"/>
      <c r="I95" s="15"/>
      <c r="J95" s="15"/>
      <c r="K95" s="1" t="s">
        <v>24</v>
      </c>
      <c r="L95" s="17" t="str">
        <f t="shared" si="0"/>
        <v xml:space="preserve"> </v>
      </c>
      <c r="M95" s="17" t="str">
        <f t="shared" si="1"/>
        <v xml:space="preserve"> </v>
      </c>
      <c r="N95" s="17" t="str">
        <f t="shared" si="9"/>
        <v xml:space="preserve"> </v>
      </c>
      <c r="O95" s="17" t="str">
        <f t="shared" si="3"/>
        <v xml:space="preserve"> </v>
      </c>
      <c r="P95" s="17" t="str">
        <f t="shared" si="4"/>
        <v xml:space="preserve"> </v>
      </c>
    </row>
    <row r="96" spans="1:16" ht="12.75">
      <c r="A96" s="12">
        <f t="shared" si="5"/>
        <v>94</v>
      </c>
      <c r="B96" s="13" t="s">
        <v>118</v>
      </c>
      <c r="C96" s="14" t="s">
        <v>142</v>
      </c>
      <c r="D96" s="15">
        <v>0</v>
      </c>
      <c r="E96" s="15">
        <v>0</v>
      </c>
      <c r="F96" s="15">
        <v>0</v>
      </c>
      <c r="G96" s="15">
        <v>0</v>
      </c>
      <c r="H96" s="15"/>
      <c r="I96" s="15"/>
      <c r="J96" s="15"/>
      <c r="K96" s="1" t="s">
        <v>24</v>
      </c>
      <c r="L96" s="17" t="str">
        <f t="shared" si="0"/>
        <v xml:space="preserve"> </v>
      </c>
      <c r="M96" s="17" t="str">
        <f t="shared" si="1"/>
        <v xml:space="preserve"> </v>
      </c>
      <c r="N96" s="17" t="str">
        <f t="shared" si="9"/>
        <v xml:space="preserve"> </v>
      </c>
      <c r="O96" s="17" t="str">
        <f t="shared" si="3"/>
        <v xml:space="preserve"> </v>
      </c>
      <c r="P96" s="17" t="str">
        <f t="shared" si="4"/>
        <v xml:space="preserve"> </v>
      </c>
    </row>
    <row r="97" spans="1:16" ht="12.75">
      <c r="A97" s="12">
        <f t="shared" si="5"/>
        <v>95</v>
      </c>
      <c r="B97" s="13" t="s">
        <v>114</v>
      </c>
      <c r="C97" s="14" t="s">
        <v>142</v>
      </c>
      <c r="D97" s="15">
        <v>0</v>
      </c>
      <c r="E97" s="15">
        <v>0</v>
      </c>
      <c r="F97" s="15">
        <v>0</v>
      </c>
      <c r="G97" s="15">
        <v>0</v>
      </c>
      <c r="H97" s="15"/>
      <c r="I97" s="15"/>
      <c r="J97" s="15"/>
      <c r="K97" s="1" t="s">
        <v>24</v>
      </c>
      <c r="L97" s="17" t="str">
        <f t="shared" si="0"/>
        <v xml:space="preserve"> </v>
      </c>
      <c r="M97" s="17" t="str">
        <f t="shared" si="1"/>
        <v xml:space="preserve"> </v>
      </c>
      <c r="N97" s="17" t="str">
        <f t="shared" si="9"/>
        <v xml:space="preserve"> </v>
      </c>
      <c r="O97" s="17" t="str">
        <f t="shared" si="3"/>
        <v xml:space="preserve"> </v>
      </c>
      <c r="P97" s="17" t="str">
        <f t="shared" si="4"/>
        <v xml:space="preserve"> </v>
      </c>
    </row>
    <row r="98" spans="1:16" ht="12.75">
      <c r="A98" s="12">
        <f t="shared" si="5"/>
        <v>96</v>
      </c>
      <c r="B98" s="13" t="s">
        <v>127</v>
      </c>
      <c r="C98" s="14" t="s">
        <v>142</v>
      </c>
      <c r="D98" s="15">
        <v>0</v>
      </c>
      <c r="E98" s="15">
        <v>0</v>
      </c>
      <c r="F98" s="15">
        <v>0</v>
      </c>
      <c r="G98" s="15">
        <v>0</v>
      </c>
      <c r="H98" s="15"/>
      <c r="I98" s="15"/>
      <c r="J98" s="15"/>
      <c r="K98" s="1" t="s">
        <v>24</v>
      </c>
      <c r="L98" s="17" t="str">
        <f t="shared" si="0"/>
        <v xml:space="preserve"> </v>
      </c>
      <c r="M98" s="17" t="str">
        <f t="shared" si="1"/>
        <v xml:space="preserve"> </v>
      </c>
      <c r="N98" s="17" t="str">
        <f t="shared" si="9"/>
        <v xml:space="preserve"> </v>
      </c>
      <c r="O98" s="17" t="str">
        <f t="shared" si="3"/>
        <v xml:space="preserve"> </v>
      </c>
      <c r="P98" s="17" t="str">
        <f t="shared" si="4"/>
        <v xml:space="preserve"> </v>
      </c>
    </row>
    <row r="99" spans="1:16" ht="12.75">
      <c r="A99" s="12">
        <f t="shared" si="5"/>
        <v>97</v>
      </c>
      <c r="B99" s="13" t="s">
        <v>128</v>
      </c>
      <c r="C99" s="14" t="s">
        <v>142</v>
      </c>
      <c r="D99" s="15">
        <v>0</v>
      </c>
      <c r="E99" s="15">
        <v>0</v>
      </c>
      <c r="F99" s="15">
        <v>0</v>
      </c>
      <c r="G99" s="15">
        <v>0</v>
      </c>
      <c r="H99" s="15"/>
      <c r="I99" s="15"/>
      <c r="J99" s="15"/>
      <c r="K99" s="1" t="s">
        <v>24</v>
      </c>
      <c r="L99" s="17" t="str">
        <f t="shared" si="0"/>
        <v xml:space="preserve"> </v>
      </c>
      <c r="M99" s="17" t="str">
        <f t="shared" si="1"/>
        <v xml:space="preserve"> </v>
      </c>
      <c r="N99" s="17" t="str">
        <f t="shared" si="9"/>
        <v xml:space="preserve"> </v>
      </c>
      <c r="O99" s="17" t="str">
        <f t="shared" si="3"/>
        <v xml:space="preserve"> </v>
      </c>
      <c r="P99" s="17" t="str">
        <f t="shared" si="4"/>
        <v xml:space="preserve"> </v>
      </c>
    </row>
    <row r="100" spans="1:16" ht="12.75">
      <c r="A100" s="12">
        <f t="shared" si="5"/>
        <v>98</v>
      </c>
      <c r="B100" s="13" t="s">
        <v>130</v>
      </c>
      <c r="C100" s="15" t="s">
        <v>142</v>
      </c>
      <c r="D100" s="15">
        <v>0</v>
      </c>
      <c r="E100" s="15">
        <v>0</v>
      </c>
      <c r="F100" s="15">
        <v>0</v>
      </c>
      <c r="G100" s="15">
        <v>0</v>
      </c>
      <c r="H100" s="15"/>
      <c r="I100" s="15"/>
      <c r="J100" s="15"/>
      <c r="K100" s="21" t="s">
        <v>20</v>
      </c>
      <c r="L100" s="18" t="str">
        <f t="shared" si="0"/>
        <v xml:space="preserve"> </v>
      </c>
      <c r="M100" s="17" t="str">
        <f t="shared" si="1"/>
        <v xml:space="preserve"> </v>
      </c>
      <c r="N100" s="18" t="str">
        <f t="shared" si="9"/>
        <v xml:space="preserve"> </v>
      </c>
      <c r="O100" s="18" t="str">
        <f t="shared" si="3"/>
        <v xml:space="preserve"> </v>
      </c>
      <c r="P100" s="17" t="str">
        <f t="shared" si="4"/>
        <v xml:space="preserve"> </v>
      </c>
    </row>
    <row r="101" spans="1:16" ht="12.75">
      <c r="A101" s="12">
        <f t="shared" si="5"/>
        <v>99</v>
      </c>
      <c r="B101" s="13" t="s">
        <v>131</v>
      </c>
      <c r="C101" s="14" t="s">
        <v>142</v>
      </c>
      <c r="D101" s="15">
        <v>0</v>
      </c>
      <c r="E101" s="15">
        <v>0</v>
      </c>
      <c r="F101" s="15">
        <v>0</v>
      </c>
      <c r="G101" s="15">
        <v>0</v>
      </c>
      <c r="H101" s="15"/>
      <c r="I101" s="15"/>
      <c r="J101" s="15"/>
      <c r="K101" s="1" t="s">
        <v>24</v>
      </c>
      <c r="L101" s="17" t="str">
        <f t="shared" si="0"/>
        <v xml:space="preserve"> </v>
      </c>
      <c r="M101" s="17" t="str">
        <f t="shared" si="1"/>
        <v xml:space="preserve"> </v>
      </c>
      <c r="N101" s="17" t="str">
        <f t="shared" si="9"/>
        <v xml:space="preserve"> </v>
      </c>
      <c r="O101" s="17" t="str">
        <f t="shared" si="3"/>
        <v xml:space="preserve"> </v>
      </c>
      <c r="P101" s="17" t="str">
        <f t="shared" si="4"/>
        <v xml:space="preserve"> </v>
      </c>
    </row>
    <row r="102" spans="1:16" ht="12.75">
      <c r="A102" s="12">
        <f t="shared" si="5"/>
        <v>100</v>
      </c>
      <c r="B102" s="13" t="s">
        <v>132</v>
      </c>
      <c r="C102" s="14" t="s">
        <v>142</v>
      </c>
      <c r="D102" s="15">
        <v>0</v>
      </c>
      <c r="E102" s="15">
        <v>0</v>
      </c>
      <c r="F102" s="15">
        <v>0</v>
      </c>
      <c r="G102" s="15">
        <v>0</v>
      </c>
      <c r="H102" s="15"/>
      <c r="I102" s="15"/>
      <c r="J102" s="15"/>
      <c r="K102" s="1" t="s">
        <v>24</v>
      </c>
      <c r="L102" s="17" t="str">
        <f t="shared" si="0"/>
        <v xml:space="preserve"> </v>
      </c>
      <c r="M102" s="17" t="str">
        <f t="shared" si="1"/>
        <v xml:space="preserve"> </v>
      </c>
      <c r="N102" s="17" t="str">
        <f t="shared" si="9"/>
        <v xml:space="preserve"> </v>
      </c>
      <c r="O102" s="17" t="str">
        <f t="shared" si="3"/>
        <v xml:space="preserve"> </v>
      </c>
      <c r="P102" s="17" t="str">
        <f t="shared" si="4"/>
        <v xml:space="preserve"> </v>
      </c>
    </row>
    <row r="103" spans="1:16" ht="12.75">
      <c r="A103" s="12">
        <f t="shared" si="5"/>
        <v>101</v>
      </c>
      <c r="B103" s="13" t="s">
        <v>119</v>
      </c>
      <c r="C103" s="14" t="s">
        <v>142</v>
      </c>
      <c r="D103" s="15">
        <v>0</v>
      </c>
      <c r="E103" s="15">
        <v>0</v>
      </c>
      <c r="F103" s="15">
        <v>0</v>
      </c>
      <c r="G103" s="15">
        <v>0</v>
      </c>
      <c r="H103" s="15"/>
      <c r="I103" s="15"/>
      <c r="J103" s="15"/>
      <c r="K103" s="1" t="s">
        <v>24</v>
      </c>
      <c r="L103" s="17" t="str">
        <f t="shared" si="0"/>
        <v xml:space="preserve"> </v>
      </c>
      <c r="M103" s="17" t="str">
        <f t="shared" si="1"/>
        <v xml:space="preserve"> </v>
      </c>
      <c r="N103" s="17" t="str">
        <f t="shared" si="9"/>
        <v xml:space="preserve"> </v>
      </c>
      <c r="O103" s="17" t="str">
        <f t="shared" si="3"/>
        <v xml:space="preserve"> </v>
      </c>
      <c r="P103" s="17" t="str">
        <f t="shared" si="4"/>
        <v xml:space="preserve"> </v>
      </c>
    </row>
    <row r="104" spans="1:16" ht="12.75">
      <c r="A104" s="12">
        <f t="shared" si="5"/>
        <v>102</v>
      </c>
      <c r="B104" s="13" t="s">
        <v>52</v>
      </c>
      <c r="C104" s="14" t="s">
        <v>142</v>
      </c>
      <c r="D104" s="15">
        <v>0</v>
      </c>
      <c r="E104" s="15">
        <v>0</v>
      </c>
      <c r="F104" s="15">
        <v>0</v>
      </c>
      <c r="G104" s="15">
        <v>0</v>
      </c>
      <c r="H104" s="15"/>
      <c r="I104" s="15"/>
      <c r="J104" s="15"/>
      <c r="K104" s="1" t="s">
        <v>24</v>
      </c>
      <c r="L104" s="17" t="str">
        <f t="shared" si="0"/>
        <v xml:space="preserve"> </v>
      </c>
      <c r="M104" s="17" t="str">
        <f t="shared" si="1"/>
        <v xml:space="preserve"> </v>
      </c>
      <c r="N104" s="17" t="str">
        <f t="shared" si="9"/>
        <v xml:space="preserve"> </v>
      </c>
      <c r="O104" s="17" t="str">
        <f t="shared" si="3"/>
        <v xml:space="preserve"> </v>
      </c>
      <c r="P104" s="17" t="str">
        <f t="shared" si="4"/>
        <v xml:space="preserve"> </v>
      </c>
    </row>
    <row r="105" spans="1:16" ht="12.75">
      <c r="A105" s="12">
        <f t="shared" si="5"/>
        <v>103</v>
      </c>
      <c r="B105" s="13" t="s">
        <v>133</v>
      </c>
      <c r="C105" s="14" t="s">
        <v>142</v>
      </c>
      <c r="D105" s="15">
        <v>0</v>
      </c>
      <c r="E105" s="15">
        <v>0</v>
      </c>
      <c r="F105" s="15">
        <v>0</v>
      </c>
      <c r="G105" s="15">
        <v>0</v>
      </c>
      <c r="H105" s="15"/>
      <c r="I105" s="15"/>
      <c r="J105" s="15"/>
      <c r="K105" s="1" t="s">
        <v>24</v>
      </c>
      <c r="L105" s="17" t="str">
        <f t="shared" si="0"/>
        <v xml:space="preserve"> </v>
      </c>
      <c r="M105" s="17" t="str">
        <f t="shared" si="1"/>
        <v xml:space="preserve"> </v>
      </c>
      <c r="N105" s="17" t="str">
        <f t="shared" si="9"/>
        <v xml:space="preserve"> </v>
      </c>
      <c r="O105" s="17" t="str">
        <f t="shared" si="3"/>
        <v xml:space="preserve"> </v>
      </c>
      <c r="P105" s="17" t="str">
        <f t="shared" si="4"/>
        <v xml:space="preserve"> </v>
      </c>
    </row>
    <row r="106" spans="1:16" ht="12.75">
      <c r="A106" s="12">
        <f t="shared" si="5"/>
        <v>104</v>
      </c>
      <c r="B106" s="13" t="s">
        <v>134</v>
      </c>
      <c r="C106" s="14" t="s">
        <v>142</v>
      </c>
      <c r="D106" s="15">
        <v>0</v>
      </c>
      <c r="E106" s="15">
        <v>0</v>
      </c>
      <c r="F106" s="15">
        <v>0</v>
      </c>
      <c r="G106" s="15">
        <v>0</v>
      </c>
      <c r="H106" s="15"/>
      <c r="I106" s="15"/>
      <c r="J106" s="15"/>
      <c r="K106" s="1" t="s">
        <v>24</v>
      </c>
      <c r="L106" s="17" t="str">
        <f t="shared" si="0"/>
        <v xml:space="preserve"> </v>
      </c>
      <c r="M106" s="17" t="str">
        <f t="shared" si="1"/>
        <v xml:space="preserve"> </v>
      </c>
      <c r="N106" s="17" t="str">
        <f t="shared" si="9"/>
        <v xml:space="preserve"> </v>
      </c>
      <c r="O106" s="17" t="str">
        <f t="shared" si="3"/>
        <v xml:space="preserve"> </v>
      </c>
      <c r="P106" s="17" t="str">
        <f t="shared" si="4"/>
        <v xml:space="preserve"> </v>
      </c>
    </row>
    <row r="107" spans="1:16" ht="12.75">
      <c r="A107" s="12">
        <f t="shared" si="5"/>
        <v>105</v>
      </c>
      <c r="B107" s="13" t="s">
        <v>139</v>
      </c>
      <c r="C107" s="14" t="s">
        <v>142</v>
      </c>
      <c r="D107" s="15">
        <v>0</v>
      </c>
      <c r="E107" s="15">
        <v>0</v>
      </c>
      <c r="F107" s="15">
        <v>0</v>
      </c>
      <c r="G107" s="15">
        <v>0</v>
      </c>
      <c r="H107" s="15"/>
      <c r="I107" s="15"/>
      <c r="J107" s="15"/>
      <c r="K107" s="1" t="s">
        <v>24</v>
      </c>
      <c r="L107" s="17" t="str">
        <f t="shared" si="0"/>
        <v xml:space="preserve"> </v>
      </c>
      <c r="M107" s="17" t="str">
        <f t="shared" si="1"/>
        <v xml:space="preserve"> </v>
      </c>
      <c r="N107" s="17" t="str">
        <f t="shared" si="9"/>
        <v xml:space="preserve"> </v>
      </c>
      <c r="O107" s="17" t="str">
        <f t="shared" si="3"/>
        <v xml:space="preserve"> </v>
      </c>
      <c r="P107" s="17" t="str">
        <f t="shared" si="4"/>
        <v xml:space="preserve"> </v>
      </c>
    </row>
    <row r="108" spans="1:16" ht="12.75">
      <c r="A108" s="12">
        <f t="shared" si="5"/>
        <v>106</v>
      </c>
      <c r="B108" s="13" t="s">
        <v>140</v>
      </c>
      <c r="C108" s="14" t="s">
        <v>142</v>
      </c>
      <c r="D108" s="15">
        <v>0</v>
      </c>
      <c r="E108" s="15">
        <v>0</v>
      </c>
      <c r="F108" s="15">
        <v>0</v>
      </c>
      <c r="G108" s="15">
        <v>0</v>
      </c>
      <c r="H108" s="15"/>
      <c r="I108" s="15"/>
      <c r="J108" s="15"/>
      <c r="K108" s="1" t="s">
        <v>24</v>
      </c>
      <c r="L108" s="17" t="str">
        <f t="shared" si="0"/>
        <v xml:space="preserve"> </v>
      </c>
      <c r="M108" s="17" t="str">
        <f t="shared" si="1"/>
        <v xml:space="preserve"> </v>
      </c>
      <c r="N108" s="17" t="str">
        <f t="shared" si="9"/>
        <v xml:space="preserve"> </v>
      </c>
      <c r="O108" s="17" t="str">
        <f t="shared" si="3"/>
        <v xml:space="preserve"> </v>
      </c>
      <c r="P108" s="17" t="str">
        <f t="shared" si="4"/>
        <v xml:space="preserve"> </v>
      </c>
    </row>
    <row r="109" spans="1:16" ht="12.75">
      <c r="A109" s="12">
        <f t="shared" si="5"/>
        <v>107</v>
      </c>
      <c r="B109" s="13" t="s">
        <v>141</v>
      </c>
      <c r="C109" s="14" t="s">
        <v>142</v>
      </c>
      <c r="D109" s="15">
        <v>0</v>
      </c>
      <c r="E109" s="15">
        <v>0</v>
      </c>
      <c r="F109" s="15">
        <v>0</v>
      </c>
      <c r="G109" s="15">
        <v>0</v>
      </c>
      <c r="H109" s="15"/>
      <c r="I109" s="15"/>
      <c r="J109" s="15"/>
      <c r="K109" s="1" t="s">
        <v>24</v>
      </c>
      <c r="L109" s="17" t="str">
        <f t="shared" si="0"/>
        <v xml:space="preserve"> </v>
      </c>
      <c r="M109" s="17" t="str">
        <f t="shared" si="1"/>
        <v xml:space="preserve"> </v>
      </c>
      <c r="N109" s="17" t="str">
        <f t="shared" si="9"/>
        <v xml:space="preserve"> </v>
      </c>
      <c r="O109" s="17" t="str">
        <f t="shared" si="3"/>
        <v xml:space="preserve"> </v>
      </c>
      <c r="P109" s="17" t="str">
        <f t="shared" si="4"/>
        <v xml:space="preserve"> </v>
      </c>
    </row>
    <row r="110" spans="1:16" ht="12.75">
      <c r="A110" s="12">
        <f t="shared" si="5"/>
        <v>108</v>
      </c>
      <c r="B110" s="13" t="s">
        <v>120</v>
      </c>
      <c r="C110" s="14" t="s">
        <v>142</v>
      </c>
      <c r="D110" s="15">
        <v>0</v>
      </c>
      <c r="E110" s="15">
        <v>0</v>
      </c>
      <c r="F110" s="15">
        <v>0</v>
      </c>
      <c r="G110" s="15">
        <v>0</v>
      </c>
      <c r="H110" s="15"/>
      <c r="I110" s="15"/>
      <c r="J110" s="15"/>
      <c r="K110" s="1" t="s">
        <v>24</v>
      </c>
      <c r="L110" s="17" t="str">
        <f t="shared" si="0"/>
        <v xml:space="preserve"> </v>
      </c>
      <c r="M110" s="17" t="str">
        <f t="shared" si="1"/>
        <v xml:space="preserve"> </v>
      </c>
      <c r="N110" s="17" t="str">
        <f t="shared" si="9"/>
        <v xml:space="preserve"> </v>
      </c>
      <c r="O110" s="17" t="str">
        <f t="shared" si="3"/>
        <v xml:space="preserve"> </v>
      </c>
      <c r="P110" s="17" t="str">
        <f t="shared" si="4"/>
        <v xml:space="preserve"> </v>
      </c>
    </row>
    <row r="111" spans="1:16" ht="12.75">
      <c r="A111" s="12">
        <f t="shared" si="5"/>
        <v>109</v>
      </c>
      <c r="B111" s="13" t="s">
        <v>111</v>
      </c>
      <c r="C111" s="14" t="s">
        <v>142</v>
      </c>
      <c r="D111" s="15">
        <v>0</v>
      </c>
      <c r="E111" s="15">
        <v>0</v>
      </c>
      <c r="F111" s="15">
        <v>0</v>
      </c>
      <c r="G111" s="15">
        <v>0</v>
      </c>
      <c r="H111" s="15"/>
      <c r="I111" s="15"/>
      <c r="J111" s="15"/>
      <c r="K111" s="1" t="s">
        <v>24</v>
      </c>
      <c r="L111" s="17" t="str">
        <f t="shared" si="0"/>
        <v xml:space="preserve"> </v>
      </c>
      <c r="M111" s="17" t="str">
        <f t="shared" si="1"/>
        <v xml:space="preserve"> </v>
      </c>
      <c r="N111" s="17" t="str">
        <f t="shared" si="9"/>
        <v xml:space="preserve"> </v>
      </c>
      <c r="O111" s="17" t="str">
        <f t="shared" si="3"/>
        <v xml:space="preserve"> </v>
      </c>
      <c r="P111" s="17" t="str">
        <f t="shared" si="4"/>
        <v xml:space="preserve"> </v>
      </c>
    </row>
    <row r="112" spans="1:16" ht="12.75">
      <c r="C112" s="29"/>
      <c r="D112" s="29"/>
      <c r="E112" s="29"/>
      <c r="F112" s="29"/>
      <c r="G112" s="29"/>
      <c r="H112" s="29"/>
      <c r="I112" s="29"/>
      <c r="J112" s="29"/>
      <c r="L112" s="17" t="str">
        <f t="shared" si="0"/>
        <v xml:space="preserve"> </v>
      </c>
      <c r="P112" s="17" t="str">
        <f t="shared" si="4"/>
        <v xml:space="preserve"> </v>
      </c>
    </row>
    <row r="113" spans="1:28" ht="13.15">
      <c r="A113" s="30"/>
      <c r="B113" s="31" t="s">
        <v>143</v>
      </c>
      <c r="C113" s="32"/>
      <c r="D113" s="32">
        <f t="shared" ref="D113:J113" si="10">SUM(D3:D111)</f>
        <v>2017</v>
      </c>
      <c r="E113" s="32">
        <f t="shared" si="10"/>
        <v>522</v>
      </c>
      <c r="F113" s="32">
        <f t="shared" si="10"/>
        <v>107</v>
      </c>
      <c r="G113" s="32">
        <f t="shared" si="10"/>
        <v>42</v>
      </c>
      <c r="H113" s="32">
        <f t="shared" si="10"/>
        <v>8</v>
      </c>
      <c r="I113" s="32">
        <f t="shared" si="10"/>
        <v>9</v>
      </c>
      <c r="J113" s="32">
        <f t="shared" si="10"/>
        <v>5</v>
      </c>
      <c r="K113" s="30"/>
      <c r="L113" s="17">
        <f t="shared" si="0"/>
        <v>2.478929102627665E-3</v>
      </c>
      <c r="M113" s="30"/>
      <c r="N113" s="30"/>
      <c r="O113" s="30"/>
      <c r="P113" s="33">
        <f t="shared" si="4"/>
        <v>2.0823004462072386E-2</v>
      </c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5" spans="1:28" ht="12.75">
      <c r="B115" s="21" t="s">
        <v>163</v>
      </c>
    </row>
    <row r="117" spans="1:28" ht="12.75">
      <c r="B117" s="21" t="s">
        <v>164</v>
      </c>
    </row>
    <row r="119" spans="1:28" ht="12.75">
      <c r="B119" s="13" t="s">
        <v>98</v>
      </c>
      <c r="C119" s="25" t="s">
        <v>147</v>
      </c>
      <c r="E119" s="38">
        <f t="shared" ref="E119:E229" si="11">IFERROR(E3/D3," ")</f>
        <v>0.26548672566371684</v>
      </c>
      <c r="F119" s="38"/>
      <c r="G119" s="38">
        <f t="shared" ref="G119:G229" si="12">IFERROR(G3/E3," ")</f>
        <v>6.6666666666666666E-2</v>
      </c>
      <c r="H119" s="38">
        <f t="shared" ref="H119:J119" si="13">IFERROR(H3/G3," ")</f>
        <v>0.5</v>
      </c>
      <c r="I119" s="38">
        <f t="shared" si="13"/>
        <v>1</v>
      </c>
      <c r="J119" s="38">
        <f t="shared" si="13"/>
        <v>3</v>
      </c>
    </row>
    <row r="120" spans="1:28" ht="12.75">
      <c r="B120" s="13" t="s">
        <v>59</v>
      </c>
      <c r="C120" s="25" t="s">
        <v>147</v>
      </c>
      <c r="E120" s="38">
        <f t="shared" si="11"/>
        <v>0.1834862385321101</v>
      </c>
      <c r="F120" s="38"/>
      <c r="G120" s="38">
        <f t="shared" si="12"/>
        <v>0.1</v>
      </c>
      <c r="H120" s="38">
        <f t="shared" ref="H120:J120" si="14">IFERROR(H4/G4," ")</f>
        <v>0</v>
      </c>
      <c r="I120" s="38" t="str">
        <f t="shared" si="14"/>
        <v xml:space="preserve"> </v>
      </c>
      <c r="J120" s="38" t="str">
        <f t="shared" si="14"/>
        <v xml:space="preserve"> </v>
      </c>
    </row>
    <row r="121" spans="1:28" ht="12.75">
      <c r="B121" s="13" t="s">
        <v>41</v>
      </c>
      <c r="C121" s="25" t="s">
        <v>147</v>
      </c>
      <c r="E121" s="38">
        <f t="shared" si="11"/>
        <v>0.23376623376623376</v>
      </c>
      <c r="F121" s="38"/>
      <c r="G121" s="38">
        <f t="shared" si="12"/>
        <v>5.5555555555555552E-2</v>
      </c>
      <c r="H121" s="38">
        <f t="shared" ref="H121:J121" si="15">IFERROR(H5/G5," ")</f>
        <v>0</v>
      </c>
      <c r="I121" s="38" t="str">
        <f t="shared" si="15"/>
        <v xml:space="preserve"> </v>
      </c>
      <c r="J121" s="38">
        <f t="shared" si="15"/>
        <v>1</v>
      </c>
    </row>
    <row r="122" spans="1:28" ht="12.75">
      <c r="B122" s="13" t="s">
        <v>66</v>
      </c>
      <c r="C122" s="25" t="s">
        <v>147</v>
      </c>
      <c r="E122" s="38">
        <f t="shared" si="11"/>
        <v>0.25757575757575757</v>
      </c>
      <c r="F122" s="38"/>
      <c r="G122" s="38">
        <f t="shared" si="12"/>
        <v>0.11764705882352941</v>
      </c>
      <c r="H122" s="38">
        <f t="shared" ref="H122:J122" si="16">IFERROR(H6/G6," ")</f>
        <v>0</v>
      </c>
      <c r="I122" s="38" t="str">
        <f t="shared" si="16"/>
        <v xml:space="preserve"> </v>
      </c>
      <c r="J122" s="38">
        <f t="shared" si="16"/>
        <v>0</v>
      </c>
    </row>
    <row r="123" spans="1:28" ht="12.75">
      <c r="B123" s="13" t="s">
        <v>139</v>
      </c>
      <c r="C123" s="25" t="s">
        <v>142</v>
      </c>
      <c r="E123" s="38">
        <f t="shared" si="11"/>
        <v>0.19298245614035087</v>
      </c>
      <c r="F123" s="38"/>
      <c r="G123" s="38">
        <f t="shared" si="12"/>
        <v>0</v>
      </c>
      <c r="H123" s="38" t="str">
        <f t="shared" ref="H123:J123" si="17">IFERROR(H7/G7," ")</f>
        <v xml:space="preserve"> </v>
      </c>
      <c r="I123" s="38" t="str">
        <f t="shared" si="17"/>
        <v xml:space="preserve"> </v>
      </c>
      <c r="J123" s="38" t="str">
        <f t="shared" si="17"/>
        <v xml:space="preserve"> </v>
      </c>
    </row>
    <row r="124" spans="1:28" ht="12.75">
      <c r="B124" s="13" t="s">
        <v>107</v>
      </c>
      <c r="C124" s="25" t="s">
        <v>142</v>
      </c>
      <c r="E124" s="38">
        <f t="shared" si="11"/>
        <v>0.18181818181818182</v>
      </c>
      <c r="F124" s="38"/>
      <c r="G124" s="38">
        <f t="shared" si="12"/>
        <v>0.2</v>
      </c>
      <c r="H124" s="38">
        <f t="shared" ref="H124:J124" si="18">IFERROR(H8/G8," ")</f>
        <v>0</v>
      </c>
      <c r="I124" s="38" t="str">
        <f t="shared" si="18"/>
        <v xml:space="preserve"> </v>
      </c>
      <c r="J124" s="38" t="str">
        <f t="shared" si="18"/>
        <v xml:space="preserve"> </v>
      </c>
    </row>
    <row r="125" spans="1:28" ht="12.75">
      <c r="B125" s="13" t="s">
        <v>93</v>
      </c>
      <c r="C125" s="25" t="s">
        <v>147</v>
      </c>
      <c r="E125" s="38">
        <f t="shared" si="11"/>
        <v>0.18518518518518517</v>
      </c>
      <c r="F125" s="38"/>
      <c r="G125" s="38">
        <f t="shared" si="12"/>
        <v>0</v>
      </c>
      <c r="H125" s="38" t="str">
        <f t="shared" ref="H125:J125" si="19">IFERROR(H9/G9," ")</f>
        <v xml:space="preserve"> </v>
      </c>
      <c r="I125" s="38" t="str">
        <f t="shared" si="19"/>
        <v xml:space="preserve"> </v>
      </c>
      <c r="J125" s="38" t="str">
        <f t="shared" si="19"/>
        <v xml:space="preserve"> </v>
      </c>
    </row>
    <row r="126" spans="1:28" ht="12.75">
      <c r="B126" s="13" t="s">
        <v>90</v>
      </c>
      <c r="C126" s="25" t="s">
        <v>147</v>
      </c>
      <c r="E126" s="38">
        <f t="shared" si="11"/>
        <v>0.32075471698113206</v>
      </c>
      <c r="F126" s="38"/>
      <c r="G126" s="38">
        <f t="shared" si="12"/>
        <v>5.8823529411764705E-2</v>
      </c>
      <c r="H126" s="38">
        <f t="shared" ref="H126:J126" si="20">IFERROR(H10/G10," ")</f>
        <v>0</v>
      </c>
      <c r="I126" s="38" t="str">
        <f t="shared" si="20"/>
        <v xml:space="preserve"> </v>
      </c>
      <c r="J126" s="38" t="str">
        <f t="shared" si="20"/>
        <v xml:space="preserve"> </v>
      </c>
    </row>
    <row r="127" spans="1:28" ht="12.75">
      <c r="B127" s="13" t="s">
        <v>113</v>
      </c>
      <c r="C127" s="25" t="s">
        <v>142</v>
      </c>
      <c r="E127" s="38">
        <f t="shared" si="11"/>
        <v>0.22641509433962265</v>
      </c>
      <c r="F127" s="38"/>
      <c r="G127" s="38">
        <f t="shared" si="12"/>
        <v>0</v>
      </c>
      <c r="H127" s="38" t="str">
        <f t="shared" ref="H127:J127" si="21">IFERROR(H11/G11," ")</f>
        <v xml:space="preserve"> </v>
      </c>
      <c r="I127" s="38">
        <f t="shared" si="21"/>
        <v>0</v>
      </c>
      <c r="J127" s="38" t="str">
        <f t="shared" si="21"/>
        <v xml:space="preserve"> </v>
      </c>
    </row>
    <row r="128" spans="1:28" ht="12.75">
      <c r="B128" s="13" t="s">
        <v>109</v>
      </c>
      <c r="C128" s="25" t="s">
        <v>147</v>
      </c>
      <c r="E128" s="38">
        <f t="shared" si="11"/>
        <v>0.43181818181818182</v>
      </c>
      <c r="F128" s="38"/>
      <c r="G128" s="38">
        <f t="shared" si="12"/>
        <v>0.10526315789473684</v>
      </c>
      <c r="H128" s="38">
        <f t="shared" ref="H128:J128" si="22">IFERROR(H12/G12," ")</f>
        <v>0.5</v>
      </c>
      <c r="I128" s="38">
        <f t="shared" si="22"/>
        <v>1</v>
      </c>
      <c r="J128" s="38">
        <f t="shared" si="22"/>
        <v>0</v>
      </c>
    </row>
    <row r="129" spans="2:10" ht="12.75">
      <c r="B129" s="13" t="s">
        <v>115</v>
      </c>
      <c r="C129" s="25" t="s">
        <v>147</v>
      </c>
      <c r="E129" s="38">
        <f t="shared" si="11"/>
        <v>0.29545454545454547</v>
      </c>
      <c r="F129" s="38"/>
      <c r="G129" s="38">
        <f t="shared" si="12"/>
        <v>7.6923076923076927E-2</v>
      </c>
      <c r="H129" s="38">
        <f t="shared" ref="H129:J129" si="23">IFERROR(H13/G13," ")</f>
        <v>0</v>
      </c>
      <c r="I129" s="38" t="str">
        <f t="shared" si="23"/>
        <v xml:space="preserve"> </v>
      </c>
      <c r="J129" s="38" t="str">
        <f t="shared" si="23"/>
        <v xml:space="preserve"> </v>
      </c>
    </row>
    <row r="130" spans="2:10" ht="12.75">
      <c r="B130" s="13" t="s">
        <v>103</v>
      </c>
      <c r="C130" s="25" t="s">
        <v>147</v>
      </c>
      <c r="E130" s="38">
        <f t="shared" si="11"/>
        <v>0.51162790697674421</v>
      </c>
      <c r="F130" s="38"/>
      <c r="G130" s="38">
        <f t="shared" si="12"/>
        <v>0</v>
      </c>
      <c r="H130" s="38" t="str">
        <f t="shared" ref="H130:J130" si="24">IFERROR(H14/G14," ")</f>
        <v xml:space="preserve"> </v>
      </c>
      <c r="I130" s="38" t="str">
        <f t="shared" si="24"/>
        <v xml:space="preserve"> </v>
      </c>
      <c r="J130" s="38" t="str">
        <f t="shared" si="24"/>
        <v xml:space="preserve"> </v>
      </c>
    </row>
    <row r="131" spans="2:10" ht="12.75">
      <c r="B131" s="13" t="s">
        <v>120</v>
      </c>
      <c r="C131" s="25" t="s">
        <v>142</v>
      </c>
      <c r="E131" s="38">
        <f t="shared" si="11"/>
        <v>0.51428571428571423</v>
      </c>
      <c r="F131" s="38"/>
      <c r="G131" s="38">
        <f t="shared" si="12"/>
        <v>0.1111111111111111</v>
      </c>
      <c r="H131" s="38">
        <f t="shared" ref="H131:J131" si="25">IFERROR(H15/G15," ")</f>
        <v>0</v>
      </c>
      <c r="I131" s="38" t="str">
        <f t="shared" si="25"/>
        <v xml:space="preserve"> </v>
      </c>
      <c r="J131" s="38">
        <f t="shared" si="25"/>
        <v>1</v>
      </c>
    </row>
    <row r="132" spans="2:10" ht="12.75">
      <c r="B132" s="13" t="s">
        <v>121</v>
      </c>
      <c r="C132" s="25" t="s">
        <v>142</v>
      </c>
      <c r="E132" s="38">
        <f t="shared" si="11"/>
        <v>0.55882352941176472</v>
      </c>
      <c r="F132" s="38"/>
      <c r="G132" s="38">
        <f t="shared" si="12"/>
        <v>0.21052631578947367</v>
      </c>
      <c r="H132" s="38">
        <f t="shared" ref="H132:J132" si="26">IFERROR(H16/G16," ")</f>
        <v>0</v>
      </c>
      <c r="I132" s="38" t="str">
        <f t="shared" si="26"/>
        <v xml:space="preserve"> </v>
      </c>
      <c r="J132" s="38" t="str">
        <f t="shared" si="26"/>
        <v xml:space="preserve"> </v>
      </c>
    </row>
    <row r="133" spans="2:10" ht="12.75">
      <c r="B133" s="13" t="s">
        <v>81</v>
      </c>
      <c r="C133" s="25" t="s">
        <v>147</v>
      </c>
      <c r="E133" s="38">
        <f t="shared" si="11"/>
        <v>0.5</v>
      </c>
      <c r="F133" s="38"/>
      <c r="G133" s="38">
        <f t="shared" si="12"/>
        <v>0.11764705882352941</v>
      </c>
      <c r="H133" s="38">
        <f t="shared" ref="H133:J133" si="27">IFERROR(H17/G17," ")</f>
        <v>0</v>
      </c>
      <c r="I133" s="38" t="str">
        <f t="shared" si="27"/>
        <v xml:space="preserve"> </v>
      </c>
      <c r="J133" s="38">
        <f t="shared" si="27"/>
        <v>0</v>
      </c>
    </row>
    <row r="134" spans="2:10" ht="12.75">
      <c r="B134" s="13" t="s">
        <v>92</v>
      </c>
      <c r="C134" s="25" t="s">
        <v>147</v>
      </c>
      <c r="E134" s="38">
        <f t="shared" si="11"/>
        <v>0.21875</v>
      </c>
      <c r="F134" s="38"/>
      <c r="G134" s="38">
        <f t="shared" si="12"/>
        <v>0</v>
      </c>
      <c r="H134" s="38" t="str">
        <f t="shared" ref="H134:J134" si="28">IFERROR(H18/G18," ")</f>
        <v xml:space="preserve"> </v>
      </c>
      <c r="I134" s="38">
        <f t="shared" si="28"/>
        <v>1</v>
      </c>
      <c r="J134" s="38">
        <f t="shared" si="28"/>
        <v>0</v>
      </c>
    </row>
    <row r="135" spans="2:10" ht="12.75">
      <c r="B135" s="13" t="s">
        <v>57</v>
      </c>
      <c r="C135" s="13" t="s">
        <v>147</v>
      </c>
      <c r="E135" s="38">
        <f t="shared" si="11"/>
        <v>0.35483870967741937</v>
      </c>
      <c r="F135" s="38"/>
      <c r="G135" s="38">
        <f t="shared" si="12"/>
        <v>0.18181818181818182</v>
      </c>
      <c r="H135" s="38">
        <f t="shared" ref="H135:J135" si="29">IFERROR(H19/G19," ")</f>
        <v>0</v>
      </c>
      <c r="I135" s="38" t="str">
        <f t="shared" si="29"/>
        <v xml:space="preserve"> </v>
      </c>
      <c r="J135" s="38" t="str">
        <f t="shared" si="29"/>
        <v xml:space="preserve"> </v>
      </c>
    </row>
    <row r="136" spans="2:10" ht="12.75">
      <c r="B136" s="13" t="s">
        <v>105</v>
      </c>
      <c r="C136" s="25" t="s">
        <v>142</v>
      </c>
      <c r="E136" s="38">
        <f t="shared" si="11"/>
        <v>0.35483870967741937</v>
      </c>
      <c r="F136" s="38"/>
      <c r="G136" s="38">
        <f t="shared" si="12"/>
        <v>9.0909090909090912E-2</v>
      </c>
      <c r="H136" s="38">
        <f t="shared" ref="H136:J136" si="30">IFERROR(H20/G20," ")</f>
        <v>0</v>
      </c>
      <c r="I136" s="38" t="str">
        <f t="shared" si="30"/>
        <v xml:space="preserve"> </v>
      </c>
      <c r="J136" s="38" t="str">
        <f t="shared" si="30"/>
        <v xml:space="preserve"> </v>
      </c>
    </row>
    <row r="137" spans="2:10" ht="12.75">
      <c r="B137" s="13" t="s">
        <v>19</v>
      </c>
      <c r="C137" s="25" t="s">
        <v>147</v>
      </c>
      <c r="E137" s="38">
        <f t="shared" si="11"/>
        <v>9.6774193548387094E-2</v>
      </c>
      <c r="F137" s="38"/>
      <c r="G137" s="38">
        <f t="shared" si="12"/>
        <v>0</v>
      </c>
      <c r="H137" s="38" t="str">
        <f t="shared" ref="H137:J137" si="31">IFERROR(H21/G21," ")</f>
        <v xml:space="preserve"> </v>
      </c>
      <c r="I137" s="38" t="str">
        <f t="shared" si="31"/>
        <v xml:space="preserve"> </v>
      </c>
      <c r="J137" s="38" t="str">
        <f t="shared" si="31"/>
        <v xml:space="preserve"> </v>
      </c>
    </row>
    <row r="138" spans="2:10" ht="12.75">
      <c r="B138" s="13" t="s">
        <v>114</v>
      </c>
      <c r="C138" s="25" t="s">
        <v>142</v>
      </c>
      <c r="E138" s="38">
        <f t="shared" si="11"/>
        <v>0.2</v>
      </c>
      <c r="F138" s="38"/>
      <c r="G138" s="38">
        <f t="shared" si="12"/>
        <v>0.66666666666666663</v>
      </c>
      <c r="H138" s="38">
        <f t="shared" ref="H138:J138" si="32">IFERROR(H22/G22," ")</f>
        <v>0</v>
      </c>
      <c r="I138" s="38" t="str">
        <f t="shared" si="32"/>
        <v xml:space="preserve"> </v>
      </c>
      <c r="J138" s="38" t="str">
        <f t="shared" si="32"/>
        <v xml:space="preserve"> </v>
      </c>
    </row>
    <row r="139" spans="2:10" ht="12.75">
      <c r="B139" s="13" t="s">
        <v>58</v>
      </c>
      <c r="C139" s="25" t="s">
        <v>147</v>
      </c>
      <c r="E139" s="38">
        <f t="shared" si="11"/>
        <v>0.2</v>
      </c>
      <c r="F139" s="38"/>
      <c r="G139" s="38">
        <f t="shared" si="12"/>
        <v>0</v>
      </c>
      <c r="H139" s="38" t="str">
        <f t="shared" ref="H139:J139" si="33">IFERROR(H23/G23," ")</f>
        <v xml:space="preserve"> </v>
      </c>
      <c r="I139" s="38" t="str">
        <f t="shared" si="33"/>
        <v xml:space="preserve"> </v>
      </c>
      <c r="J139" s="38" t="str">
        <f t="shared" si="33"/>
        <v xml:space="preserve"> </v>
      </c>
    </row>
    <row r="140" spans="2:10" ht="12.75">
      <c r="B140" s="13" t="s">
        <v>80</v>
      </c>
      <c r="C140" s="25" t="s">
        <v>147</v>
      </c>
      <c r="E140" s="38">
        <f t="shared" si="11"/>
        <v>0.27586206896551724</v>
      </c>
      <c r="F140" s="38"/>
      <c r="G140" s="38">
        <f t="shared" si="12"/>
        <v>0</v>
      </c>
      <c r="H140" s="38" t="str">
        <f t="shared" ref="H140:J140" si="34">IFERROR(H24/G24," ")</f>
        <v xml:space="preserve"> </v>
      </c>
      <c r="I140" s="38" t="str">
        <f t="shared" si="34"/>
        <v xml:space="preserve"> </v>
      </c>
      <c r="J140" s="38" t="str">
        <f t="shared" si="34"/>
        <v xml:space="preserve"> </v>
      </c>
    </row>
    <row r="141" spans="2:10" ht="12.75">
      <c r="B141" s="13" t="s">
        <v>28</v>
      </c>
      <c r="C141" s="25" t="s">
        <v>147</v>
      </c>
      <c r="E141" s="38">
        <f t="shared" si="11"/>
        <v>0.2857142857142857</v>
      </c>
      <c r="F141" s="38"/>
      <c r="G141" s="38">
        <f t="shared" si="12"/>
        <v>0.125</v>
      </c>
      <c r="H141" s="38">
        <f t="shared" ref="H141:J141" si="35">IFERROR(H25/G25," ")</f>
        <v>0</v>
      </c>
      <c r="I141" s="38" t="str">
        <f t="shared" si="35"/>
        <v xml:space="preserve"> </v>
      </c>
      <c r="J141" s="38" t="str">
        <f t="shared" si="35"/>
        <v xml:space="preserve"> </v>
      </c>
    </row>
    <row r="142" spans="2:10" ht="12.75">
      <c r="B142" s="13" t="s">
        <v>127</v>
      </c>
      <c r="C142" s="25" t="s">
        <v>142</v>
      </c>
      <c r="E142" s="38">
        <f t="shared" si="11"/>
        <v>0.32142857142857145</v>
      </c>
      <c r="F142" s="38"/>
      <c r="G142" s="38">
        <f t="shared" si="12"/>
        <v>0.1111111111111111</v>
      </c>
      <c r="H142" s="38">
        <f t="shared" ref="H142:J142" si="36">IFERROR(H26/G26," ")</f>
        <v>1</v>
      </c>
      <c r="I142" s="38">
        <f t="shared" si="36"/>
        <v>1</v>
      </c>
      <c r="J142" s="38">
        <f t="shared" si="36"/>
        <v>0</v>
      </c>
    </row>
    <row r="143" spans="2:10" ht="12.75">
      <c r="B143" s="13" t="s">
        <v>130</v>
      </c>
      <c r="C143" s="13" t="s">
        <v>147</v>
      </c>
      <c r="E143" s="38">
        <f t="shared" si="11"/>
        <v>0</v>
      </c>
      <c r="F143" s="38"/>
      <c r="G143" s="38" t="str">
        <f t="shared" si="12"/>
        <v xml:space="preserve"> </v>
      </c>
      <c r="H143" s="38" t="str">
        <f t="shared" ref="H143:J143" si="37">IFERROR(H27/G27," ")</f>
        <v xml:space="preserve"> </v>
      </c>
      <c r="I143" s="38" t="str">
        <f t="shared" si="37"/>
        <v xml:space="preserve"> </v>
      </c>
      <c r="J143" s="38" t="str">
        <f t="shared" si="37"/>
        <v xml:space="preserve"> </v>
      </c>
    </row>
    <row r="144" spans="2:10" ht="12.75">
      <c r="B144" s="13" t="s">
        <v>131</v>
      </c>
      <c r="C144" s="25" t="s">
        <v>142</v>
      </c>
      <c r="E144" s="38">
        <f t="shared" si="11"/>
        <v>0.17857142857142858</v>
      </c>
      <c r="F144" s="38"/>
      <c r="G144" s="38">
        <f t="shared" si="12"/>
        <v>0</v>
      </c>
      <c r="H144" s="38" t="str">
        <f t="shared" ref="H144:J144" si="38">IFERROR(H28/G28," ")</f>
        <v xml:space="preserve"> </v>
      </c>
      <c r="I144" s="38" t="str">
        <f t="shared" si="38"/>
        <v xml:space="preserve"> </v>
      </c>
      <c r="J144" s="38" t="str">
        <f t="shared" si="38"/>
        <v xml:space="preserve"> </v>
      </c>
    </row>
    <row r="145" spans="2:10" ht="12.75">
      <c r="B145" s="13" t="s">
        <v>49</v>
      </c>
      <c r="C145" s="25" t="s">
        <v>147</v>
      </c>
      <c r="E145" s="38">
        <f t="shared" si="11"/>
        <v>0.17857142857142858</v>
      </c>
      <c r="F145" s="38"/>
      <c r="G145" s="38">
        <f t="shared" si="12"/>
        <v>0</v>
      </c>
      <c r="H145" s="38" t="str">
        <f t="shared" ref="H145:J145" si="39">IFERROR(H29/G29," ")</f>
        <v xml:space="preserve"> </v>
      </c>
      <c r="I145" s="38">
        <f t="shared" si="39"/>
        <v>0</v>
      </c>
      <c r="J145" s="38" t="str">
        <f t="shared" si="39"/>
        <v xml:space="preserve"> </v>
      </c>
    </row>
    <row r="146" spans="2:10" ht="12.75">
      <c r="B146" s="13" t="s">
        <v>56</v>
      </c>
      <c r="C146" s="25" t="s">
        <v>147</v>
      </c>
      <c r="E146" s="38">
        <f t="shared" si="11"/>
        <v>0.44444444444444442</v>
      </c>
      <c r="F146" s="38"/>
      <c r="G146" s="38">
        <f t="shared" si="12"/>
        <v>8.3333333333333329E-2</v>
      </c>
      <c r="H146" s="38">
        <f t="shared" ref="H146:J146" si="40">IFERROR(H30/G30," ")</f>
        <v>0</v>
      </c>
      <c r="I146" s="38" t="str">
        <f t="shared" si="40"/>
        <v xml:space="preserve"> </v>
      </c>
      <c r="J146" s="38" t="str">
        <f t="shared" si="40"/>
        <v xml:space="preserve"> </v>
      </c>
    </row>
    <row r="147" spans="2:10" ht="12.75">
      <c r="B147" s="13" t="s">
        <v>70</v>
      </c>
      <c r="C147" s="25" t="s">
        <v>147</v>
      </c>
      <c r="E147" s="38">
        <f t="shared" si="11"/>
        <v>0.18518518518518517</v>
      </c>
      <c r="F147" s="38"/>
      <c r="G147" s="38">
        <f t="shared" si="12"/>
        <v>0</v>
      </c>
      <c r="H147" s="38" t="str">
        <f t="shared" ref="H147:J147" si="41">IFERROR(H31/G31," ")</f>
        <v xml:space="preserve"> </v>
      </c>
      <c r="I147" s="38" t="str">
        <f t="shared" si="41"/>
        <v xml:space="preserve"> </v>
      </c>
      <c r="J147" s="38" t="str">
        <f t="shared" si="41"/>
        <v xml:space="preserve"> </v>
      </c>
    </row>
    <row r="148" spans="2:10" ht="12.75">
      <c r="B148" s="13" t="s">
        <v>85</v>
      </c>
      <c r="C148" s="25" t="s">
        <v>147</v>
      </c>
      <c r="E148" s="38">
        <f t="shared" si="11"/>
        <v>0.44444444444444442</v>
      </c>
      <c r="F148" s="38"/>
      <c r="G148" s="38">
        <f t="shared" si="12"/>
        <v>0</v>
      </c>
      <c r="H148" s="38" t="str">
        <f t="shared" ref="H148:J148" si="42">IFERROR(H32/G32," ")</f>
        <v xml:space="preserve"> </v>
      </c>
      <c r="I148" s="38" t="str">
        <f t="shared" si="42"/>
        <v xml:space="preserve"> </v>
      </c>
      <c r="J148" s="38" t="str">
        <f t="shared" si="42"/>
        <v xml:space="preserve"> </v>
      </c>
    </row>
    <row r="149" spans="2:10" ht="12.75">
      <c r="B149" s="13" t="s">
        <v>101</v>
      </c>
      <c r="C149" s="25" t="s">
        <v>147</v>
      </c>
      <c r="E149" s="38">
        <f t="shared" si="11"/>
        <v>0.38461538461538464</v>
      </c>
      <c r="F149" s="38"/>
      <c r="G149" s="38">
        <f t="shared" si="12"/>
        <v>0</v>
      </c>
      <c r="H149" s="38" t="str">
        <f t="shared" ref="H149:J149" si="43">IFERROR(H33/G33," ")</f>
        <v xml:space="preserve"> </v>
      </c>
      <c r="I149" s="38">
        <f t="shared" si="43"/>
        <v>0</v>
      </c>
      <c r="J149" s="38" t="str">
        <f t="shared" si="43"/>
        <v xml:space="preserve"> </v>
      </c>
    </row>
    <row r="150" spans="2:10" ht="12.75">
      <c r="B150" s="13" t="s">
        <v>52</v>
      </c>
      <c r="C150" s="25" t="s">
        <v>142</v>
      </c>
      <c r="E150" s="38">
        <f t="shared" si="11"/>
        <v>0.19230769230769232</v>
      </c>
      <c r="F150" s="38"/>
      <c r="G150" s="38">
        <f t="shared" si="12"/>
        <v>0</v>
      </c>
      <c r="H150" s="38" t="str">
        <f t="shared" ref="H150:J150" si="44">IFERROR(H34/G34," ")</f>
        <v xml:space="preserve"> </v>
      </c>
      <c r="I150" s="38" t="str">
        <f t="shared" si="44"/>
        <v xml:space="preserve"> </v>
      </c>
      <c r="J150" s="38" t="str">
        <f t="shared" si="44"/>
        <v xml:space="preserve"> </v>
      </c>
    </row>
    <row r="151" spans="2:10" ht="12.75">
      <c r="B151" s="13" t="s">
        <v>61</v>
      </c>
      <c r="C151" s="25" t="s">
        <v>147</v>
      </c>
      <c r="E151" s="38">
        <f t="shared" si="11"/>
        <v>0.12</v>
      </c>
      <c r="F151" s="38"/>
      <c r="G151" s="38">
        <f t="shared" si="12"/>
        <v>0</v>
      </c>
      <c r="H151" s="38" t="str">
        <f t="shared" ref="H151:J151" si="45">IFERROR(H35/G35," ")</f>
        <v xml:space="preserve"> </v>
      </c>
      <c r="I151" s="38" t="str">
        <f t="shared" si="45"/>
        <v xml:space="preserve"> </v>
      </c>
      <c r="J151" s="38" t="str">
        <f t="shared" si="45"/>
        <v xml:space="preserve"> </v>
      </c>
    </row>
    <row r="152" spans="2:10" ht="12.75">
      <c r="B152" s="13" t="s">
        <v>88</v>
      </c>
      <c r="C152" s="25" t="s">
        <v>142</v>
      </c>
      <c r="E152" s="38">
        <f t="shared" si="11"/>
        <v>0.2608695652173913</v>
      </c>
      <c r="F152" s="38"/>
      <c r="G152" s="38">
        <f t="shared" si="12"/>
        <v>0.16666666666666666</v>
      </c>
      <c r="H152" s="38">
        <f t="shared" ref="H152:J152" si="46">IFERROR(H36/G36," ")</f>
        <v>0</v>
      </c>
      <c r="I152" s="38" t="str">
        <f t="shared" si="46"/>
        <v xml:space="preserve"> </v>
      </c>
      <c r="J152" s="38" t="str">
        <f t="shared" si="46"/>
        <v xml:space="preserve"> </v>
      </c>
    </row>
    <row r="153" spans="2:10" ht="12.75">
      <c r="B153" s="13" t="s">
        <v>55</v>
      </c>
      <c r="C153" s="25" t="s">
        <v>142</v>
      </c>
      <c r="E153" s="38">
        <f t="shared" si="11"/>
        <v>8.6956521739130432E-2</v>
      </c>
      <c r="F153" s="38"/>
      <c r="G153" s="38">
        <f t="shared" si="12"/>
        <v>0</v>
      </c>
      <c r="H153" s="38" t="str">
        <f t="shared" ref="H153:J153" si="47">IFERROR(H37/G37," ")</f>
        <v xml:space="preserve"> </v>
      </c>
      <c r="I153" s="38" t="str">
        <f t="shared" si="47"/>
        <v xml:space="preserve"> </v>
      </c>
      <c r="J153" s="38" t="str">
        <f t="shared" si="47"/>
        <v xml:space="preserve"> </v>
      </c>
    </row>
    <row r="154" spans="2:10" ht="12.75">
      <c r="B154" s="13" t="s">
        <v>46</v>
      </c>
      <c r="C154" s="25" t="s">
        <v>147</v>
      </c>
      <c r="E154" s="38">
        <f t="shared" si="11"/>
        <v>0.18181818181818182</v>
      </c>
      <c r="F154" s="38"/>
      <c r="G154" s="38">
        <f t="shared" si="12"/>
        <v>0</v>
      </c>
      <c r="H154" s="38" t="str">
        <f t="shared" ref="H154:J154" si="48">IFERROR(H38/G38," ")</f>
        <v xml:space="preserve"> </v>
      </c>
      <c r="I154" s="38" t="str">
        <f t="shared" si="48"/>
        <v xml:space="preserve"> </v>
      </c>
      <c r="J154" s="38" t="str">
        <f t="shared" si="48"/>
        <v xml:space="preserve"> </v>
      </c>
    </row>
    <row r="155" spans="2:10" ht="12.75">
      <c r="B155" s="13" t="s">
        <v>133</v>
      </c>
      <c r="C155" s="25" t="s">
        <v>142</v>
      </c>
      <c r="E155" s="38">
        <f t="shared" si="11"/>
        <v>0.2857142857142857</v>
      </c>
      <c r="F155" s="38"/>
      <c r="G155" s="38">
        <f t="shared" si="12"/>
        <v>0.33333333333333331</v>
      </c>
      <c r="H155" s="38">
        <f t="shared" ref="H155:J155" si="49">IFERROR(H39/G39," ")</f>
        <v>0</v>
      </c>
      <c r="I155" s="38" t="str">
        <f t="shared" si="49"/>
        <v xml:space="preserve"> </v>
      </c>
      <c r="J155" s="38" t="str">
        <f t="shared" si="49"/>
        <v xml:space="preserve"> </v>
      </c>
    </row>
    <row r="156" spans="2:10" ht="12.75">
      <c r="B156" s="13" t="s">
        <v>134</v>
      </c>
      <c r="C156" s="25" t="s">
        <v>142</v>
      </c>
      <c r="E156" s="38">
        <f t="shared" si="11"/>
        <v>0.2857142857142857</v>
      </c>
      <c r="F156" s="38"/>
      <c r="G156" s="38">
        <f t="shared" si="12"/>
        <v>0.16666666666666666</v>
      </c>
      <c r="H156" s="38">
        <f t="shared" ref="H156:J156" si="50">IFERROR(H40/G40," ")</f>
        <v>0</v>
      </c>
      <c r="I156" s="38" t="str">
        <f t="shared" si="50"/>
        <v xml:space="preserve"> </v>
      </c>
      <c r="J156" s="38" t="str">
        <f t="shared" si="50"/>
        <v xml:space="preserve"> </v>
      </c>
    </row>
    <row r="157" spans="2:10" ht="12.75">
      <c r="B157" s="13" t="s">
        <v>135</v>
      </c>
      <c r="C157" s="25" t="s">
        <v>147</v>
      </c>
      <c r="E157" s="38">
        <f t="shared" si="11"/>
        <v>0.2857142857142857</v>
      </c>
      <c r="F157" s="38"/>
      <c r="G157" s="38">
        <f t="shared" si="12"/>
        <v>0</v>
      </c>
      <c r="H157" s="38" t="str">
        <f t="shared" ref="H157:J157" si="51">IFERROR(H41/G41," ")</f>
        <v xml:space="preserve"> </v>
      </c>
      <c r="I157" s="38" t="str">
        <f t="shared" si="51"/>
        <v xml:space="preserve"> </v>
      </c>
      <c r="J157" s="38" t="str">
        <f t="shared" si="51"/>
        <v xml:space="preserve"> </v>
      </c>
    </row>
    <row r="158" spans="2:10" ht="12.75">
      <c r="B158" s="13" t="s">
        <v>136</v>
      </c>
      <c r="C158" s="25" t="s">
        <v>147</v>
      </c>
      <c r="E158" s="38">
        <f t="shared" si="11"/>
        <v>0.19047619047619047</v>
      </c>
      <c r="F158" s="38"/>
      <c r="G158" s="38">
        <f t="shared" si="12"/>
        <v>0</v>
      </c>
      <c r="H158" s="38" t="str">
        <f t="shared" ref="H158:J158" si="52">IFERROR(H42/G42," ")</f>
        <v xml:space="preserve"> </v>
      </c>
      <c r="I158" s="38" t="str">
        <f t="shared" si="52"/>
        <v xml:space="preserve"> </v>
      </c>
      <c r="J158" s="38" t="str">
        <f t="shared" si="52"/>
        <v xml:space="preserve"> </v>
      </c>
    </row>
    <row r="159" spans="2:10" ht="12.75">
      <c r="B159" s="13" t="s">
        <v>137</v>
      </c>
      <c r="C159" s="25" t="s">
        <v>147</v>
      </c>
      <c r="E159" s="38">
        <f t="shared" si="11"/>
        <v>0.14285714285714285</v>
      </c>
      <c r="F159" s="38"/>
      <c r="G159" s="38">
        <f t="shared" si="12"/>
        <v>0</v>
      </c>
      <c r="H159" s="38" t="str">
        <f t="shared" ref="H159:J159" si="53">IFERROR(H43/G43," ")</f>
        <v xml:space="preserve"> </v>
      </c>
      <c r="I159" s="38" t="str">
        <f t="shared" si="53"/>
        <v xml:space="preserve"> </v>
      </c>
      <c r="J159" s="38" t="str">
        <f t="shared" si="53"/>
        <v xml:space="preserve"> </v>
      </c>
    </row>
    <row r="160" spans="2:10" ht="12.75">
      <c r="B160" s="13" t="s">
        <v>32</v>
      </c>
      <c r="C160" s="25" t="s">
        <v>147</v>
      </c>
      <c r="E160" s="38">
        <f t="shared" si="11"/>
        <v>0.25</v>
      </c>
      <c r="F160" s="38"/>
      <c r="G160" s="38">
        <f t="shared" si="12"/>
        <v>0</v>
      </c>
      <c r="H160" s="38" t="str">
        <f t="shared" ref="H160:J160" si="54">IFERROR(H44/G44," ")</f>
        <v xml:space="preserve"> </v>
      </c>
      <c r="I160" s="38" t="str">
        <f t="shared" si="54"/>
        <v xml:space="preserve"> </v>
      </c>
      <c r="J160" s="38" t="str">
        <f t="shared" si="54"/>
        <v xml:space="preserve"> </v>
      </c>
    </row>
    <row r="161" spans="2:10" ht="12.75">
      <c r="B161" s="13" t="s">
        <v>26</v>
      </c>
      <c r="C161" s="25" t="s">
        <v>147</v>
      </c>
      <c r="E161" s="38">
        <f t="shared" si="11"/>
        <v>0.7</v>
      </c>
      <c r="F161" s="38"/>
      <c r="G161" s="38">
        <f t="shared" si="12"/>
        <v>0</v>
      </c>
      <c r="H161" s="38" t="str">
        <f t="shared" ref="H161:J161" si="55">IFERROR(H45/G45," ")</f>
        <v xml:space="preserve"> </v>
      </c>
      <c r="I161" s="38" t="str">
        <f t="shared" si="55"/>
        <v xml:space="preserve"> </v>
      </c>
      <c r="J161" s="38" t="str">
        <f t="shared" si="55"/>
        <v xml:space="preserve"> </v>
      </c>
    </row>
    <row r="162" spans="2:10" ht="12.75">
      <c r="B162" s="13" t="s">
        <v>45</v>
      </c>
      <c r="C162" s="25" t="s">
        <v>147</v>
      </c>
      <c r="E162" s="38">
        <f t="shared" si="11"/>
        <v>5.2631578947368418E-2</v>
      </c>
      <c r="F162" s="38"/>
      <c r="G162" s="38">
        <f t="shared" si="12"/>
        <v>1</v>
      </c>
      <c r="H162" s="38">
        <f t="shared" ref="H162:J162" si="56">IFERROR(H46/G46," ")</f>
        <v>0</v>
      </c>
      <c r="I162" s="38" t="str">
        <f t="shared" si="56"/>
        <v xml:space="preserve"> </v>
      </c>
      <c r="J162" s="38" t="str">
        <f t="shared" si="56"/>
        <v xml:space="preserve"> </v>
      </c>
    </row>
    <row r="163" spans="2:10" ht="12.75">
      <c r="B163" s="13" t="s">
        <v>73</v>
      </c>
      <c r="C163" s="25" t="s">
        <v>147</v>
      </c>
      <c r="E163" s="38">
        <f t="shared" si="11"/>
        <v>5.2631578947368418E-2</v>
      </c>
      <c r="F163" s="38"/>
      <c r="G163" s="38">
        <f t="shared" si="12"/>
        <v>1</v>
      </c>
      <c r="H163" s="38">
        <f t="shared" ref="H163:J163" si="57">IFERROR(H47/G47," ")</f>
        <v>0</v>
      </c>
      <c r="I163" s="38" t="str">
        <f t="shared" si="57"/>
        <v xml:space="preserve"> </v>
      </c>
      <c r="J163" s="38" t="str">
        <f t="shared" si="57"/>
        <v xml:space="preserve"> </v>
      </c>
    </row>
    <row r="164" spans="2:10" ht="12.75">
      <c r="B164" s="13" t="s">
        <v>54</v>
      </c>
      <c r="C164" s="25" t="s">
        <v>147</v>
      </c>
      <c r="E164" s="38">
        <f t="shared" si="11"/>
        <v>5.2631578947368418E-2</v>
      </c>
      <c r="F164" s="38"/>
      <c r="G164" s="38">
        <f t="shared" si="12"/>
        <v>0</v>
      </c>
      <c r="H164" s="38" t="str">
        <f t="shared" ref="H164:J164" si="58">IFERROR(H48/G48," ")</f>
        <v xml:space="preserve"> </v>
      </c>
      <c r="I164" s="38" t="str">
        <f t="shared" si="58"/>
        <v xml:space="preserve"> </v>
      </c>
      <c r="J164" s="38" t="str">
        <f t="shared" si="58"/>
        <v xml:space="preserve"> </v>
      </c>
    </row>
    <row r="165" spans="2:10" ht="12.75">
      <c r="B165" s="13" t="s">
        <v>79</v>
      </c>
      <c r="C165" s="25" t="s">
        <v>147</v>
      </c>
      <c r="E165" s="38">
        <f t="shared" si="11"/>
        <v>0.44444444444444442</v>
      </c>
      <c r="F165" s="38"/>
      <c r="G165" s="38">
        <f t="shared" si="12"/>
        <v>0</v>
      </c>
      <c r="H165" s="38" t="str">
        <f t="shared" ref="H165:J165" si="59">IFERROR(H49/G49," ")</f>
        <v xml:space="preserve"> </v>
      </c>
      <c r="I165" s="38" t="str">
        <f t="shared" si="59"/>
        <v xml:space="preserve"> </v>
      </c>
      <c r="J165" s="38" t="str">
        <f t="shared" si="59"/>
        <v xml:space="preserve"> </v>
      </c>
    </row>
    <row r="166" spans="2:10" ht="12.75">
      <c r="B166" s="13" t="s">
        <v>50</v>
      </c>
      <c r="C166" s="25" t="s">
        <v>147</v>
      </c>
      <c r="E166" s="38">
        <f t="shared" si="11"/>
        <v>5.5555555555555552E-2</v>
      </c>
      <c r="F166" s="38"/>
      <c r="G166" s="38">
        <f t="shared" si="12"/>
        <v>0</v>
      </c>
      <c r="H166" s="38" t="str">
        <f t="shared" ref="H166:J166" si="60">IFERROR(H50/G50," ")</f>
        <v xml:space="preserve"> </v>
      </c>
      <c r="I166" s="38" t="str">
        <f t="shared" si="60"/>
        <v xml:space="preserve"> </v>
      </c>
      <c r="J166" s="38" t="str">
        <f t="shared" si="60"/>
        <v xml:space="preserve"> </v>
      </c>
    </row>
    <row r="167" spans="2:10" ht="12.75">
      <c r="B167" s="13" t="s">
        <v>36</v>
      </c>
      <c r="C167" s="25" t="s">
        <v>147</v>
      </c>
      <c r="E167" s="38">
        <f t="shared" si="11"/>
        <v>0.27777777777777779</v>
      </c>
      <c r="F167" s="38"/>
      <c r="G167" s="38">
        <f t="shared" si="12"/>
        <v>0</v>
      </c>
      <c r="H167" s="38" t="str">
        <f t="shared" ref="H167:J167" si="61">IFERROR(H51/G51," ")</f>
        <v xml:space="preserve"> </v>
      </c>
      <c r="I167" s="38">
        <f t="shared" si="61"/>
        <v>0</v>
      </c>
      <c r="J167" s="38" t="str">
        <f t="shared" si="61"/>
        <v xml:space="preserve"> </v>
      </c>
    </row>
    <row r="168" spans="2:10" ht="12.75">
      <c r="B168" s="13" t="s">
        <v>48</v>
      </c>
      <c r="C168" s="25" t="s">
        <v>147</v>
      </c>
      <c r="E168" s="38">
        <f t="shared" si="11"/>
        <v>0.17647058823529413</v>
      </c>
      <c r="F168" s="38"/>
      <c r="G168" s="38">
        <f t="shared" si="12"/>
        <v>0.33333333333333331</v>
      </c>
      <c r="H168" s="38">
        <f t="shared" ref="H168:J168" si="62">IFERROR(H52/G52," ")</f>
        <v>0</v>
      </c>
      <c r="I168" s="38" t="str">
        <f t="shared" si="62"/>
        <v xml:space="preserve"> </v>
      </c>
      <c r="J168" s="38" t="str">
        <f t="shared" si="62"/>
        <v xml:space="preserve"> </v>
      </c>
    </row>
    <row r="169" spans="2:10" ht="12.75">
      <c r="B169" s="13" t="s">
        <v>33</v>
      </c>
      <c r="C169" s="25" t="s">
        <v>147</v>
      </c>
      <c r="E169" s="38">
        <f t="shared" si="11"/>
        <v>0.35294117647058826</v>
      </c>
      <c r="F169" s="38"/>
      <c r="G169" s="38">
        <f t="shared" si="12"/>
        <v>0</v>
      </c>
      <c r="H169" s="38" t="str">
        <f t="shared" ref="H169:J169" si="63">IFERROR(H53/G53," ")</f>
        <v xml:space="preserve"> </v>
      </c>
      <c r="I169" s="38" t="str">
        <f t="shared" si="63"/>
        <v xml:space="preserve"> </v>
      </c>
      <c r="J169" s="38" t="str">
        <f t="shared" si="63"/>
        <v xml:space="preserve"> </v>
      </c>
    </row>
    <row r="170" spans="2:10" ht="12.75">
      <c r="B170" s="13" t="s">
        <v>140</v>
      </c>
      <c r="C170" s="25" t="s">
        <v>142</v>
      </c>
      <c r="E170" s="38">
        <f t="shared" si="11"/>
        <v>6.25E-2</v>
      </c>
      <c r="F170" s="38"/>
      <c r="G170" s="38">
        <f t="shared" si="12"/>
        <v>0</v>
      </c>
      <c r="H170" s="38" t="str">
        <f t="shared" ref="H170:J170" si="64">IFERROR(H54/G54," ")</f>
        <v xml:space="preserve"> </v>
      </c>
      <c r="I170" s="38" t="str">
        <f t="shared" si="64"/>
        <v xml:space="preserve"> </v>
      </c>
      <c r="J170" s="38" t="str">
        <f t="shared" si="64"/>
        <v xml:space="preserve"> </v>
      </c>
    </row>
    <row r="171" spans="2:10" ht="12.75">
      <c r="B171" s="13" t="s">
        <v>116</v>
      </c>
      <c r="C171" s="25" t="s">
        <v>147</v>
      </c>
      <c r="E171" s="38">
        <f t="shared" si="11"/>
        <v>0.25</v>
      </c>
      <c r="F171" s="38"/>
      <c r="G171" s="38">
        <f t="shared" si="12"/>
        <v>0</v>
      </c>
      <c r="H171" s="38" t="str">
        <f t="shared" ref="H171:J171" si="65">IFERROR(H55/G55," ")</f>
        <v xml:space="preserve"> </v>
      </c>
      <c r="I171" s="38" t="str">
        <f t="shared" si="65"/>
        <v xml:space="preserve"> </v>
      </c>
      <c r="J171" s="38" t="str">
        <f t="shared" si="65"/>
        <v xml:space="preserve"> </v>
      </c>
    </row>
    <row r="172" spans="2:10" ht="12.75">
      <c r="B172" s="13" t="s">
        <v>72</v>
      </c>
      <c r="C172" s="25" t="s">
        <v>147</v>
      </c>
      <c r="E172" s="38">
        <f t="shared" si="11"/>
        <v>0.14285714285714285</v>
      </c>
      <c r="F172" s="38"/>
      <c r="G172" s="38">
        <f t="shared" si="12"/>
        <v>0</v>
      </c>
      <c r="H172" s="38" t="str">
        <f t="shared" ref="H172:J172" si="66">IFERROR(H56/G56," ")</f>
        <v xml:space="preserve"> </v>
      </c>
      <c r="I172" s="38" t="str">
        <f t="shared" si="66"/>
        <v xml:space="preserve"> </v>
      </c>
      <c r="J172" s="38" t="str">
        <f t="shared" si="66"/>
        <v xml:space="preserve"> </v>
      </c>
    </row>
    <row r="173" spans="2:10" ht="12.75">
      <c r="B173" s="13" t="s">
        <v>141</v>
      </c>
      <c r="C173" s="25" t="s">
        <v>142</v>
      </c>
      <c r="E173" s="38">
        <f t="shared" si="11"/>
        <v>0.21428571428571427</v>
      </c>
      <c r="F173" s="38"/>
      <c r="G173" s="38">
        <f t="shared" si="12"/>
        <v>0</v>
      </c>
      <c r="H173" s="38" t="str">
        <f t="shared" ref="H173:J173" si="67">IFERROR(H57/G57," ")</f>
        <v xml:space="preserve"> </v>
      </c>
      <c r="I173" s="38" t="str">
        <f t="shared" si="67"/>
        <v xml:space="preserve"> </v>
      </c>
      <c r="J173" s="38" t="str">
        <f t="shared" si="67"/>
        <v xml:space="preserve"> </v>
      </c>
    </row>
    <row r="174" spans="2:10" ht="12.75">
      <c r="B174" s="13" t="s">
        <v>94</v>
      </c>
      <c r="C174" s="25" t="s">
        <v>142</v>
      </c>
      <c r="E174" s="38">
        <f t="shared" si="11"/>
        <v>7.1428571428571425E-2</v>
      </c>
      <c r="F174" s="38"/>
      <c r="G174" s="38">
        <f t="shared" si="12"/>
        <v>0</v>
      </c>
      <c r="H174" s="38" t="str">
        <f t="shared" ref="H174:J174" si="68">IFERROR(H58/G58," ")</f>
        <v xml:space="preserve"> </v>
      </c>
      <c r="I174" s="38" t="str">
        <f t="shared" si="68"/>
        <v xml:space="preserve"> </v>
      </c>
      <c r="J174" s="38" t="str">
        <f t="shared" si="68"/>
        <v xml:space="preserve"> </v>
      </c>
    </row>
    <row r="175" spans="2:10" ht="12.75">
      <c r="B175" s="13" t="s">
        <v>21</v>
      </c>
      <c r="C175" s="25" t="s">
        <v>147</v>
      </c>
      <c r="E175" s="38">
        <f t="shared" si="11"/>
        <v>0.46153846153846156</v>
      </c>
      <c r="F175" s="38"/>
      <c r="G175" s="38">
        <f t="shared" si="12"/>
        <v>0</v>
      </c>
      <c r="H175" s="38" t="str">
        <f t="shared" ref="H175:J175" si="69">IFERROR(H59/G59," ")</f>
        <v xml:space="preserve"> </v>
      </c>
      <c r="I175" s="38" t="str">
        <f t="shared" si="69"/>
        <v xml:space="preserve"> </v>
      </c>
      <c r="J175" s="38" t="str">
        <f t="shared" si="69"/>
        <v xml:space="preserve"> </v>
      </c>
    </row>
    <row r="176" spans="2:10" ht="12.75">
      <c r="B176" s="13" t="s">
        <v>99</v>
      </c>
      <c r="C176" s="25" t="s">
        <v>147</v>
      </c>
      <c r="E176" s="38">
        <f t="shared" si="11"/>
        <v>0.15384615384615385</v>
      </c>
      <c r="F176" s="38"/>
      <c r="G176" s="38">
        <f t="shared" si="12"/>
        <v>0</v>
      </c>
      <c r="H176" s="38" t="str">
        <f t="shared" ref="H176:J176" si="70">IFERROR(H60/G60," ")</f>
        <v xml:space="preserve"> </v>
      </c>
      <c r="I176" s="38" t="str">
        <f t="shared" si="70"/>
        <v xml:space="preserve"> </v>
      </c>
      <c r="J176" s="38" t="str">
        <f t="shared" si="70"/>
        <v xml:space="preserve"> </v>
      </c>
    </row>
    <row r="177" spans="2:10" ht="12.75">
      <c r="B177" s="13" t="s">
        <v>62</v>
      </c>
      <c r="C177" s="25" t="s">
        <v>147</v>
      </c>
      <c r="E177" s="38">
        <f t="shared" si="11"/>
        <v>0.15384615384615385</v>
      </c>
      <c r="F177" s="38"/>
      <c r="G177" s="38">
        <f t="shared" si="12"/>
        <v>0</v>
      </c>
      <c r="H177" s="38" t="str">
        <f t="shared" ref="H177:J177" si="71">IFERROR(H61/G61," ")</f>
        <v xml:space="preserve"> </v>
      </c>
      <c r="I177" s="38" t="str">
        <f t="shared" si="71"/>
        <v xml:space="preserve"> </v>
      </c>
      <c r="J177" s="38" t="str">
        <f t="shared" si="71"/>
        <v xml:space="preserve"> </v>
      </c>
    </row>
    <row r="178" spans="2:10" ht="12.75">
      <c r="B178" s="13" t="s">
        <v>111</v>
      </c>
      <c r="C178" s="25" t="s">
        <v>142</v>
      </c>
      <c r="E178" s="38">
        <f t="shared" si="11"/>
        <v>0.83333333333333337</v>
      </c>
      <c r="F178" s="38"/>
      <c r="G178" s="38">
        <f t="shared" si="12"/>
        <v>0</v>
      </c>
      <c r="H178" s="38" t="str">
        <f t="shared" ref="H178:J178" si="72">IFERROR(H62/G62," ")</f>
        <v xml:space="preserve"> </v>
      </c>
      <c r="I178" s="38" t="str">
        <f t="shared" si="72"/>
        <v xml:space="preserve"> </v>
      </c>
      <c r="J178" s="38" t="str">
        <f t="shared" si="72"/>
        <v xml:space="preserve"> </v>
      </c>
    </row>
    <row r="179" spans="2:10" ht="12.75">
      <c r="B179" s="13" t="s">
        <v>77</v>
      </c>
      <c r="C179" s="25" t="s">
        <v>147</v>
      </c>
      <c r="E179" s="38">
        <f t="shared" si="11"/>
        <v>0.33333333333333331</v>
      </c>
      <c r="F179" s="38"/>
      <c r="G179" s="38">
        <f t="shared" si="12"/>
        <v>0</v>
      </c>
      <c r="H179" s="38" t="str">
        <f t="shared" ref="H179:J179" si="73">IFERROR(H63/G63," ")</f>
        <v xml:space="preserve"> </v>
      </c>
      <c r="I179" s="38" t="str">
        <f t="shared" si="73"/>
        <v xml:space="preserve"> </v>
      </c>
      <c r="J179" s="38" t="str">
        <f t="shared" si="73"/>
        <v xml:space="preserve"> </v>
      </c>
    </row>
    <row r="180" spans="2:10" ht="12.75">
      <c r="B180" s="13" t="s">
        <v>65</v>
      </c>
      <c r="C180" s="25" t="s">
        <v>147</v>
      </c>
      <c r="E180" s="38">
        <f t="shared" si="11"/>
        <v>8.3333333333333329E-2</v>
      </c>
      <c r="F180" s="38"/>
      <c r="G180" s="38">
        <f t="shared" si="12"/>
        <v>0</v>
      </c>
      <c r="H180" s="38" t="str">
        <f t="shared" ref="H180:J180" si="74">IFERROR(H64/G64," ")</f>
        <v xml:space="preserve"> </v>
      </c>
      <c r="I180" s="38" t="str">
        <f t="shared" si="74"/>
        <v xml:space="preserve"> </v>
      </c>
      <c r="J180" s="38" t="str">
        <f t="shared" si="74"/>
        <v xml:space="preserve"> </v>
      </c>
    </row>
    <row r="181" spans="2:10" ht="12.75">
      <c r="B181" s="13" t="s">
        <v>75</v>
      </c>
      <c r="C181" s="25" t="s">
        <v>142</v>
      </c>
      <c r="E181" s="38">
        <f t="shared" si="11"/>
        <v>0</v>
      </c>
      <c r="F181" s="38"/>
      <c r="G181" s="38" t="str">
        <f t="shared" si="12"/>
        <v xml:space="preserve"> </v>
      </c>
      <c r="H181" s="38">
        <f t="shared" ref="H181:J181" si="75">IFERROR(H65/G65," ")</f>
        <v>0</v>
      </c>
      <c r="I181" s="38" t="str">
        <f t="shared" si="75"/>
        <v xml:space="preserve"> </v>
      </c>
      <c r="J181" s="38" t="str">
        <f t="shared" si="75"/>
        <v xml:space="preserve"> </v>
      </c>
    </row>
    <row r="182" spans="2:10" ht="12.75">
      <c r="B182" s="13" t="s">
        <v>47</v>
      </c>
      <c r="C182" s="25" t="s">
        <v>147</v>
      </c>
      <c r="E182" s="38">
        <f t="shared" si="11"/>
        <v>0.33333333333333331</v>
      </c>
      <c r="F182" s="38"/>
      <c r="G182" s="38">
        <f t="shared" si="12"/>
        <v>0.33333333333333331</v>
      </c>
      <c r="H182" s="38">
        <f t="shared" ref="H182:J182" si="76">IFERROR(H66/G66," ")</f>
        <v>0</v>
      </c>
      <c r="I182" s="38" t="str">
        <f t="shared" si="76"/>
        <v xml:space="preserve"> </v>
      </c>
      <c r="J182" s="38" t="str">
        <f t="shared" si="76"/>
        <v xml:space="preserve"> </v>
      </c>
    </row>
    <row r="183" spans="2:10" ht="12.75">
      <c r="B183" s="13" t="s">
        <v>30</v>
      </c>
      <c r="C183" s="25" t="s">
        <v>147</v>
      </c>
      <c r="E183" s="38">
        <f t="shared" si="11"/>
        <v>0</v>
      </c>
      <c r="F183" s="38"/>
      <c r="G183" s="38" t="str">
        <f t="shared" si="12"/>
        <v xml:space="preserve"> </v>
      </c>
      <c r="H183" s="38" t="str">
        <f t="shared" ref="H183:J183" si="77">IFERROR(H67/G67," ")</f>
        <v xml:space="preserve"> </v>
      </c>
      <c r="I183" s="38" t="str">
        <f t="shared" si="77"/>
        <v xml:space="preserve"> </v>
      </c>
      <c r="J183" s="38" t="str">
        <f t="shared" si="77"/>
        <v xml:space="preserve"> </v>
      </c>
    </row>
    <row r="184" spans="2:10" ht="12.75">
      <c r="B184" s="13" t="s">
        <v>95</v>
      </c>
      <c r="C184" s="25" t="s">
        <v>147</v>
      </c>
      <c r="E184" s="38">
        <f t="shared" si="11"/>
        <v>0</v>
      </c>
      <c r="F184" s="38"/>
      <c r="G184" s="38" t="str">
        <f t="shared" si="12"/>
        <v xml:space="preserve"> </v>
      </c>
      <c r="H184" s="38" t="str">
        <f t="shared" ref="H184:J184" si="78">IFERROR(H68/G68," ")</f>
        <v xml:space="preserve"> </v>
      </c>
      <c r="I184" s="38" t="str">
        <f t="shared" si="78"/>
        <v xml:space="preserve"> </v>
      </c>
      <c r="J184" s="38" t="str">
        <f t="shared" si="78"/>
        <v xml:space="preserve"> </v>
      </c>
    </row>
    <row r="185" spans="2:10" ht="12.75">
      <c r="B185" s="13" t="s">
        <v>22</v>
      </c>
      <c r="C185" s="25" t="s">
        <v>147</v>
      </c>
      <c r="E185" s="38">
        <f t="shared" si="11"/>
        <v>0.25</v>
      </c>
      <c r="F185" s="38"/>
      <c r="G185" s="38">
        <f t="shared" si="12"/>
        <v>0</v>
      </c>
      <c r="H185" s="38" t="str">
        <f t="shared" ref="H185:J185" si="79">IFERROR(H69/G69," ")</f>
        <v xml:space="preserve"> </v>
      </c>
      <c r="I185" s="38" t="str">
        <f t="shared" si="79"/>
        <v xml:space="preserve"> </v>
      </c>
      <c r="J185" s="38" t="str">
        <f t="shared" si="79"/>
        <v xml:space="preserve"> </v>
      </c>
    </row>
    <row r="186" spans="2:10" ht="12.75">
      <c r="B186" s="13" t="s">
        <v>110</v>
      </c>
      <c r="C186" s="25" t="s">
        <v>147</v>
      </c>
      <c r="E186" s="38">
        <f t="shared" si="11"/>
        <v>0</v>
      </c>
      <c r="F186" s="38"/>
      <c r="G186" s="38" t="str">
        <f t="shared" si="12"/>
        <v xml:space="preserve"> </v>
      </c>
      <c r="H186" s="38" t="str">
        <f t="shared" ref="H186:J186" si="80">IFERROR(H70/G70," ")</f>
        <v xml:space="preserve"> </v>
      </c>
      <c r="I186" s="38" t="str">
        <f t="shared" si="80"/>
        <v xml:space="preserve"> </v>
      </c>
      <c r="J186" s="38" t="str">
        <f t="shared" si="80"/>
        <v xml:space="preserve"> </v>
      </c>
    </row>
    <row r="187" spans="2:10" ht="12.75">
      <c r="B187" s="13" t="s">
        <v>42</v>
      </c>
      <c r="C187" s="25" t="s">
        <v>147</v>
      </c>
      <c r="E187" s="38">
        <f t="shared" si="11"/>
        <v>0.14285714285714285</v>
      </c>
      <c r="F187" s="38"/>
      <c r="G187" s="38">
        <f t="shared" si="12"/>
        <v>0</v>
      </c>
      <c r="H187" s="38" t="str">
        <f t="shared" ref="H187:J187" si="81">IFERROR(H71/G71," ")</f>
        <v xml:space="preserve"> </v>
      </c>
      <c r="I187" s="38" t="str">
        <f t="shared" si="81"/>
        <v xml:space="preserve"> </v>
      </c>
      <c r="J187" s="38" t="str">
        <f t="shared" si="81"/>
        <v xml:space="preserve"> </v>
      </c>
    </row>
    <row r="188" spans="2:10" ht="12.75">
      <c r="B188" s="13" t="s">
        <v>118</v>
      </c>
      <c r="C188" s="25" t="s">
        <v>142</v>
      </c>
      <c r="E188" s="38">
        <f t="shared" si="11"/>
        <v>0.33333333333333331</v>
      </c>
      <c r="F188" s="38"/>
      <c r="G188" s="38">
        <f t="shared" si="12"/>
        <v>0</v>
      </c>
      <c r="H188" s="38" t="str">
        <f t="shared" ref="H188:J188" si="82">IFERROR(H72/G72," ")</f>
        <v xml:space="preserve"> </v>
      </c>
      <c r="I188" s="38" t="str">
        <f t="shared" si="82"/>
        <v xml:space="preserve"> </v>
      </c>
      <c r="J188" s="38" t="str">
        <f t="shared" si="82"/>
        <v xml:space="preserve"> </v>
      </c>
    </row>
    <row r="189" spans="2:10" ht="12.75">
      <c r="B189" s="13" t="s">
        <v>38</v>
      </c>
      <c r="C189" s="25" t="s">
        <v>147</v>
      </c>
      <c r="E189" s="38">
        <f t="shared" si="11"/>
        <v>0</v>
      </c>
      <c r="F189" s="38"/>
      <c r="G189" s="38" t="str">
        <f t="shared" si="12"/>
        <v xml:space="preserve"> </v>
      </c>
      <c r="H189" s="38" t="str">
        <f t="shared" ref="H189:J189" si="83">IFERROR(H73/G73," ")</f>
        <v xml:space="preserve"> </v>
      </c>
      <c r="I189" s="38" t="str">
        <f t="shared" si="83"/>
        <v xml:space="preserve"> </v>
      </c>
      <c r="J189" s="38" t="str">
        <f t="shared" si="83"/>
        <v xml:space="preserve"> </v>
      </c>
    </row>
    <row r="190" spans="2:10" ht="12.75">
      <c r="B190" s="13" t="s">
        <v>86</v>
      </c>
      <c r="C190" s="25" t="s">
        <v>147</v>
      </c>
      <c r="E190" s="38">
        <f t="shared" si="11"/>
        <v>0.8</v>
      </c>
      <c r="F190" s="38"/>
      <c r="G190" s="38">
        <f t="shared" si="12"/>
        <v>0</v>
      </c>
      <c r="H190" s="38" t="str">
        <f t="shared" ref="H190:J190" si="84">IFERROR(H74/G74," ")</f>
        <v xml:space="preserve"> </v>
      </c>
      <c r="I190" s="38" t="str">
        <f t="shared" si="84"/>
        <v xml:space="preserve"> </v>
      </c>
      <c r="J190" s="38" t="str">
        <f t="shared" si="84"/>
        <v xml:space="preserve"> </v>
      </c>
    </row>
    <row r="191" spans="2:10" ht="12.75">
      <c r="B191" s="13" t="s">
        <v>78</v>
      </c>
      <c r="C191" s="25" t="s">
        <v>147</v>
      </c>
      <c r="E191" s="38">
        <f t="shared" si="11"/>
        <v>0.4</v>
      </c>
      <c r="F191" s="38"/>
      <c r="G191" s="38">
        <f t="shared" si="12"/>
        <v>0</v>
      </c>
      <c r="H191" s="38" t="str">
        <f t="shared" ref="H191:J191" si="85">IFERROR(H75/G75," ")</f>
        <v xml:space="preserve"> </v>
      </c>
      <c r="I191" s="38" t="str">
        <f t="shared" si="85"/>
        <v xml:space="preserve"> </v>
      </c>
      <c r="J191" s="38" t="str">
        <f t="shared" si="85"/>
        <v xml:space="preserve"> </v>
      </c>
    </row>
    <row r="192" spans="2:10" ht="12.75">
      <c r="B192" s="13" t="s">
        <v>96</v>
      </c>
      <c r="C192" s="25" t="s">
        <v>147</v>
      </c>
      <c r="E192" s="38">
        <f t="shared" si="11"/>
        <v>0.2</v>
      </c>
      <c r="F192" s="38"/>
      <c r="G192" s="38">
        <f t="shared" si="12"/>
        <v>0</v>
      </c>
      <c r="H192" s="38" t="str">
        <f t="shared" ref="H192:J192" si="86">IFERROR(H76/G76," ")</f>
        <v xml:space="preserve"> </v>
      </c>
      <c r="I192" s="38" t="str">
        <f t="shared" si="86"/>
        <v xml:space="preserve"> </v>
      </c>
      <c r="J192" s="38" t="str">
        <f t="shared" si="86"/>
        <v xml:space="preserve"> </v>
      </c>
    </row>
    <row r="193" spans="2:10" ht="12.75">
      <c r="B193" s="13" t="s">
        <v>17</v>
      </c>
      <c r="C193" s="25" t="s">
        <v>147</v>
      </c>
      <c r="E193" s="38">
        <f t="shared" si="11"/>
        <v>0</v>
      </c>
      <c r="F193" s="38"/>
      <c r="G193" s="38" t="str">
        <f t="shared" si="12"/>
        <v xml:space="preserve"> </v>
      </c>
      <c r="H193" s="38" t="str">
        <f t="shared" ref="H193:J193" si="87">IFERROR(H77/G77," ")</f>
        <v xml:space="preserve"> </v>
      </c>
      <c r="I193" s="38" t="str">
        <f t="shared" si="87"/>
        <v xml:space="preserve"> </v>
      </c>
      <c r="J193" s="38" t="str">
        <f t="shared" si="87"/>
        <v xml:space="preserve"> </v>
      </c>
    </row>
    <row r="194" spans="2:10" ht="12.75">
      <c r="B194" s="13" t="s">
        <v>97</v>
      </c>
      <c r="C194" s="25" t="s">
        <v>147</v>
      </c>
      <c r="E194" s="38">
        <f t="shared" si="11"/>
        <v>0</v>
      </c>
      <c r="F194" s="38"/>
      <c r="G194" s="38" t="str">
        <f t="shared" si="12"/>
        <v xml:space="preserve"> </v>
      </c>
      <c r="H194" s="38" t="str">
        <f t="shared" ref="H194:J194" si="88">IFERROR(H78/G78," ")</f>
        <v xml:space="preserve"> </v>
      </c>
      <c r="I194" s="38" t="str">
        <f t="shared" si="88"/>
        <v xml:space="preserve"> </v>
      </c>
      <c r="J194" s="38" t="str">
        <f t="shared" si="88"/>
        <v xml:space="preserve"> </v>
      </c>
    </row>
    <row r="195" spans="2:10" ht="12.75">
      <c r="B195" s="13" t="s">
        <v>122</v>
      </c>
      <c r="C195" s="13" t="s">
        <v>147</v>
      </c>
      <c r="E195" s="38">
        <f t="shared" si="11"/>
        <v>0</v>
      </c>
      <c r="F195" s="38"/>
      <c r="G195" s="38" t="str">
        <f t="shared" si="12"/>
        <v xml:space="preserve"> </v>
      </c>
      <c r="H195" s="38" t="str">
        <f t="shared" ref="H195:J195" si="89">IFERROR(H79/G79," ")</f>
        <v xml:space="preserve"> </v>
      </c>
      <c r="I195" s="38" t="str">
        <f t="shared" si="89"/>
        <v xml:space="preserve"> </v>
      </c>
      <c r="J195" s="38" t="str">
        <f t="shared" si="89"/>
        <v xml:space="preserve"> </v>
      </c>
    </row>
    <row r="196" spans="2:10" ht="12.75">
      <c r="B196" s="13" t="s">
        <v>123</v>
      </c>
      <c r="C196" s="25" t="s">
        <v>147</v>
      </c>
      <c r="E196" s="38">
        <f t="shared" si="11"/>
        <v>0</v>
      </c>
      <c r="F196" s="38"/>
      <c r="G196" s="38" t="str">
        <f t="shared" si="12"/>
        <v xml:space="preserve"> </v>
      </c>
      <c r="H196" s="38" t="str">
        <f t="shared" ref="H196:J196" si="90">IFERROR(H80/G80," ")</f>
        <v xml:space="preserve"> </v>
      </c>
      <c r="I196" s="38" t="str">
        <f t="shared" si="90"/>
        <v xml:space="preserve"> </v>
      </c>
      <c r="J196" s="38" t="str">
        <f t="shared" si="90"/>
        <v xml:space="preserve"> </v>
      </c>
    </row>
    <row r="197" spans="2:10" ht="12.75">
      <c r="B197" s="13" t="s">
        <v>27</v>
      </c>
      <c r="C197" s="25" t="s">
        <v>147</v>
      </c>
      <c r="E197" s="38">
        <f t="shared" si="11"/>
        <v>0</v>
      </c>
      <c r="F197" s="38"/>
      <c r="G197" s="38" t="str">
        <f t="shared" si="12"/>
        <v xml:space="preserve"> </v>
      </c>
      <c r="H197" s="38" t="str">
        <f t="shared" ref="H197:J197" si="91">IFERROR(H81/G81," ")</f>
        <v xml:space="preserve"> </v>
      </c>
      <c r="I197" s="38" t="str">
        <f t="shared" si="91"/>
        <v xml:space="preserve"> </v>
      </c>
      <c r="J197" s="38" t="str">
        <f t="shared" si="91"/>
        <v xml:space="preserve"> </v>
      </c>
    </row>
    <row r="198" spans="2:10" ht="12.75">
      <c r="B198" s="13" t="s">
        <v>69</v>
      </c>
      <c r="C198" s="25" t="s">
        <v>147</v>
      </c>
      <c r="E198" s="38">
        <f t="shared" si="11"/>
        <v>0</v>
      </c>
      <c r="F198" s="38"/>
      <c r="G198" s="38" t="str">
        <f t="shared" si="12"/>
        <v xml:space="preserve"> </v>
      </c>
      <c r="H198" s="38" t="str">
        <f t="shared" ref="H198:J198" si="92">IFERROR(H82/G82," ")</f>
        <v xml:space="preserve"> </v>
      </c>
      <c r="I198" s="38" t="str">
        <f t="shared" si="92"/>
        <v xml:space="preserve"> </v>
      </c>
      <c r="J198" s="38" t="str">
        <f t="shared" si="92"/>
        <v xml:space="preserve"> </v>
      </c>
    </row>
    <row r="199" spans="2:10" ht="12.75">
      <c r="B199" s="13" t="s">
        <v>125</v>
      </c>
      <c r="C199" s="25" t="s">
        <v>147</v>
      </c>
      <c r="E199" s="38">
        <f t="shared" si="11"/>
        <v>0.33333333333333331</v>
      </c>
      <c r="F199" s="38"/>
      <c r="G199" s="38">
        <f t="shared" si="12"/>
        <v>0</v>
      </c>
      <c r="H199" s="38" t="str">
        <f t="shared" ref="H199:J199" si="93">IFERROR(H83/G83," ")</f>
        <v xml:space="preserve"> </v>
      </c>
      <c r="I199" s="38" t="str">
        <f t="shared" si="93"/>
        <v xml:space="preserve"> </v>
      </c>
      <c r="J199" s="38" t="str">
        <f t="shared" si="93"/>
        <v xml:space="preserve"> </v>
      </c>
    </row>
    <row r="200" spans="2:10" ht="12.75">
      <c r="B200" s="13" t="s">
        <v>124</v>
      </c>
      <c r="C200" s="25" t="s">
        <v>147</v>
      </c>
      <c r="E200" s="38">
        <f t="shared" si="11"/>
        <v>1</v>
      </c>
      <c r="F200" s="38"/>
      <c r="G200" s="38">
        <f t="shared" si="12"/>
        <v>0</v>
      </c>
      <c r="H200" s="38" t="str">
        <f t="shared" ref="H200:J200" si="94">IFERROR(H84/G84," ")</f>
        <v xml:space="preserve"> </v>
      </c>
      <c r="I200" s="38" t="str">
        <f t="shared" si="94"/>
        <v xml:space="preserve"> </v>
      </c>
      <c r="J200" s="38" t="str">
        <f t="shared" si="94"/>
        <v xml:space="preserve"> </v>
      </c>
    </row>
    <row r="201" spans="2:10" ht="12.75">
      <c r="B201" s="13" t="s">
        <v>128</v>
      </c>
      <c r="C201" s="25" t="s">
        <v>142</v>
      </c>
      <c r="E201" s="38">
        <f t="shared" si="11"/>
        <v>0</v>
      </c>
      <c r="F201" s="38"/>
      <c r="G201" s="38" t="str">
        <f t="shared" si="12"/>
        <v xml:space="preserve"> </v>
      </c>
      <c r="H201" s="38" t="str">
        <f t="shared" ref="H201:J201" si="95">IFERROR(H85/G85," ")</f>
        <v xml:space="preserve"> </v>
      </c>
      <c r="I201" s="38" t="str">
        <f t="shared" si="95"/>
        <v xml:space="preserve"> </v>
      </c>
      <c r="J201" s="38" t="str">
        <f t="shared" si="95"/>
        <v xml:space="preserve"> </v>
      </c>
    </row>
    <row r="202" spans="2:10" ht="12.75">
      <c r="B202" s="13" t="s">
        <v>129</v>
      </c>
      <c r="C202" s="25" t="s">
        <v>147</v>
      </c>
      <c r="E202" s="38">
        <f t="shared" si="11"/>
        <v>0</v>
      </c>
      <c r="F202" s="38"/>
      <c r="G202" s="38" t="str">
        <f t="shared" si="12"/>
        <v xml:space="preserve"> </v>
      </c>
      <c r="H202" s="38" t="str">
        <f t="shared" ref="H202:J202" si="96">IFERROR(H86/G86," ")</f>
        <v xml:space="preserve"> </v>
      </c>
      <c r="I202" s="38" t="str">
        <f t="shared" si="96"/>
        <v xml:space="preserve"> </v>
      </c>
      <c r="J202" s="38" t="str">
        <f t="shared" si="96"/>
        <v xml:space="preserve"> </v>
      </c>
    </row>
    <row r="203" spans="2:10" ht="12.75">
      <c r="B203" s="13" t="s">
        <v>23</v>
      </c>
      <c r="C203" s="25" t="s">
        <v>142</v>
      </c>
      <c r="E203" s="38">
        <f t="shared" si="11"/>
        <v>0</v>
      </c>
      <c r="F203" s="38"/>
      <c r="G203" s="38" t="str">
        <f t="shared" si="12"/>
        <v xml:space="preserve"> </v>
      </c>
      <c r="H203" s="38" t="str">
        <f t="shared" ref="H203:J203" si="97">IFERROR(H87/G87," ")</f>
        <v xml:space="preserve"> </v>
      </c>
      <c r="I203" s="38" t="str">
        <f t="shared" si="97"/>
        <v xml:space="preserve"> </v>
      </c>
      <c r="J203" s="38" t="str">
        <f t="shared" si="97"/>
        <v xml:space="preserve"> </v>
      </c>
    </row>
    <row r="204" spans="2:10" ht="12.75">
      <c r="B204" s="13" t="s">
        <v>132</v>
      </c>
      <c r="C204" s="25" t="s">
        <v>142</v>
      </c>
      <c r="E204" s="38">
        <f t="shared" si="11"/>
        <v>1</v>
      </c>
      <c r="F204" s="38"/>
      <c r="G204" s="38">
        <f t="shared" si="12"/>
        <v>0</v>
      </c>
      <c r="H204" s="38" t="str">
        <f t="shared" ref="H204:J204" si="98">IFERROR(H88/G88," ")</f>
        <v xml:space="preserve"> </v>
      </c>
      <c r="I204" s="38" t="str">
        <f t="shared" si="98"/>
        <v xml:space="preserve"> </v>
      </c>
      <c r="J204" s="38" t="str">
        <f t="shared" si="98"/>
        <v xml:space="preserve"> </v>
      </c>
    </row>
    <row r="205" spans="2:10" ht="12.75">
      <c r="B205" s="13" t="s">
        <v>106</v>
      </c>
      <c r="C205" s="25" t="s">
        <v>142</v>
      </c>
      <c r="E205" s="38">
        <f t="shared" si="11"/>
        <v>0</v>
      </c>
      <c r="F205" s="38"/>
      <c r="G205" s="38" t="str">
        <f t="shared" si="12"/>
        <v xml:space="preserve"> </v>
      </c>
      <c r="H205" s="38" t="str">
        <f t="shared" ref="H205:J205" si="99">IFERROR(H89/G89," ")</f>
        <v xml:space="preserve"> </v>
      </c>
      <c r="I205" s="38" t="str">
        <f t="shared" si="99"/>
        <v xml:space="preserve"> </v>
      </c>
      <c r="J205" s="38" t="str">
        <f t="shared" si="99"/>
        <v xml:space="preserve"> </v>
      </c>
    </row>
    <row r="206" spans="2:10" ht="12.75">
      <c r="B206" s="13" t="s">
        <v>31</v>
      </c>
      <c r="C206" s="25" t="s">
        <v>147</v>
      </c>
      <c r="E206" s="38">
        <f t="shared" si="11"/>
        <v>1</v>
      </c>
      <c r="F206" s="38"/>
      <c r="G206" s="38">
        <f t="shared" si="12"/>
        <v>0</v>
      </c>
      <c r="H206" s="38" t="str">
        <f t="shared" ref="H206:J206" si="100">IFERROR(H90/G90," ")</f>
        <v xml:space="preserve"> </v>
      </c>
      <c r="I206" s="38" t="str">
        <f t="shared" si="100"/>
        <v xml:space="preserve"> </v>
      </c>
      <c r="J206" s="38" t="str">
        <f t="shared" si="100"/>
        <v xml:space="preserve"> </v>
      </c>
    </row>
    <row r="207" spans="2:10" ht="12.75">
      <c r="B207" s="13" t="s">
        <v>119</v>
      </c>
      <c r="C207" s="25" t="s">
        <v>142</v>
      </c>
      <c r="E207" s="38">
        <f t="shared" si="11"/>
        <v>0</v>
      </c>
      <c r="F207" s="38"/>
      <c r="G207" s="38" t="str">
        <f t="shared" si="12"/>
        <v xml:space="preserve"> </v>
      </c>
      <c r="H207" s="38">
        <f t="shared" ref="H207:J207" si="101">IFERROR(H91/G91," ")</f>
        <v>0</v>
      </c>
      <c r="I207" s="38" t="str">
        <f t="shared" si="101"/>
        <v xml:space="preserve"> </v>
      </c>
      <c r="J207" s="38">
        <f t="shared" si="101"/>
        <v>0</v>
      </c>
    </row>
    <row r="208" spans="2:10" ht="12.75">
      <c r="B208" s="13" t="s">
        <v>44</v>
      </c>
      <c r="C208" s="25" t="s">
        <v>147</v>
      </c>
      <c r="E208" s="38">
        <f t="shared" si="11"/>
        <v>1</v>
      </c>
      <c r="F208" s="38"/>
      <c r="G208" s="38">
        <f t="shared" si="12"/>
        <v>0</v>
      </c>
      <c r="H208" s="38" t="str">
        <f t="shared" ref="H208:J208" si="102">IFERROR(H92/G92," ")</f>
        <v xml:space="preserve"> </v>
      </c>
      <c r="I208" s="38" t="str">
        <f t="shared" si="102"/>
        <v xml:space="preserve"> </v>
      </c>
      <c r="J208" s="38" t="str">
        <f t="shared" si="102"/>
        <v xml:space="preserve"> </v>
      </c>
    </row>
    <row r="209" spans="2:10" ht="12.75">
      <c r="B209" s="13" t="s">
        <v>108</v>
      </c>
      <c r="C209" s="25" t="s">
        <v>142</v>
      </c>
      <c r="E209" s="38">
        <f t="shared" si="11"/>
        <v>1</v>
      </c>
      <c r="F209" s="38"/>
      <c r="G209" s="38">
        <f t="shared" si="12"/>
        <v>0</v>
      </c>
      <c r="H209" s="38" t="str">
        <f t="shared" ref="H209:J209" si="103">IFERROR(H93/G93," ")</f>
        <v xml:space="preserve"> </v>
      </c>
      <c r="I209" s="38" t="str">
        <f t="shared" si="103"/>
        <v xml:space="preserve"> </v>
      </c>
      <c r="J209" s="38" t="str">
        <f t="shared" si="103"/>
        <v xml:space="preserve"> </v>
      </c>
    </row>
    <row r="210" spans="2:10" ht="12.75">
      <c r="B210" s="13" t="s">
        <v>104</v>
      </c>
      <c r="C210" s="25" t="s">
        <v>147</v>
      </c>
      <c r="E210" s="38" t="str">
        <f t="shared" si="11"/>
        <v xml:space="preserve"> </v>
      </c>
      <c r="F210" s="38"/>
      <c r="G210" s="38" t="str">
        <f t="shared" si="12"/>
        <v xml:space="preserve"> </v>
      </c>
      <c r="H210" s="38" t="str">
        <f t="shared" ref="H210:J210" si="104">IFERROR(H94/G94," ")</f>
        <v xml:space="preserve"> </v>
      </c>
      <c r="I210" s="38" t="str">
        <f t="shared" si="104"/>
        <v xml:space="preserve"> </v>
      </c>
      <c r="J210" s="38" t="str">
        <f t="shared" si="104"/>
        <v xml:space="preserve"> </v>
      </c>
    </row>
    <row r="211" spans="2:10" ht="12.75">
      <c r="B211" s="13" t="s">
        <v>87</v>
      </c>
      <c r="C211" s="25" t="s">
        <v>147</v>
      </c>
      <c r="E211" s="38" t="str">
        <f t="shared" si="11"/>
        <v xml:space="preserve"> </v>
      </c>
      <c r="F211" s="38"/>
      <c r="G211" s="38" t="str">
        <f t="shared" si="12"/>
        <v xml:space="preserve"> </v>
      </c>
      <c r="H211" s="38" t="str">
        <f t="shared" ref="H211:J211" si="105">IFERROR(H95/G95," ")</f>
        <v xml:space="preserve"> </v>
      </c>
      <c r="I211" s="38" t="str">
        <f t="shared" si="105"/>
        <v xml:space="preserve"> </v>
      </c>
      <c r="J211" s="38" t="str">
        <f t="shared" si="105"/>
        <v xml:space="preserve"> </v>
      </c>
    </row>
    <row r="212" spans="2:10" ht="12.75">
      <c r="B212" s="13" t="s">
        <v>40</v>
      </c>
      <c r="C212" s="25" t="s">
        <v>147</v>
      </c>
      <c r="E212" s="38" t="str">
        <f t="shared" si="11"/>
        <v xml:space="preserve"> </v>
      </c>
      <c r="F212" s="38"/>
      <c r="G212" s="38" t="str">
        <f t="shared" si="12"/>
        <v xml:space="preserve"> </v>
      </c>
      <c r="H212" s="38" t="str">
        <f t="shared" ref="H212:J212" si="106">IFERROR(H96/G96," ")</f>
        <v xml:space="preserve"> </v>
      </c>
      <c r="I212" s="38" t="str">
        <f t="shared" si="106"/>
        <v xml:space="preserve"> </v>
      </c>
      <c r="J212" s="38" t="str">
        <f t="shared" si="106"/>
        <v xml:space="preserve"> </v>
      </c>
    </row>
    <row r="213" spans="2:10" ht="12.75">
      <c r="B213" s="13" t="s">
        <v>84</v>
      </c>
      <c r="C213" s="25" t="s">
        <v>147</v>
      </c>
      <c r="E213" s="38" t="str">
        <f t="shared" si="11"/>
        <v xml:space="preserve"> </v>
      </c>
      <c r="F213" s="38"/>
      <c r="G213" s="38" t="str">
        <f t="shared" si="12"/>
        <v xml:space="preserve"> </v>
      </c>
      <c r="H213" s="38" t="str">
        <f t="shared" ref="H213:J213" si="107">IFERROR(H97/G97," ")</f>
        <v xml:space="preserve"> </v>
      </c>
      <c r="I213" s="38" t="str">
        <f t="shared" si="107"/>
        <v xml:space="preserve"> </v>
      </c>
      <c r="J213" s="38" t="str">
        <f t="shared" si="107"/>
        <v xml:space="preserve"> </v>
      </c>
    </row>
    <row r="214" spans="2:10" ht="12.75">
      <c r="B214" s="13" t="s">
        <v>102</v>
      </c>
      <c r="C214" s="25" t="s">
        <v>147</v>
      </c>
      <c r="E214" s="38" t="str">
        <f t="shared" si="11"/>
        <v xml:space="preserve"> </v>
      </c>
      <c r="F214" s="38"/>
      <c r="G214" s="38" t="str">
        <f t="shared" si="12"/>
        <v xml:space="preserve"> </v>
      </c>
      <c r="H214" s="38" t="str">
        <f t="shared" ref="H214:J214" si="108">IFERROR(H98/G98," ")</f>
        <v xml:space="preserve"> </v>
      </c>
      <c r="I214" s="38" t="str">
        <f t="shared" si="108"/>
        <v xml:space="preserve"> </v>
      </c>
      <c r="J214" s="38" t="str">
        <f t="shared" si="108"/>
        <v xml:space="preserve"> </v>
      </c>
    </row>
    <row r="215" spans="2:10" ht="12.75">
      <c r="B215" s="13" t="s">
        <v>76</v>
      </c>
      <c r="C215" s="25" t="s">
        <v>147</v>
      </c>
      <c r="E215" s="38" t="str">
        <f t="shared" si="11"/>
        <v xml:space="preserve"> </v>
      </c>
      <c r="F215" s="38"/>
      <c r="G215" s="38" t="str">
        <f t="shared" si="12"/>
        <v xml:space="preserve"> </v>
      </c>
      <c r="H215" s="38" t="str">
        <f t="shared" ref="H215:J215" si="109">IFERROR(H99/G99," ")</f>
        <v xml:space="preserve"> </v>
      </c>
      <c r="I215" s="38" t="str">
        <f t="shared" si="109"/>
        <v xml:space="preserve"> </v>
      </c>
      <c r="J215" s="38" t="str">
        <f t="shared" si="109"/>
        <v xml:space="preserve"> </v>
      </c>
    </row>
    <row r="216" spans="2:10" ht="12.75">
      <c r="B216" s="13" t="s">
        <v>63</v>
      </c>
      <c r="C216" s="25" t="s">
        <v>147</v>
      </c>
      <c r="E216" s="38" t="str">
        <f t="shared" si="11"/>
        <v xml:space="preserve"> </v>
      </c>
      <c r="F216" s="38"/>
      <c r="G216" s="38" t="str">
        <f t="shared" si="12"/>
        <v xml:space="preserve"> </v>
      </c>
      <c r="H216" s="38" t="str">
        <f t="shared" ref="H216:J216" si="110">IFERROR(H100/G100," ")</f>
        <v xml:space="preserve"> </v>
      </c>
      <c r="I216" s="38" t="str">
        <f t="shared" si="110"/>
        <v xml:space="preserve"> </v>
      </c>
      <c r="J216" s="38" t="str">
        <f t="shared" si="110"/>
        <v xml:space="preserve"> </v>
      </c>
    </row>
    <row r="217" spans="2:10" ht="12.75">
      <c r="B217" s="13" t="s">
        <v>60</v>
      </c>
      <c r="C217" s="25" t="s">
        <v>147</v>
      </c>
      <c r="E217" s="38" t="str">
        <f t="shared" si="11"/>
        <v xml:space="preserve"> </v>
      </c>
      <c r="F217" s="38"/>
      <c r="G217" s="38" t="str">
        <f t="shared" si="12"/>
        <v xml:space="preserve"> </v>
      </c>
      <c r="H217" s="38" t="str">
        <f t="shared" ref="H217:J217" si="111">IFERROR(H101/G101," ")</f>
        <v xml:space="preserve"> </v>
      </c>
      <c r="I217" s="38" t="str">
        <f t="shared" si="111"/>
        <v xml:space="preserve"> </v>
      </c>
      <c r="J217" s="38" t="str">
        <f t="shared" si="111"/>
        <v xml:space="preserve"> </v>
      </c>
    </row>
    <row r="218" spans="2:10" ht="12.75">
      <c r="B218" s="13" t="s">
        <v>71</v>
      </c>
      <c r="C218" s="25" t="s">
        <v>147</v>
      </c>
      <c r="E218" s="38" t="str">
        <f t="shared" si="11"/>
        <v xml:space="preserve"> </v>
      </c>
      <c r="F218" s="38"/>
      <c r="G218" s="38" t="str">
        <f t="shared" si="12"/>
        <v xml:space="preserve"> </v>
      </c>
      <c r="H218" s="38" t="str">
        <f t="shared" ref="H218:J218" si="112">IFERROR(H102/G102," ")</f>
        <v xml:space="preserve"> </v>
      </c>
      <c r="I218" s="38" t="str">
        <f t="shared" si="112"/>
        <v xml:space="preserve"> </v>
      </c>
      <c r="J218" s="38" t="str">
        <f t="shared" si="112"/>
        <v xml:space="preserve"> </v>
      </c>
    </row>
    <row r="219" spans="2:10" ht="12.75">
      <c r="B219" s="13" t="s">
        <v>91</v>
      </c>
      <c r="C219" s="25" t="s">
        <v>147</v>
      </c>
      <c r="E219" s="38" t="str">
        <f t="shared" si="11"/>
        <v xml:space="preserve"> </v>
      </c>
      <c r="F219" s="38"/>
      <c r="G219" s="38" t="str">
        <f t="shared" si="12"/>
        <v xml:space="preserve"> </v>
      </c>
      <c r="H219" s="38" t="str">
        <f t="shared" ref="H219:J219" si="113">IFERROR(H103/G103," ")</f>
        <v xml:space="preserve"> </v>
      </c>
      <c r="I219" s="38" t="str">
        <f t="shared" si="113"/>
        <v xml:space="preserve"> </v>
      </c>
      <c r="J219" s="38" t="str">
        <f t="shared" si="113"/>
        <v xml:space="preserve"> </v>
      </c>
    </row>
    <row r="220" spans="2:10" ht="12.75">
      <c r="B220" s="13" t="s">
        <v>67</v>
      </c>
      <c r="C220" s="25" t="s">
        <v>147</v>
      </c>
      <c r="E220" s="38" t="str">
        <f t="shared" si="11"/>
        <v xml:space="preserve"> </v>
      </c>
      <c r="F220" s="38"/>
      <c r="G220" s="38" t="str">
        <f t="shared" si="12"/>
        <v xml:space="preserve"> </v>
      </c>
      <c r="H220" s="38" t="str">
        <f>IFERROR(H105/G104," ")</f>
        <v xml:space="preserve"> </v>
      </c>
      <c r="I220" s="38" t="str">
        <f>IFERROR(I104/H105," ")</f>
        <v xml:space="preserve"> </v>
      </c>
      <c r="J220" s="38" t="str">
        <f t="shared" ref="J220:J221" si="114">IFERROR(J104/I104," ")</f>
        <v xml:space="preserve"> </v>
      </c>
    </row>
    <row r="221" spans="2:10" ht="12.75">
      <c r="B221" s="13" t="s">
        <v>100</v>
      </c>
      <c r="C221" s="25" t="s">
        <v>142</v>
      </c>
      <c r="E221" s="38" t="str">
        <f t="shared" si="11"/>
        <v xml:space="preserve"> </v>
      </c>
      <c r="F221" s="38"/>
      <c r="G221" s="38" t="str">
        <f t="shared" si="12"/>
        <v xml:space="preserve"> </v>
      </c>
      <c r="H221" s="38" t="str">
        <f>IFERROR(#REF!/G105," ")</f>
        <v xml:space="preserve"> </v>
      </c>
      <c r="I221" s="38" t="str">
        <f>IFERROR(I105/#REF!," ")</f>
        <v xml:space="preserve"> </v>
      </c>
      <c r="J221" s="38" t="str">
        <f t="shared" si="114"/>
        <v xml:space="preserve"> </v>
      </c>
    </row>
    <row r="222" spans="2:10" ht="12.75">
      <c r="B222" s="13" t="s">
        <v>117</v>
      </c>
      <c r="C222" s="25" t="s">
        <v>147</v>
      </c>
      <c r="E222" s="38" t="str">
        <f t="shared" si="11"/>
        <v xml:space="preserve"> </v>
      </c>
      <c r="F222" s="38"/>
      <c r="G222" s="38" t="str">
        <f t="shared" si="12"/>
        <v xml:space="preserve"> </v>
      </c>
      <c r="H222" s="38" t="str">
        <f t="shared" ref="H222:J222" si="115">IFERROR(H106/G106," ")</f>
        <v xml:space="preserve"> </v>
      </c>
      <c r="I222" s="38" t="str">
        <f t="shared" si="115"/>
        <v xml:space="preserve"> </v>
      </c>
      <c r="J222" s="38" t="str">
        <f t="shared" si="115"/>
        <v xml:space="preserve"> </v>
      </c>
    </row>
    <row r="223" spans="2:10" ht="12.75">
      <c r="B223" s="13" t="s">
        <v>25</v>
      </c>
      <c r="C223" s="25" t="s">
        <v>147</v>
      </c>
      <c r="E223" s="38" t="str">
        <f t="shared" si="11"/>
        <v xml:space="preserve"> </v>
      </c>
      <c r="F223" s="38"/>
      <c r="G223" s="38" t="str">
        <f t="shared" si="12"/>
        <v xml:space="preserve"> </v>
      </c>
      <c r="H223" s="38" t="str">
        <f t="shared" ref="H223:J223" si="116">IFERROR(H107/G107," ")</f>
        <v xml:space="preserve"> </v>
      </c>
      <c r="I223" s="38" t="str">
        <f t="shared" si="116"/>
        <v xml:space="preserve"> </v>
      </c>
      <c r="J223" s="38" t="str">
        <f t="shared" si="116"/>
        <v xml:space="preserve"> </v>
      </c>
    </row>
    <row r="224" spans="2:10" ht="12.75">
      <c r="B224" s="13" t="s">
        <v>89</v>
      </c>
      <c r="C224" s="25" t="s">
        <v>147</v>
      </c>
      <c r="E224" s="38" t="str">
        <f t="shared" si="11"/>
        <v xml:space="preserve"> </v>
      </c>
      <c r="F224" s="38"/>
      <c r="G224" s="38" t="str">
        <f t="shared" si="12"/>
        <v xml:space="preserve"> </v>
      </c>
      <c r="H224" s="38" t="str">
        <f t="shared" ref="H224:J224" si="117">IFERROR(H108/G108," ")</f>
        <v xml:space="preserve"> </v>
      </c>
      <c r="I224" s="38" t="str">
        <f t="shared" si="117"/>
        <v xml:space="preserve"> </v>
      </c>
      <c r="J224" s="38" t="str">
        <f t="shared" si="117"/>
        <v xml:space="preserve"> </v>
      </c>
    </row>
    <row r="225" spans="1:28" ht="12.75">
      <c r="B225" s="13" t="s">
        <v>74</v>
      </c>
      <c r="C225" s="25" t="s">
        <v>147</v>
      </c>
      <c r="E225" s="38" t="str">
        <f t="shared" si="11"/>
        <v xml:space="preserve"> </v>
      </c>
      <c r="F225" s="38"/>
      <c r="G225" s="38" t="str">
        <f t="shared" si="12"/>
        <v xml:space="preserve"> </v>
      </c>
      <c r="H225" s="38" t="str">
        <f t="shared" ref="H225:J225" si="118">IFERROR(H109/G109," ")</f>
        <v xml:space="preserve"> </v>
      </c>
      <c r="I225" s="38" t="str">
        <f t="shared" si="118"/>
        <v xml:space="preserve"> </v>
      </c>
      <c r="J225" s="38" t="str">
        <f t="shared" si="118"/>
        <v xml:space="preserve"> </v>
      </c>
    </row>
    <row r="226" spans="1:28" ht="12.75">
      <c r="B226" s="13" t="s">
        <v>51</v>
      </c>
      <c r="C226" s="25" t="s">
        <v>147</v>
      </c>
      <c r="E226" s="38" t="str">
        <f t="shared" si="11"/>
        <v xml:space="preserve"> </v>
      </c>
      <c r="F226" s="38"/>
      <c r="G226" s="38" t="str">
        <f t="shared" si="12"/>
        <v xml:space="preserve"> </v>
      </c>
      <c r="H226" s="38" t="str">
        <f t="shared" ref="H226:J226" si="119">IFERROR(H110/G110," ")</f>
        <v xml:space="preserve"> </v>
      </c>
      <c r="I226" s="38" t="str">
        <f t="shared" si="119"/>
        <v xml:space="preserve"> </v>
      </c>
      <c r="J226" s="38" t="str">
        <f t="shared" si="119"/>
        <v xml:space="preserve"> </v>
      </c>
    </row>
    <row r="227" spans="1:28" ht="12.75">
      <c r="B227" s="13" t="s">
        <v>112</v>
      </c>
      <c r="C227" s="25" t="s">
        <v>147</v>
      </c>
      <c r="E227" s="38" t="str">
        <f t="shared" si="11"/>
        <v xml:space="preserve"> </v>
      </c>
      <c r="F227" s="38"/>
      <c r="G227" s="38" t="str">
        <f t="shared" si="12"/>
        <v xml:space="preserve"> </v>
      </c>
      <c r="H227" s="38" t="str">
        <f t="shared" ref="H227:J227" si="120">IFERROR(H111/G111," ")</f>
        <v xml:space="preserve"> </v>
      </c>
      <c r="I227" s="38" t="str">
        <f t="shared" si="120"/>
        <v xml:space="preserve"> </v>
      </c>
      <c r="J227" s="38" t="str">
        <f t="shared" si="120"/>
        <v xml:space="preserve"> </v>
      </c>
    </row>
    <row r="228" spans="1:28" ht="12.75">
      <c r="E228" s="38" t="str">
        <f t="shared" si="11"/>
        <v xml:space="preserve"> </v>
      </c>
      <c r="F228" s="38"/>
      <c r="G228" s="38" t="str">
        <f t="shared" si="12"/>
        <v xml:space="preserve"> </v>
      </c>
      <c r="H228" s="38" t="str">
        <f t="shared" ref="H228:J228" si="121">IFERROR(H112/G112," ")</f>
        <v xml:space="preserve"> </v>
      </c>
      <c r="I228" s="38" t="str">
        <f t="shared" si="121"/>
        <v xml:space="preserve"> </v>
      </c>
      <c r="J228" s="38" t="str">
        <f t="shared" si="121"/>
        <v xml:space="preserve"> </v>
      </c>
    </row>
    <row r="229" spans="1:28" ht="13.15">
      <c r="A229" s="30"/>
      <c r="B229" s="31" t="s">
        <v>143</v>
      </c>
      <c r="C229" s="30"/>
      <c r="D229" s="30"/>
      <c r="E229" s="39">
        <f t="shared" si="11"/>
        <v>0.25880019831432821</v>
      </c>
      <c r="F229" s="39"/>
      <c r="G229" s="38">
        <f t="shared" si="12"/>
        <v>8.0459770114942528E-2</v>
      </c>
      <c r="H229" s="38">
        <f t="shared" ref="H229:J229" si="122">IFERROR(H113/G113," ")</f>
        <v>0.19047619047619047</v>
      </c>
      <c r="I229" s="38">
        <f t="shared" si="122"/>
        <v>1.125</v>
      </c>
      <c r="J229" s="38">
        <f t="shared" si="122"/>
        <v>0.55555555555555558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12.75">
      <c r="E230" s="38"/>
      <c r="F230" s="38"/>
    </row>
    <row r="231" spans="1:28" ht="12.75">
      <c r="E231" s="38"/>
      <c r="F231" s="38"/>
    </row>
    <row r="232" spans="1:28" ht="12.75">
      <c r="E232" s="38"/>
      <c r="F232" s="38"/>
    </row>
    <row r="233" spans="1:28" ht="12.75">
      <c r="E233" s="38"/>
      <c r="F233" s="38"/>
    </row>
  </sheetData>
  <autoFilter ref="B2:O111" xr:uid="{00000000-0009-0000-0000-00000D000000}">
    <sortState xmlns:xlrd2="http://schemas.microsoft.com/office/spreadsheetml/2017/richdata2" ref="B2:O111">
      <sortCondition descending="1" ref="D2:D111"/>
      <sortCondition descending="1" ref="G2:G111"/>
      <sortCondition ref="B2:B111"/>
      <sortCondition descending="1" ref="F2:F111"/>
      <sortCondition descending="1" ref="E2:E111"/>
      <sortCondition descending="1" ref="J2:J111"/>
      <sortCondition descending="1" ref="M2:M111"/>
      <sortCondition ref="O2:O111"/>
    </sortState>
  </autoFilter>
  <customSheetViews>
    <customSheetView guid="{D4D06763-5632-4CAF-A0BD-7BAD6B3784B6}" filter="1" showAutoFilter="1">
      <pageMargins left="0.7" right="0.7" top="0.75" bottom="0.75" header="0.3" footer="0.3"/>
      <autoFilter ref="B2:K112" xr:uid="{00000000-0000-0000-0000-000000000000}"/>
    </customSheetView>
  </customSheetViews>
  <conditionalFormatting sqref="H105">
    <cfRule type="expression" dxfId="12" priority="1">
      <formula>$C104="N"</formula>
    </cfRule>
  </conditionalFormatting>
  <conditionalFormatting sqref="K1:K118 K228:K1000">
    <cfRule type="expression" dxfId="11" priority="2">
      <formula>AND(C1="Y",K1="")</formula>
    </cfRule>
  </conditionalFormatting>
  <conditionalFormatting sqref="B3:G111 H3:H103 I3:J111 U5:W14 T20:W30 H106:H111 B119:C227 E119:F233 G119:J229">
    <cfRule type="expression" dxfId="10" priority="3">
      <formula>$C3="N"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2:AK1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.75" customHeight="1" outlineLevelCol="1"/>
  <cols>
    <col min="1" max="1" width="5.53125" customWidth="1"/>
    <col min="2" max="2" width="30" customWidth="1"/>
    <col min="7" max="7" width="14.3984375" outlineLevel="1"/>
    <col min="8" max="8" width="12.53125" customWidth="1" outlineLevel="1"/>
    <col min="9" max="12" width="14.3984375" outlineLevel="1"/>
    <col min="16" max="16" width="16.265625" customWidth="1"/>
  </cols>
  <sheetData>
    <row r="2" spans="1:37" ht="26.25">
      <c r="A2" s="30"/>
      <c r="B2" s="62" t="str">
        <f>'Nov 9-15'!B2</f>
        <v>UNIT</v>
      </c>
      <c r="C2" s="62" t="str">
        <f>'Nov 9-15'!C2</f>
        <v>Availbility</v>
      </c>
      <c r="D2" s="62" t="s">
        <v>3</v>
      </c>
      <c r="E2" s="63" t="s">
        <v>165</v>
      </c>
      <c r="F2" s="63" t="s">
        <v>166</v>
      </c>
      <c r="G2" s="63" t="s">
        <v>4</v>
      </c>
      <c r="H2" s="63" t="s">
        <v>167</v>
      </c>
      <c r="I2" s="63" t="s">
        <v>6</v>
      </c>
      <c r="J2" s="63" t="s">
        <v>7</v>
      </c>
      <c r="K2" s="64" t="s">
        <v>8</v>
      </c>
      <c r="L2" s="63" t="s">
        <v>9</v>
      </c>
      <c r="M2" s="63" t="s">
        <v>168</v>
      </c>
      <c r="N2" s="63" t="s">
        <v>169</v>
      </c>
      <c r="O2" s="63" t="s">
        <v>170</v>
      </c>
      <c r="P2" s="63" t="s">
        <v>171</v>
      </c>
      <c r="Q2" s="63" t="s">
        <v>172</v>
      </c>
      <c r="R2" s="63" t="s">
        <v>173</v>
      </c>
      <c r="S2" s="63" t="s">
        <v>174</v>
      </c>
      <c r="T2" s="63" t="s">
        <v>175</v>
      </c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ht="12.75">
      <c r="B3" s="1" t="str">
        <f>'Nov 9-15'!B82</f>
        <v>4 Elko Street Unit B1</v>
      </c>
      <c r="C3" s="29" t="str">
        <f t="array" ref="C3">INDEX('Nov 23-29'!C:C,MATCH($B3,'Nov 23-29'!$B:$B,0))</f>
        <v>Y</v>
      </c>
      <c r="D3" s="29">
        <f t="array" ref="D3">INDEX('Nov 23-29'!D:D,MATCH($B3,'Nov 23-29'!$B:$B,0))</f>
        <v>43</v>
      </c>
      <c r="E3" s="65">
        <f t="shared" ref="E3:E111" si="0">RANK(D3,$D$3:$D$111)</f>
        <v>12</v>
      </c>
      <c r="F3" s="66">
        <f t="shared" ref="F3:F111" si="1">D3/$D$112</f>
        <v>2.1318790282597918E-2</v>
      </c>
      <c r="G3" s="65">
        <f t="array" ref="G3">INDEX('Nov 23-29'!E:E,MATCH($B3,'Nov 23-29'!$B:$B,0))</f>
        <v>22</v>
      </c>
      <c r="H3" s="65">
        <f t="array" ref="H3">INDEX('Nov 23-29'!F:F,MATCH($B3,'Nov 23-29'!$B:$B,0))</f>
        <v>1</v>
      </c>
      <c r="I3" s="65">
        <f t="array" ref="I3">INDEX('Nov 23-29'!G:G,MATCH($B3,'Nov 23-29'!$B:$B,0))</f>
        <v>0</v>
      </c>
      <c r="J3" s="65">
        <f t="array" ref="J3">INDEX('Nov 23-29'!H:H,MATCH($B3,'Nov 23-29'!$B:$B,0))</f>
        <v>0</v>
      </c>
      <c r="K3" s="65">
        <f t="array" ref="K3">INDEX('Nov 23-29'!I:I,MATCH($B3,'Nov 23-29'!$B:$B,0))</f>
        <v>0</v>
      </c>
      <c r="L3" s="65">
        <f t="array" ref="L3">INDEX('Nov 23-29'!J:J,MATCH($B3,'Nov 23-29'!$B:$B,0))</f>
        <v>0</v>
      </c>
      <c r="M3" s="17">
        <f t="shared" ref="M3:M111" si="2">IFERROR(G3/D3,"")</f>
        <v>0.51162790697674421</v>
      </c>
      <c r="N3" s="17">
        <f t="shared" ref="N3:N111" si="3">IFERROR(I3/D3,"")</f>
        <v>0</v>
      </c>
      <c r="O3" s="17">
        <f t="shared" ref="O3:O111" si="4">IFERROR(I3/G3,"")</f>
        <v>0</v>
      </c>
      <c r="P3" s="17">
        <f t="shared" ref="P3:P111" si="5">IFERROR(J3/D3,"")</f>
        <v>0</v>
      </c>
      <c r="Q3" s="17" t="str">
        <f t="shared" ref="Q3:R3" si="6">IFERROR(J3/I3,"")</f>
        <v/>
      </c>
      <c r="R3" s="17" t="str">
        <f t="shared" si="6"/>
        <v/>
      </c>
      <c r="S3" s="17">
        <f t="shared" ref="S3:S111" si="7">IFERROR(L3/D3,"")</f>
        <v>0</v>
      </c>
      <c r="T3" s="17" t="str">
        <f t="shared" ref="T3:T111" si="8">IFERROR(L3/K3,"")</f>
        <v/>
      </c>
    </row>
    <row r="4" spans="1:37" ht="12.75">
      <c r="B4" s="1" t="str">
        <f>'Nov 9-15'!B107</f>
        <v>9 Fairfield Street Unit 1R</v>
      </c>
      <c r="C4" s="29" t="str">
        <f t="array" ref="C4">INDEX('Nov 23-29'!C:C,MATCH($B4,'Nov 23-29'!$B:$B,0))</f>
        <v>Y</v>
      </c>
      <c r="D4" s="29">
        <f t="array" ref="D4">INDEX('Nov 23-29'!D:D,MATCH($B4,'Nov 23-29'!$B:$B,0))</f>
        <v>5</v>
      </c>
      <c r="E4" s="65">
        <f t="shared" si="0"/>
        <v>71</v>
      </c>
      <c r="F4" s="66">
        <f t="shared" si="1"/>
        <v>2.478929102627665E-3</v>
      </c>
      <c r="G4" s="65">
        <f t="array" ref="G4">INDEX('Nov 23-29'!E:E,MATCH($B4,'Nov 23-29'!$B:$B,0))</f>
        <v>0</v>
      </c>
      <c r="H4" s="65">
        <f t="array" ref="H4">INDEX('Nov 23-29'!F:F,MATCH($B4,'Nov 23-29'!$B:$B,0))</f>
        <v>1</v>
      </c>
      <c r="I4" s="65">
        <f t="array" ref="I4">INDEX('Nov 23-29'!G:G,MATCH($B4,'Nov 23-29'!$B:$B,0))</f>
        <v>0</v>
      </c>
      <c r="J4" s="65">
        <f t="array" ref="J4">INDEX('Nov 23-29'!H:H,MATCH($B4,'Nov 23-29'!$B:$B,0))</f>
        <v>0</v>
      </c>
      <c r="K4" s="65">
        <f t="array" ref="K4">INDEX('Nov 23-29'!I:I,MATCH($B4,'Nov 23-29'!$B:$B,0))</f>
        <v>0</v>
      </c>
      <c r="L4" s="65">
        <f t="array" ref="L4">INDEX('Nov 23-29'!J:J,MATCH($B4,'Nov 23-29'!$B:$B,0))</f>
        <v>0</v>
      </c>
      <c r="M4" s="17">
        <f t="shared" si="2"/>
        <v>0</v>
      </c>
      <c r="N4" s="17">
        <f t="shared" si="3"/>
        <v>0</v>
      </c>
      <c r="O4" s="17" t="str">
        <f t="shared" si="4"/>
        <v/>
      </c>
      <c r="P4" s="17">
        <f t="shared" si="5"/>
        <v>0</v>
      </c>
      <c r="Q4" s="17" t="str">
        <f t="shared" ref="Q4:R4" si="9">IFERROR(J4/I4,"")</f>
        <v/>
      </c>
      <c r="R4" s="17" t="str">
        <f t="shared" si="9"/>
        <v/>
      </c>
      <c r="S4" s="17">
        <f t="shared" si="7"/>
        <v>0</v>
      </c>
      <c r="T4" s="17" t="str">
        <f t="shared" si="8"/>
        <v/>
      </c>
    </row>
    <row r="5" spans="1:37" ht="12.75">
      <c r="B5" s="1" t="str">
        <f>'Nov 9-15'!B61</f>
        <v>25 Howes Street Unit 2</v>
      </c>
      <c r="C5" s="29" t="str">
        <f t="array" ref="C5">INDEX('Nov 23-29'!C:C,MATCH($B5,'Nov 23-29'!$B:$B,0))</f>
        <v>N</v>
      </c>
      <c r="D5" s="29">
        <f t="array" ref="D5">INDEX('Nov 23-29'!D:D,MATCH($B5,'Nov 23-29'!$B:$B,0))</f>
        <v>3</v>
      </c>
      <c r="E5" s="65">
        <f t="shared" si="0"/>
        <v>78</v>
      </c>
      <c r="F5" s="66">
        <f t="shared" si="1"/>
        <v>1.4873574615765989E-3</v>
      </c>
      <c r="G5" s="65">
        <f t="array" ref="G5">INDEX('Nov 23-29'!E:E,MATCH($B5,'Nov 23-29'!$B:$B,0))</f>
        <v>1</v>
      </c>
      <c r="H5" s="65">
        <f t="array" ref="H5">INDEX('Nov 23-29'!F:F,MATCH($B5,'Nov 23-29'!$B:$B,0))</f>
        <v>0</v>
      </c>
      <c r="I5" s="65">
        <f t="array" ref="I5">INDEX('Nov 23-29'!G:G,MATCH($B5,'Nov 23-29'!$B:$B,0))</f>
        <v>0</v>
      </c>
      <c r="J5" s="65">
        <f t="array" ref="J5">INDEX('Nov 23-29'!H:H,MATCH($B5,'Nov 23-29'!$B:$B,0))</f>
        <v>0</v>
      </c>
      <c r="K5" s="65">
        <f t="array" ref="K5">INDEX('Nov 23-29'!I:I,MATCH($B5,'Nov 23-29'!$B:$B,0))</f>
        <v>0</v>
      </c>
      <c r="L5" s="65">
        <f t="array" ref="L5">INDEX('Nov 23-29'!J:J,MATCH($B5,'Nov 23-29'!$B:$B,0))</f>
        <v>0</v>
      </c>
      <c r="M5" s="17">
        <f t="shared" si="2"/>
        <v>0.33333333333333331</v>
      </c>
      <c r="N5" s="17">
        <f t="shared" si="3"/>
        <v>0</v>
      </c>
      <c r="O5" s="17">
        <f t="shared" si="4"/>
        <v>0</v>
      </c>
      <c r="P5" s="17">
        <f t="shared" si="5"/>
        <v>0</v>
      </c>
      <c r="Q5" s="17" t="str">
        <f t="shared" ref="Q5:R5" si="10">IFERROR(J5/I5,"")</f>
        <v/>
      </c>
      <c r="R5" s="17" t="str">
        <f t="shared" si="10"/>
        <v/>
      </c>
      <c r="S5" s="17">
        <f t="shared" si="7"/>
        <v>0</v>
      </c>
      <c r="T5" s="17" t="str">
        <f t="shared" si="8"/>
        <v/>
      </c>
    </row>
    <row r="6" spans="1:37" ht="12.75">
      <c r="B6" s="1" t="str">
        <f>'Nov 9-15'!B62</f>
        <v>25 Howes Street Unit 3</v>
      </c>
      <c r="C6" s="29" t="str">
        <f t="array" ref="C6">INDEX('Nov 23-29'!C:C,MATCH($B6,'Nov 23-29'!$B:$B,0))</f>
        <v>Y</v>
      </c>
      <c r="D6" s="29">
        <f t="array" ref="D6">INDEX('Nov 23-29'!D:D,MATCH($B6,'Nov 23-29'!$B:$B,0))</f>
        <v>17</v>
      </c>
      <c r="E6" s="65">
        <f t="shared" si="0"/>
        <v>50</v>
      </c>
      <c r="F6" s="66">
        <f t="shared" si="1"/>
        <v>8.4283589489340602E-3</v>
      </c>
      <c r="G6" s="65">
        <f t="array" ref="G6">INDEX('Nov 23-29'!E:E,MATCH($B6,'Nov 23-29'!$B:$B,0))</f>
        <v>3</v>
      </c>
      <c r="H6" s="65">
        <f t="array" ref="H6">INDEX('Nov 23-29'!F:F,MATCH($B6,'Nov 23-29'!$B:$B,0))</f>
        <v>3</v>
      </c>
      <c r="I6" s="65">
        <f t="array" ref="I6">INDEX('Nov 23-29'!G:G,MATCH($B6,'Nov 23-29'!$B:$B,0))</f>
        <v>1</v>
      </c>
      <c r="J6" s="65">
        <f t="array" ref="J6">INDEX('Nov 23-29'!H:H,MATCH($B6,'Nov 23-29'!$B:$B,0))</f>
        <v>0</v>
      </c>
      <c r="K6" s="65">
        <f t="array" ref="K6">INDEX('Nov 23-29'!I:I,MATCH($B6,'Nov 23-29'!$B:$B,0))</f>
        <v>0</v>
      </c>
      <c r="L6" s="65">
        <f t="array" ref="L6">INDEX('Nov 23-29'!J:J,MATCH($B6,'Nov 23-29'!$B:$B,0))</f>
        <v>0</v>
      </c>
      <c r="M6" s="17">
        <f t="shared" si="2"/>
        <v>0.17647058823529413</v>
      </c>
      <c r="N6" s="17">
        <f t="shared" si="3"/>
        <v>5.8823529411764705E-2</v>
      </c>
      <c r="O6" s="17">
        <f t="shared" si="4"/>
        <v>0.33333333333333331</v>
      </c>
      <c r="P6" s="17">
        <f t="shared" si="5"/>
        <v>0</v>
      </c>
      <c r="Q6" s="17">
        <f t="shared" ref="Q6:R6" si="11">IFERROR(J6/I6,"")</f>
        <v>0</v>
      </c>
      <c r="R6" s="17" t="str">
        <f t="shared" si="11"/>
        <v/>
      </c>
      <c r="S6" s="17">
        <f t="shared" si="7"/>
        <v>0</v>
      </c>
      <c r="T6" s="17" t="str">
        <f t="shared" si="8"/>
        <v/>
      </c>
    </row>
    <row r="7" spans="1:37" ht="12.75">
      <c r="B7" s="1" t="str">
        <f>'Nov 9-15'!B108</f>
        <v>95 Upland Road Unit 2</v>
      </c>
      <c r="C7" s="29" t="str">
        <f t="array" ref="C7">INDEX('Nov 23-29'!C:C,MATCH($B7,'Nov 23-29'!$B:$B,0))</f>
        <v>Y</v>
      </c>
      <c r="D7" s="29">
        <f t="array" ref="D7">INDEX('Nov 23-29'!D:D,MATCH($B7,'Nov 23-29'!$B:$B,0))</f>
        <v>13</v>
      </c>
      <c r="E7" s="65">
        <f t="shared" si="0"/>
        <v>57</v>
      </c>
      <c r="F7" s="66">
        <f t="shared" si="1"/>
        <v>6.4452156668319289E-3</v>
      </c>
      <c r="G7" s="65">
        <f t="array" ref="G7">INDEX('Nov 23-29'!E:E,MATCH($B7,'Nov 23-29'!$B:$B,0))</f>
        <v>2</v>
      </c>
      <c r="H7" s="65">
        <f t="array" ref="H7">INDEX('Nov 23-29'!F:F,MATCH($B7,'Nov 23-29'!$B:$B,0))</f>
        <v>2</v>
      </c>
      <c r="I7" s="65">
        <f t="array" ref="I7">INDEX('Nov 23-29'!G:G,MATCH($B7,'Nov 23-29'!$B:$B,0))</f>
        <v>0</v>
      </c>
      <c r="J7" s="65">
        <f t="array" ref="J7">INDEX('Nov 23-29'!H:H,MATCH($B7,'Nov 23-29'!$B:$B,0))</f>
        <v>0</v>
      </c>
      <c r="K7" s="65">
        <f t="array" ref="K7">INDEX('Nov 23-29'!I:I,MATCH($B7,'Nov 23-29'!$B:$B,0))</f>
        <v>0</v>
      </c>
      <c r="L7" s="65">
        <f t="array" ref="L7">INDEX('Nov 23-29'!J:J,MATCH($B7,'Nov 23-29'!$B:$B,0))</f>
        <v>0</v>
      </c>
      <c r="M7" s="17">
        <f t="shared" si="2"/>
        <v>0.15384615384615385</v>
      </c>
      <c r="N7" s="17">
        <f t="shared" si="3"/>
        <v>0</v>
      </c>
      <c r="O7" s="17">
        <f t="shared" si="4"/>
        <v>0</v>
      </c>
      <c r="P7" s="17">
        <f t="shared" si="5"/>
        <v>0</v>
      </c>
      <c r="Q7" s="17" t="str">
        <f t="shared" ref="Q7:R7" si="12">IFERROR(J7/I7,"")</f>
        <v/>
      </c>
      <c r="R7" s="17" t="str">
        <f t="shared" si="12"/>
        <v/>
      </c>
      <c r="S7" s="17">
        <f t="shared" si="7"/>
        <v>0</v>
      </c>
      <c r="T7" s="17" t="str">
        <f t="shared" si="8"/>
        <v/>
      </c>
    </row>
    <row r="8" spans="1:37" ht="12.75">
      <c r="B8" s="1" t="str">
        <f>'Nov 9-15'!B94</f>
        <v>51 Clifton Street Unit 2</v>
      </c>
      <c r="C8" s="29" t="str">
        <f t="array" ref="C8">INDEX('Nov 23-29'!C:C,MATCH($B8,'Nov 23-29'!$B:$B,0))</f>
        <v>N</v>
      </c>
      <c r="D8" s="29">
        <f t="array" ref="D8">INDEX('Nov 23-29'!D:D,MATCH($B8,'Nov 23-29'!$B:$B,0))</f>
        <v>20</v>
      </c>
      <c r="E8" s="65">
        <f t="shared" si="0"/>
        <v>42</v>
      </c>
      <c r="F8" s="66">
        <f t="shared" si="1"/>
        <v>9.91571641051066E-3</v>
      </c>
      <c r="G8" s="65">
        <f t="array" ref="G8">INDEX('Nov 23-29'!E:E,MATCH($B8,'Nov 23-29'!$B:$B,0))</f>
        <v>14</v>
      </c>
      <c r="H8" s="65">
        <f t="array" ref="H8">INDEX('Nov 23-29'!F:F,MATCH($B8,'Nov 23-29'!$B:$B,0))</f>
        <v>0</v>
      </c>
      <c r="I8" s="65">
        <f t="array" ref="I8">INDEX('Nov 23-29'!G:G,MATCH($B8,'Nov 23-29'!$B:$B,0))</f>
        <v>0</v>
      </c>
      <c r="J8" s="65">
        <f t="array" ref="J8">INDEX('Nov 23-29'!H:H,MATCH($B8,'Nov 23-29'!$B:$B,0))</f>
        <v>0</v>
      </c>
      <c r="K8" s="65">
        <f t="array" ref="K8">INDEX('Nov 23-29'!I:I,MATCH($B8,'Nov 23-29'!$B:$B,0))</f>
        <v>0</v>
      </c>
      <c r="L8" s="65">
        <f t="array" ref="L8">INDEX('Nov 23-29'!J:J,MATCH($B8,'Nov 23-29'!$B:$B,0))</f>
        <v>0</v>
      </c>
      <c r="M8" s="17">
        <f t="shared" si="2"/>
        <v>0.7</v>
      </c>
      <c r="N8" s="17">
        <f t="shared" si="3"/>
        <v>0</v>
      </c>
      <c r="O8" s="17">
        <f t="shared" si="4"/>
        <v>0</v>
      </c>
      <c r="P8" s="17">
        <f t="shared" si="5"/>
        <v>0</v>
      </c>
      <c r="Q8" s="17" t="str">
        <f t="shared" ref="Q8:R8" si="13">IFERROR(J8/I8,"")</f>
        <v/>
      </c>
      <c r="R8" s="17" t="str">
        <f t="shared" si="13"/>
        <v/>
      </c>
      <c r="S8" s="17">
        <f t="shared" si="7"/>
        <v>0</v>
      </c>
      <c r="T8" s="17" t="str">
        <f t="shared" si="8"/>
        <v/>
      </c>
    </row>
    <row r="9" spans="1:37" ht="12.75">
      <c r="B9" s="1" t="str">
        <f>'Nov 9-15'!B27</f>
        <v>147 Columbia Street Unit 3R</v>
      </c>
      <c r="C9" s="29" t="str">
        <f t="array" ref="C9">INDEX('Nov 23-29'!C:C,MATCH($B9,'Nov 23-29'!$B:$B,0))</f>
        <v>Y</v>
      </c>
      <c r="D9" s="29">
        <f t="array" ref="D9">INDEX('Nov 23-29'!D:D,MATCH($B9,'Nov 23-29'!$B:$B,0))</f>
        <v>28</v>
      </c>
      <c r="E9" s="65">
        <f t="shared" si="0"/>
        <v>23</v>
      </c>
      <c r="F9" s="66">
        <f t="shared" si="1"/>
        <v>1.3882002974714923E-2</v>
      </c>
      <c r="G9" s="65">
        <f t="array" ref="G9">INDEX('Nov 23-29'!E:E,MATCH($B9,'Nov 23-29'!$B:$B,0))</f>
        <v>8</v>
      </c>
      <c r="H9" s="65">
        <f t="array" ref="H9">INDEX('Nov 23-29'!F:F,MATCH($B9,'Nov 23-29'!$B:$B,0))</f>
        <v>0</v>
      </c>
      <c r="I9" s="65">
        <f t="array" ref="I9">INDEX('Nov 23-29'!G:G,MATCH($B9,'Nov 23-29'!$B:$B,0))</f>
        <v>1</v>
      </c>
      <c r="J9" s="65">
        <f t="array" ref="J9">INDEX('Nov 23-29'!H:H,MATCH($B9,'Nov 23-29'!$B:$B,0))</f>
        <v>0</v>
      </c>
      <c r="K9" s="65">
        <f t="array" ref="K9">INDEX('Nov 23-29'!I:I,MATCH($B9,'Nov 23-29'!$B:$B,0))</f>
        <v>0</v>
      </c>
      <c r="L9" s="65">
        <f t="array" ref="L9">INDEX('Nov 23-29'!J:J,MATCH($B9,'Nov 23-29'!$B:$B,0))</f>
        <v>0</v>
      </c>
      <c r="M9" s="17">
        <f t="shared" si="2"/>
        <v>0.2857142857142857</v>
      </c>
      <c r="N9" s="17">
        <f t="shared" si="3"/>
        <v>3.5714285714285712E-2</v>
      </c>
      <c r="O9" s="17">
        <f t="shared" si="4"/>
        <v>0.125</v>
      </c>
      <c r="P9" s="17">
        <f t="shared" si="5"/>
        <v>0</v>
      </c>
      <c r="Q9" s="17">
        <f t="shared" ref="Q9:R9" si="14">IFERROR(J9/I9,"")</f>
        <v>0</v>
      </c>
      <c r="R9" s="17" t="str">
        <f t="shared" si="14"/>
        <v/>
      </c>
      <c r="S9" s="17">
        <f t="shared" si="7"/>
        <v>0</v>
      </c>
      <c r="T9" s="17" t="str">
        <f t="shared" si="8"/>
        <v/>
      </c>
    </row>
    <row r="10" spans="1:37" ht="12.75">
      <c r="B10" s="1" t="str">
        <f>'Nov 9-15'!B106</f>
        <v>9 Fairfield Street Unit 1L</v>
      </c>
      <c r="C10" s="29" t="str">
        <f t="array" ref="C10">INDEX('Nov 23-29'!C:C,MATCH($B10,'Nov 23-29'!$B:$B,0))</f>
        <v>Y</v>
      </c>
      <c r="D10" s="29">
        <f t="array" ref="D10">INDEX('Nov 23-29'!D:D,MATCH($B10,'Nov 23-29'!$B:$B,0))</f>
        <v>5</v>
      </c>
      <c r="E10" s="65">
        <f t="shared" si="0"/>
        <v>71</v>
      </c>
      <c r="F10" s="66">
        <f t="shared" si="1"/>
        <v>2.478929102627665E-3</v>
      </c>
      <c r="G10" s="65">
        <f t="array" ref="G10">INDEX('Nov 23-29'!E:E,MATCH($B10,'Nov 23-29'!$B:$B,0))</f>
        <v>1</v>
      </c>
      <c r="H10" s="65">
        <f t="array" ref="H10">INDEX('Nov 23-29'!F:F,MATCH($B10,'Nov 23-29'!$B:$B,0))</f>
        <v>0</v>
      </c>
      <c r="I10" s="65">
        <f t="array" ref="I10">INDEX('Nov 23-29'!G:G,MATCH($B10,'Nov 23-29'!$B:$B,0))</f>
        <v>0</v>
      </c>
      <c r="J10" s="65">
        <f t="array" ref="J10">INDEX('Nov 23-29'!H:H,MATCH($B10,'Nov 23-29'!$B:$B,0))</f>
        <v>0</v>
      </c>
      <c r="K10" s="65">
        <f t="array" ref="K10">INDEX('Nov 23-29'!I:I,MATCH($B10,'Nov 23-29'!$B:$B,0))</f>
        <v>0</v>
      </c>
      <c r="L10" s="65">
        <f t="array" ref="L10">INDEX('Nov 23-29'!J:J,MATCH($B10,'Nov 23-29'!$B:$B,0))</f>
        <v>0</v>
      </c>
      <c r="M10" s="17">
        <f t="shared" si="2"/>
        <v>0.2</v>
      </c>
      <c r="N10" s="17">
        <f t="shared" si="3"/>
        <v>0</v>
      </c>
      <c r="O10" s="17">
        <f t="shared" si="4"/>
        <v>0</v>
      </c>
      <c r="P10" s="17">
        <f t="shared" si="5"/>
        <v>0</v>
      </c>
      <c r="Q10" s="17" t="str">
        <f t="shared" ref="Q10:R10" si="15">IFERROR(J10/I10,"")</f>
        <v/>
      </c>
      <c r="R10" s="17" t="str">
        <f t="shared" si="15"/>
        <v/>
      </c>
      <c r="S10" s="17">
        <f t="shared" si="7"/>
        <v>0</v>
      </c>
      <c r="T10" s="17" t="str">
        <f t="shared" si="8"/>
        <v/>
      </c>
    </row>
    <row r="11" spans="1:37" ht="12.75">
      <c r="B11" s="1" t="str">
        <f>'Nov 9-15'!B55</f>
        <v>22 Austin Street Unit 1</v>
      </c>
      <c r="C11" s="29" t="str">
        <f t="array" ref="C11">INDEX('Nov 23-29'!C:C,MATCH($B11,'Nov 23-29'!$B:$B,0))</f>
        <v>Y</v>
      </c>
      <c r="D11" s="29">
        <f t="array" ref="D11">INDEX('Nov 23-29'!D:D,MATCH($B11,'Nov 23-29'!$B:$B,0))</f>
        <v>9</v>
      </c>
      <c r="E11" s="65">
        <f t="shared" si="0"/>
        <v>64</v>
      </c>
      <c r="F11" s="66">
        <f t="shared" si="1"/>
        <v>4.4620723847297967E-3</v>
      </c>
      <c r="G11" s="65">
        <f t="array" ref="G11">INDEX('Nov 23-29'!E:E,MATCH($B11,'Nov 23-29'!$B:$B,0))</f>
        <v>3</v>
      </c>
      <c r="H11" s="65">
        <f t="array" ref="H11">INDEX('Nov 23-29'!F:F,MATCH($B11,'Nov 23-29'!$B:$B,0))</f>
        <v>1</v>
      </c>
      <c r="I11" s="65">
        <f t="array" ref="I11">INDEX('Nov 23-29'!G:G,MATCH($B11,'Nov 23-29'!$B:$B,0))</f>
        <v>1</v>
      </c>
      <c r="J11" s="65">
        <f t="array" ref="J11">INDEX('Nov 23-29'!H:H,MATCH($B11,'Nov 23-29'!$B:$B,0))</f>
        <v>0</v>
      </c>
      <c r="K11" s="65">
        <f t="array" ref="K11">INDEX('Nov 23-29'!I:I,MATCH($B11,'Nov 23-29'!$B:$B,0))</f>
        <v>0</v>
      </c>
      <c r="L11" s="65">
        <f t="array" ref="L11">INDEX('Nov 23-29'!J:J,MATCH($B11,'Nov 23-29'!$B:$B,0))</f>
        <v>0</v>
      </c>
      <c r="M11" s="17">
        <f t="shared" si="2"/>
        <v>0.33333333333333331</v>
      </c>
      <c r="N11" s="17">
        <f t="shared" si="3"/>
        <v>0.1111111111111111</v>
      </c>
      <c r="O11" s="17">
        <f t="shared" si="4"/>
        <v>0.33333333333333331</v>
      </c>
      <c r="P11" s="17">
        <f t="shared" si="5"/>
        <v>0</v>
      </c>
      <c r="Q11" s="17">
        <f t="shared" ref="Q11:R11" si="16">IFERROR(J11/I11,"")</f>
        <v>0</v>
      </c>
      <c r="R11" s="17" t="str">
        <f t="shared" si="16"/>
        <v/>
      </c>
      <c r="S11" s="17">
        <f t="shared" si="7"/>
        <v>0</v>
      </c>
      <c r="T11" s="17" t="str">
        <f t="shared" si="8"/>
        <v/>
      </c>
    </row>
    <row r="12" spans="1:37" ht="12.75">
      <c r="B12" s="1" t="str">
        <f>'Nov 9-15'!B7</f>
        <v>106 Hyde Park Avenue Unit 2</v>
      </c>
      <c r="C12" s="29" t="str">
        <f t="array" ref="C12">INDEX('Nov 23-29'!C:C,MATCH($B12,'Nov 23-29'!$B:$B,0))</f>
        <v>Y</v>
      </c>
      <c r="D12" s="29">
        <f t="array" ref="D12">INDEX('Nov 23-29'!D:D,MATCH($B12,'Nov 23-29'!$B:$B,0))</f>
        <v>19</v>
      </c>
      <c r="E12" s="65">
        <f t="shared" si="0"/>
        <v>44</v>
      </c>
      <c r="F12" s="66">
        <f t="shared" si="1"/>
        <v>9.4199305899851267E-3</v>
      </c>
      <c r="G12" s="65">
        <f t="array" ref="G12">INDEX('Nov 23-29'!E:E,MATCH($B12,'Nov 23-29'!$B:$B,0))</f>
        <v>1</v>
      </c>
      <c r="H12" s="65">
        <f t="array" ref="H12">INDEX('Nov 23-29'!F:F,MATCH($B12,'Nov 23-29'!$B:$B,0))</f>
        <v>1</v>
      </c>
      <c r="I12" s="65">
        <f t="array" ref="I12">INDEX('Nov 23-29'!G:G,MATCH($B12,'Nov 23-29'!$B:$B,0))</f>
        <v>0</v>
      </c>
      <c r="J12" s="65">
        <f t="array" ref="J12">INDEX('Nov 23-29'!H:H,MATCH($B12,'Nov 23-29'!$B:$B,0))</f>
        <v>0</v>
      </c>
      <c r="K12" s="65">
        <f t="array" ref="K12">INDEX('Nov 23-29'!I:I,MATCH($B12,'Nov 23-29'!$B:$B,0))</f>
        <v>0</v>
      </c>
      <c r="L12" s="65">
        <f t="array" ref="L12">INDEX('Nov 23-29'!J:J,MATCH($B12,'Nov 23-29'!$B:$B,0))</f>
        <v>0</v>
      </c>
      <c r="M12" s="17">
        <f t="shared" si="2"/>
        <v>5.2631578947368418E-2</v>
      </c>
      <c r="N12" s="17">
        <f t="shared" si="3"/>
        <v>0</v>
      </c>
      <c r="O12" s="17">
        <f t="shared" si="4"/>
        <v>0</v>
      </c>
      <c r="P12" s="17">
        <f t="shared" si="5"/>
        <v>0</v>
      </c>
      <c r="Q12" s="17" t="str">
        <f t="shared" ref="Q12:R12" si="17">IFERROR(J12/I12,"")</f>
        <v/>
      </c>
      <c r="R12" s="17" t="str">
        <f t="shared" si="17"/>
        <v/>
      </c>
      <c r="S12" s="17">
        <f t="shared" si="7"/>
        <v>0</v>
      </c>
      <c r="T12" s="17" t="str">
        <f t="shared" si="8"/>
        <v/>
      </c>
    </row>
    <row r="13" spans="1:37" ht="12.75">
      <c r="B13" s="1" t="str">
        <f>'Nov 9-15'!B86</f>
        <v>45 Crescent Avenue Unit 1</v>
      </c>
      <c r="C13" s="29" t="str">
        <f t="array" ref="C13">INDEX('Nov 23-29'!C:C,MATCH($B13,'Nov 23-29'!$B:$B,0))</f>
        <v>Y</v>
      </c>
      <c r="D13" s="29">
        <f t="array" ref="D13">INDEX('Nov 23-29'!D:D,MATCH($B13,'Nov 23-29'!$B:$B,0))</f>
        <v>14</v>
      </c>
      <c r="E13" s="65">
        <f t="shared" si="0"/>
        <v>54</v>
      </c>
      <c r="F13" s="66">
        <f t="shared" si="1"/>
        <v>6.9410014873574613E-3</v>
      </c>
      <c r="G13" s="65">
        <f t="array" ref="G13">INDEX('Nov 23-29'!E:E,MATCH($B13,'Nov 23-29'!$B:$B,0))</f>
        <v>1</v>
      </c>
      <c r="H13" s="65">
        <f t="array" ref="H13">INDEX('Nov 23-29'!F:F,MATCH($B13,'Nov 23-29'!$B:$B,0))</f>
        <v>2</v>
      </c>
      <c r="I13" s="65">
        <f t="array" ref="I13">INDEX('Nov 23-29'!G:G,MATCH($B13,'Nov 23-29'!$B:$B,0))</f>
        <v>0</v>
      </c>
      <c r="J13" s="65">
        <f t="array" ref="J13">INDEX('Nov 23-29'!H:H,MATCH($B13,'Nov 23-29'!$B:$B,0))</f>
        <v>0</v>
      </c>
      <c r="K13" s="65">
        <f t="array" ref="K13">INDEX('Nov 23-29'!I:I,MATCH($B13,'Nov 23-29'!$B:$B,0))</f>
        <v>0</v>
      </c>
      <c r="L13" s="65">
        <f t="array" ref="L13">INDEX('Nov 23-29'!J:J,MATCH($B13,'Nov 23-29'!$B:$B,0))</f>
        <v>0</v>
      </c>
      <c r="M13" s="17">
        <f t="shared" si="2"/>
        <v>7.1428571428571425E-2</v>
      </c>
      <c r="N13" s="17">
        <f t="shared" si="3"/>
        <v>0</v>
      </c>
      <c r="O13" s="17">
        <f t="shared" si="4"/>
        <v>0</v>
      </c>
      <c r="P13" s="17">
        <f t="shared" si="5"/>
        <v>0</v>
      </c>
      <c r="Q13" s="17" t="str">
        <f t="shared" ref="Q13:R13" si="18">IFERROR(J13/I13,"")</f>
        <v/>
      </c>
      <c r="R13" s="17" t="str">
        <f t="shared" si="18"/>
        <v/>
      </c>
      <c r="S13" s="17">
        <f t="shared" si="7"/>
        <v>0</v>
      </c>
      <c r="T13" s="17" t="str">
        <f t="shared" si="8"/>
        <v/>
      </c>
    </row>
    <row r="14" spans="1:37" ht="12.75">
      <c r="B14" s="1" t="str">
        <f>'Nov 9-15'!B63</f>
        <v>26 Washington Terrace Unit 1</v>
      </c>
      <c r="C14" s="29" t="str">
        <f t="array" ref="C14">INDEX('Nov 23-29'!C:C,MATCH($B14,'Nov 23-29'!$B:$B,0))</f>
        <v>N</v>
      </c>
      <c r="D14" s="29">
        <f t="array" ref="D14">INDEX('Nov 23-29'!D:D,MATCH($B14,'Nov 23-29'!$B:$B,0))</f>
        <v>0</v>
      </c>
      <c r="E14" s="65">
        <f t="shared" si="0"/>
        <v>92</v>
      </c>
      <c r="F14" s="66">
        <f t="shared" si="1"/>
        <v>0</v>
      </c>
      <c r="G14" s="65">
        <f t="array" ref="G14">INDEX('Nov 23-29'!E:E,MATCH($B14,'Nov 23-29'!$B:$B,0))</f>
        <v>0</v>
      </c>
      <c r="H14" s="65">
        <f t="array" ref="H14">INDEX('Nov 23-29'!F:F,MATCH($B14,'Nov 23-29'!$B:$B,0))</f>
        <v>0</v>
      </c>
      <c r="I14" s="65">
        <f t="array" ref="I14">INDEX('Nov 23-29'!G:G,MATCH($B14,'Nov 23-29'!$B:$B,0))</f>
        <v>0</v>
      </c>
      <c r="J14" s="65">
        <f t="array" ref="J14">INDEX('Nov 23-29'!H:H,MATCH($B14,'Nov 23-29'!$B:$B,0))</f>
        <v>0</v>
      </c>
      <c r="K14" s="65">
        <f t="array" ref="K14">INDEX('Nov 23-29'!I:I,MATCH($B14,'Nov 23-29'!$B:$B,0))</f>
        <v>0</v>
      </c>
      <c r="L14" s="65">
        <f t="array" ref="L14">INDEX('Nov 23-29'!J:J,MATCH($B14,'Nov 23-29'!$B:$B,0))</f>
        <v>0</v>
      </c>
      <c r="M14" s="17" t="str">
        <f t="shared" si="2"/>
        <v/>
      </c>
      <c r="N14" s="17" t="str">
        <f t="shared" si="3"/>
        <v/>
      </c>
      <c r="O14" s="17" t="str">
        <f t="shared" si="4"/>
        <v/>
      </c>
      <c r="P14" s="17" t="str">
        <f t="shared" si="5"/>
        <v/>
      </c>
      <c r="Q14" s="17" t="str">
        <f t="shared" ref="Q14:R14" si="19">IFERROR(J14/I14,"")</f>
        <v/>
      </c>
      <c r="R14" s="17" t="str">
        <f t="shared" si="19"/>
        <v/>
      </c>
      <c r="S14" s="17" t="str">
        <f t="shared" si="7"/>
        <v/>
      </c>
      <c r="T14" s="17" t="str">
        <f t="shared" si="8"/>
        <v/>
      </c>
    </row>
    <row r="15" spans="1:37" ht="12.75">
      <c r="B15" s="1" t="str">
        <f>'Nov 9-15'!B12</f>
        <v>1099 Cambridge Street Unit 1</v>
      </c>
      <c r="C15" s="29" t="str">
        <f t="array" ref="C15">INDEX('Nov 23-29'!C:C,MATCH($B15,'Nov 23-29'!$B:$B,0))</f>
        <v>Y</v>
      </c>
      <c r="D15" s="29">
        <f t="array" ref="D15">INDEX('Nov 23-29'!D:D,MATCH($B15,'Nov 23-29'!$B:$B,0))</f>
        <v>57</v>
      </c>
      <c r="E15" s="65">
        <f t="shared" si="0"/>
        <v>5</v>
      </c>
      <c r="F15" s="66">
        <f t="shared" si="1"/>
        <v>2.825979176995538E-2</v>
      </c>
      <c r="G15" s="65">
        <f t="array" ref="G15">INDEX('Nov 23-29'!E:E,MATCH($B15,'Nov 23-29'!$B:$B,0))</f>
        <v>11</v>
      </c>
      <c r="H15" s="65">
        <f t="array" ref="H15">INDEX('Nov 23-29'!F:F,MATCH($B15,'Nov 23-29'!$B:$B,0))</f>
        <v>2</v>
      </c>
      <c r="I15" s="65">
        <f t="array" ref="I15">INDEX('Nov 23-29'!G:G,MATCH($B15,'Nov 23-29'!$B:$B,0))</f>
        <v>0</v>
      </c>
      <c r="J15" s="65">
        <f t="array" ref="J15">INDEX('Nov 23-29'!H:H,MATCH($B15,'Nov 23-29'!$B:$B,0))</f>
        <v>0</v>
      </c>
      <c r="K15" s="65">
        <f t="array" ref="K15">INDEX('Nov 23-29'!I:I,MATCH($B15,'Nov 23-29'!$B:$B,0))</f>
        <v>0</v>
      </c>
      <c r="L15" s="65">
        <f t="array" ref="L15">INDEX('Nov 23-29'!J:J,MATCH($B15,'Nov 23-29'!$B:$B,0))</f>
        <v>0</v>
      </c>
      <c r="M15" s="17">
        <f t="shared" si="2"/>
        <v>0.19298245614035087</v>
      </c>
      <c r="N15" s="17">
        <f t="shared" si="3"/>
        <v>0</v>
      </c>
      <c r="O15" s="17">
        <f t="shared" si="4"/>
        <v>0</v>
      </c>
      <c r="P15" s="17">
        <f t="shared" si="5"/>
        <v>0</v>
      </c>
      <c r="Q15" s="17" t="str">
        <f t="shared" ref="Q15:R15" si="20">IFERROR(J15/I15,"")</f>
        <v/>
      </c>
      <c r="R15" s="17" t="str">
        <f t="shared" si="20"/>
        <v/>
      </c>
      <c r="S15" s="17">
        <f t="shared" si="7"/>
        <v>0</v>
      </c>
      <c r="T15" s="17" t="str">
        <f t="shared" si="8"/>
        <v/>
      </c>
    </row>
    <row r="16" spans="1:37" ht="12.75">
      <c r="B16" s="1" t="str">
        <f>'Nov 9-15'!B20</f>
        <v>12 Estrella Street Unit 2</v>
      </c>
      <c r="C16" s="29" t="str">
        <f t="array" ref="C16">INDEX('Nov 23-29'!C:C,MATCH($B16,'Nov 23-29'!$B:$B,0))</f>
        <v>Y</v>
      </c>
      <c r="D16" s="29">
        <f t="array" ref="D16">INDEX('Nov 23-29'!D:D,MATCH($B16,'Nov 23-29'!$B:$B,0))</f>
        <v>27</v>
      </c>
      <c r="E16" s="65">
        <f t="shared" si="0"/>
        <v>28</v>
      </c>
      <c r="F16" s="66">
        <f t="shared" si="1"/>
        <v>1.3386217154189391E-2</v>
      </c>
      <c r="G16" s="65">
        <f t="array" ref="G16">INDEX('Nov 23-29'!E:E,MATCH($B16,'Nov 23-29'!$B:$B,0))</f>
        <v>5</v>
      </c>
      <c r="H16" s="65">
        <f t="array" ref="H16">INDEX('Nov 23-29'!F:F,MATCH($B16,'Nov 23-29'!$B:$B,0))</f>
        <v>1</v>
      </c>
      <c r="I16" s="65">
        <f t="array" ref="I16">INDEX('Nov 23-29'!G:G,MATCH($B16,'Nov 23-29'!$B:$B,0))</f>
        <v>0</v>
      </c>
      <c r="J16" s="65">
        <f t="array" ref="J16">INDEX('Nov 23-29'!H:H,MATCH($B16,'Nov 23-29'!$B:$B,0))</f>
        <v>0</v>
      </c>
      <c r="K16" s="65">
        <f t="array" ref="K16">INDEX('Nov 23-29'!I:I,MATCH($B16,'Nov 23-29'!$B:$B,0))</f>
        <v>0</v>
      </c>
      <c r="L16" s="65">
        <f t="array" ref="L16">INDEX('Nov 23-29'!J:J,MATCH($B16,'Nov 23-29'!$B:$B,0))</f>
        <v>0</v>
      </c>
      <c r="M16" s="17">
        <f t="shared" si="2"/>
        <v>0.18518518518518517</v>
      </c>
      <c r="N16" s="17">
        <f t="shared" si="3"/>
        <v>0</v>
      </c>
      <c r="O16" s="17">
        <f t="shared" si="4"/>
        <v>0</v>
      </c>
      <c r="P16" s="17">
        <f t="shared" si="5"/>
        <v>0</v>
      </c>
      <c r="Q16" s="17" t="str">
        <f t="shared" ref="Q16:R16" si="21">IFERROR(J16/I16,"")</f>
        <v/>
      </c>
      <c r="R16" s="17" t="str">
        <f t="shared" si="21"/>
        <v/>
      </c>
      <c r="S16" s="17">
        <f t="shared" si="7"/>
        <v>0</v>
      </c>
      <c r="T16" s="17" t="str">
        <f t="shared" si="8"/>
        <v/>
      </c>
    </row>
    <row r="17" spans="2:20" ht="12.75">
      <c r="B17" s="1" t="str">
        <f>'Nov 9-15'!B19</f>
        <v>12 7th Street</v>
      </c>
      <c r="C17" s="29" t="str">
        <f t="array" ref="C17">INDEX('Nov 23-29'!C:C,MATCH($B17,'Nov 23-29'!$B:$B,0))</f>
        <v>N</v>
      </c>
      <c r="D17" s="29">
        <f t="array" ref="D17">INDEX('Nov 23-29'!D:D,MATCH($B17,'Nov 23-29'!$B:$B,0))</f>
        <v>2</v>
      </c>
      <c r="E17" s="65">
        <f t="shared" si="0"/>
        <v>83</v>
      </c>
      <c r="F17" s="66">
        <f t="shared" si="1"/>
        <v>9.9157164105106587E-4</v>
      </c>
      <c r="G17" s="65">
        <f t="array" ref="G17">INDEX('Nov 23-29'!E:E,MATCH($B17,'Nov 23-29'!$B:$B,0))</f>
        <v>0</v>
      </c>
      <c r="H17" s="65">
        <f t="array" ref="H17">INDEX('Nov 23-29'!F:F,MATCH($B17,'Nov 23-29'!$B:$B,0))</f>
        <v>0</v>
      </c>
      <c r="I17" s="65">
        <f t="array" ref="I17">INDEX('Nov 23-29'!G:G,MATCH($B17,'Nov 23-29'!$B:$B,0))</f>
        <v>0</v>
      </c>
      <c r="J17" s="65">
        <f t="array" ref="J17">INDEX('Nov 23-29'!H:H,MATCH($B17,'Nov 23-29'!$B:$B,0))</f>
        <v>0</v>
      </c>
      <c r="K17" s="65">
        <f t="array" ref="K17">INDEX('Nov 23-29'!I:I,MATCH($B17,'Nov 23-29'!$B:$B,0))</f>
        <v>0</v>
      </c>
      <c r="L17" s="65">
        <f t="array" ref="L17">INDEX('Nov 23-29'!J:J,MATCH($B17,'Nov 23-29'!$B:$B,0))</f>
        <v>0</v>
      </c>
      <c r="M17" s="17">
        <f t="shared" si="2"/>
        <v>0</v>
      </c>
      <c r="N17" s="17">
        <f t="shared" si="3"/>
        <v>0</v>
      </c>
      <c r="O17" s="17" t="str">
        <f t="shared" si="4"/>
        <v/>
      </c>
      <c r="P17" s="17">
        <f t="shared" si="5"/>
        <v>0</v>
      </c>
      <c r="Q17" s="17" t="str">
        <f t="shared" ref="Q17:R17" si="22">IFERROR(J17/I17,"")</f>
        <v/>
      </c>
      <c r="R17" s="17" t="str">
        <f t="shared" si="22"/>
        <v/>
      </c>
      <c r="S17" s="17">
        <f t="shared" si="7"/>
        <v>0</v>
      </c>
      <c r="T17" s="17" t="str">
        <f t="shared" si="8"/>
        <v/>
      </c>
    </row>
    <row r="18" spans="2:20" ht="12.75">
      <c r="B18" s="1" t="str">
        <f>'Nov 9-15'!B15</f>
        <v>1111 Boylston Street Unit 26</v>
      </c>
      <c r="C18" s="29" t="str">
        <f t="array" ref="C18">INDEX('Nov 23-29'!C:C,MATCH($B18,'Nov 23-29'!$B:$B,0))</f>
        <v>Y</v>
      </c>
      <c r="D18" s="29">
        <f t="array" ref="D18">INDEX('Nov 23-29'!D:D,MATCH($B18,'Nov 23-29'!$B:$B,0))</f>
        <v>54</v>
      </c>
      <c r="E18" s="65">
        <f t="shared" si="0"/>
        <v>7</v>
      </c>
      <c r="F18" s="66">
        <f t="shared" si="1"/>
        <v>2.6772434308378782E-2</v>
      </c>
      <c r="G18" s="65">
        <f t="array" ref="G18">INDEX('Nov 23-29'!E:E,MATCH($B18,'Nov 23-29'!$B:$B,0))</f>
        <v>10</v>
      </c>
      <c r="H18" s="65">
        <f t="array" ref="H18">INDEX('Nov 23-29'!F:F,MATCH($B18,'Nov 23-29'!$B:$B,0))</f>
        <v>4</v>
      </c>
      <c r="I18" s="65">
        <f t="array" ref="I18">INDEX('Nov 23-29'!G:G,MATCH($B18,'Nov 23-29'!$B:$B,0))</f>
        <v>0</v>
      </c>
      <c r="J18" s="65">
        <f t="array" ref="J18">INDEX('Nov 23-29'!H:H,MATCH($B18,'Nov 23-29'!$B:$B,0))</f>
        <v>0</v>
      </c>
      <c r="K18" s="65">
        <f t="array" ref="K18">INDEX('Nov 23-29'!I:I,MATCH($B18,'Nov 23-29'!$B:$B,0))</f>
        <v>0</v>
      </c>
      <c r="L18" s="65">
        <f t="array" ref="L18">INDEX('Nov 23-29'!J:J,MATCH($B18,'Nov 23-29'!$B:$B,0))</f>
        <v>0</v>
      </c>
      <c r="M18" s="17">
        <f t="shared" si="2"/>
        <v>0.18518518518518517</v>
      </c>
      <c r="N18" s="17">
        <f t="shared" si="3"/>
        <v>0</v>
      </c>
      <c r="O18" s="17">
        <f t="shared" si="4"/>
        <v>0</v>
      </c>
      <c r="P18" s="17">
        <f t="shared" si="5"/>
        <v>0</v>
      </c>
      <c r="Q18" s="17" t="str">
        <f t="shared" ref="Q18:R18" si="23">IFERROR(J18/I18,"")</f>
        <v/>
      </c>
      <c r="R18" s="17" t="str">
        <f t="shared" si="23"/>
        <v/>
      </c>
      <c r="S18" s="17">
        <f t="shared" si="7"/>
        <v>0</v>
      </c>
      <c r="T18" s="17" t="str">
        <f t="shared" si="8"/>
        <v/>
      </c>
    </row>
    <row r="19" spans="2:20" ht="12.75">
      <c r="B19" s="1" t="str">
        <f>'Nov 9-15'!B64</f>
        <v>26 Washington Terrace Unit 2</v>
      </c>
      <c r="C19" s="29" t="str">
        <f t="array" ref="C19">INDEX('Nov 23-29'!C:C,MATCH($B19,'Nov 23-29'!$B:$B,0))</f>
        <v>N</v>
      </c>
      <c r="D19" s="29">
        <f t="array" ref="D19">INDEX('Nov 23-29'!D:D,MATCH($B19,'Nov 23-29'!$B:$B,0))</f>
        <v>0</v>
      </c>
      <c r="E19" s="65">
        <f t="shared" si="0"/>
        <v>92</v>
      </c>
      <c r="F19" s="66">
        <f t="shared" si="1"/>
        <v>0</v>
      </c>
      <c r="G19" s="65">
        <f t="array" ref="G19">INDEX('Nov 23-29'!E:E,MATCH($B19,'Nov 23-29'!$B:$B,0))</f>
        <v>0</v>
      </c>
      <c r="H19" s="65">
        <f t="array" ref="H19">INDEX('Nov 23-29'!F:F,MATCH($B19,'Nov 23-29'!$B:$B,0))</f>
        <v>0</v>
      </c>
      <c r="I19" s="65">
        <f t="array" ref="I19">INDEX('Nov 23-29'!G:G,MATCH($B19,'Nov 23-29'!$B:$B,0))</f>
        <v>0</v>
      </c>
      <c r="J19" s="65">
        <f t="array" ref="J19">INDEX('Nov 23-29'!H:H,MATCH($B19,'Nov 23-29'!$B:$B,0))</f>
        <v>0</v>
      </c>
      <c r="K19" s="65">
        <f t="array" ref="K19">INDEX('Nov 23-29'!I:I,MATCH($B19,'Nov 23-29'!$B:$B,0))</f>
        <v>0</v>
      </c>
      <c r="L19" s="65">
        <f t="array" ref="L19">INDEX('Nov 23-29'!J:J,MATCH($B19,'Nov 23-29'!$B:$B,0))</f>
        <v>0</v>
      </c>
      <c r="M19" s="17" t="str">
        <f t="shared" si="2"/>
        <v/>
      </c>
      <c r="N19" s="17" t="str">
        <f t="shared" si="3"/>
        <v/>
      </c>
      <c r="O19" s="17" t="str">
        <f t="shared" si="4"/>
        <v/>
      </c>
      <c r="P19" s="17" t="str">
        <f t="shared" si="5"/>
        <v/>
      </c>
      <c r="Q19" s="17" t="str">
        <f t="shared" ref="Q19:R19" si="24">IFERROR(J19/I19,"")</f>
        <v/>
      </c>
      <c r="R19" s="17" t="str">
        <f t="shared" si="24"/>
        <v/>
      </c>
      <c r="S19" s="17" t="str">
        <f t="shared" si="7"/>
        <v/>
      </c>
      <c r="T19" s="17" t="str">
        <f t="shared" si="8"/>
        <v/>
      </c>
    </row>
    <row r="20" spans="2:20" ht="12.75">
      <c r="B20" s="1" t="str">
        <f>'Nov 9-15'!B90</f>
        <v>49 Paulina Street Unit 3</v>
      </c>
      <c r="C20" s="29" t="str">
        <f t="array" ref="C20">INDEX('Nov 23-29'!C:C,MATCH($B20,'Nov 23-29'!$B:$B,0))</f>
        <v>Y</v>
      </c>
      <c r="D20" s="29">
        <f t="array" ref="D20">INDEX('Nov 23-29'!D:D,MATCH($B20,'Nov 23-29'!$B:$B,0))</f>
        <v>5</v>
      </c>
      <c r="E20" s="65">
        <f t="shared" si="0"/>
        <v>71</v>
      </c>
      <c r="F20" s="66">
        <f t="shared" si="1"/>
        <v>2.478929102627665E-3</v>
      </c>
      <c r="G20" s="65">
        <f t="array" ref="G20">INDEX('Nov 23-29'!E:E,MATCH($B20,'Nov 23-29'!$B:$B,0))</f>
        <v>2</v>
      </c>
      <c r="H20" s="65">
        <f t="array" ref="H20">INDEX('Nov 23-29'!F:F,MATCH($B20,'Nov 23-29'!$B:$B,0))</f>
        <v>1</v>
      </c>
      <c r="I20" s="65">
        <f t="array" ref="I20">INDEX('Nov 23-29'!G:G,MATCH($B20,'Nov 23-29'!$B:$B,0))</f>
        <v>0</v>
      </c>
      <c r="J20" s="65">
        <f t="array" ref="J20">INDEX('Nov 23-29'!H:H,MATCH($B20,'Nov 23-29'!$B:$B,0))</f>
        <v>0</v>
      </c>
      <c r="K20" s="65">
        <f t="array" ref="K20">INDEX('Nov 23-29'!I:I,MATCH($B20,'Nov 23-29'!$B:$B,0))</f>
        <v>0</v>
      </c>
      <c r="L20" s="65">
        <f t="array" ref="L20">INDEX('Nov 23-29'!J:J,MATCH($B20,'Nov 23-29'!$B:$B,0))</f>
        <v>0</v>
      </c>
      <c r="M20" s="17">
        <f t="shared" si="2"/>
        <v>0.4</v>
      </c>
      <c r="N20" s="17">
        <f t="shared" si="3"/>
        <v>0</v>
      </c>
      <c r="O20" s="17">
        <f t="shared" si="4"/>
        <v>0</v>
      </c>
      <c r="P20" s="17">
        <f t="shared" si="5"/>
        <v>0</v>
      </c>
      <c r="Q20" s="17" t="str">
        <f t="shared" ref="Q20:R20" si="25">IFERROR(J20/I20,"")</f>
        <v/>
      </c>
      <c r="R20" s="17" t="str">
        <f t="shared" si="25"/>
        <v/>
      </c>
      <c r="S20" s="17">
        <f t="shared" si="7"/>
        <v>0</v>
      </c>
      <c r="T20" s="17" t="str">
        <f t="shared" si="8"/>
        <v/>
      </c>
    </row>
    <row r="21" spans="2:20" ht="12.75">
      <c r="B21" s="1" t="str">
        <f>'Nov 9-15'!B58</f>
        <v>231 Norfolk Street Unit 1</v>
      </c>
      <c r="C21" s="29" t="str">
        <f t="array" ref="C21">INDEX('Nov 23-29'!C:C,MATCH($B21,'Nov 23-29'!$B:$B,0))</f>
        <v>Y</v>
      </c>
      <c r="D21" s="29">
        <f t="array" ref="D21">INDEX('Nov 23-29'!D:D,MATCH($B21,'Nov 23-29'!$B:$B,0))</f>
        <v>23</v>
      </c>
      <c r="E21" s="65">
        <f t="shared" si="0"/>
        <v>34</v>
      </c>
      <c r="F21" s="66">
        <f t="shared" si="1"/>
        <v>1.1403073872087258E-2</v>
      </c>
      <c r="G21" s="65">
        <f t="array" ref="G21">INDEX('Nov 23-29'!E:E,MATCH($B21,'Nov 23-29'!$B:$B,0))</f>
        <v>6</v>
      </c>
      <c r="H21" s="65">
        <f t="array" ref="H21">INDEX('Nov 23-29'!F:F,MATCH($B21,'Nov 23-29'!$B:$B,0))</f>
        <v>1</v>
      </c>
      <c r="I21" s="65">
        <f t="array" ref="I21">INDEX('Nov 23-29'!G:G,MATCH($B21,'Nov 23-29'!$B:$B,0))</f>
        <v>1</v>
      </c>
      <c r="J21" s="65">
        <f t="array" ref="J21">INDEX('Nov 23-29'!H:H,MATCH($B21,'Nov 23-29'!$B:$B,0))</f>
        <v>0</v>
      </c>
      <c r="K21" s="65">
        <f t="array" ref="K21">INDEX('Nov 23-29'!I:I,MATCH($B21,'Nov 23-29'!$B:$B,0))</f>
        <v>0</v>
      </c>
      <c r="L21" s="65">
        <f t="array" ref="L21">INDEX('Nov 23-29'!J:J,MATCH($B21,'Nov 23-29'!$B:$B,0))</f>
        <v>0</v>
      </c>
      <c r="M21" s="17">
        <f t="shared" si="2"/>
        <v>0.2608695652173913</v>
      </c>
      <c r="N21" s="17">
        <f t="shared" si="3"/>
        <v>4.3478260869565216E-2</v>
      </c>
      <c r="O21" s="17">
        <f t="shared" si="4"/>
        <v>0.16666666666666666</v>
      </c>
      <c r="P21" s="17">
        <f t="shared" si="5"/>
        <v>0</v>
      </c>
      <c r="Q21" s="17">
        <f t="shared" ref="Q21:R21" si="26">IFERROR(J21/I21,"")</f>
        <v>0</v>
      </c>
      <c r="R21" s="17" t="str">
        <f t="shared" si="26"/>
        <v/>
      </c>
      <c r="S21" s="17">
        <f t="shared" si="7"/>
        <v>0</v>
      </c>
      <c r="T21" s="17" t="str">
        <f t="shared" si="8"/>
        <v/>
      </c>
    </row>
    <row r="22" spans="2:20" ht="12.75">
      <c r="B22" s="1" t="str">
        <f>'Nov 9-15'!B17</f>
        <v>116 Thornton Street Unit 2</v>
      </c>
      <c r="C22" s="29" t="str">
        <f t="array" ref="C22">INDEX('Nov 23-29'!C:C,MATCH($B22,'Nov 23-29'!$B:$B,0))</f>
        <v>Y</v>
      </c>
      <c r="D22" s="29">
        <f t="array" ref="D22">INDEX('Nov 23-29'!D:D,MATCH($B22,'Nov 23-29'!$B:$B,0))</f>
        <v>28</v>
      </c>
      <c r="E22" s="65">
        <f t="shared" si="0"/>
        <v>23</v>
      </c>
      <c r="F22" s="66">
        <f t="shared" si="1"/>
        <v>1.3882002974714923E-2</v>
      </c>
      <c r="G22" s="65">
        <f t="array" ref="G22">INDEX('Nov 23-29'!E:E,MATCH($B22,'Nov 23-29'!$B:$B,0))</f>
        <v>0</v>
      </c>
      <c r="H22" s="65">
        <f t="array" ref="H22">INDEX('Nov 23-29'!F:F,MATCH($B22,'Nov 23-29'!$B:$B,0))</f>
        <v>1</v>
      </c>
      <c r="I22" s="65">
        <f t="array" ref="I22">INDEX('Nov 23-29'!G:G,MATCH($B22,'Nov 23-29'!$B:$B,0))</f>
        <v>0</v>
      </c>
      <c r="J22" s="65">
        <f t="array" ref="J22">INDEX('Nov 23-29'!H:H,MATCH($B22,'Nov 23-29'!$B:$B,0))</f>
        <v>0</v>
      </c>
      <c r="K22" s="65">
        <f t="array" ref="K22">INDEX('Nov 23-29'!I:I,MATCH($B22,'Nov 23-29'!$B:$B,0))</f>
        <v>0</v>
      </c>
      <c r="L22" s="65">
        <f t="array" ref="L22">INDEX('Nov 23-29'!J:J,MATCH($B22,'Nov 23-29'!$B:$B,0))</f>
        <v>0</v>
      </c>
      <c r="M22" s="17">
        <f t="shared" si="2"/>
        <v>0</v>
      </c>
      <c r="N22" s="17">
        <f t="shared" si="3"/>
        <v>0</v>
      </c>
      <c r="O22" s="17" t="str">
        <f t="shared" si="4"/>
        <v/>
      </c>
      <c r="P22" s="17">
        <f t="shared" si="5"/>
        <v>0</v>
      </c>
      <c r="Q22" s="17" t="str">
        <f t="shared" ref="Q22:R22" si="27">IFERROR(J22/I22,"")</f>
        <v/>
      </c>
      <c r="R22" s="17" t="str">
        <f t="shared" si="27"/>
        <v/>
      </c>
      <c r="S22" s="17">
        <f t="shared" si="7"/>
        <v>0</v>
      </c>
      <c r="T22" s="17" t="str">
        <f t="shared" si="8"/>
        <v/>
      </c>
    </row>
    <row r="23" spans="2:20" ht="12.75">
      <c r="B23" s="1" t="str">
        <f>'Nov 9-15'!B33</f>
        <v>158 Boston Street Unit 2</v>
      </c>
      <c r="C23" s="29" t="str">
        <f t="array" ref="C23">INDEX('Nov 23-29'!C:C,MATCH($B23,'Nov 23-29'!$B:$B,0))</f>
        <v>Y</v>
      </c>
      <c r="D23" s="29">
        <f t="array" ref="D23">INDEX('Nov 23-29'!D:D,MATCH($B23,'Nov 23-29'!$B:$B,0))</f>
        <v>21</v>
      </c>
      <c r="E23" s="65">
        <f t="shared" si="0"/>
        <v>37</v>
      </c>
      <c r="F23" s="66">
        <f t="shared" si="1"/>
        <v>1.0411502231036193E-2</v>
      </c>
      <c r="G23" s="65">
        <f t="array" ref="G23">INDEX('Nov 23-29'!E:E,MATCH($B23,'Nov 23-29'!$B:$B,0))</f>
        <v>6</v>
      </c>
      <c r="H23" s="65">
        <f t="array" ref="H23">INDEX('Nov 23-29'!F:F,MATCH($B23,'Nov 23-29'!$B:$B,0))</f>
        <v>1</v>
      </c>
      <c r="I23" s="65">
        <f t="array" ref="I23">INDEX('Nov 23-29'!G:G,MATCH($B23,'Nov 23-29'!$B:$B,0))</f>
        <v>2</v>
      </c>
      <c r="J23" s="65">
        <f t="array" ref="J23">INDEX('Nov 23-29'!H:H,MATCH($B23,'Nov 23-29'!$B:$B,0))</f>
        <v>0</v>
      </c>
      <c r="K23" s="65">
        <f t="array" ref="K23">INDEX('Nov 23-29'!I:I,MATCH($B23,'Nov 23-29'!$B:$B,0))</f>
        <v>0</v>
      </c>
      <c r="L23" s="65">
        <f t="array" ref="L23">INDEX('Nov 23-29'!J:J,MATCH($B23,'Nov 23-29'!$B:$B,0))</f>
        <v>0</v>
      </c>
      <c r="M23" s="17">
        <f t="shared" si="2"/>
        <v>0.2857142857142857</v>
      </c>
      <c r="N23" s="17">
        <f t="shared" si="3"/>
        <v>9.5238095238095233E-2</v>
      </c>
      <c r="O23" s="17">
        <f t="shared" si="4"/>
        <v>0.33333333333333331</v>
      </c>
      <c r="P23" s="17">
        <f t="shared" si="5"/>
        <v>0</v>
      </c>
      <c r="Q23" s="17">
        <f t="shared" ref="Q23:R23" si="28">IFERROR(J23/I23,"")</f>
        <v>0</v>
      </c>
      <c r="R23" s="17" t="str">
        <f t="shared" si="28"/>
        <v/>
      </c>
      <c r="S23" s="17">
        <f t="shared" si="7"/>
        <v>0</v>
      </c>
      <c r="T23" s="17" t="str">
        <f t="shared" si="8"/>
        <v/>
      </c>
    </row>
    <row r="24" spans="2:20" ht="12.75">
      <c r="B24" s="1" t="str">
        <f>'Nov 9-15'!B32</f>
        <v>1578 Beacon Street Unit 8</v>
      </c>
      <c r="C24" s="29" t="str">
        <f t="array" ref="C24">INDEX('Nov 23-29'!C:C,MATCH($B24,'Nov 23-29'!$B:$B,0))</f>
        <v>Y</v>
      </c>
      <c r="D24" s="29">
        <f t="array" ref="D24">INDEX('Nov 23-29'!D:D,MATCH($B24,'Nov 23-29'!$B:$B,0))</f>
        <v>4</v>
      </c>
      <c r="E24" s="65">
        <f t="shared" si="0"/>
        <v>76</v>
      </c>
      <c r="F24" s="66">
        <f t="shared" si="1"/>
        <v>1.9831432821021317E-3</v>
      </c>
      <c r="G24" s="65">
        <f t="array" ref="G24">INDEX('Nov 23-29'!E:E,MATCH($B24,'Nov 23-29'!$B:$B,0))</f>
        <v>0</v>
      </c>
      <c r="H24" s="65">
        <f t="array" ref="H24">INDEX('Nov 23-29'!F:F,MATCH($B24,'Nov 23-29'!$B:$B,0))</f>
        <v>2</v>
      </c>
      <c r="I24" s="65">
        <f t="array" ref="I24">INDEX('Nov 23-29'!G:G,MATCH($B24,'Nov 23-29'!$B:$B,0))</f>
        <v>0</v>
      </c>
      <c r="J24" s="65">
        <f t="array" ref="J24">INDEX('Nov 23-29'!H:H,MATCH($B24,'Nov 23-29'!$B:$B,0))</f>
        <v>0</v>
      </c>
      <c r="K24" s="65">
        <f t="array" ref="K24">INDEX('Nov 23-29'!I:I,MATCH($B24,'Nov 23-29'!$B:$B,0))</f>
        <v>0</v>
      </c>
      <c r="L24" s="65">
        <f t="array" ref="L24">INDEX('Nov 23-29'!J:J,MATCH($B24,'Nov 23-29'!$B:$B,0))</f>
        <v>0</v>
      </c>
      <c r="M24" s="17">
        <f t="shared" si="2"/>
        <v>0</v>
      </c>
      <c r="N24" s="17">
        <f t="shared" si="3"/>
        <v>0</v>
      </c>
      <c r="O24" s="17" t="str">
        <f t="shared" si="4"/>
        <v/>
      </c>
      <c r="P24" s="17">
        <f t="shared" si="5"/>
        <v>0</v>
      </c>
      <c r="Q24" s="17" t="str">
        <f t="shared" ref="Q24:R24" si="29">IFERROR(J24/I24,"")</f>
        <v/>
      </c>
      <c r="R24" s="17" t="str">
        <f t="shared" si="29"/>
        <v/>
      </c>
      <c r="S24" s="17">
        <f t="shared" si="7"/>
        <v>0</v>
      </c>
      <c r="T24" s="17" t="str">
        <f t="shared" si="8"/>
        <v/>
      </c>
    </row>
    <row r="25" spans="2:20" ht="12.75">
      <c r="B25" s="1" t="str">
        <f>'Nov 9-15'!B37</f>
        <v>16A Forest Street Unit 33</v>
      </c>
      <c r="C25" s="29" t="str">
        <f t="array" ref="C25">INDEX('Nov 23-29'!C:C,MATCH($B25,'Nov 23-29'!$B:$B,0))</f>
        <v>Y</v>
      </c>
      <c r="D25" s="29">
        <f t="array" ref="D25">INDEX('Nov 23-29'!D:D,MATCH($B25,'Nov 23-29'!$B:$B,0))</f>
        <v>12</v>
      </c>
      <c r="E25" s="65">
        <f t="shared" si="0"/>
        <v>60</v>
      </c>
      <c r="F25" s="66">
        <f t="shared" si="1"/>
        <v>5.9494298463063956E-3</v>
      </c>
      <c r="G25" s="65">
        <f t="array" ref="G25">INDEX('Nov 23-29'!E:E,MATCH($B25,'Nov 23-29'!$B:$B,0))</f>
        <v>4</v>
      </c>
      <c r="H25" s="65">
        <f t="array" ref="H25">INDEX('Nov 23-29'!F:F,MATCH($B25,'Nov 23-29'!$B:$B,0))</f>
        <v>1</v>
      </c>
      <c r="I25" s="65">
        <f t="array" ref="I25">INDEX('Nov 23-29'!G:G,MATCH($B25,'Nov 23-29'!$B:$B,0))</f>
        <v>0</v>
      </c>
      <c r="J25" s="65">
        <f t="array" ref="J25">INDEX('Nov 23-29'!H:H,MATCH($B25,'Nov 23-29'!$B:$B,0))</f>
        <v>0</v>
      </c>
      <c r="K25" s="65">
        <f t="array" ref="K25">INDEX('Nov 23-29'!I:I,MATCH($B25,'Nov 23-29'!$B:$B,0))</f>
        <v>0</v>
      </c>
      <c r="L25" s="65">
        <f t="array" ref="L25">INDEX('Nov 23-29'!J:J,MATCH($B25,'Nov 23-29'!$B:$B,0))</f>
        <v>0</v>
      </c>
      <c r="M25" s="17">
        <f t="shared" si="2"/>
        <v>0.33333333333333331</v>
      </c>
      <c r="N25" s="17">
        <f t="shared" si="3"/>
        <v>0</v>
      </c>
      <c r="O25" s="17">
        <f t="shared" si="4"/>
        <v>0</v>
      </c>
      <c r="P25" s="17">
        <f t="shared" si="5"/>
        <v>0</v>
      </c>
      <c r="Q25" s="17" t="str">
        <f t="shared" ref="Q25:R25" si="30">IFERROR(J25/I25,"")</f>
        <v/>
      </c>
      <c r="R25" s="17" t="str">
        <f t="shared" si="30"/>
        <v/>
      </c>
      <c r="S25" s="17">
        <f t="shared" si="7"/>
        <v>0</v>
      </c>
      <c r="T25" s="17" t="str">
        <f t="shared" si="8"/>
        <v/>
      </c>
    </row>
    <row r="26" spans="2:20" ht="12.75">
      <c r="B26" s="1" t="str">
        <f>'Nov 9-15'!B28</f>
        <v>154 Magazine Street Unit 1</v>
      </c>
      <c r="C26" s="29" t="str">
        <f t="array" ref="C26">INDEX('Nov 23-29'!C:C,MATCH($B26,'Nov 23-29'!$B:$B,0))</f>
        <v>N</v>
      </c>
      <c r="D26" s="29">
        <f t="array" ref="D26">INDEX('Nov 23-29'!D:D,MATCH($B26,'Nov 23-29'!$B:$B,0))</f>
        <v>12</v>
      </c>
      <c r="E26" s="65">
        <f t="shared" si="0"/>
        <v>60</v>
      </c>
      <c r="F26" s="66">
        <f t="shared" si="1"/>
        <v>5.9494298463063956E-3</v>
      </c>
      <c r="G26" s="65">
        <f t="array" ref="G26">INDEX('Nov 23-29'!E:E,MATCH($B26,'Nov 23-29'!$B:$B,0))</f>
        <v>10</v>
      </c>
      <c r="H26" s="65">
        <f t="array" ref="H26">INDEX('Nov 23-29'!F:F,MATCH($B26,'Nov 23-29'!$B:$B,0))</f>
        <v>0</v>
      </c>
      <c r="I26" s="65">
        <f t="array" ref="I26">INDEX('Nov 23-29'!G:G,MATCH($B26,'Nov 23-29'!$B:$B,0))</f>
        <v>0</v>
      </c>
      <c r="J26" s="65">
        <f t="array" ref="J26">INDEX('Nov 23-29'!H:H,MATCH($B26,'Nov 23-29'!$B:$B,0))</f>
        <v>0</v>
      </c>
      <c r="K26" s="65">
        <f t="array" ref="K26">INDEX('Nov 23-29'!I:I,MATCH($B26,'Nov 23-29'!$B:$B,0))</f>
        <v>0</v>
      </c>
      <c r="L26" s="65">
        <f t="array" ref="L26">INDEX('Nov 23-29'!J:J,MATCH($B26,'Nov 23-29'!$B:$B,0))</f>
        <v>0</v>
      </c>
      <c r="M26" s="17">
        <f t="shared" si="2"/>
        <v>0.83333333333333337</v>
      </c>
      <c r="N26" s="17">
        <f t="shared" si="3"/>
        <v>0</v>
      </c>
      <c r="O26" s="17">
        <f t="shared" si="4"/>
        <v>0</v>
      </c>
      <c r="P26" s="17">
        <f t="shared" si="5"/>
        <v>0</v>
      </c>
      <c r="Q26" s="17" t="str">
        <f t="shared" ref="Q26:R26" si="31">IFERROR(J26/I26,"")</f>
        <v/>
      </c>
      <c r="R26" s="17" t="str">
        <f t="shared" si="31"/>
        <v/>
      </c>
      <c r="S26" s="17">
        <f t="shared" si="7"/>
        <v>0</v>
      </c>
      <c r="T26" s="17" t="str">
        <f t="shared" si="8"/>
        <v/>
      </c>
    </row>
    <row r="27" spans="2:20" ht="12.75">
      <c r="B27" s="1" t="str">
        <f>'Nov 9-15'!B13</f>
        <v>110 Hamilton Street Unit 2</v>
      </c>
      <c r="C27" s="29" t="str">
        <f t="array" ref="C27">INDEX('Nov 23-29'!C:C,MATCH($B27,'Nov 23-29'!$B:$B,0))</f>
        <v>Y</v>
      </c>
      <c r="D27" s="29">
        <f t="array" ref="D27">INDEX('Nov 23-29'!D:D,MATCH($B27,'Nov 23-29'!$B:$B,0))</f>
        <v>109</v>
      </c>
      <c r="E27" s="65">
        <f t="shared" si="0"/>
        <v>2</v>
      </c>
      <c r="F27" s="66">
        <f t="shared" si="1"/>
        <v>5.4040654437283092E-2</v>
      </c>
      <c r="G27" s="65">
        <f t="array" ref="G27">INDEX('Nov 23-29'!E:E,MATCH($B27,'Nov 23-29'!$B:$B,0))</f>
        <v>20</v>
      </c>
      <c r="H27" s="65">
        <f t="array" ref="H27">INDEX('Nov 23-29'!F:F,MATCH($B27,'Nov 23-29'!$B:$B,0))</f>
        <v>8</v>
      </c>
      <c r="I27" s="65">
        <f t="array" ref="I27">INDEX('Nov 23-29'!G:G,MATCH($B27,'Nov 23-29'!$B:$B,0))</f>
        <v>2</v>
      </c>
      <c r="J27" s="65">
        <f t="array" ref="J27">INDEX('Nov 23-29'!H:H,MATCH($B27,'Nov 23-29'!$B:$B,0))</f>
        <v>0</v>
      </c>
      <c r="K27" s="65">
        <f t="array" ref="K27">INDEX('Nov 23-29'!I:I,MATCH($B27,'Nov 23-29'!$B:$B,0))</f>
        <v>0</v>
      </c>
      <c r="L27" s="65">
        <f t="array" ref="L27">INDEX('Nov 23-29'!J:J,MATCH($B27,'Nov 23-29'!$B:$B,0))</f>
        <v>0</v>
      </c>
      <c r="M27" s="17">
        <f t="shared" si="2"/>
        <v>0.1834862385321101</v>
      </c>
      <c r="N27" s="17">
        <f t="shared" si="3"/>
        <v>1.834862385321101E-2</v>
      </c>
      <c r="O27" s="17">
        <f t="shared" si="4"/>
        <v>0.1</v>
      </c>
      <c r="P27" s="17">
        <f t="shared" si="5"/>
        <v>0</v>
      </c>
      <c r="Q27" s="17">
        <f t="shared" ref="Q27:R27" si="32">IFERROR(J27/I27,"")</f>
        <v>0</v>
      </c>
      <c r="R27" s="17" t="str">
        <f t="shared" si="32"/>
        <v/>
      </c>
      <c r="S27" s="17">
        <f t="shared" si="7"/>
        <v>0</v>
      </c>
      <c r="T27" s="17" t="str">
        <f t="shared" si="8"/>
        <v/>
      </c>
    </row>
    <row r="28" spans="2:20" ht="12.75">
      <c r="B28" s="1" t="str">
        <f>'Nov 9-15'!B81</f>
        <v>383 Broadway Street Unit 41</v>
      </c>
      <c r="C28" s="29" t="str">
        <f t="array" ref="C28">INDEX('Nov 23-29'!C:C,MATCH($B28,'Nov 23-29'!$B:$B,0))</f>
        <v>Y</v>
      </c>
      <c r="D28" s="29">
        <f t="array" ref="D28">INDEX('Nov 23-29'!D:D,MATCH($B28,'Nov 23-29'!$B:$B,0))</f>
        <v>12</v>
      </c>
      <c r="E28" s="65">
        <f t="shared" si="0"/>
        <v>60</v>
      </c>
      <c r="F28" s="66">
        <f t="shared" si="1"/>
        <v>5.9494298463063956E-3</v>
      </c>
      <c r="G28" s="65">
        <f t="array" ref="G28">INDEX('Nov 23-29'!E:E,MATCH($B28,'Nov 23-29'!$B:$B,0))</f>
        <v>1</v>
      </c>
      <c r="H28" s="65">
        <f t="array" ref="H28">INDEX('Nov 23-29'!F:F,MATCH($B28,'Nov 23-29'!$B:$B,0))</f>
        <v>1</v>
      </c>
      <c r="I28" s="65">
        <f t="array" ref="I28">INDEX('Nov 23-29'!G:G,MATCH($B28,'Nov 23-29'!$B:$B,0))</f>
        <v>0</v>
      </c>
      <c r="J28" s="65">
        <f t="array" ref="J28">INDEX('Nov 23-29'!H:H,MATCH($B28,'Nov 23-29'!$B:$B,0))</f>
        <v>0</v>
      </c>
      <c r="K28" s="65">
        <f t="array" ref="K28">INDEX('Nov 23-29'!I:I,MATCH($B28,'Nov 23-29'!$B:$B,0))</f>
        <v>0</v>
      </c>
      <c r="L28" s="65">
        <f t="array" ref="L28">INDEX('Nov 23-29'!J:J,MATCH($B28,'Nov 23-29'!$B:$B,0))</f>
        <v>0</v>
      </c>
      <c r="M28" s="17">
        <f t="shared" si="2"/>
        <v>8.3333333333333329E-2</v>
      </c>
      <c r="N28" s="17">
        <f t="shared" si="3"/>
        <v>0</v>
      </c>
      <c r="O28" s="17">
        <f t="shared" si="4"/>
        <v>0</v>
      </c>
      <c r="P28" s="17">
        <f t="shared" si="5"/>
        <v>0</v>
      </c>
      <c r="Q28" s="17" t="str">
        <f t="shared" ref="Q28:R28" si="33">IFERROR(J28/I28,"")</f>
        <v/>
      </c>
      <c r="R28" s="17" t="str">
        <f t="shared" si="33"/>
        <v/>
      </c>
      <c r="S28" s="17">
        <f t="shared" si="7"/>
        <v>0</v>
      </c>
      <c r="T28" s="17" t="str">
        <f t="shared" si="8"/>
        <v/>
      </c>
    </row>
    <row r="29" spans="2:20" ht="12.75">
      <c r="B29" s="1" t="str">
        <f>'Nov 9-15'!B85</f>
        <v>42 Marcella Street Unit 1</v>
      </c>
      <c r="C29" s="29" t="str">
        <f t="array" ref="C29">INDEX('Nov 23-29'!C:C,MATCH($B29,'Nov 23-29'!$B:$B,0))</f>
        <v>Y</v>
      </c>
      <c r="D29" s="29">
        <f t="array" ref="D29">INDEX('Nov 23-29'!D:D,MATCH($B29,'Nov 23-29'!$B:$B,0))</f>
        <v>30</v>
      </c>
      <c r="E29" s="65">
        <f t="shared" si="0"/>
        <v>20</v>
      </c>
      <c r="F29" s="66">
        <f t="shared" si="1"/>
        <v>1.4873574615765989E-2</v>
      </c>
      <c r="G29" s="65">
        <f t="array" ref="G29">INDEX('Nov 23-29'!E:E,MATCH($B29,'Nov 23-29'!$B:$B,0))</f>
        <v>6</v>
      </c>
      <c r="H29" s="65">
        <f t="array" ref="H29">INDEX('Nov 23-29'!F:F,MATCH($B29,'Nov 23-29'!$B:$B,0))</f>
        <v>0</v>
      </c>
      <c r="I29" s="65">
        <f t="array" ref="I29">INDEX('Nov 23-29'!G:G,MATCH($B29,'Nov 23-29'!$B:$B,0))</f>
        <v>0</v>
      </c>
      <c r="J29" s="65">
        <f t="array" ref="J29">INDEX('Nov 23-29'!H:H,MATCH($B29,'Nov 23-29'!$B:$B,0))</f>
        <v>0</v>
      </c>
      <c r="K29" s="65">
        <f t="array" ref="K29">INDEX('Nov 23-29'!I:I,MATCH($B29,'Nov 23-29'!$B:$B,0))</f>
        <v>0</v>
      </c>
      <c r="L29" s="65">
        <f t="array" ref="L29">INDEX('Nov 23-29'!J:J,MATCH($B29,'Nov 23-29'!$B:$B,0))</f>
        <v>0</v>
      </c>
      <c r="M29" s="17">
        <f t="shared" si="2"/>
        <v>0.2</v>
      </c>
      <c r="N29" s="17">
        <f t="shared" si="3"/>
        <v>0</v>
      </c>
      <c r="O29" s="17">
        <f t="shared" si="4"/>
        <v>0</v>
      </c>
      <c r="P29" s="17">
        <f t="shared" si="5"/>
        <v>0</v>
      </c>
      <c r="Q29" s="17" t="str">
        <f t="shared" ref="Q29:R29" si="34">IFERROR(J29/I29,"")</f>
        <v/>
      </c>
      <c r="R29" s="17" t="str">
        <f t="shared" si="34"/>
        <v/>
      </c>
      <c r="S29" s="17">
        <f t="shared" si="7"/>
        <v>0</v>
      </c>
      <c r="T29" s="17" t="str">
        <f t="shared" si="8"/>
        <v/>
      </c>
    </row>
    <row r="30" spans="2:20" ht="12.75">
      <c r="B30" s="1" t="str">
        <f>'Nov 9-15'!B48</f>
        <v>192 Third Street Unit 2</v>
      </c>
      <c r="C30" s="29" t="str">
        <f t="array" ref="C30">INDEX('Nov 23-29'!C:C,MATCH($B30,'Nov 23-29'!$B:$B,0))</f>
        <v>Y</v>
      </c>
      <c r="D30" s="29">
        <f t="array" ref="D30">INDEX('Nov 23-29'!D:D,MATCH($B30,'Nov 23-29'!$B:$B,0))</f>
        <v>44</v>
      </c>
      <c r="E30" s="65">
        <f t="shared" si="0"/>
        <v>10</v>
      </c>
      <c r="F30" s="66">
        <f t="shared" si="1"/>
        <v>2.1814576103123449E-2</v>
      </c>
      <c r="G30" s="65">
        <f t="array" ref="G30">INDEX('Nov 23-29'!E:E,MATCH($B30,'Nov 23-29'!$B:$B,0))</f>
        <v>13</v>
      </c>
      <c r="H30" s="65">
        <f t="array" ref="H30">INDEX('Nov 23-29'!F:F,MATCH($B30,'Nov 23-29'!$B:$B,0))</f>
        <v>2</v>
      </c>
      <c r="I30" s="65">
        <f t="array" ref="I30">INDEX('Nov 23-29'!G:G,MATCH($B30,'Nov 23-29'!$B:$B,0))</f>
        <v>1</v>
      </c>
      <c r="J30" s="65">
        <f t="array" ref="J30">INDEX('Nov 23-29'!H:H,MATCH($B30,'Nov 23-29'!$B:$B,0))</f>
        <v>0</v>
      </c>
      <c r="K30" s="65">
        <f t="array" ref="K30">INDEX('Nov 23-29'!I:I,MATCH($B30,'Nov 23-29'!$B:$B,0))</f>
        <v>0</v>
      </c>
      <c r="L30" s="65">
        <f t="array" ref="L30">INDEX('Nov 23-29'!J:J,MATCH($B30,'Nov 23-29'!$B:$B,0))</f>
        <v>0</v>
      </c>
      <c r="M30" s="17">
        <f t="shared" si="2"/>
        <v>0.29545454545454547</v>
      </c>
      <c r="N30" s="17">
        <f t="shared" si="3"/>
        <v>2.2727272727272728E-2</v>
      </c>
      <c r="O30" s="17">
        <f t="shared" si="4"/>
        <v>7.6923076923076927E-2</v>
      </c>
      <c r="P30" s="17">
        <f t="shared" si="5"/>
        <v>0</v>
      </c>
      <c r="Q30" s="17">
        <f t="shared" ref="Q30:R30" si="35">IFERROR(J30/I30,"")</f>
        <v>0</v>
      </c>
      <c r="R30" s="17" t="str">
        <f t="shared" si="35"/>
        <v/>
      </c>
      <c r="S30" s="17">
        <f t="shared" si="7"/>
        <v>0</v>
      </c>
      <c r="T30" s="17" t="str">
        <f t="shared" si="8"/>
        <v/>
      </c>
    </row>
    <row r="31" spans="2:20" ht="12.75">
      <c r="B31" s="1" t="str">
        <f>'Nov 9-15'!B29</f>
        <v>154 Magazine Street Unit 2</v>
      </c>
      <c r="C31" s="29" t="str">
        <f t="array" ref="C31">INDEX('Nov 23-29'!C:C,MATCH($B31,'Nov 23-29'!$B:$B,0))</f>
        <v>Y</v>
      </c>
      <c r="D31" s="29">
        <f t="array" ref="D31">INDEX('Nov 23-29'!D:D,MATCH($B31,'Nov 23-29'!$B:$B,0))</f>
        <v>31</v>
      </c>
      <c r="E31" s="65">
        <f t="shared" si="0"/>
        <v>17</v>
      </c>
      <c r="F31" s="66">
        <f t="shared" si="1"/>
        <v>1.5369360436291522E-2</v>
      </c>
      <c r="G31" s="65">
        <f t="array" ref="G31">INDEX('Nov 23-29'!E:E,MATCH($B31,'Nov 23-29'!$B:$B,0))</f>
        <v>11</v>
      </c>
      <c r="H31" s="65">
        <f t="array" ref="H31">INDEX('Nov 23-29'!F:F,MATCH($B31,'Nov 23-29'!$B:$B,0))</f>
        <v>1</v>
      </c>
      <c r="I31" s="65">
        <f t="array" ref="I31">INDEX('Nov 23-29'!G:G,MATCH($B31,'Nov 23-29'!$B:$B,0))</f>
        <v>1</v>
      </c>
      <c r="J31" s="65">
        <f t="array" ref="J31">INDEX('Nov 23-29'!H:H,MATCH($B31,'Nov 23-29'!$B:$B,0))</f>
        <v>0</v>
      </c>
      <c r="K31" s="65">
        <f t="array" ref="K31">INDEX('Nov 23-29'!I:I,MATCH($B31,'Nov 23-29'!$B:$B,0))</f>
        <v>0</v>
      </c>
      <c r="L31" s="65">
        <f t="array" ref="L31">INDEX('Nov 23-29'!J:J,MATCH($B31,'Nov 23-29'!$B:$B,0))</f>
        <v>0</v>
      </c>
      <c r="M31" s="17">
        <f t="shared" si="2"/>
        <v>0.35483870967741937</v>
      </c>
      <c r="N31" s="17">
        <f t="shared" si="3"/>
        <v>3.2258064516129031E-2</v>
      </c>
      <c r="O31" s="17">
        <f t="shared" si="4"/>
        <v>9.0909090909090912E-2</v>
      </c>
      <c r="P31" s="17">
        <f t="shared" si="5"/>
        <v>0</v>
      </c>
      <c r="Q31" s="17">
        <f t="shared" ref="Q31:R31" si="36">IFERROR(J31/I31,"")</f>
        <v>0</v>
      </c>
      <c r="R31" s="17" t="str">
        <f t="shared" si="36"/>
        <v/>
      </c>
      <c r="S31" s="17">
        <f t="shared" si="7"/>
        <v>0</v>
      </c>
      <c r="T31" s="17" t="str">
        <f t="shared" si="8"/>
        <v/>
      </c>
    </row>
    <row r="32" spans="2:20" ht="12.75">
      <c r="B32" s="1" t="str">
        <f>'Nov 9-15'!B34</f>
        <v>158 Magazine Street Unit 27</v>
      </c>
      <c r="C32" s="29" t="str">
        <f t="array" ref="C32">INDEX('Nov 23-29'!C:C,MATCH($B32,'Nov 23-29'!$B:$B,0))</f>
        <v>Y</v>
      </c>
      <c r="D32" s="29">
        <f t="array" ref="D32">INDEX('Nov 23-29'!D:D,MATCH($B32,'Nov 23-29'!$B:$B,0))</f>
        <v>21</v>
      </c>
      <c r="E32" s="65">
        <f t="shared" si="0"/>
        <v>37</v>
      </c>
      <c r="F32" s="66">
        <f t="shared" si="1"/>
        <v>1.0411502231036193E-2</v>
      </c>
      <c r="G32" s="65">
        <f t="array" ref="G32">INDEX('Nov 23-29'!E:E,MATCH($B32,'Nov 23-29'!$B:$B,0))</f>
        <v>6</v>
      </c>
      <c r="H32" s="65">
        <f t="array" ref="H32">INDEX('Nov 23-29'!F:F,MATCH($B32,'Nov 23-29'!$B:$B,0))</f>
        <v>0</v>
      </c>
      <c r="I32" s="65">
        <f t="array" ref="I32">INDEX('Nov 23-29'!G:G,MATCH($B32,'Nov 23-29'!$B:$B,0))</f>
        <v>1</v>
      </c>
      <c r="J32" s="65">
        <f t="array" ref="J32">INDEX('Nov 23-29'!H:H,MATCH($B32,'Nov 23-29'!$B:$B,0))</f>
        <v>0</v>
      </c>
      <c r="K32" s="65">
        <f t="array" ref="K32">INDEX('Nov 23-29'!I:I,MATCH($B32,'Nov 23-29'!$B:$B,0))</f>
        <v>0</v>
      </c>
      <c r="L32" s="65">
        <f t="array" ref="L32">INDEX('Nov 23-29'!J:J,MATCH($B32,'Nov 23-29'!$B:$B,0))</f>
        <v>0</v>
      </c>
      <c r="M32" s="17">
        <f t="shared" si="2"/>
        <v>0.2857142857142857</v>
      </c>
      <c r="N32" s="17">
        <f t="shared" si="3"/>
        <v>4.7619047619047616E-2</v>
      </c>
      <c r="O32" s="17">
        <f t="shared" si="4"/>
        <v>0.16666666666666666</v>
      </c>
      <c r="P32" s="17">
        <f t="shared" si="5"/>
        <v>0</v>
      </c>
      <c r="Q32" s="17">
        <f t="shared" ref="Q32:R32" si="37">IFERROR(J32/I32,"")</f>
        <v>0</v>
      </c>
      <c r="R32" s="17" t="str">
        <f t="shared" si="37"/>
        <v/>
      </c>
      <c r="S32" s="17">
        <f t="shared" si="7"/>
        <v>0</v>
      </c>
      <c r="T32" s="17" t="str">
        <f t="shared" si="8"/>
        <v/>
      </c>
    </row>
    <row r="33" spans="2:20" ht="12.75">
      <c r="B33" s="1" t="str">
        <f>'Nov 9-15'!B84</f>
        <v>40 Sudan Street Unit 3</v>
      </c>
      <c r="C33" s="29" t="str">
        <f t="array" ref="C33">INDEX('Nov 23-29'!C:C,MATCH($B33,'Nov 23-29'!$B:$B,0))</f>
        <v>Y</v>
      </c>
      <c r="D33" s="29">
        <f t="array" ref="D33">INDEX('Nov 23-29'!D:D,MATCH($B33,'Nov 23-29'!$B:$B,0))</f>
        <v>7</v>
      </c>
      <c r="E33" s="65">
        <f t="shared" si="0"/>
        <v>68</v>
      </c>
      <c r="F33" s="66">
        <f t="shared" si="1"/>
        <v>3.4705007436787306E-3</v>
      </c>
      <c r="G33" s="65">
        <f t="array" ref="G33">INDEX('Nov 23-29'!E:E,MATCH($B33,'Nov 23-29'!$B:$B,0))</f>
        <v>0</v>
      </c>
      <c r="H33" s="65">
        <f t="array" ref="H33">INDEX('Nov 23-29'!F:F,MATCH($B33,'Nov 23-29'!$B:$B,0))</f>
        <v>0</v>
      </c>
      <c r="I33" s="65">
        <f t="array" ref="I33">INDEX('Nov 23-29'!G:G,MATCH($B33,'Nov 23-29'!$B:$B,0))</f>
        <v>0</v>
      </c>
      <c r="J33" s="65">
        <f t="array" ref="J33">INDEX('Nov 23-29'!H:H,MATCH($B33,'Nov 23-29'!$B:$B,0))</f>
        <v>0</v>
      </c>
      <c r="K33" s="65">
        <f t="array" ref="K33">INDEX('Nov 23-29'!I:I,MATCH($B33,'Nov 23-29'!$B:$B,0))</f>
        <v>0</v>
      </c>
      <c r="L33" s="65">
        <f t="array" ref="L33">INDEX('Nov 23-29'!J:J,MATCH($B33,'Nov 23-29'!$B:$B,0))</f>
        <v>0</v>
      </c>
      <c r="M33" s="17">
        <f t="shared" si="2"/>
        <v>0</v>
      </c>
      <c r="N33" s="17">
        <f t="shared" si="3"/>
        <v>0</v>
      </c>
      <c r="O33" s="17" t="str">
        <f t="shared" si="4"/>
        <v/>
      </c>
      <c r="P33" s="17">
        <f t="shared" si="5"/>
        <v>0</v>
      </c>
      <c r="Q33" s="17" t="str">
        <f t="shared" ref="Q33:R33" si="38">IFERROR(J33/I33,"")</f>
        <v/>
      </c>
      <c r="R33" s="17" t="str">
        <f t="shared" si="38"/>
        <v/>
      </c>
      <c r="S33" s="17">
        <f t="shared" si="7"/>
        <v>0</v>
      </c>
      <c r="T33" s="17" t="str">
        <f t="shared" si="8"/>
        <v/>
      </c>
    </row>
    <row r="34" spans="2:20" ht="12.75">
      <c r="B34" s="1" t="str">
        <f>'Nov 9-15'!B110</f>
        <v>96 Sheridan Street Unit 3</v>
      </c>
      <c r="C34" s="29" t="str">
        <f t="array" ref="C34">INDEX('Nov 23-29'!C:C,MATCH($B34,'Nov 23-29'!$B:$B,0))</f>
        <v>Y</v>
      </c>
      <c r="D34" s="29">
        <f t="array" ref="D34">INDEX('Nov 23-29'!D:D,MATCH($B34,'Nov 23-29'!$B:$B,0))</f>
        <v>1</v>
      </c>
      <c r="E34" s="65">
        <f t="shared" si="0"/>
        <v>89</v>
      </c>
      <c r="F34" s="66">
        <f t="shared" si="1"/>
        <v>4.9578582052553293E-4</v>
      </c>
      <c r="G34" s="65">
        <f t="array" ref="G34">INDEX('Nov 23-29'!E:E,MATCH($B34,'Nov 23-29'!$B:$B,0))</f>
        <v>0</v>
      </c>
      <c r="H34" s="65">
        <f t="array" ref="H34">INDEX('Nov 23-29'!F:F,MATCH($B34,'Nov 23-29'!$B:$B,0))</f>
        <v>1</v>
      </c>
      <c r="I34" s="65">
        <f t="array" ref="I34">INDEX('Nov 23-29'!G:G,MATCH($B34,'Nov 23-29'!$B:$B,0))</f>
        <v>1</v>
      </c>
      <c r="J34" s="65">
        <f t="array" ref="J34">INDEX('Nov 23-29'!H:H,MATCH($B34,'Nov 23-29'!$B:$B,0))</f>
        <v>0</v>
      </c>
      <c r="K34" s="65">
        <f t="array" ref="K34">INDEX('Nov 23-29'!I:I,MATCH($B34,'Nov 23-29'!$B:$B,0))</f>
        <v>1</v>
      </c>
      <c r="L34" s="65">
        <f t="array" ref="L34">INDEX('Nov 23-29'!J:J,MATCH($B34,'Nov 23-29'!$B:$B,0))</f>
        <v>0</v>
      </c>
      <c r="M34" s="17">
        <f t="shared" si="2"/>
        <v>0</v>
      </c>
      <c r="N34" s="17">
        <f t="shared" si="3"/>
        <v>1</v>
      </c>
      <c r="O34" s="17" t="str">
        <f t="shared" si="4"/>
        <v/>
      </c>
      <c r="P34" s="17">
        <f t="shared" si="5"/>
        <v>0</v>
      </c>
      <c r="Q34" s="17">
        <f t="shared" ref="Q34:R34" si="39">IFERROR(J34/I34,"")</f>
        <v>0</v>
      </c>
      <c r="R34" s="17" t="str">
        <f t="shared" si="39"/>
        <v/>
      </c>
      <c r="S34" s="17">
        <f t="shared" si="7"/>
        <v>0</v>
      </c>
      <c r="T34" s="17">
        <f t="shared" si="8"/>
        <v>0</v>
      </c>
    </row>
    <row r="35" spans="2:20" ht="12.75">
      <c r="B35" s="1" t="str">
        <f>'Nov 9-15'!B109</f>
        <v>96 Hammond Street Unit 3</v>
      </c>
      <c r="C35" s="29" t="str">
        <f t="array" ref="C35">INDEX('Nov 23-29'!C:C,MATCH($B35,'Nov 23-29'!$B:$B,0))</f>
        <v>N</v>
      </c>
      <c r="D35" s="29">
        <f t="array" ref="D35">INDEX('Nov 23-29'!D:D,MATCH($B35,'Nov 23-29'!$B:$B,0))</f>
        <v>0</v>
      </c>
      <c r="E35" s="65">
        <f t="shared" si="0"/>
        <v>92</v>
      </c>
      <c r="F35" s="66">
        <f t="shared" si="1"/>
        <v>0</v>
      </c>
      <c r="G35" s="65">
        <f t="array" ref="G35">INDEX('Nov 23-29'!E:E,MATCH($B35,'Nov 23-29'!$B:$B,0))</f>
        <v>0</v>
      </c>
      <c r="H35" s="65">
        <f t="array" ref="H35">INDEX('Nov 23-29'!F:F,MATCH($B35,'Nov 23-29'!$B:$B,0))</f>
        <v>0</v>
      </c>
      <c r="I35" s="65">
        <f t="array" ref="I35">INDEX('Nov 23-29'!G:G,MATCH($B35,'Nov 23-29'!$B:$B,0))</f>
        <v>0</v>
      </c>
      <c r="J35" s="65">
        <f t="array" ref="J35">INDEX('Nov 23-29'!H:H,MATCH($B35,'Nov 23-29'!$B:$B,0))</f>
        <v>0</v>
      </c>
      <c r="K35" s="65">
        <f t="array" ref="K35">INDEX('Nov 23-29'!I:I,MATCH($B35,'Nov 23-29'!$B:$B,0))</f>
        <v>0</v>
      </c>
      <c r="L35" s="65">
        <f t="array" ref="L35">INDEX('Nov 23-29'!J:J,MATCH($B35,'Nov 23-29'!$B:$B,0))</f>
        <v>0</v>
      </c>
      <c r="M35" s="17" t="str">
        <f t="shared" si="2"/>
        <v/>
      </c>
      <c r="N35" s="17" t="str">
        <f t="shared" si="3"/>
        <v/>
      </c>
      <c r="O35" s="17" t="str">
        <f t="shared" si="4"/>
        <v/>
      </c>
      <c r="P35" s="17" t="str">
        <f t="shared" si="5"/>
        <v/>
      </c>
      <c r="Q35" s="17" t="str">
        <f t="shared" ref="Q35:R35" si="40">IFERROR(J35/I35,"")</f>
        <v/>
      </c>
      <c r="R35" s="17" t="str">
        <f t="shared" si="40"/>
        <v/>
      </c>
      <c r="S35" s="17" t="str">
        <f t="shared" si="7"/>
        <v/>
      </c>
      <c r="T35" s="17" t="str">
        <f t="shared" si="8"/>
        <v/>
      </c>
    </row>
    <row r="36" spans="2:20" ht="12.75">
      <c r="B36" s="1" t="str">
        <f>'Nov 9-15'!B104</f>
        <v>83 Highland Street Unit 3</v>
      </c>
      <c r="C36" s="29" t="str">
        <f t="array" ref="C36">INDEX('Nov 23-29'!C:C,MATCH($B36,'Nov 23-29'!$B:$B,0))</f>
        <v>Y</v>
      </c>
      <c r="D36" s="29">
        <f t="array" ref="D36">INDEX('Nov 23-29'!D:D,MATCH($B36,'Nov 23-29'!$B:$B,0))</f>
        <v>22</v>
      </c>
      <c r="E36" s="65">
        <f t="shared" si="0"/>
        <v>36</v>
      </c>
      <c r="F36" s="66">
        <f t="shared" si="1"/>
        <v>1.0907288051561725E-2</v>
      </c>
      <c r="G36" s="65">
        <f t="array" ref="G36">INDEX('Nov 23-29'!E:E,MATCH($B36,'Nov 23-29'!$B:$B,0))</f>
        <v>4</v>
      </c>
      <c r="H36" s="65">
        <f t="array" ref="H36">INDEX('Nov 23-29'!F:F,MATCH($B36,'Nov 23-29'!$B:$B,0))</f>
        <v>1</v>
      </c>
      <c r="I36" s="65">
        <f t="array" ref="I36">INDEX('Nov 23-29'!G:G,MATCH($B36,'Nov 23-29'!$B:$B,0))</f>
        <v>0</v>
      </c>
      <c r="J36" s="65">
        <f t="array" ref="J36">INDEX('Nov 23-29'!H:H,MATCH($B36,'Nov 23-29'!$B:$B,0))</f>
        <v>0</v>
      </c>
      <c r="K36" s="65">
        <f t="array" ref="K36">INDEX('Nov 23-29'!I:I,MATCH($B36,'Nov 23-29'!$B:$B,0))</f>
        <v>0</v>
      </c>
      <c r="L36" s="65">
        <f t="array" ref="L36">INDEX('Nov 23-29'!J:J,MATCH($B36,'Nov 23-29'!$B:$B,0))</f>
        <v>0</v>
      </c>
      <c r="M36" s="17">
        <f t="shared" si="2"/>
        <v>0.18181818181818182</v>
      </c>
      <c r="N36" s="17">
        <f t="shared" si="3"/>
        <v>0</v>
      </c>
      <c r="O36" s="17">
        <f t="shared" si="4"/>
        <v>0</v>
      </c>
      <c r="P36" s="17">
        <f t="shared" si="5"/>
        <v>0</v>
      </c>
      <c r="Q36" s="17" t="str">
        <f t="shared" ref="Q36:R36" si="41">IFERROR(J36/I36,"")</f>
        <v/>
      </c>
      <c r="R36" s="17" t="str">
        <f t="shared" si="41"/>
        <v/>
      </c>
      <c r="S36" s="17">
        <f t="shared" si="7"/>
        <v>0</v>
      </c>
      <c r="T36" s="17" t="str">
        <f t="shared" si="8"/>
        <v/>
      </c>
    </row>
    <row r="37" spans="2:20" ht="12.75">
      <c r="B37" s="1" t="str">
        <f>'Nov 9-15'!B103</f>
        <v>83 Highland Street Unit 2</v>
      </c>
      <c r="C37" s="29" t="str">
        <f t="array" ref="C37">INDEX('Nov 23-29'!C:C,MATCH($B37,'Nov 23-29'!$B:$B,0))</f>
        <v>Y</v>
      </c>
      <c r="D37" s="29">
        <f t="array" ref="D37">INDEX('Nov 23-29'!D:D,MATCH($B37,'Nov 23-29'!$B:$B,0))</f>
        <v>27</v>
      </c>
      <c r="E37" s="65">
        <f t="shared" si="0"/>
        <v>28</v>
      </c>
      <c r="F37" s="66">
        <f t="shared" si="1"/>
        <v>1.3386217154189391E-2</v>
      </c>
      <c r="G37" s="65">
        <f t="array" ref="G37">INDEX('Nov 23-29'!E:E,MATCH($B37,'Nov 23-29'!$B:$B,0))</f>
        <v>12</v>
      </c>
      <c r="H37" s="65">
        <f t="array" ref="H37">INDEX('Nov 23-29'!F:F,MATCH($B37,'Nov 23-29'!$B:$B,0))</f>
        <v>1</v>
      </c>
      <c r="I37" s="65">
        <f t="array" ref="I37">INDEX('Nov 23-29'!G:G,MATCH($B37,'Nov 23-29'!$B:$B,0))</f>
        <v>0</v>
      </c>
      <c r="J37" s="65">
        <f t="array" ref="J37">INDEX('Nov 23-29'!H:H,MATCH($B37,'Nov 23-29'!$B:$B,0))</f>
        <v>0</v>
      </c>
      <c r="K37" s="65">
        <f t="array" ref="K37">INDEX('Nov 23-29'!I:I,MATCH($B37,'Nov 23-29'!$B:$B,0))</f>
        <v>0</v>
      </c>
      <c r="L37" s="65">
        <f t="array" ref="L37">INDEX('Nov 23-29'!J:J,MATCH($B37,'Nov 23-29'!$B:$B,0))</f>
        <v>0</v>
      </c>
      <c r="M37" s="17">
        <f t="shared" si="2"/>
        <v>0.44444444444444442</v>
      </c>
      <c r="N37" s="17">
        <f t="shared" si="3"/>
        <v>0</v>
      </c>
      <c r="O37" s="17">
        <f t="shared" si="4"/>
        <v>0</v>
      </c>
      <c r="P37" s="17">
        <f t="shared" si="5"/>
        <v>0</v>
      </c>
      <c r="Q37" s="17" t="str">
        <f t="shared" ref="Q37:R37" si="42">IFERROR(J37/I37,"")</f>
        <v/>
      </c>
      <c r="R37" s="17" t="str">
        <f t="shared" si="42"/>
        <v/>
      </c>
      <c r="S37" s="17">
        <f t="shared" si="7"/>
        <v>0</v>
      </c>
      <c r="T37" s="17" t="str">
        <f t="shared" si="8"/>
        <v/>
      </c>
    </row>
    <row r="38" spans="2:20" ht="12.75">
      <c r="B38" s="1" t="str">
        <f>'Nov 9-15'!B65</f>
        <v>267 Main Street Unit 4</v>
      </c>
      <c r="C38" s="29" t="str">
        <f t="array" ref="C38">INDEX('Nov 23-29'!C:C,MATCH($B38,'Nov 23-29'!$B:$B,0))</f>
        <v>Y</v>
      </c>
      <c r="D38" s="29">
        <f t="array" ref="D38">INDEX('Nov 23-29'!D:D,MATCH($B38,'Nov 23-29'!$B:$B,0))</f>
        <v>25</v>
      </c>
      <c r="E38" s="65">
        <f t="shared" si="0"/>
        <v>33</v>
      </c>
      <c r="F38" s="66">
        <f t="shared" si="1"/>
        <v>1.2394645513138325E-2</v>
      </c>
      <c r="G38" s="65">
        <f t="array" ref="G38">INDEX('Nov 23-29'!E:E,MATCH($B38,'Nov 23-29'!$B:$B,0))</f>
        <v>3</v>
      </c>
      <c r="H38" s="65">
        <f t="array" ref="H38">INDEX('Nov 23-29'!F:F,MATCH($B38,'Nov 23-29'!$B:$B,0))</f>
        <v>0</v>
      </c>
      <c r="I38" s="65">
        <f t="array" ref="I38">INDEX('Nov 23-29'!G:G,MATCH($B38,'Nov 23-29'!$B:$B,0))</f>
        <v>0</v>
      </c>
      <c r="J38" s="65">
        <f t="array" ref="J38">INDEX('Nov 23-29'!H:H,MATCH($B38,'Nov 23-29'!$B:$B,0))</f>
        <v>0</v>
      </c>
      <c r="K38" s="65">
        <f t="array" ref="K38">INDEX('Nov 23-29'!I:I,MATCH($B38,'Nov 23-29'!$B:$B,0))</f>
        <v>0</v>
      </c>
      <c r="L38" s="65">
        <f t="array" ref="L38">INDEX('Nov 23-29'!J:J,MATCH($B38,'Nov 23-29'!$B:$B,0))</f>
        <v>0</v>
      </c>
      <c r="M38" s="17">
        <f t="shared" si="2"/>
        <v>0.12</v>
      </c>
      <c r="N38" s="17">
        <f t="shared" si="3"/>
        <v>0</v>
      </c>
      <c r="O38" s="17">
        <f t="shared" si="4"/>
        <v>0</v>
      </c>
      <c r="P38" s="17">
        <f t="shared" si="5"/>
        <v>0</v>
      </c>
      <c r="Q38" s="17" t="str">
        <f t="shared" ref="Q38:R38" si="43">IFERROR(J38/I38,"")</f>
        <v/>
      </c>
      <c r="R38" s="17" t="str">
        <f t="shared" si="43"/>
        <v/>
      </c>
      <c r="S38" s="17">
        <f t="shared" si="7"/>
        <v>0</v>
      </c>
      <c r="T38" s="17" t="str">
        <f t="shared" si="8"/>
        <v/>
      </c>
    </row>
    <row r="39" spans="2:20" ht="12.75">
      <c r="B39" s="1" t="str">
        <f>'Nov 9-15'!B66</f>
        <v>275 Dorchester Street</v>
      </c>
      <c r="C39" s="29" t="str">
        <f t="array" ref="C39">INDEX('Nov 23-29'!C:C,MATCH($B39,'Nov 23-29'!$B:$B,0))</f>
        <v>Y</v>
      </c>
      <c r="D39" s="29">
        <f t="array" ref="D39">INDEX('Nov 23-29'!D:D,MATCH($B39,'Nov 23-29'!$B:$B,0))</f>
        <v>18</v>
      </c>
      <c r="E39" s="65">
        <f t="shared" si="0"/>
        <v>47</v>
      </c>
      <c r="F39" s="66">
        <f t="shared" si="1"/>
        <v>8.9241447694595934E-3</v>
      </c>
      <c r="G39" s="65">
        <f t="array" ref="G39">INDEX('Nov 23-29'!E:E,MATCH($B39,'Nov 23-29'!$B:$B,0))</f>
        <v>5</v>
      </c>
      <c r="H39" s="65">
        <f t="array" ref="H39">INDEX('Nov 23-29'!F:F,MATCH($B39,'Nov 23-29'!$B:$B,0))</f>
        <v>2</v>
      </c>
      <c r="I39" s="65">
        <f t="array" ref="I39">INDEX('Nov 23-29'!G:G,MATCH($B39,'Nov 23-29'!$B:$B,0))</f>
        <v>0</v>
      </c>
      <c r="J39" s="65">
        <f t="array" ref="J39">INDEX('Nov 23-29'!H:H,MATCH($B39,'Nov 23-29'!$B:$B,0))</f>
        <v>1</v>
      </c>
      <c r="K39" s="65">
        <f t="array" ref="K39">INDEX('Nov 23-29'!I:I,MATCH($B39,'Nov 23-29'!$B:$B,0))</f>
        <v>0</v>
      </c>
      <c r="L39" s="65">
        <f t="array" ref="L39">INDEX('Nov 23-29'!J:J,MATCH($B39,'Nov 23-29'!$B:$B,0))</f>
        <v>0</v>
      </c>
      <c r="M39" s="17">
        <f t="shared" si="2"/>
        <v>0.27777777777777779</v>
      </c>
      <c r="N39" s="17">
        <f t="shared" si="3"/>
        <v>0</v>
      </c>
      <c r="O39" s="17">
        <f t="shared" si="4"/>
        <v>0</v>
      </c>
      <c r="P39" s="17">
        <f t="shared" si="5"/>
        <v>5.5555555555555552E-2</v>
      </c>
      <c r="Q39" s="17" t="str">
        <f t="shared" ref="Q39:R39" si="44">IFERROR(J39/I39,"")</f>
        <v/>
      </c>
      <c r="R39" s="17">
        <f t="shared" si="44"/>
        <v>0</v>
      </c>
      <c r="S39" s="17">
        <f t="shared" si="7"/>
        <v>0</v>
      </c>
      <c r="T39" s="17" t="str">
        <f t="shared" si="8"/>
        <v/>
      </c>
    </row>
    <row r="40" spans="2:20" ht="12.75">
      <c r="B40" s="1" t="str">
        <f>'Nov 9-15'!B16</f>
        <v>114 Thornton Street Unit 1</v>
      </c>
      <c r="C40" s="29" t="str">
        <f t="array" ref="C40">INDEX('Nov 23-29'!C:C,MATCH($B40,'Nov 23-29'!$B:$B,0))</f>
        <v>Y</v>
      </c>
      <c r="D40" s="29">
        <f t="array" ref="D40">INDEX('Nov 23-29'!D:D,MATCH($B40,'Nov 23-29'!$B:$B,0))</f>
        <v>18</v>
      </c>
      <c r="E40" s="65">
        <f t="shared" si="0"/>
        <v>47</v>
      </c>
      <c r="F40" s="66">
        <f t="shared" si="1"/>
        <v>8.9241447694595934E-3</v>
      </c>
      <c r="G40" s="65">
        <f t="array" ref="G40">INDEX('Nov 23-29'!E:E,MATCH($B40,'Nov 23-29'!$B:$B,0))</f>
        <v>8</v>
      </c>
      <c r="H40" s="65">
        <f t="array" ref="H40">INDEX('Nov 23-29'!F:F,MATCH($B40,'Nov 23-29'!$B:$B,0))</f>
        <v>1</v>
      </c>
      <c r="I40" s="65">
        <f t="array" ref="I40">INDEX('Nov 23-29'!G:G,MATCH($B40,'Nov 23-29'!$B:$B,0))</f>
        <v>0</v>
      </c>
      <c r="J40" s="65">
        <f t="array" ref="J40">INDEX('Nov 23-29'!H:H,MATCH($B40,'Nov 23-29'!$B:$B,0))</f>
        <v>0</v>
      </c>
      <c r="K40" s="65">
        <f t="array" ref="K40">INDEX('Nov 23-29'!I:I,MATCH($B40,'Nov 23-29'!$B:$B,0))</f>
        <v>0</v>
      </c>
      <c r="L40" s="65">
        <f t="array" ref="L40">INDEX('Nov 23-29'!J:J,MATCH($B40,'Nov 23-29'!$B:$B,0))</f>
        <v>0</v>
      </c>
      <c r="M40" s="17">
        <f t="shared" si="2"/>
        <v>0.44444444444444442</v>
      </c>
      <c r="N40" s="17">
        <f t="shared" si="3"/>
        <v>0</v>
      </c>
      <c r="O40" s="17">
        <f t="shared" si="4"/>
        <v>0</v>
      </c>
      <c r="P40" s="17">
        <f t="shared" si="5"/>
        <v>0</v>
      </c>
      <c r="Q40" s="17" t="str">
        <f t="shared" ref="Q40:R40" si="45">IFERROR(J40/I40,"")</f>
        <v/>
      </c>
      <c r="R40" s="17" t="str">
        <f t="shared" si="45"/>
        <v/>
      </c>
      <c r="S40" s="17">
        <f t="shared" si="7"/>
        <v>0</v>
      </c>
      <c r="T40" s="17" t="str">
        <f t="shared" si="8"/>
        <v/>
      </c>
    </row>
    <row r="41" spans="2:20" ht="12.75">
      <c r="B41" s="1" t="str">
        <f>'Nov 9-15'!B49</f>
        <v>2 Montfern Avenue Unit 1</v>
      </c>
      <c r="C41" s="29" t="str">
        <f t="array" ref="C41">INDEX('Nov 23-29'!C:C,MATCH($B41,'Nov 23-29'!$B:$B,0))</f>
        <v>Y</v>
      </c>
      <c r="D41" s="29">
        <f t="array" ref="D41">INDEX('Nov 23-29'!D:D,MATCH($B41,'Nov 23-29'!$B:$B,0))</f>
        <v>21</v>
      </c>
      <c r="E41" s="65">
        <f t="shared" si="0"/>
        <v>37</v>
      </c>
      <c r="F41" s="66">
        <f t="shared" si="1"/>
        <v>1.0411502231036193E-2</v>
      </c>
      <c r="G41" s="65">
        <f t="array" ref="G41">INDEX('Nov 23-29'!E:E,MATCH($B41,'Nov 23-29'!$B:$B,0))</f>
        <v>4</v>
      </c>
      <c r="H41" s="65">
        <f t="array" ref="H41">INDEX('Nov 23-29'!F:F,MATCH($B41,'Nov 23-29'!$B:$B,0))</f>
        <v>2</v>
      </c>
      <c r="I41" s="65">
        <f t="array" ref="I41">INDEX('Nov 23-29'!G:G,MATCH($B41,'Nov 23-29'!$B:$B,0))</f>
        <v>0</v>
      </c>
      <c r="J41" s="65">
        <f t="array" ref="J41">INDEX('Nov 23-29'!H:H,MATCH($B41,'Nov 23-29'!$B:$B,0))</f>
        <v>0</v>
      </c>
      <c r="K41" s="65">
        <f t="array" ref="K41">INDEX('Nov 23-29'!I:I,MATCH($B41,'Nov 23-29'!$B:$B,0))</f>
        <v>0</v>
      </c>
      <c r="L41" s="65">
        <f t="array" ref="L41">INDEX('Nov 23-29'!J:J,MATCH($B41,'Nov 23-29'!$B:$B,0))</f>
        <v>0</v>
      </c>
      <c r="M41" s="17">
        <f t="shared" si="2"/>
        <v>0.19047619047619047</v>
      </c>
      <c r="N41" s="17">
        <f t="shared" si="3"/>
        <v>0</v>
      </c>
      <c r="O41" s="17">
        <f t="shared" si="4"/>
        <v>0</v>
      </c>
      <c r="P41" s="17">
        <f t="shared" si="5"/>
        <v>0</v>
      </c>
      <c r="Q41" s="17" t="str">
        <f t="shared" ref="Q41:R41" si="46">IFERROR(J41/I41,"")</f>
        <v/>
      </c>
      <c r="R41" s="17" t="str">
        <f t="shared" si="46"/>
        <v/>
      </c>
      <c r="S41" s="17">
        <f t="shared" si="7"/>
        <v>0</v>
      </c>
      <c r="T41" s="17" t="str">
        <f t="shared" si="8"/>
        <v/>
      </c>
    </row>
    <row r="42" spans="2:20" ht="12.75">
      <c r="B42" s="1" t="str">
        <f>'Nov 9-15'!B54</f>
        <v>208 Cedar Street Unit 2</v>
      </c>
      <c r="C42" s="29" t="str">
        <f t="array" ref="C42">INDEX('Nov 23-29'!C:C,MATCH($B42,'Nov 23-29'!$B:$B,0))</f>
        <v>N</v>
      </c>
      <c r="D42" s="29">
        <f t="array" ref="D42">INDEX('Nov 23-29'!D:D,MATCH($B42,'Nov 23-29'!$B:$B,0))</f>
        <v>0</v>
      </c>
      <c r="E42" s="65">
        <f t="shared" si="0"/>
        <v>92</v>
      </c>
      <c r="F42" s="66">
        <f t="shared" si="1"/>
        <v>0</v>
      </c>
      <c r="G42" s="65">
        <f t="array" ref="G42">INDEX('Nov 23-29'!E:E,MATCH($B42,'Nov 23-29'!$B:$B,0))</f>
        <v>0</v>
      </c>
      <c r="H42" s="65">
        <f t="array" ref="H42">INDEX('Nov 23-29'!F:F,MATCH($B42,'Nov 23-29'!$B:$B,0))</f>
        <v>0</v>
      </c>
      <c r="I42" s="65">
        <f t="array" ref="I42">INDEX('Nov 23-29'!G:G,MATCH($B42,'Nov 23-29'!$B:$B,0))</f>
        <v>0</v>
      </c>
      <c r="J42" s="65">
        <f t="array" ref="J42">INDEX('Nov 23-29'!H:H,MATCH($B42,'Nov 23-29'!$B:$B,0))</f>
        <v>0</v>
      </c>
      <c r="K42" s="65">
        <f t="array" ref="K42">INDEX('Nov 23-29'!I:I,MATCH($B42,'Nov 23-29'!$B:$B,0))</f>
        <v>0</v>
      </c>
      <c r="L42" s="65">
        <f t="array" ref="L42">INDEX('Nov 23-29'!J:J,MATCH($B42,'Nov 23-29'!$B:$B,0))</f>
        <v>0</v>
      </c>
      <c r="M42" s="17" t="str">
        <f t="shared" si="2"/>
        <v/>
      </c>
      <c r="N42" s="17" t="str">
        <f t="shared" si="3"/>
        <v/>
      </c>
      <c r="O42" s="17" t="str">
        <f t="shared" si="4"/>
        <v/>
      </c>
      <c r="P42" s="17" t="str">
        <f t="shared" si="5"/>
        <v/>
      </c>
      <c r="Q42" s="17" t="str">
        <f t="shared" ref="Q42:R42" si="47">IFERROR(J42/I42,"")</f>
        <v/>
      </c>
      <c r="R42" s="17" t="str">
        <f t="shared" si="47"/>
        <v/>
      </c>
      <c r="S42" s="17" t="str">
        <f t="shared" si="7"/>
        <v/>
      </c>
      <c r="T42" s="17" t="str">
        <f t="shared" si="8"/>
        <v/>
      </c>
    </row>
    <row r="43" spans="2:20" ht="12.75">
      <c r="B43" s="1" t="str">
        <f>'Nov 9-15'!B46</f>
        <v>192 Alleghany Street Unit 2</v>
      </c>
      <c r="C43" s="29" t="str">
        <f t="array" ref="C43">INDEX('Nov 23-29'!C:C,MATCH($B43,'Nov 23-29'!$B:$B,0))</f>
        <v>N</v>
      </c>
      <c r="D43" s="29">
        <f t="array" ref="D43">INDEX('Nov 23-29'!D:D,MATCH($B43,'Nov 23-29'!$B:$B,0))</f>
        <v>0</v>
      </c>
      <c r="E43" s="65">
        <f t="shared" si="0"/>
        <v>92</v>
      </c>
      <c r="F43" s="66">
        <f t="shared" si="1"/>
        <v>0</v>
      </c>
      <c r="G43" s="65">
        <f t="array" ref="G43">INDEX('Nov 23-29'!E:E,MATCH($B43,'Nov 23-29'!$B:$B,0))</f>
        <v>0</v>
      </c>
      <c r="H43" s="65">
        <f t="array" ref="H43">INDEX('Nov 23-29'!F:F,MATCH($B43,'Nov 23-29'!$B:$B,0))</f>
        <v>0</v>
      </c>
      <c r="I43" s="65">
        <f t="array" ref="I43">INDEX('Nov 23-29'!G:G,MATCH($B43,'Nov 23-29'!$B:$B,0))</f>
        <v>0</v>
      </c>
      <c r="J43" s="65">
        <f t="array" ref="J43">INDEX('Nov 23-29'!H:H,MATCH($B43,'Nov 23-29'!$B:$B,0))</f>
        <v>0</v>
      </c>
      <c r="K43" s="65">
        <f t="array" ref="K43">INDEX('Nov 23-29'!I:I,MATCH($B43,'Nov 23-29'!$B:$B,0))</f>
        <v>0</v>
      </c>
      <c r="L43" s="65">
        <f t="array" ref="L43">INDEX('Nov 23-29'!J:J,MATCH($B43,'Nov 23-29'!$B:$B,0))</f>
        <v>0</v>
      </c>
      <c r="M43" s="17" t="str">
        <f t="shared" si="2"/>
        <v/>
      </c>
      <c r="N43" s="17" t="str">
        <f t="shared" si="3"/>
        <v/>
      </c>
      <c r="O43" s="17" t="str">
        <f t="shared" si="4"/>
        <v/>
      </c>
      <c r="P43" s="17" t="str">
        <f t="shared" si="5"/>
        <v/>
      </c>
      <c r="Q43" s="17" t="str">
        <f t="shared" ref="Q43:R43" si="48">IFERROR(J43/I43,"")</f>
        <v/>
      </c>
      <c r="R43" s="17" t="str">
        <f t="shared" si="48"/>
        <v/>
      </c>
      <c r="S43" s="17" t="str">
        <f t="shared" si="7"/>
        <v/>
      </c>
      <c r="T43" s="17" t="str">
        <f t="shared" si="8"/>
        <v/>
      </c>
    </row>
    <row r="44" spans="2:20" ht="12.75">
      <c r="B44" s="1" t="str">
        <f>'Nov 9-15'!B24</f>
        <v>122 Central Street Unit 2</v>
      </c>
      <c r="C44" s="29" t="str">
        <f t="array" ref="C44">INDEX('Nov 23-29'!C:C,MATCH($B44,'Nov 23-29'!$B:$B,0))</f>
        <v>Y</v>
      </c>
      <c r="D44" s="29">
        <f t="array" ref="D44">INDEX('Nov 23-29'!D:D,MATCH($B44,'Nov 23-29'!$B:$B,0))</f>
        <v>13</v>
      </c>
      <c r="E44" s="65">
        <f t="shared" si="0"/>
        <v>57</v>
      </c>
      <c r="F44" s="66">
        <f t="shared" si="1"/>
        <v>6.4452156668319289E-3</v>
      </c>
      <c r="G44" s="65">
        <f t="array" ref="G44">INDEX('Nov 23-29'!E:E,MATCH($B44,'Nov 23-29'!$B:$B,0))</f>
        <v>6</v>
      </c>
      <c r="H44" s="65">
        <f t="array" ref="H44">INDEX('Nov 23-29'!F:F,MATCH($B44,'Nov 23-29'!$B:$B,0))</f>
        <v>1</v>
      </c>
      <c r="I44" s="65">
        <f t="array" ref="I44">INDEX('Nov 23-29'!G:G,MATCH($B44,'Nov 23-29'!$B:$B,0))</f>
        <v>0</v>
      </c>
      <c r="J44" s="65">
        <f t="array" ref="J44">INDEX('Nov 23-29'!H:H,MATCH($B44,'Nov 23-29'!$B:$B,0))</f>
        <v>0</v>
      </c>
      <c r="K44" s="65">
        <f t="array" ref="K44">INDEX('Nov 23-29'!I:I,MATCH($B44,'Nov 23-29'!$B:$B,0))</f>
        <v>0</v>
      </c>
      <c r="L44" s="65">
        <f t="array" ref="L44">INDEX('Nov 23-29'!J:J,MATCH($B44,'Nov 23-29'!$B:$B,0))</f>
        <v>0</v>
      </c>
      <c r="M44" s="17">
        <f t="shared" si="2"/>
        <v>0.46153846153846156</v>
      </c>
      <c r="N44" s="17">
        <f t="shared" si="3"/>
        <v>0</v>
      </c>
      <c r="O44" s="17">
        <f t="shared" si="4"/>
        <v>0</v>
      </c>
      <c r="P44" s="17">
        <f t="shared" si="5"/>
        <v>0</v>
      </c>
      <c r="Q44" s="17" t="str">
        <f t="shared" ref="Q44:R44" si="49">IFERROR(J44/I44,"")</f>
        <v/>
      </c>
      <c r="R44" s="17" t="str">
        <f t="shared" si="49"/>
        <v/>
      </c>
      <c r="S44" s="17">
        <f t="shared" si="7"/>
        <v>0</v>
      </c>
      <c r="T44" s="17" t="str">
        <f t="shared" si="8"/>
        <v/>
      </c>
    </row>
    <row r="45" spans="2:20" ht="12.75">
      <c r="B45" s="1" t="str">
        <f>'Nov 9-15'!B18</f>
        <v>116 Thornton Street Unit 3</v>
      </c>
      <c r="C45" s="29" t="str">
        <f t="array" ref="C45">INDEX('Nov 23-29'!C:C,MATCH($B45,'Nov 23-29'!$B:$B,0))</f>
        <v>Y</v>
      </c>
      <c r="D45" s="29">
        <f t="array" ref="D45">INDEX('Nov 23-29'!D:D,MATCH($B45,'Nov 23-29'!$B:$B,0))</f>
        <v>8</v>
      </c>
      <c r="E45" s="65">
        <f t="shared" si="0"/>
        <v>65</v>
      </c>
      <c r="F45" s="66">
        <f t="shared" si="1"/>
        <v>3.9662865642042635E-3</v>
      </c>
      <c r="G45" s="65">
        <f t="array" ref="G45">INDEX('Nov 23-29'!E:E,MATCH($B45,'Nov 23-29'!$B:$B,0))</f>
        <v>0</v>
      </c>
      <c r="H45" s="65">
        <f t="array" ref="H45">INDEX('Nov 23-29'!F:F,MATCH($B45,'Nov 23-29'!$B:$B,0))</f>
        <v>1</v>
      </c>
      <c r="I45" s="65">
        <f t="array" ref="I45">INDEX('Nov 23-29'!G:G,MATCH($B45,'Nov 23-29'!$B:$B,0))</f>
        <v>0</v>
      </c>
      <c r="J45" s="65">
        <f t="array" ref="J45">INDEX('Nov 23-29'!H:H,MATCH($B45,'Nov 23-29'!$B:$B,0))</f>
        <v>0</v>
      </c>
      <c r="K45" s="65">
        <f t="array" ref="K45">INDEX('Nov 23-29'!I:I,MATCH($B45,'Nov 23-29'!$B:$B,0))</f>
        <v>0</v>
      </c>
      <c r="L45" s="65">
        <f t="array" ref="L45">INDEX('Nov 23-29'!J:J,MATCH($B45,'Nov 23-29'!$B:$B,0))</f>
        <v>0</v>
      </c>
      <c r="M45" s="17">
        <f t="shared" si="2"/>
        <v>0</v>
      </c>
      <c r="N45" s="17">
        <f t="shared" si="3"/>
        <v>0</v>
      </c>
      <c r="O45" s="17" t="str">
        <f t="shared" si="4"/>
        <v/>
      </c>
      <c r="P45" s="17">
        <f t="shared" si="5"/>
        <v>0</v>
      </c>
      <c r="Q45" s="17" t="str">
        <f t="shared" ref="Q45:R45" si="50">IFERROR(J45/I45,"")</f>
        <v/>
      </c>
      <c r="R45" s="17" t="str">
        <f t="shared" si="50"/>
        <v/>
      </c>
      <c r="S45" s="17">
        <f t="shared" si="7"/>
        <v>0</v>
      </c>
      <c r="T45" s="17" t="str">
        <f t="shared" si="8"/>
        <v/>
      </c>
    </row>
    <row r="46" spans="2:20" ht="12.75">
      <c r="B46" s="1" t="str">
        <f>'Nov 9-15'!B67</f>
        <v>31 Plymouth Street Unit 2</v>
      </c>
      <c r="C46" s="29" t="str">
        <f t="array" ref="C46">INDEX('Nov 23-29'!C:C,MATCH($B46,'Nov 23-29'!$B:$B,0))</f>
        <v>Y</v>
      </c>
      <c r="D46" s="29">
        <f t="array" ref="D46">INDEX('Nov 23-29'!D:D,MATCH($B46,'Nov 23-29'!$B:$B,0))</f>
        <v>30</v>
      </c>
      <c r="E46" s="65">
        <f t="shared" si="0"/>
        <v>20</v>
      </c>
      <c r="F46" s="66">
        <f t="shared" si="1"/>
        <v>1.4873574615765989E-2</v>
      </c>
      <c r="G46" s="65">
        <f t="array" ref="G46">INDEX('Nov 23-29'!E:E,MATCH($B46,'Nov 23-29'!$B:$B,0))</f>
        <v>6</v>
      </c>
      <c r="H46" s="65">
        <f t="array" ref="H46">INDEX('Nov 23-29'!F:F,MATCH($B46,'Nov 23-29'!$B:$B,0))</f>
        <v>1</v>
      </c>
      <c r="I46" s="65">
        <f t="array" ref="I46">INDEX('Nov 23-29'!G:G,MATCH($B46,'Nov 23-29'!$B:$B,0))</f>
        <v>4</v>
      </c>
      <c r="J46" s="65">
        <f t="array" ref="J46">INDEX('Nov 23-29'!H:H,MATCH($B46,'Nov 23-29'!$B:$B,0))</f>
        <v>0</v>
      </c>
      <c r="K46" s="65">
        <f t="array" ref="K46">INDEX('Nov 23-29'!I:I,MATCH($B46,'Nov 23-29'!$B:$B,0))</f>
        <v>0</v>
      </c>
      <c r="L46" s="65">
        <f t="array" ref="L46">INDEX('Nov 23-29'!J:J,MATCH($B46,'Nov 23-29'!$B:$B,0))</f>
        <v>0</v>
      </c>
      <c r="M46" s="17">
        <f t="shared" si="2"/>
        <v>0.2</v>
      </c>
      <c r="N46" s="17">
        <f t="shared" si="3"/>
        <v>0.13333333333333333</v>
      </c>
      <c r="O46" s="17">
        <f t="shared" si="4"/>
        <v>0.66666666666666663</v>
      </c>
      <c r="P46" s="17">
        <f t="shared" si="5"/>
        <v>0</v>
      </c>
      <c r="Q46" s="17">
        <f t="shared" ref="Q46:R46" si="51">IFERROR(J46/I46,"")</f>
        <v>0</v>
      </c>
      <c r="R46" s="17" t="str">
        <f t="shared" si="51"/>
        <v/>
      </c>
      <c r="S46" s="17">
        <f t="shared" si="7"/>
        <v>0</v>
      </c>
      <c r="T46" s="17" t="str">
        <f t="shared" si="8"/>
        <v/>
      </c>
    </row>
    <row r="47" spans="2:20" ht="12.75">
      <c r="B47" s="1" t="str">
        <f>'Nov 9-15'!B35</f>
        <v>158 Magazine Street Unit 6</v>
      </c>
      <c r="C47" s="29" t="str">
        <f t="array" ref="C47">INDEX('Nov 23-29'!C:C,MATCH($B47,'Nov 23-29'!$B:$B,0))</f>
        <v>Y</v>
      </c>
      <c r="D47" s="29">
        <f t="array" ref="D47">INDEX('Nov 23-29'!D:D,MATCH($B47,'Nov 23-29'!$B:$B,0))</f>
        <v>16</v>
      </c>
      <c r="E47" s="65">
        <f t="shared" si="0"/>
        <v>52</v>
      </c>
      <c r="F47" s="66">
        <f t="shared" si="1"/>
        <v>7.9325731284085269E-3</v>
      </c>
      <c r="G47" s="65">
        <f t="array" ref="G47">INDEX('Nov 23-29'!E:E,MATCH($B47,'Nov 23-29'!$B:$B,0))</f>
        <v>1</v>
      </c>
      <c r="H47" s="65">
        <f t="array" ref="H47">INDEX('Nov 23-29'!F:F,MATCH($B47,'Nov 23-29'!$B:$B,0))</f>
        <v>0</v>
      </c>
      <c r="I47" s="65">
        <f t="array" ref="I47">INDEX('Nov 23-29'!G:G,MATCH($B47,'Nov 23-29'!$B:$B,0))</f>
        <v>0</v>
      </c>
      <c r="J47" s="65">
        <f t="array" ref="J47">INDEX('Nov 23-29'!H:H,MATCH($B47,'Nov 23-29'!$B:$B,0))</f>
        <v>0</v>
      </c>
      <c r="K47" s="65">
        <f t="array" ref="K47">INDEX('Nov 23-29'!I:I,MATCH($B47,'Nov 23-29'!$B:$B,0))</f>
        <v>0</v>
      </c>
      <c r="L47" s="65">
        <f t="array" ref="L47">INDEX('Nov 23-29'!J:J,MATCH($B47,'Nov 23-29'!$B:$B,0))</f>
        <v>0</v>
      </c>
      <c r="M47" s="17">
        <f t="shared" si="2"/>
        <v>6.25E-2</v>
      </c>
      <c r="N47" s="17">
        <f t="shared" si="3"/>
        <v>0</v>
      </c>
      <c r="O47" s="17">
        <f t="shared" si="4"/>
        <v>0</v>
      </c>
      <c r="P47" s="17">
        <f t="shared" si="5"/>
        <v>0</v>
      </c>
      <c r="Q47" s="17" t="str">
        <f t="shared" ref="Q47:R47" si="52">IFERROR(J47/I47,"")</f>
        <v/>
      </c>
      <c r="R47" s="17" t="str">
        <f t="shared" si="52"/>
        <v/>
      </c>
      <c r="S47" s="17">
        <f t="shared" si="7"/>
        <v>0</v>
      </c>
      <c r="T47" s="17" t="str">
        <f t="shared" si="8"/>
        <v/>
      </c>
    </row>
    <row r="48" spans="2:20" ht="12.75">
      <c r="B48" s="1" t="str">
        <f>'Nov 9-15'!B10</f>
        <v>108 Hyde Park Avenue Unit 2</v>
      </c>
      <c r="C48" s="29" t="str">
        <f t="array" ref="C48">INDEX('Nov 23-29'!C:C,MATCH($B48,'Nov 23-29'!$B:$B,0))</f>
        <v>Y</v>
      </c>
      <c r="D48" s="29">
        <f t="array" ref="D48">INDEX('Nov 23-29'!D:D,MATCH($B48,'Nov 23-29'!$B:$B,0))</f>
        <v>14</v>
      </c>
      <c r="E48" s="65">
        <f t="shared" si="0"/>
        <v>54</v>
      </c>
      <c r="F48" s="66">
        <f t="shared" si="1"/>
        <v>6.9410014873574613E-3</v>
      </c>
      <c r="G48" s="65">
        <f t="array" ref="G48">INDEX('Nov 23-29'!E:E,MATCH($B48,'Nov 23-29'!$B:$B,0))</f>
        <v>2</v>
      </c>
      <c r="H48" s="65">
        <f t="array" ref="H48">INDEX('Nov 23-29'!F:F,MATCH($B48,'Nov 23-29'!$B:$B,0))</f>
        <v>0</v>
      </c>
      <c r="I48" s="65">
        <f t="array" ref="I48">INDEX('Nov 23-29'!G:G,MATCH($B48,'Nov 23-29'!$B:$B,0))</f>
        <v>0</v>
      </c>
      <c r="J48" s="65">
        <f t="array" ref="J48">INDEX('Nov 23-29'!H:H,MATCH($B48,'Nov 23-29'!$B:$B,0))</f>
        <v>0</v>
      </c>
      <c r="K48" s="65">
        <f t="array" ref="K48">INDEX('Nov 23-29'!I:I,MATCH($B48,'Nov 23-29'!$B:$B,0))</f>
        <v>0</v>
      </c>
      <c r="L48" s="65">
        <f t="array" ref="L48">INDEX('Nov 23-29'!J:J,MATCH($B48,'Nov 23-29'!$B:$B,0))</f>
        <v>0</v>
      </c>
      <c r="M48" s="17">
        <f t="shared" si="2"/>
        <v>0.14285714285714285</v>
      </c>
      <c r="N48" s="17">
        <f t="shared" si="3"/>
        <v>0</v>
      </c>
      <c r="O48" s="17">
        <f t="shared" si="4"/>
        <v>0</v>
      </c>
      <c r="P48" s="17">
        <f t="shared" si="5"/>
        <v>0</v>
      </c>
      <c r="Q48" s="17" t="str">
        <f t="shared" ref="Q48:R48" si="53">IFERROR(J48/I48,"")</f>
        <v/>
      </c>
      <c r="R48" s="17" t="str">
        <f t="shared" si="53"/>
        <v/>
      </c>
      <c r="S48" s="17">
        <f t="shared" si="7"/>
        <v>0</v>
      </c>
      <c r="T48" s="17" t="str">
        <f t="shared" si="8"/>
        <v/>
      </c>
    </row>
    <row r="49" spans="2:20" ht="12.75">
      <c r="B49" s="1" t="str">
        <f>'Nov 9-15'!B41</f>
        <v>179 Massachusetts Avenue Unit 3</v>
      </c>
      <c r="C49" s="29" t="str">
        <f t="array" ref="C49">INDEX('Nov 23-29'!C:C,MATCH($B49,'Nov 23-29'!$B:$B,0))</f>
        <v>N</v>
      </c>
      <c r="D49" s="29">
        <f t="array" ref="D49">INDEX('Nov 23-29'!D:D,MATCH($B49,'Nov 23-29'!$B:$B,0))</f>
        <v>5</v>
      </c>
      <c r="E49" s="65">
        <f t="shared" si="0"/>
        <v>71</v>
      </c>
      <c r="F49" s="66">
        <f t="shared" si="1"/>
        <v>2.478929102627665E-3</v>
      </c>
      <c r="G49" s="65">
        <f t="array" ref="G49">INDEX('Nov 23-29'!E:E,MATCH($B49,'Nov 23-29'!$B:$B,0))</f>
        <v>4</v>
      </c>
      <c r="H49" s="65">
        <f t="array" ref="H49">INDEX('Nov 23-29'!F:F,MATCH($B49,'Nov 23-29'!$B:$B,0))</f>
        <v>0</v>
      </c>
      <c r="I49" s="65">
        <f t="array" ref="I49">INDEX('Nov 23-29'!G:G,MATCH($B49,'Nov 23-29'!$B:$B,0))</f>
        <v>0</v>
      </c>
      <c r="J49" s="65">
        <f t="array" ref="J49">INDEX('Nov 23-29'!H:H,MATCH($B49,'Nov 23-29'!$B:$B,0))</f>
        <v>0</v>
      </c>
      <c r="K49" s="65">
        <f t="array" ref="K49">INDEX('Nov 23-29'!I:I,MATCH($B49,'Nov 23-29'!$B:$B,0))</f>
        <v>0</v>
      </c>
      <c r="L49" s="65">
        <f t="array" ref="L49">INDEX('Nov 23-29'!J:J,MATCH($B49,'Nov 23-29'!$B:$B,0))</f>
        <v>0</v>
      </c>
      <c r="M49" s="17">
        <f t="shared" si="2"/>
        <v>0.8</v>
      </c>
      <c r="N49" s="17">
        <f t="shared" si="3"/>
        <v>0</v>
      </c>
      <c r="O49" s="17">
        <f t="shared" si="4"/>
        <v>0</v>
      </c>
      <c r="P49" s="17">
        <f t="shared" si="5"/>
        <v>0</v>
      </c>
      <c r="Q49" s="17" t="str">
        <f t="shared" ref="Q49:R49" si="54">IFERROR(J49/I49,"")</f>
        <v/>
      </c>
      <c r="R49" s="17" t="str">
        <f t="shared" si="54"/>
        <v/>
      </c>
      <c r="S49" s="17">
        <f t="shared" si="7"/>
        <v>0</v>
      </c>
      <c r="T49" s="17" t="str">
        <f t="shared" si="8"/>
        <v/>
      </c>
    </row>
    <row r="50" spans="2:20" ht="12.75">
      <c r="B50" s="1" t="str">
        <f>'Nov 9-15'!B38</f>
        <v>17 Kenneson Road Unit 1</v>
      </c>
      <c r="C50" s="29" t="str">
        <f t="array" ref="C50">INDEX('Nov 23-29'!C:C,MATCH($B50,'Nov 23-29'!$B:$B,0))</f>
        <v>N</v>
      </c>
      <c r="D50" s="29">
        <f t="array" ref="D50">INDEX('Nov 23-29'!D:D,MATCH($B50,'Nov 23-29'!$B:$B,0))</f>
        <v>0</v>
      </c>
      <c r="E50" s="65">
        <f t="shared" si="0"/>
        <v>92</v>
      </c>
      <c r="F50" s="66">
        <f t="shared" si="1"/>
        <v>0</v>
      </c>
      <c r="G50" s="65">
        <f t="array" ref="G50">INDEX('Nov 23-29'!E:E,MATCH($B50,'Nov 23-29'!$B:$B,0))</f>
        <v>0</v>
      </c>
      <c r="H50" s="65">
        <f t="array" ref="H50">INDEX('Nov 23-29'!F:F,MATCH($B50,'Nov 23-29'!$B:$B,0))</f>
        <v>0</v>
      </c>
      <c r="I50" s="65">
        <f t="array" ref="I50">INDEX('Nov 23-29'!G:G,MATCH($B50,'Nov 23-29'!$B:$B,0))</f>
        <v>0</v>
      </c>
      <c r="J50" s="65">
        <f t="array" ref="J50">INDEX('Nov 23-29'!H:H,MATCH($B50,'Nov 23-29'!$B:$B,0))</f>
        <v>0</v>
      </c>
      <c r="K50" s="65">
        <f t="array" ref="K50">INDEX('Nov 23-29'!I:I,MATCH($B50,'Nov 23-29'!$B:$B,0))</f>
        <v>0</v>
      </c>
      <c r="L50" s="65">
        <f t="array" ref="L50">INDEX('Nov 23-29'!J:J,MATCH($B50,'Nov 23-29'!$B:$B,0))</f>
        <v>0</v>
      </c>
      <c r="M50" s="17" t="str">
        <f t="shared" si="2"/>
        <v/>
      </c>
      <c r="N50" s="17" t="str">
        <f t="shared" si="3"/>
        <v/>
      </c>
      <c r="O50" s="17" t="str">
        <f t="shared" si="4"/>
        <v/>
      </c>
      <c r="P50" s="17" t="str">
        <f t="shared" si="5"/>
        <v/>
      </c>
      <c r="Q50" s="17" t="str">
        <f t="shared" ref="Q50:R50" si="55">IFERROR(J50/I50,"")</f>
        <v/>
      </c>
      <c r="R50" s="17" t="str">
        <f t="shared" si="55"/>
        <v/>
      </c>
      <c r="S50" s="17" t="str">
        <f t="shared" si="7"/>
        <v/>
      </c>
      <c r="T50" s="17" t="str">
        <f t="shared" si="8"/>
        <v/>
      </c>
    </row>
    <row r="51" spans="2:20" ht="12.75">
      <c r="B51" s="1" t="str">
        <f>'Nov 9-15'!B47</f>
        <v>192 Third Street Unit 1</v>
      </c>
      <c r="C51" s="29" t="str">
        <f t="array" ref="C51">INDEX('Nov 23-29'!C:C,MATCH($B51,'Nov 23-29'!$B:$B,0))</f>
        <v>N</v>
      </c>
      <c r="D51" s="29">
        <f t="array" ref="D51">INDEX('Nov 23-29'!D:D,MATCH($B51,'Nov 23-29'!$B:$B,0))</f>
        <v>3</v>
      </c>
      <c r="E51" s="65">
        <f t="shared" si="0"/>
        <v>78</v>
      </c>
      <c r="F51" s="66">
        <f t="shared" si="1"/>
        <v>1.4873574615765989E-3</v>
      </c>
      <c r="G51" s="65">
        <f t="array" ref="G51">INDEX('Nov 23-29'!E:E,MATCH($B51,'Nov 23-29'!$B:$B,0))</f>
        <v>0</v>
      </c>
      <c r="H51" s="65">
        <f t="array" ref="H51">INDEX('Nov 23-29'!F:F,MATCH($B51,'Nov 23-29'!$B:$B,0))</f>
        <v>0</v>
      </c>
      <c r="I51" s="65">
        <f t="array" ref="I51">INDEX('Nov 23-29'!G:G,MATCH($B51,'Nov 23-29'!$B:$B,0))</f>
        <v>0</v>
      </c>
      <c r="J51" s="65">
        <f t="array" ref="J51">INDEX('Nov 23-29'!H:H,MATCH($B51,'Nov 23-29'!$B:$B,0))</f>
        <v>0</v>
      </c>
      <c r="K51" s="65">
        <f t="array" ref="K51">INDEX('Nov 23-29'!I:I,MATCH($B51,'Nov 23-29'!$B:$B,0))</f>
        <v>0</v>
      </c>
      <c r="L51" s="65">
        <f t="array" ref="L51">INDEX('Nov 23-29'!J:J,MATCH($B51,'Nov 23-29'!$B:$B,0))</f>
        <v>0</v>
      </c>
      <c r="M51" s="17">
        <f t="shared" si="2"/>
        <v>0</v>
      </c>
      <c r="N51" s="17">
        <f t="shared" si="3"/>
        <v>0</v>
      </c>
      <c r="O51" s="17" t="str">
        <f t="shared" si="4"/>
        <v/>
      </c>
      <c r="P51" s="17">
        <f t="shared" si="5"/>
        <v>0</v>
      </c>
      <c r="Q51" s="17" t="str">
        <f t="shared" ref="Q51:R51" si="56">IFERROR(J51/I51,"")</f>
        <v/>
      </c>
      <c r="R51" s="17" t="str">
        <f t="shared" si="56"/>
        <v/>
      </c>
      <c r="S51" s="17">
        <f t="shared" si="7"/>
        <v>0</v>
      </c>
      <c r="T51" s="17" t="str">
        <f t="shared" si="8"/>
        <v/>
      </c>
    </row>
    <row r="52" spans="2:20" ht="12.75">
      <c r="B52" s="1" t="str">
        <f>'Nov 9-15'!B42</f>
        <v>18 Mount Hood Road Unit 1</v>
      </c>
      <c r="C52" s="29" t="str">
        <f t="array" ref="C52">INDEX('Nov 23-29'!C:C,MATCH($B52,'Nov 23-29'!$B:$B,0))</f>
        <v>N</v>
      </c>
      <c r="D52" s="29">
        <f t="array" ref="D52">INDEX('Nov 23-29'!D:D,MATCH($B52,'Nov 23-29'!$B:$B,0))</f>
        <v>0</v>
      </c>
      <c r="E52" s="65">
        <f t="shared" si="0"/>
        <v>92</v>
      </c>
      <c r="F52" s="66">
        <f t="shared" si="1"/>
        <v>0</v>
      </c>
      <c r="G52" s="65">
        <f t="array" ref="G52">INDEX('Nov 23-29'!E:E,MATCH($B52,'Nov 23-29'!$B:$B,0))</f>
        <v>0</v>
      </c>
      <c r="H52" s="65">
        <f t="array" ref="H52">INDEX('Nov 23-29'!F:F,MATCH($B52,'Nov 23-29'!$B:$B,0))</f>
        <v>0</v>
      </c>
      <c r="I52" s="65">
        <f t="array" ref="I52">INDEX('Nov 23-29'!G:G,MATCH($B52,'Nov 23-29'!$B:$B,0))</f>
        <v>0</v>
      </c>
      <c r="J52" s="65">
        <f t="array" ref="J52">INDEX('Nov 23-29'!H:H,MATCH($B52,'Nov 23-29'!$B:$B,0))</f>
        <v>0</v>
      </c>
      <c r="K52" s="65">
        <f t="array" ref="K52">INDEX('Nov 23-29'!I:I,MATCH($B52,'Nov 23-29'!$B:$B,0))</f>
        <v>0</v>
      </c>
      <c r="L52" s="65">
        <f t="array" ref="L52">INDEX('Nov 23-29'!J:J,MATCH($B52,'Nov 23-29'!$B:$B,0))</f>
        <v>0</v>
      </c>
      <c r="M52" s="17" t="str">
        <f t="shared" si="2"/>
        <v/>
      </c>
      <c r="N52" s="17" t="str">
        <f t="shared" si="3"/>
        <v/>
      </c>
      <c r="O52" s="17" t="str">
        <f t="shared" si="4"/>
        <v/>
      </c>
      <c r="P52" s="17" t="str">
        <f t="shared" si="5"/>
        <v/>
      </c>
      <c r="Q52" s="17" t="str">
        <f t="shared" ref="Q52:R52" si="57">IFERROR(J52/I52,"")</f>
        <v/>
      </c>
      <c r="R52" s="17" t="str">
        <f t="shared" si="57"/>
        <v/>
      </c>
      <c r="S52" s="17" t="str">
        <f t="shared" si="7"/>
        <v/>
      </c>
      <c r="T52" s="17" t="str">
        <f t="shared" si="8"/>
        <v/>
      </c>
    </row>
    <row r="53" spans="2:20" ht="12.75">
      <c r="B53" s="1" t="str">
        <f>'Nov 9-15'!B68</f>
        <v>31 Plymouth Street Unit 3</v>
      </c>
      <c r="C53" s="29" t="str">
        <f t="array" ref="C53">INDEX('Nov 23-29'!C:C,MATCH($B53,'Nov 23-29'!$B:$B,0))</f>
        <v>Y</v>
      </c>
      <c r="D53" s="29">
        <f t="array" ref="D53">INDEX('Nov 23-29'!D:D,MATCH($B53,'Nov 23-29'!$B:$B,0))</f>
        <v>34</v>
      </c>
      <c r="E53" s="65">
        <f t="shared" si="0"/>
        <v>14</v>
      </c>
      <c r="F53" s="66">
        <f t="shared" si="1"/>
        <v>1.685671789786812E-2</v>
      </c>
      <c r="G53" s="65">
        <f t="array" ref="G53">INDEX('Nov 23-29'!E:E,MATCH($B53,'Nov 23-29'!$B:$B,0))</f>
        <v>19</v>
      </c>
      <c r="H53" s="65">
        <f t="array" ref="H53">INDEX('Nov 23-29'!F:F,MATCH($B53,'Nov 23-29'!$B:$B,0))</f>
        <v>0</v>
      </c>
      <c r="I53" s="65">
        <f t="array" ref="I53">INDEX('Nov 23-29'!G:G,MATCH($B53,'Nov 23-29'!$B:$B,0))</f>
        <v>4</v>
      </c>
      <c r="J53" s="65">
        <f t="array" ref="J53">INDEX('Nov 23-29'!H:H,MATCH($B53,'Nov 23-29'!$B:$B,0))</f>
        <v>0</v>
      </c>
      <c r="K53" s="65">
        <f t="array" ref="K53">INDEX('Nov 23-29'!I:I,MATCH($B53,'Nov 23-29'!$B:$B,0))</f>
        <v>0</v>
      </c>
      <c r="L53" s="65">
        <f t="array" ref="L53">INDEX('Nov 23-29'!J:J,MATCH($B53,'Nov 23-29'!$B:$B,0))</f>
        <v>0</v>
      </c>
      <c r="M53" s="17">
        <f t="shared" si="2"/>
        <v>0.55882352941176472</v>
      </c>
      <c r="N53" s="17">
        <f t="shared" si="3"/>
        <v>0.11764705882352941</v>
      </c>
      <c r="O53" s="17">
        <f t="shared" si="4"/>
        <v>0.21052631578947367</v>
      </c>
      <c r="P53" s="17">
        <f t="shared" si="5"/>
        <v>0</v>
      </c>
      <c r="Q53" s="17">
        <f t="shared" ref="Q53:R53" si="58">IFERROR(J53/I53,"")</f>
        <v>0</v>
      </c>
      <c r="R53" s="17" t="str">
        <f t="shared" si="58"/>
        <v/>
      </c>
      <c r="S53" s="17">
        <f t="shared" si="7"/>
        <v>0</v>
      </c>
      <c r="T53" s="17" t="str">
        <f t="shared" si="8"/>
        <v/>
      </c>
    </row>
    <row r="54" spans="2:20" ht="12.75">
      <c r="B54" s="1" t="str">
        <f>'Nov 9-15'!B59</f>
        <v>231 Norfolk Street Unit 4</v>
      </c>
      <c r="C54" s="29" t="str">
        <f t="array" ref="C54">INDEX('Nov 23-29'!C:C,MATCH($B54,'Nov 23-29'!$B:$B,0))</f>
        <v>N</v>
      </c>
      <c r="D54" s="29">
        <f t="array" ref="D54">INDEX('Nov 23-29'!D:D,MATCH($B54,'Nov 23-29'!$B:$B,0))</f>
        <v>8</v>
      </c>
      <c r="E54" s="65">
        <f t="shared" si="0"/>
        <v>65</v>
      </c>
      <c r="F54" s="66">
        <f t="shared" si="1"/>
        <v>3.9662865642042635E-3</v>
      </c>
      <c r="G54" s="65">
        <f t="array" ref="G54">INDEX('Nov 23-29'!E:E,MATCH($B54,'Nov 23-29'!$B:$B,0))</f>
        <v>0</v>
      </c>
      <c r="H54" s="65">
        <f t="array" ref="H54">INDEX('Nov 23-29'!F:F,MATCH($B54,'Nov 23-29'!$B:$B,0))</f>
        <v>0</v>
      </c>
      <c r="I54" s="65">
        <f t="array" ref="I54">INDEX('Nov 23-29'!G:G,MATCH($B54,'Nov 23-29'!$B:$B,0))</f>
        <v>0</v>
      </c>
      <c r="J54" s="65">
        <f t="array" ref="J54">INDEX('Nov 23-29'!H:H,MATCH($B54,'Nov 23-29'!$B:$B,0))</f>
        <v>0</v>
      </c>
      <c r="K54" s="65">
        <f t="array" ref="K54">INDEX('Nov 23-29'!I:I,MATCH($B54,'Nov 23-29'!$B:$B,0))</f>
        <v>0</v>
      </c>
      <c r="L54" s="65">
        <f t="array" ref="L54">INDEX('Nov 23-29'!J:J,MATCH($B54,'Nov 23-29'!$B:$B,0))</f>
        <v>0</v>
      </c>
      <c r="M54" s="17">
        <f t="shared" si="2"/>
        <v>0</v>
      </c>
      <c r="N54" s="17">
        <f t="shared" si="3"/>
        <v>0</v>
      </c>
      <c r="O54" s="17" t="str">
        <f t="shared" si="4"/>
        <v/>
      </c>
      <c r="P54" s="17">
        <f t="shared" si="5"/>
        <v>0</v>
      </c>
      <c r="Q54" s="17" t="str">
        <f t="shared" ref="Q54:R54" si="59">IFERROR(J54/I54,"")</f>
        <v/>
      </c>
      <c r="R54" s="17" t="str">
        <f t="shared" si="59"/>
        <v/>
      </c>
      <c r="S54" s="17">
        <f t="shared" si="7"/>
        <v>0</v>
      </c>
      <c r="T54" s="17" t="str">
        <f t="shared" si="8"/>
        <v/>
      </c>
    </row>
    <row r="55" spans="2:20" ht="12.75">
      <c r="B55" s="1" t="str">
        <f>'Nov 9-15'!B99</f>
        <v>8 7th Street</v>
      </c>
      <c r="C55" s="29" t="str">
        <f t="array" ref="C55">INDEX('Nov 23-29'!C:C,MATCH($B55,'Nov 23-29'!$B:$B,0))</f>
        <v>Y</v>
      </c>
      <c r="D55" s="29">
        <f t="array" ref="D55">INDEX('Nov 23-29'!D:D,MATCH($B55,'Nov 23-29'!$B:$B,0))</f>
        <v>11</v>
      </c>
      <c r="E55" s="65">
        <f t="shared" si="0"/>
        <v>63</v>
      </c>
      <c r="F55" s="66">
        <f t="shared" si="1"/>
        <v>5.4536440257808624E-3</v>
      </c>
      <c r="G55" s="65">
        <f t="array" ref="G55">INDEX('Nov 23-29'!E:E,MATCH($B55,'Nov 23-29'!$B:$B,0))</f>
        <v>0</v>
      </c>
      <c r="H55" s="65">
        <f t="array" ref="H55">INDEX('Nov 23-29'!F:F,MATCH($B55,'Nov 23-29'!$B:$B,0))</f>
        <v>1</v>
      </c>
      <c r="I55" s="65">
        <f t="array" ref="I55">INDEX('Nov 23-29'!G:G,MATCH($B55,'Nov 23-29'!$B:$B,0))</f>
        <v>2</v>
      </c>
      <c r="J55" s="65">
        <f t="array" ref="J55">INDEX('Nov 23-29'!H:H,MATCH($B55,'Nov 23-29'!$B:$B,0))</f>
        <v>0</v>
      </c>
      <c r="K55" s="65">
        <f t="array" ref="K55">INDEX('Nov 23-29'!I:I,MATCH($B55,'Nov 23-29'!$B:$B,0))</f>
        <v>0</v>
      </c>
      <c r="L55" s="65">
        <f t="array" ref="L55">INDEX('Nov 23-29'!J:J,MATCH($B55,'Nov 23-29'!$B:$B,0))</f>
        <v>0</v>
      </c>
      <c r="M55" s="17">
        <f t="shared" si="2"/>
        <v>0</v>
      </c>
      <c r="N55" s="17">
        <f t="shared" si="3"/>
        <v>0.18181818181818182</v>
      </c>
      <c r="O55" s="17" t="str">
        <f t="shared" si="4"/>
        <v/>
      </c>
      <c r="P55" s="17">
        <f t="shared" si="5"/>
        <v>0</v>
      </c>
      <c r="Q55" s="17">
        <f t="shared" ref="Q55:R55" si="60">IFERROR(J55/I55,"")</f>
        <v>0</v>
      </c>
      <c r="R55" s="17" t="str">
        <f t="shared" si="60"/>
        <v/>
      </c>
      <c r="S55" s="17">
        <f t="shared" si="7"/>
        <v>0</v>
      </c>
      <c r="T55" s="17" t="str">
        <f t="shared" si="8"/>
        <v/>
      </c>
    </row>
    <row r="56" spans="2:20" ht="12.75">
      <c r="B56" s="1" t="str">
        <f>'Nov 9-15'!B69</f>
        <v>31 South Street Unit 1</v>
      </c>
      <c r="C56" s="29" t="str">
        <f t="array" ref="C56">INDEX('Nov 23-29'!C:C,MATCH($B56,'Nov 23-29'!$B:$B,0))</f>
        <v>N</v>
      </c>
      <c r="D56" s="29">
        <f t="array" ref="D56">INDEX('Nov 23-29'!D:D,MATCH($B56,'Nov 23-29'!$B:$B,0))</f>
        <v>3</v>
      </c>
      <c r="E56" s="65">
        <f t="shared" si="0"/>
        <v>78</v>
      </c>
      <c r="F56" s="66">
        <f t="shared" si="1"/>
        <v>1.4873574615765989E-3</v>
      </c>
      <c r="G56" s="65">
        <f t="array" ref="G56">INDEX('Nov 23-29'!E:E,MATCH($B56,'Nov 23-29'!$B:$B,0))</f>
        <v>3</v>
      </c>
      <c r="H56" s="65">
        <f t="array" ref="H56">INDEX('Nov 23-29'!F:F,MATCH($B56,'Nov 23-29'!$B:$B,0))</f>
        <v>0</v>
      </c>
      <c r="I56" s="65">
        <f t="array" ref="I56">INDEX('Nov 23-29'!G:G,MATCH($B56,'Nov 23-29'!$B:$B,0))</f>
        <v>0</v>
      </c>
      <c r="J56" s="65">
        <f t="array" ref="J56">INDEX('Nov 23-29'!H:H,MATCH($B56,'Nov 23-29'!$B:$B,0))</f>
        <v>0</v>
      </c>
      <c r="K56" s="65">
        <f t="array" ref="K56">INDEX('Nov 23-29'!I:I,MATCH($B56,'Nov 23-29'!$B:$B,0))</f>
        <v>0</v>
      </c>
      <c r="L56" s="65">
        <f t="array" ref="L56">INDEX('Nov 23-29'!J:J,MATCH($B56,'Nov 23-29'!$B:$B,0))</f>
        <v>0</v>
      </c>
      <c r="M56" s="17">
        <f t="shared" si="2"/>
        <v>1</v>
      </c>
      <c r="N56" s="17">
        <f t="shared" si="3"/>
        <v>0</v>
      </c>
      <c r="O56" s="17">
        <f t="shared" si="4"/>
        <v>0</v>
      </c>
      <c r="P56" s="17">
        <f t="shared" si="5"/>
        <v>0</v>
      </c>
      <c r="Q56" s="17" t="str">
        <f t="shared" ref="Q56:R56" si="61">IFERROR(J56/I56,"")</f>
        <v/>
      </c>
      <c r="R56" s="17" t="str">
        <f t="shared" si="61"/>
        <v/>
      </c>
      <c r="S56" s="17">
        <f t="shared" si="7"/>
        <v>0</v>
      </c>
      <c r="T56" s="17" t="str">
        <f t="shared" si="8"/>
        <v/>
      </c>
    </row>
    <row r="57" spans="2:20" ht="12.75">
      <c r="B57" s="1" t="str">
        <f>'Nov 9-15'!B21</f>
        <v>12 Stoneholm Street Unit 610</v>
      </c>
      <c r="C57" s="29" t="str">
        <f t="array" ref="C57">INDEX('Nov 23-29'!C:C,MATCH($B57,'Nov 23-29'!$B:$B,0))</f>
        <v>N</v>
      </c>
      <c r="D57" s="29">
        <f t="array" ref="D57">INDEX('Nov 23-29'!D:D,MATCH($B57,'Nov 23-29'!$B:$B,0))</f>
        <v>0</v>
      </c>
      <c r="E57" s="65">
        <f t="shared" si="0"/>
        <v>92</v>
      </c>
      <c r="F57" s="66">
        <f t="shared" si="1"/>
        <v>0</v>
      </c>
      <c r="G57" s="65">
        <f t="array" ref="G57">INDEX('Nov 23-29'!E:E,MATCH($B57,'Nov 23-29'!$B:$B,0))</f>
        <v>0</v>
      </c>
      <c r="H57" s="65">
        <f t="array" ref="H57">INDEX('Nov 23-29'!F:F,MATCH($B57,'Nov 23-29'!$B:$B,0))</f>
        <v>0</v>
      </c>
      <c r="I57" s="65">
        <f t="array" ref="I57">INDEX('Nov 23-29'!G:G,MATCH($B57,'Nov 23-29'!$B:$B,0))</f>
        <v>0</v>
      </c>
      <c r="J57" s="65">
        <f t="array" ref="J57">INDEX('Nov 23-29'!H:H,MATCH($B57,'Nov 23-29'!$B:$B,0))</f>
        <v>0</v>
      </c>
      <c r="K57" s="65">
        <f t="array" ref="K57">INDEX('Nov 23-29'!I:I,MATCH($B57,'Nov 23-29'!$B:$B,0))</f>
        <v>0</v>
      </c>
      <c r="L57" s="65">
        <f t="array" ref="L57">INDEX('Nov 23-29'!J:J,MATCH($B57,'Nov 23-29'!$B:$B,0))</f>
        <v>0</v>
      </c>
      <c r="M57" s="17" t="str">
        <f t="shared" si="2"/>
        <v/>
      </c>
      <c r="N57" s="17" t="str">
        <f t="shared" si="3"/>
        <v/>
      </c>
      <c r="O57" s="17" t="str">
        <f t="shared" si="4"/>
        <v/>
      </c>
      <c r="P57" s="17" t="str">
        <f t="shared" si="5"/>
        <v/>
      </c>
      <c r="Q57" s="17" t="str">
        <f t="shared" ref="Q57:R57" si="62">IFERROR(J57/I57,"")</f>
        <v/>
      </c>
      <c r="R57" s="17" t="str">
        <f t="shared" si="62"/>
        <v/>
      </c>
      <c r="S57" s="17" t="str">
        <f t="shared" si="7"/>
        <v/>
      </c>
      <c r="T57" s="17" t="str">
        <f t="shared" si="8"/>
        <v/>
      </c>
    </row>
    <row r="58" spans="2:20" ht="12.75">
      <c r="B58" s="1" t="str">
        <f>'Nov 9-15'!B95</f>
        <v>6 7th Street</v>
      </c>
      <c r="C58" s="29" t="str">
        <f t="array" ref="C58">INDEX('Nov 23-29'!C:C,MATCH($B58,'Nov 23-29'!$B:$B,0))</f>
        <v>N</v>
      </c>
      <c r="D58" s="29">
        <f t="array" ref="D58">INDEX('Nov 23-29'!D:D,MATCH($B58,'Nov 23-29'!$B:$B,0))</f>
        <v>2</v>
      </c>
      <c r="E58" s="65">
        <f t="shared" si="0"/>
        <v>83</v>
      </c>
      <c r="F58" s="66">
        <f t="shared" si="1"/>
        <v>9.9157164105106587E-4</v>
      </c>
      <c r="G58" s="65">
        <f t="array" ref="G58">INDEX('Nov 23-29'!E:E,MATCH($B58,'Nov 23-29'!$B:$B,0))</f>
        <v>0</v>
      </c>
      <c r="H58" s="65">
        <f t="array" ref="H58">INDEX('Nov 23-29'!F:F,MATCH($B58,'Nov 23-29'!$B:$B,0))</f>
        <v>0</v>
      </c>
      <c r="I58" s="65">
        <f t="array" ref="I58">INDEX('Nov 23-29'!G:G,MATCH($B58,'Nov 23-29'!$B:$B,0))</f>
        <v>0</v>
      </c>
      <c r="J58" s="65">
        <f t="array" ref="J58">INDEX('Nov 23-29'!H:H,MATCH($B58,'Nov 23-29'!$B:$B,0))</f>
        <v>0</v>
      </c>
      <c r="K58" s="65">
        <f t="array" ref="K58">INDEX('Nov 23-29'!I:I,MATCH($B58,'Nov 23-29'!$B:$B,0))</f>
        <v>0</v>
      </c>
      <c r="L58" s="65">
        <f t="array" ref="L58">INDEX('Nov 23-29'!J:J,MATCH($B58,'Nov 23-29'!$B:$B,0))</f>
        <v>0</v>
      </c>
      <c r="M58" s="17">
        <f t="shared" si="2"/>
        <v>0</v>
      </c>
      <c r="N58" s="17">
        <f t="shared" si="3"/>
        <v>0</v>
      </c>
      <c r="O58" s="17" t="str">
        <f t="shared" si="4"/>
        <v/>
      </c>
      <c r="P58" s="17">
        <f t="shared" si="5"/>
        <v>0</v>
      </c>
      <c r="Q58" s="17" t="str">
        <f t="shared" ref="Q58:R58" si="63">IFERROR(J58/I58,"")</f>
        <v/>
      </c>
      <c r="R58" s="17" t="str">
        <f t="shared" si="63"/>
        <v/>
      </c>
      <c r="S58" s="17">
        <f t="shared" si="7"/>
        <v>0</v>
      </c>
      <c r="T58" s="17" t="str">
        <f t="shared" si="8"/>
        <v/>
      </c>
    </row>
    <row r="59" spans="2:20" ht="12.75">
      <c r="B59" s="1" t="str">
        <f>'Nov 9-15'!B56</f>
        <v>23 Granite Street Unit 3</v>
      </c>
      <c r="C59" s="29" t="str">
        <f t="array" ref="C59">INDEX('Nov 23-29'!C:C,MATCH($B59,'Nov 23-29'!$B:$B,0))</f>
        <v>N</v>
      </c>
      <c r="D59" s="29">
        <f t="array" ref="D59">INDEX('Nov 23-29'!D:D,MATCH($B59,'Nov 23-29'!$B:$B,0))</f>
        <v>0</v>
      </c>
      <c r="E59" s="65">
        <f t="shared" si="0"/>
        <v>92</v>
      </c>
      <c r="F59" s="66">
        <f t="shared" si="1"/>
        <v>0</v>
      </c>
      <c r="G59" s="65">
        <f t="array" ref="G59">INDEX('Nov 23-29'!E:E,MATCH($B59,'Nov 23-29'!$B:$B,0))</f>
        <v>0</v>
      </c>
      <c r="H59" s="65">
        <f t="array" ref="H59">INDEX('Nov 23-29'!F:F,MATCH($B59,'Nov 23-29'!$B:$B,0))</f>
        <v>0</v>
      </c>
      <c r="I59" s="65">
        <f t="array" ref="I59">INDEX('Nov 23-29'!G:G,MATCH($B59,'Nov 23-29'!$B:$B,0))</f>
        <v>0</v>
      </c>
      <c r="J59" s="65">
        <f t="array" ref="J59">INDEX('Nov 23-29'!H:H,MATCH($B59,'Nov 23-29'!$B:$B,0))</f>
        <v>0</v>
      </c>
      <c r="K59" s="65">
        <f t="array" ref="K59">INDEX('Nov 23-29'!I:I,MATCH($B59,'Nov 23-29'!$B:$B,0))</f>
        <v>0</v>
      </c>
      <c r="L59" s="65">
        <f t="array" ref="L59">INDEX('Nov 23-29'!J:J,MATCH($B59,'Nov 23-29'!$B:$B,0))</f>
        <v>0</v>
      </c>
      <c r="M59" s="17" t="str">
        <f t="shared" si="2"/>
        <v/>
      </c>
      <c r="N59" s="17" t="str">
        <f t="shared" si="3"/>
        <v/>
      </c>
      <c r="O59" s="17" t="str">
        <f t="shared" si="4"/>
        <v/>
      </c>
      <c r="P59" s="17" t="str">
        <f t="shared" si="5"/>
        <v/>
      </c>
      <c r="Q59" s="17" t="str">
        <f t="shared" ref="Q59:R59" si="64">IFERROR(J59/I59,"")</f>
        <v/>
      </c>
      <c r="R59" s="17" t="str">
        <f t="shared" si="64"/>
        <v/>
      </c>
      <c r="S59" s="17" t="str">
        <f t="shared" si="7"/>
        <v/>
      </c>
      <c r="T59" s="17" t="str">
        <f t="shared" si="8"/>
        <v/>
      </c>
    </row>
    <row r="60" spans="2:20" ht="12.75">
      <c r="B60" s="1" t="str">
        <f>'Nov 9-15'!B30</f>
        <v>1578 Beacon Street Unit 5</v>
      </c>
      <c r="C60" s="29" t="str">
        <f t="array" ref="C60">INDEX('Nov 23-29'!C:C,MATCH($B60,'Nov 23-29'!$B:$B,0))</f>
        <v>Y</v>
      </c>
      <c r="D60" s="29">
        <f t="array" ref="D60">INDEX('Nov 23-29'!D:D,MATCH($B60,'Nov 23-29'!$B:$B,0))</f>
        <v>3</v>
      </c>
      <c r="E60" s="65">
        <f t="shared" si="0"/>
        <v>78</v>
      </c>
      <c r="F60" s="66">
        <f t="shared" si="1"/>
        <v>1.4873574615765989E-3</v>
      </c>
      <c r="G60" s="65">
        <f t="array" ref="G60">INDEX('Nov 23-29'!E:E,MATCH($B60,'Nov 23-29'!$B:$B,0))</f>
        <v>0</v>
      </c>
      <c r="H60" s="65">
        <f t="array" ref="H60">INDEX('Nov 23-29'!F:F,MATCH($B60,'Nov 23-29'!$B:$B,0))</f>
        <v>3</v>
      </c>
      <c r="I60" s="65">
        <f t="array" ref="I60">INDEX('Nov 23-29'!G:G,MATCH($B60,'Nov 23-29'!$B:$B,0))</f>
        <v>0</v>
      </c>
      <c r="J60" s="65">
        <f t="array" ref="J60">INDEX('Nov 23-29'!H:H,MATCH($B60,'Nov 23-29'!$B:$B,0))</f>
        <v>0</v>
      </c>
      <c r="K60" s="65">
        <f t="array" ref="K60">INDEX('Nov 23-29'!I:I,MATCH($B60,'Nov 23-29'!$B:$B,0))</f>
        <v>0</v>
      </c>
      <c r="L60" s="65">
        <f t="array" ref="L60">INDEX('Nov 23-29'!J:J,MATCH($B60,'Nov 23-29'!$B:$B,0))</f>
        <v>0</v>
      </c>
      <c r="M60" s="17">
        <f t="shared" si="2"/>
        <v>0</v>
      </c>
      <c r="N60" s="17">
        <f t="shared" si="3"/>
        <v>0</v>
      </c>
      <c r="O60" s="17" t="str">
        <f t="shared" si="4"/>
        <v/>
      </c>
      <c r="P60" s="17">
        <f t="shared" si="5"/>
        <v>0</v>
      </c>
      <c r="Q60" s="17" t="str">
        <f t="shared" ref="Q60:R60" si="65">IFERROR(J60/I60,"")</f>
        <v/>
      </c>
      <c r="R60" s="17" t="str">
        <f t="shared" si="65"/>
        <v/>
      </c>
      <c r="S60" s="17">
        <f t="shared" si="7"/>
        <v>0</v>
      </c>
      <c r="T60" s="17" t="str">
        <f t="shared" si="8"/>
        <v/>
      </c>
    </row>
    <row r="61" spans="2:20" ht="12.75">
      <c r="B61" s="1" t="str">
        <f>'Nov 9-15'!B70</f>
        <v>322.5 Western Avenue Unit 2</v>
      </c>
      <c r="C61" s="29" t="str">
        <f t="array" ref="C61">INDEX('Nov 23-29'!C:C,MATCH($B61,'Nov 23-29'!$B:$B,0))</f>
        <v>Y</v>
      </c>
      <c r="D61" s="29">
        <f t="array" ref="D61">INDEX('Nov 23-29'!D:D,MATCH($B61,'Nov 23-29'!$B:$B,0))</f>
        <v>113</v>
      </c>
      <c r="E61" s="65">
        <f t="shared" si="0"/>
        <v>1</v>
      </c>
      <c r="F61" s="66">
        <f t="shared" si="1"/>
        <v>5.6023797719385225E-2</v>
      </c>
      <c r="G61" s="65">
        <f t="array" ref="G61">INDEX('Nov 23-29'!E:E,MATCH($B61,'Nov 23-29'!$B:$B,0))</f>
        <v>30</v>
      </c>
      <c r="H61" s="65">
        <f t="array" ref="H61">INDEX('Nov 23-29'!F:F,MATCH($B61,'Nov 23-29'!$B:$B,0))</f>
        <v>2</v>
      </c>
      <c r="I61" s="65">
        <f t="array" ref="I61">INDEX('Nov 23-29'!G:G,MATCH($B61,'Nov 23-29'!$B:$B,0))</f>
        <v>2</v>
      </c>
      <c r="J61" s="65">
        <f t="array" ref="J61">INDEX('Nov 23-29'!H:H,MATCH($B61,'Nov 23-29'!$B:$B,0))</f>
        <v>1</v>
      </c>
      <c r="K61" s="65">
        <f t="array" ref="K61">INDEX('Nov 23-29'!I:I,MATCH($B61,'Nov 23-29'!$B:$B,0))</f>
        <v>1</v>
      </c>
      <c r="L61" s="65">
        <f t="array" ref="L61">INDEX('Nov 23-29'!J:J,MATCH($B61,'Nov 23-29'!$B:$B,0))</f>
        <v>3</v>
      </c>
      <c r="M61" s="17">
        <f t="shared" si="2"/>
        <v>0.26548672566371684</v>
      </c>
      <c r="N61" s="17">
        <f t="shared" si="3"/>
        <v>1.7699115044247787E-2</v>
      </c>
      <c r="O61" s="17">
        <f t="shared" si="4"/>
        <v>6.6666666666666666E-2</v>
      </c>
      <c r="P61" s="17">
        <f t="shared" si="5"/>
        <v>8.8495575221238937E-3</v>
      </c>
      <c r="Q61" s="17">
        <f t="shared" ref="Q61:R61" si="66">IFERROR(J61/I61,"")</f>
        <v>0.5</v>
      </c>
      <c r="R61" s="17">
        <f t="shared" si="66"/>
        <v>1</v>
      </c>
      <c r="S61" s="17">
        <f t="shared" si="7"/>
        <v>2.6548672566371681E-2</v>
      </c>
      <c r="T61" s="17">
        <f t="shared" si="8"/>
        <v>3</v>
      </c>
    </row>
    <row r="62" spans="2:20" ht="12.75">
      <c r="B62" s="1" t="str">
        <f>'Nov 9-15'!B36</f>
        <v>158 Magazine Street Unit 7</v>
      </c>
      <c r="C62" s="29" t="str">
        <f t="array" ref="C62">INDEX('Nov 23-29'!C:C,MATCH($B62,'Nov 23-29'!$B:$B,0))</f>
        <v>Y</v>
      </c>
      <c r="D62" s="29">
        <f t="array" ref="D62">INDEX('Nov 23-29'!D:D,MATCH($B62,'Nov 23-29'!$B:$B,0))</f>
        <v>53</v>
      </c>
      <c r="E62" s="65">
        <f t="shared" si="0"/>
        <v>8</v>
      </c>
      <c r="F62" s="66">
        <f t="shared" si="1"/>
        <v>2.6276648487853247E-2</v>
      </c>
      <c r="G62" s="65">
        <f t="array" ref="G62">INDEX('Nov 23-29'!E:E,MATCH($B62,'Nov 23-29'!$B:$B,0))</f>
        <v>17</v>
      </c>
      <c r="H62" s="65">
        <f t="array" ref="H62">INDEX('Nov 23-29'!F:F,MATCH($B62,'Nov 23-29'!$B:$B,0))</f>
        <v>0</v>
      </c>
      <c r="I62" s="65">
        <f t="array" ref="I62">INDEX('Nov 23-29'!G:G,MATCH($B62,'Nov 23-29'!$B:$B,0))</f>
        <v>1</v>
      </c>
      <c r="J62" s="65">
        <f t="array" ref="J62">INDEX('Nov 23-29'!H:H,MATCH($B62,'Nov 23-29'!$B:$B,0))</f>
        <v>0</v>
      </c>
      <c r="K62" s="65">
        <f t="array" ref="K62">INDEX('Nov 23-29'!I:I,MATCH($B62,'Nov 23-29'!$B:$B,0))</f>
        <v>0</v>
      </c>
      <c r="L62" s="65">
        <f t="array" ref="L62">INDEX('Nov 23-29'!J:J,MATCH($B62,'Nov 23-29'!$B:$B,0))</f>
        <v>0</v>
      </c>
      <c r="M62" s="17">
        <f t="shared" si="2"/>
        <v>0.32075471698113206</v>
      </c>
      <c r="N62" s="17">
        <f t="shared" si="3"/>
        <v>1.8867924528301886E-2</v>
      </c>
      <c r="O62" s="17">
        <f t="shared" si="4"/>
        <v>5.8823529411764705E-2</v>
      </c>
      <c r="P62" s="17">
        <f t="shared" si="5"/>
        <v>0</v>
      </c>
      <c r="Q62" s="17">
        <f t="shared" ref="Q62:R62" si="67">IFERROR(J62/I62,"")</f>
        <v>0</v>
      </c>
      <c r="R62" s="17" t="str">
        <f t="shared" si="67"/>
        <v/>
      </c>
      <c r="S62" s="17">
        <f t="shared" si="7"/>
        <v>0</v>
      </c>
      <c r="T62" s="17" t="str">
        <f t="shared" si="8"/>
        <v/>
      </c>
    </row>
    <row r="63" spans="2:20" ht="12.75">
      <c r="B63" s="1" t="str">
        <f>'Nov 9-15'!B71</f>
        <v>33 Merriam Street Unit 2</v>
      </c>
      <c r="C63" s="29" t="str">
        <f t="array" ref="C63">INDEX('Nov 23-29'!C:C,MATCH($B63,'Nov 23-29'!$B:$B,0))</f>
        <v>Y</v>
      </c>
      <c r="D63" s="29">
        <f t="array" ref="D63">INDEX('Nov 23-29'!D:D,MATCH($B63,'Nov 23-29'!$B:$B,0))</f>
        <v>44</v>
      </c>
      <c r="E63" s="65">
        <f t="shared" si="0"/>
        <v>10</v>
      </c>
      <c r="F63" s="66">
        <f t="shared" si="1"/>
        <v>2.1814576103123449E-2</v>
      </c>
      <c r="G63" s="65">
        <f t="array" ref="G63">INDEX('Nov 23-29'!E:E,MATCH($B63,'Nov 23-29'!$B:$B,0))</f>
        <v>19</v>
      </c>
      <c r="H63" s="65">
        <f t="array" ref="H63">INDEX('Nov 23-29'!F:F,MATCH($B63,'Nov 23-29'!$B:$B,0))</f>
        <v>2</v>
      </c>
      <c r="I63" s="65">
        <f t="array" ref="I63">INDEX('Nov 23-29'!G:G,MATCH($B63,'Nov 23-29'!$B:$B,0))</f>
        <v>2</v>
      </c>
      <c r="J63" s="65">
        <f t="array" ref="J63">INDEX('Nov 23-29'!H:H,MATCH($B63,'Nov 23-29'!$B:$B,0))</f>
        <v>1</v>
      </c>
      <c r="K63" s="65">
        <f t="array" ref="K63">INDEX('Nov 23-29'!I:I,MATCH($B63,'Nov 23-29'!$B:$B,0))</f>
        <v>1</v>
      </c>
      <c r="L63" s="65">
        <f t="array" ref="L63">INDEX('Nov 23-29'!J:J,MATCH($B63,'Nov 23-29'!$B:$B,0))</f>
        <v>0</v>
      </c>
      <c r="M63" s="17">
        <f t="shared" si="2"/>
        <v>0.43181818181818182</v>
      </c>
      <c r="N63" s="17">
        <f t="shared" si="3"/>
        <v>4.5454545454545456E-2</v>
      </c>
      <c r="O63" s="17">
        <f t="shared" si="4"/>
        <v>0.10526315789473684</v>
      </c>
      <c r="P63" s="17">
        <f t="shared" si="5"/>
        <v>2.2727272727272728E-2</v>
      </c>
      <c r="Q63" s="17">
        <f t="shared" ref="Q63:R63" si="68">IFERROR(J63/I63,"")</f>
        <v>0.5</v>
      </c>
      <c r="R63" s="17">
        <f t="shared" si="68"/>
        <v>1</v>
      </c>
      <c r="S63" s="17">
        <f t="shared" si="7"/>
        <v>0</v>
      </c>
      <c r="T63" s="17">
        <f t="shared" si="8"/>
        <v>0</v>
      </c>
    </row>
    <row r="64" spans="2:20" ht="12.75">
      <c r="B64" s="1" t="str">
        <f>'Nov 9-15'!B72</f>
        <v>34 Cherokee Street Unit 3</v>
      </c>
      <c r="C64" s="29" t="str">
        <f t="array" ref="C64">INDEX('Nov 23-29'!C:C,MATCH($B64,'Nov 23-29'!$B:$B,0))</f>
        <v>Y</v>
      </c>
      <c r="D64" s="29">
        <f t="array" ref="D64">INDEX('Nov 23-29'!D:D,MATCH($B64,'Nov 23-29'!$B:$B,0))</f>
        <v>31</v>
      </c>
      <c r="E64" s="65">
        <f t="shared" si="0"/>
        <v>17</v>
      </c>
      <c r="F64" s="66">
        <f t="shared" si="1"/>
        <v>1.5369360436291522E-2</v>
      </c>
      <c r="G64" s="65">
        <f t="array" ref="G64">INDEX('Nov 23-29'!E:E,MATCH($B64,'Nov 23-29'!$B:$B,0))</f>
        <v>11</v>
      </c>
      <c r="H64" s="65">
        <f t="array" ref="H64">INDEX('Nov 23-29'!F:F,MATCH($B64,'Nov 23-29'!$B:$B,0))</f>
        <v>3</v>
      </c>
      <c r="I64" s="65">
        <f t="array" ref="I64">INDEX('Nov 23-29'!G:G,MATCH($B64,'Nov 23-29'!$B:$B,0))</f>
        <v>2</v>
      </c>
      <c r="J64" s="65">
        <f t="array" ref="J64">INDEX('Nov 23-29'!H:H,MATCH($B64,'Nov 23-29'!$B:$B,0))</f>
        <v>0</v>
      </c>
      <c r="K64" s="65">
        <f t="array" ref="K64">INDEX('Nov 23-29'!I:I,MATCH($B64,'Nov 23-29'!$B:$B,0))</f>
        <v>0</v>
      </c>
      <c r="L64" s="65">
        <f t="array" ref="L64">INDEX('Nov 23-29'!J:J,MATCH($B64,'Nov 23-29'!$B:$B,0))</f>
        <v>0</v>
      </c>
      <c r="M64" s="17">
        <f t="shared" si="2"/>
        <v>0.35483870967741937</v>
      </c>
      <c r="N64" s="17">
        <f t="shared" si="3"/>
        <v>6.4516129032258063E-2</v>
      </c>
      <c r="O64" s="17">
        <f t="shared" si="4"/>
        <v>0.18181818181818182</v>
      </c>
      <c r="P64" s="17">
        <f t="shared" si="5"/>
        <v>0</v>
      </c>
      <c r="Q64" s="17">
        <f t="shared" ref="Q64:R64" si="69">IFERROR(J64/I64,"")</f>
        <v>0</v>
      </c>
      <c r="R64" s="17" t="str">
        <f t="shared" si="69"/>
        <v/>
      </c>
      <c r="S64" s="17">
        <f t="shared" si="7"/>
        <v>0</v>
      </c>
      <c r="T64" s="17" t="str">
        <f t="shared" si="8"/>
        <v/>
      </c>
    </row>
    <row r="65" spans="2:20" ht="12.75">
      <c r="B65" s="1" t="str">
        <f>'Nov 9-15'!B8</f>
        <v>106 Hyde Park Avenue Unit 3</v>
      </c>
      <c r="C65" s="29" t="str">
        <f t="array" ref="C65">INDEX('Nov 23-29'!C:C,MATCH($B65,'Nov 23-29'!$B:$B,0))</f>
        <v>Y</v>
      </c>
      <c r="D65" s="29">
        <f t="array" ref="D65">INDEX('Nov 23-29'!D:D,MATCH($B65,'Nov 23-29'!$B:$B,0))</f>
        <v>20</v>
      </c>
      <c r="E65" s="65">
        <f t="shared" si="0"/>
        <v>42</v>
      </c>
      <c r="F65" s="66">
        <f t="shared" si="1"/>
        <v>9.91571641051066E-3</v>
      </c>
      <c r="G65" s="65">
        <f t="array" ref="G65">INDEX('Nov 23-29'!E:E,MATCH($B65,'Nov 23-29'!$B:$B,0))</f>
        <v>5</v>
      </c>
      <c r="H65" s="65">
        <f t="array" ref="H65">INDEX('Nov 23-29'!F:F,MATCH($B65,'Nov 23-29'!$B:$B,0))</f>
        <v>1</v>
      </c>
      <c r="I65" s="65">
        <f t="array" ref="I65">INDEX('Nov 23-29'!G:G,MATCH($B65,'Nov 23-29'!$B:$B,0))</f>
        <v>0</v>
      </c>
      <c r="J65" s="65">
        <f t="array" ref="J65">INDEX('Nov 23-29'!H:H,MATCH($B65,'Nov 23-29'!$B:$B,0))</f>
        <v>0</v>
      </c>
      <c r="K65" s="65">
        <f t="array" ref="K65">INDEX('Nov 23-29'!I:I,MATCH($B65,'Nov 23-29'!$B:$B,0))</f>
        <v>0</v>
      </c>
      <c r="L65" s="65">
        <f t="array" ref="L65">INDEX('Nov 23-29'!J:J,MATCH($B65,'Nov 23-29'!$B:$B,0))</f>
        <v>0</v>
      </c>
      <c r="M65" s="17">
        <f t="shared" si="2"/>
        <v>0.25</v>
      </c>
      <c r="N65" s="17">
        <f t="shared" si="3"/>
        <v>0</v>
      </c>
      <c r="O65" s="17">
        <f t="shared" si="4"/>
        <v>0</v>
      </c>
      <c r="P65" s="17">
        <f t="shared" si="5"/>
        <v>0</v>
      </c>
      <c r="Q65" s="17" t="str">
        <f t="shared" ref="Q65:R65" si="70">IFERROR(J65/I65,"")</f>
        <v/>
      </c>
      <c r="R65" s="17" t="str">
        <f t="shared" si="70"/>
        <v/>
      </c>
      <c r="S65" s="17">
        <f t="shared" si="7"/>
        <v>0</v>
      </c>
      <c r="T65" s="17" t="str">
        <f t="shared" si="8"/>
        <v/>
      </c>
    </row>
    <row r="66" spans="2:20" ht="12.75">
      <c r="B66" s="1" t="str">
        <f>'Nov 9-15'!B73</f>
        <v>34 Circuit Street Unit 3</v>
      </c>
      <c r="C66" s="29" t="str">
        <f t="array" ref="C66">INDEX('Nov 23-29'!C:C,MATCH($B66,'Nov 23-29'!$B:$B,0))</f>
        <v>Y</v>
      </c>
      <c r="D66" s="29">
        <f t="array" ref="D66">INDEX('Nov 23-29'!D:D,MATCH($B66,'Nov 23-29'!$B:$B,0))</f>
        <v>19</v>
      </c>
      <c r="E66" s="65">
        <f t="shared" si="0"/>
        <v>44</v>
      </c>
      <c r="F66" s="66">
        <f t="shared" si="1"/>
        <v>9.4199305899851267E-3</v>
      </c>
      <c r="G66" s="65">
        <f t="array" ref="G66">INDEX('Nov 23-29'!E:E,MATCH($B66,'Nov 23-29'!$B:$B,0))</f>
        <v>1</v>
      </c>
      <c r="H66" s="65">
        <f t="array" ref="H66">INDEX('Nov 23-29'!F:F,MATCH($B66,'Nov 23-29'!$B:$B,0))</f>
        <v>0</v>
      </c>
      <c r="I66" s="65">
        <f t="array" ref="I66">INDEX('Nov 23-29'!G:G,MATCH($B66,'Nov 23-29'!$B:$B,0))</f>
        <v>1</v>
      </c>
      <c r="J66" s="65">
        <f t="array" ref="J66">INDEX('Nov 23-29'!H:H,MATCH($B66,'Nov 23-29'!$B:$B,0))</f>
        <v>0</v>
      </c>
      <c r="K66" s="65">
        <f t="array" ref="K66">INDEX('Nov 23-29'!I:I,MATCH($B66,'Nov 23-29'!$B:$B,0))</f>
        <v>0</v>
      </c>
      <c r="L66" s="65">
        <f t="array" ref="L66">INDEX('Nov 23-29'!J:J,MATCH($B66,'Nov 23-29'!$B:$B,0))</f>
        <v>0</v>
      </c>
      <c r="M66" s="17">
        <f t="shared" si="2"/>
        <v>5.2631578947368418E-2</v>
      </c>
      <c r="N66" s="17">
        <f t="shared" si="3"/>
        <v>5.2631578947368418E-2</v>
      </c>
      <c r="O66" s="17">
        <f t="shared" si="4"/>
        <v>1</v>
      </c>
      <c r="P66" s="17">
        <f t="shared" si="5"/>
        <v>0</v>
      </c>
      <c r="Q66" s="17">
        <f t="shared" ref="Q66:R66" si="71">IFERROR(J66/I66,"")</f>
        <v>0</v>
      </c>
      <c r="R66" s="17" t="str">
        <f t="shared" si="71"/>
        <v/>
      </c>
      <c r="S66" s="17">
        <f t="shared" si="7"/>
        <v>0</v>
      </c>
      <c r="T66" s="17" t="str">
        <f t="shared" si="8"/>
        <v/>
      </c>
    </row>
    <row r="67" spans="2:20" ht="12.75">
      <c r="B67" s="1" t="str">
        <f>'Nov 9-15'!B89</f>
        <v>49 Paulina Street Unit 2</v>
      </c>
      <c r="C67" s="29" t="str">
        <f t="array" ref="C67">INDEX('Nov 23-29'!C:C,MATCH($B67,'Nov 23-29'!$B:$B,0))</f>
        <v>N</v>
      </c>
      <c r="D67" s="29">
        <f t="array" ref="D67">INDEX('Nov 23-29'!D:D,MATCH($B67,'Nov 23-29'!$B:$B,0))</f>
        <v>0</v>
      </c>
      <c r="E67" s="65">
        <f t="shared" si="0"/>
        <v>92</v>
      </c>
      <c r="F67" s="66">
        <f t="shared" si="1"/>
        <v>0</v>
      </c>
      <c r="G67" s="65">
        <f t="array" ref="G67">INDEX('Nov 23-29'!E:E,MATCH($B67,'Nov 23-29'!$B:$B,0))</f>
        <v>0</v>
      </c>
      <c r="H67" s="65">
        <f t="array" ref="H67">INDEX('Nov 23-29'!F:F,MATCH($B67,'Nov 23-29'!$B:$B,0))</f>
        <v>0</v>
      </c>
      <c r="I67" s="65">
        <f t="array" ref="I67">INDEX('Nov 23-29'!G:G,MATCH($B67,'Nov 23-29'!$B:$B,0))</f>
        <v>0</v>
      </c>
      <c r="J67" s="65">
        <f t="array" ref="J67">INDEX('Nov 23-29'!H:H,MATCH($B67,'Nov 23-29'!$B:$B,0))</f>
        <v>0</v>
      </c>
      <c r="K67" s="65">
        <f t="array" ref="K67">INDEX('Nov 23-29'!I:I,MATCH($B67,'Nov 23-29'!$B:$B,0))</f>
        <v>0</v>
      </c>
      <c r="L67" s="65">
        <f t="array" ref="L67">INDEX('Nov 23-29'!J:J,MATCH($B67,'Nov 23-29'!$B:$B,0))</f>
        <v>0</v>
      </c>
      <c r="M67" s="17" t="str">
        <f t="shared" si="2"/>
        <v/>
      </c>
      <c r="N67" s="17" t="str">
        <f t="shared" si="3"/>
        <v/>
      </c>
      <c r="O67" s="17" t="str">
        <f t="shared" si="4"/>
        <v/>
      </c>
      <c r="P67" s="17" t="str">
        <f t="shared" si="5"/>
        <v/>
      </c>
      <c r="Q67" s="17" t="str">
        <f t="shared" ref="Q67:R67" si="72">IFERROR(J67/I67,"")</f>
        <v/>
      </c>
      <c r="R67" s="17" t="str">
        <f t="shared" si="72"/>
        <v/>
      </c>
      <c r="S67" s="17" t="str">
        <f t="shared" si="7"/>
        <v/>
      </c>
      <c r="T67" s="17" t="str">
        <f t="shared" si="8"/>
        <v/>
      </c>
    </row>
    <row r="68" spans="2:20" ht="12.75">
      <c r="B68" s="1" t="str">
        <f>'Nov 9-15'!B98</f>
        <v>76 King Street Unit 2</v>
      </c>
      <c r="C68" s="29" t="str">
        <f t="array" ref="C68">INDEX('Nov 23-29'!C:C,MATCH($B68,'Nov 23-29'!$B:$B,0))</f>
        <v>Y</v>
      </c>
      <c r="D68" s="29">
        <f t="array" ref="D68">INDEX('Nov 23-29'!D:D,MATCH($B68,'Nov 23-29'!$B:$B,0))</f>
        <v>28</v>
      </c>
      <c r="E68" s="65">
        <f t="shared" si="0"/>
        <v>23</v>
      </c>
      <c r="F68" s="66">
        <f t="shared" si="1"/>
        <v>1.3882002974714923E-2</v>
      </c>
      <c r="G68" s="65">
        <f t="array" ref="G68">INDEX('Nov 23-29'!E:E,MATCH($B68,'Nov 23-29'!$B:$B,0))</f>
        <v>5</v>
      </c>
      <c r="H68" s="65">
        <f t="array" ref="H68">INDEX('Nov 23-29'!F:F,MATCH($B68,'Nov 23-29'!$B:$B,0))</f>
        <v>1</v>
      </c>
      <c r="I68" s="65">
        <f t="array" ref="I68">INDEX('Nov 23-29'!G:G,MATCH($B68,'Nov 23-29'!$B:$B,0))</f>
        <v>0</v>
      </c>
      <c r="J68" s="65">
        <f t="array" ref="J68">INDEX('Nov 23-29'!H:H,MATCH($B68,'Nov 23-29'!$B:$B,0))</f>
        <v>1</v>
      </c>
      <c r="K68" s="65">
        <f t="array" ref="K68">INDEX('Nov 23-29'!I:I,MATCH($B68,'Nov 23-29'!$B:$B,0))</f>
        <v>0</v>
      </c>
      <c r="L68" s="65">
        <f t="array" ref="L68">INDEX('Nov 23-29'!J:J,MATCH($B68,'Nov 23-29'!$B:$B,0))</f>
        <v>0</v>
      </c>
      <c r="M68" s="17">
        <f t="shared" si="2"/>
        <v>0.17857142857142858</v>
      </c>
      <c r="N68" s="17">
        <f t="shared" si="3"/>
        <v>0</v>
      </c>
      <c r="O68" s="17">
        <f t="shared" si="4"/>
        <v>0</v>
      </c>
      <c r="P68" s="17">
        <f t="shared" si="5"/>
        <v>3.5714285714285712E-2</v>
      </c>
      <c r="Q68" s="17" t="str">
        <f t="shared" ref="Q68:R68" si="73">IFERROR(J68/I68,"")</f>
        <v/>
      </c>
      <c r="R68" s="17">
        <f t="shared" si="73"/>
        <v>0</v>
      </c>
      <c r="S68" s="17">
        <f t="shared" si="7"/>
        <v>0</v>
      </c>
      <c r="T68" s="17" t="str">
        <f t="shared" si="8"/>
        <v/>
      </c>
    </row>
    <row r="69" spans="2:20" ht="12.75">
      <c r="B69" s="1" t="str">
        <f>'Nov 9-15'!B14</f>
        <v>110 Hamilton Street Unit 3</v>
      </c>
      <c r="C69" s="29" t="str">
        <f t="array" ref="C69">INDEX('Nov 23-29'!C:C,MATCH($B69,'Nov 23-29'!$B:$B,0))</f>
        <v>N</v>
      </c>
      <c r="D69" s="29">
        <f t="array" ref="D69">INDEX('Nov 23-29'!D:D,MATCH($B69,'Nov 23-29'!$B:$B,0))</f>
        <v>0</v>
      </c>
      <c r="E69" s="65">
        <f t="shared" si="0"/>
        <v>92</v>
      </c>
      <c r="F69" s="66">
        <f t="shared" si="1"/>
        <v>0</v>
      </c>
      <c r="G69" s="65">
        <f t="array" ref="G69">INDEX('Nov 23-29'!E:E,MATCH($B69,'Nov 23-29'!$B:$B,0))</f>
        <v>0</v>
      </c>
      <c r="H69" s="65">
        <f t="array" ref="H69">INDEX('Nov 23-29'!F:F,MATCH($B69,'Nov 23-29'!$B:$B,0))</f>
        <v>0</v>
      </c>
      <c r="I69" s="65">
        <f t="array" ref="I69">INDEX('Nov 23-29'!G:G,MATCH($B69,'Nov 23-29'!$B:$B,0))</f>
        <v>0</v>
      </c>
      <c r="J69" s="65">
        <f t="array" ref="J69">INDEX('Nov 23-29'!H:H,MATCH($B69,'Nov 23-29'!$B:$B,0))</f>
        <v>0</v>
      </c>
      <c r="K69" s="65">
        <f t="array" ref="K69">INDEX('Nov 23-29'!I:I,MATCH($B69,'Nov 23-29'!$B:$B,0))</f>
        <v>0</v>
      </c>
      <c r="L69" s="65">
        <f t="array" ref="L69">INDEX('Nov 23-29'!J:J,MATCH($B69,'Nov 23-29'!$B:$B,0))</f>
        <v>0</v>
      </c>
      <c r="M69" s="17" t="str">
        <f t="shared" si="2"/>
        <v/>
      </c>
      <c r="N69" s="17" t="str">
        <f t="shared" si="3"/>
        <v/>
      </c>
      <c r="O69" s="17" t="str">
        <f t="shared" si="4"/>
        <v/>
      </c>
      <c r="P69" s="17" t="str">
        <f t="shared" si="5"/>
        <v/>
      </c>
      <c r="Q69" s="17" t="str">
        <f t="shared" ref="Q69:R69" si="74">IFERROR(J69/I69,"")</f>
        <v/>
      </c>
      <c r="R69" s="17" t="str">
        <f t="shared" si="74"/>
        <v/>
      </c>
      <c r="S69" s="17" t="str">
        <f t="shared" si="7"/>
        <v/>
      </c>
      <c r="T69" s="17" t="str">
        <f t="shared" si="8"/>
        <v/>
      </c>
    </row>
    <row r="70" spans="2:20" ht="12.75">
      <c r="B70" s="1" t="str">
        <f>'Nov 9-15'!B4</f>
        <v>1008 Tremont Street Unit 3</v>
      </c>
      <c r="C70" s="29" t="str">
        <f t="array" ref="C70">INDEX('Nov 23-29'!C:C,MATCH($B70,'Nov 23-29'!$B:$B,0))</f>
        <v>Y</v>
      </c>
      <c r="D70" s="29">
        <f t="array" ref="D70">INDEX('Nov 23-29'!D:D,MATCH($B70,'Nov 23-29'!$B:$B,0))</f>
        <v>29</v>
      </c>
      <c r="E70" s="65">
        <f t="shared" si="0"/>
        <v>22</v>
      </c>
      <c r="F70" s="66">
        <f t="shared" si="1"/>
        <v>1.4377788795240456E-2</v>
      </c>
      <c r="G70" s="65">
        <f t="array" ref="G70">INDEX('Nov 23-29'!E:E,MATCH($B70,'Nov 23-29'!$B:$B,0))</f>
        <v>8</v>
      </c>
      <c r="H70" s="65">
        <f t="array" ref="H70">INDEX('Nov 23-29'!F:F,MATCH($B70,'Nov 23-29'!$B:$B,0))</f>
        <v>2</v>
      </c>
      <c r="I70" s="65">
        <f t="array" ref="I70">INDEX('Nov 23-29'!G:G,MATCH($B70,'Nov 23-29'!$B:$B,0))</f>
        <v>0</v>
      </c>
      <c r="J70" s="65">
        <f t="array" ref="J70">INDEX('Nov 23-29'!H:H,MATCH($B70,'Nov 23-29'!$B:$B,0))</f>
        <v>0</v>
      </c>
      <c r="K70" s="65">
        <f t="array" ref="K70">INDEX('Nov 23-29'!I:I,MATCH($B70,'Nov 23-29'!$B:$B,0))</f>
        <v>0</v>
      </c>
      <c r="L70" s="65">
        <f t="array" ref="L70">INDEX('Nov 23-29'!J:J,MATCH($B70,'Nov 23-29'!$B:$B,0))</f>
        <v>0</v>
      </c>
      <c r="M70" s="17">
        <f t="shared" si="2"/>
        <v>0.27586206896551724</v>
      </c>
      <c r="N70" s="17">
        <f t="shared" si="3"/>
        <v>0</v>
      </c>
      <c r="O70" s="17">
        <f t="shared" si="4"/>
        <v>0</v>
      </c>
      <c r="P70" s="17">
        <f t="shared" si="5"/>
        <v>0</v>
      </c>
      <c r="Q70" s="17" t="str">
        <f t="shared" ref="Q70:R70" si="75">IFERROR(J70/I70,"")</f>
        <v/>
      </c>
      <c r="R70" s="17" t="str">
        <f t="shared" si="75"/>
        <v/>
      </c>
      <c r="S70" s="17">
        <f t="shared" si="7"/>
        <v>0</v>
      </c>
      <c r="T70" s="17" t="str">
        <f t="shared" si="8"/>
        <v/>
      </c>
    </row>
    <row r="71" spans="2:20" ht="12.75">
      <c r="B71" s="1" t="str">
        <f>'Nov 9-15'!B87</f>
        <v>45 Crescent Avenue Unit 3</v>
      </c>
      <c r="C71" s="29" t="str">
        <f t="array" ref="C71">INDEX('Nov 23-29'!C:C,MATCH($B71,'Nov 23-29'!$B:$B,0))</f>
        <v>Y</v>
      </c>
      <c r="D71" s="29">
        <f t="array" ref="D71">INDEX('Nov 23-29'!D:D,MATCH($B71,'Nov 23-29'!$B:$B,0))</f>
        <v>23</v>
      </c>
      <c r="E71" s="65">
        <f t="shared" si="0"/>
        <v>34</v>
      </c>
      <c r="F71" s="66">
        <f t="shared" si="1"/>
        <v>1.1403073872087258E-2</v>
      </c>
      <c r="G71" s="65">
        <f t="array" ref="G71">INDEX('Nov 23-29'!E:E,MATCH($B71,'Nov 23-29'!$B:$B,0))</f>
        <v>2</v>
      </c>
      <c r="H71" s="65">
        <f t="array" ref="H71">INDEX('Nov 23-29'!F:F,MATCH($B71,'Nov 23-29'!$B:$B,0))</f>
        <v>2</v>
      </c>
      <c r="I71" s="65">
        <f t="array" ref="I71">INDEX('Nov 23-29'!G:G,MATCH($B71,'Nov 23-29'!$B:$B,0))</f>
        <v>0</v>
      </c>
      <c r="J71" s="65">
        <f t="array" ref="J71">INDEX('Nov 23-29'!H:H,MATCH($B71,'Nov 23-29'!$B:$B,0))</f>
        <v>0</v>
      </c>
      <c r="K71" s="65">
        <f t="array" ref="K71">INDEX('Nov 23-29'!I:I,MATCH($B71,'Nov 23-29'!$B:$B,0))</f>
        <v>0</v>
      </c>
      <c r="L71" s="65">
        <f t="array" ref="L71">INDEX('Nov 23-29'!J:J,MATCH($B71,'Nov 23-29'!$B:$B,0))</f>
        <v>0</v>
      </c>
      <c r="M71" s="17">
        <f t="shared" si="2"/>
        <v>8.6956521739130432E-2</v>
      </c>
      <c r="N71" s="17">
        <f t="shared" si="3"/>
        <v>0</v>
      </c>
      <c r="O71" s="17">
        <f t="shared" si="4"/>
        <v>0</v>
      </c>
      <c r="P71" s="17">
        <f t="shared" si="5"/>
        <v>0</v>
      </c>
      <c r="Q71" s="17" t="str">
        <f t="shared" ref="Q71:R71" si="76">IFERROR(J71/I71,"")</f>
        <v/>
      </c>
      <c r="R71" s="17" t="str">
        <f t="shared" si="76"/>
        <v/>
      </c>
      <c r="S71" s="17">
        <f t="shared" si="7"/>
        <v>0</v>
      </c>
      <c r="T71" s="17" t="str">
        <f t="shared" si="8"/>
        <v/>
      </c>
    </row>
    <row r="72" spans="2:20" ht="12.75">
      <c r="B72" s="1" t="str">
        <f>'Nov 9-15'!B11</f>
        <v>108 Hyde Park Avenue Unit 3</v>
      </c>
      <c r="C72" s="29" t="str">
        <f t="array" ref="C72">INDEX('Nov 23-29'!C:C,MATCH($B72,'Nov 23-29'!$B:$B,0))</f>
        <v>Y</v>
      </c>
      <c r="D72" s="29">
        <f t="array" ref="D72">INDEX('Nov 23-29'!D:D,MATCH($B72,'Nov 23-29'!$B:$B,0))</f>
        <v>5</v>
      </c>
      <c r="E72" s="65">
        <f t="shared" si="0"/>
        <v>71</v>
      </c>
      <c r="F72" s="66">
        <f t="shared" si="1"/>
        <v>2.478929102627665E-3</v>
      </c>
      <c r="G72" s="65">
        <f t="array" ref="G72">INDEX('Nov 23-29'!E:E,MATCH($B72,'Nov 23-29'!$B:$B,0))</f>
        <v>0</v>
      </c>
      <c r="H72" s="65">
        <f t="array" ref="H72">INDEX('Nov 23-29'!F:F,MATCH($B72,'Nov 23-29'!$B:$B,0))</f>
        <v>2</v>
      </c>
      <c r="I72" s="65">
        <f t="array" ref="I72">INDEX('Nov 23-29'!G:G,MATCH($B72,'Nov 23-29'!$B:$B,0))</f>
        <v>0</v>
      </c>
      <c r="J72" s="65">
        <f t="array" ref="J72">INDEX('Nov 23-29'!H:H,MATCH($B72,'Nov 23-29'!$B:$B,0))</f>
        <v>0</v>
      </c>
      <c r="K72" s="65">
        <f t="array" ref="K72">INDEX('Nov 23-29'!I:I,MATCH($B72,'Nov 23-29'!$B:$B,0))</f>
        <v>0</v>
      </c>
      <c r="L72" s="65">
        <f t="array" ref="L72">INDEX('Nov 23-29'!J:J,MATCH($B72,'Nov 23-29'!$B:$B,0))</f>
        <v>0</v>
      </c>
      <c r="M72" s="17">
        <f t="shared" si="2"/>
        <v>0</v>
      </c>
      <c r="N72" s="17">
        <f t="shared" si="3"/>
        <v>0</v>
      </c>
      <c r="O72" s="17" t="str">
        <f t="shared" si="4"/>
        <v/>
      </c>
      <c r="P72" s="17">
        <f t="shared" si="5"/>
        <v>0</v>
      </c>
      <c r="Q72" s="17" t="str">
        <f t="shared" ref="Q72:R72" si="77">IFERROR(J72/I72,"")</f>
        <v/>
      </c>
      <c r="R72" s="17" t="str">
        <f t="shared" si="77"/>
        <v/>
      </c>
      <c r="S72" s="17">
        <f t="shared" si="7"/>
        <v>0</v>
      </c>
      <c r="T72" s="17" t="str">
        <f t="shared" si="8"/>
        <v/>
      </c>
    </row>
    <row r="73" spans="2:20" ht="12.75">
      <c r="B73" s="1" t="str">
        <f>'Nov 9-15'!B93</f>
        <v>5 Mark Street Unit 2</v>
      </c>
      <c r="C73" s="29" t="str">
        <f t="array" ref="C73">INDEX('Nov 23-29'!C:C,MATCH($B73,'Nov 23-29'!$B:$B,0))</f>
        <v>Y</v>
      </c>
      <c r="D73" s="29">
        <f t="array" ref="D73">INDEX('Nov 23-29'!D:D,MATCH($B73,'Nov 23-29'!$B:$B,0))</f>
        <v>77</v>
      </c>
      <c r="E73" s="65">
        <f t="shared" si="0"/>
        <v>3</v>
      </c>
      <c r="F73" s="66">
        <f t="shared" si="1"/>
        <v>3.8175508180466042E-2</v>
      </c>
      <c r="G73" s="65">
        <f t="array" ref="G73">INDEX('Nov 23-29'!E:E,MATCH($B73,'Nov 23-29'!$B:$B,0))</f>
        <v>18</v>
      </c>
      <c r="H73" s="65">
        <f t="array" ref="H73">INDEX('Nov 23-29'!F:F,MATCH($B73,'Nov 23-29'!$B:$B,0))</f>
        <v>2</v>
      </c>
      <c r="I73" s="65">
        <f t="array" ref="I73">INDEX('Nov 23-29'!G:G,MATCH($B73,'Nov 23-29'!$B:$B,0))</f>
        <v>1</v>
      </c>
      <c r="J73" s="65">
        <f t="array" ref="J73">INDEX('Nov 23-29'!H:H,MATCH($B73,'Nov 23-29'!$B:$B,0))</f>
        <v>0</v>
      </c>
      <c r="K73" s="65">
        <f t="array" ref="K73">INDEX('Nov 23-29'!I:I,MATCH($B73,'Nov 23-29'!$B:$B,0))</f>
        <v>1</v>
      </c>
      <c r="L73" s="65">
        <f t="array" ref="L73">INDEX('Nov 23-29'!J:J,MATCH($B73,'Nov 23-29'!$B:$B,0))</f>
        <v>1</v>
      </c>
      <c r="M73" s="17">
        <f t="shared" si="2"/>
        <v>0.23376623376623376</v>
      </c>
      <c r="N73" s="17">
        <f t="shared" si="3"/>
        <v>1.2987012987012988E-2</v>
      </c>
      <c r="O73" s="17">
        <f t="shared" si="4"/>
        <v>5.5555555555555552E-2</v>
      </c>
      <c r="P73" s="17">
        <f t="shared" si="5"/>
        <v>0</v>
      </c>
      <c r="Q73" s="17">
        <f t="shared" ref="Q73:R73" si="78">IFERROR(J73/I73,"")</f>
        <v>0</v>
      </c>
      <c r="R73" s="17" t="str">
        <f t="shared" si="78"/>
        <v/>
      </c>
      <c r="S73" s="17">
        <f t="shared" si="7"/>
        <v>1.2987012987012988E-2</v>
      </c>
      <c r="T73" s="17">
        <f t="shared" si="8"/>
        <v>1</v>
      </c>
    </row>
    <row r="74" spans="2:20" ht="12.75">
      <c r="B74" s="1" t="str">
        <f>'Nov 9-15'!B39</f>
        <v>174 W 8th Street Unit 2</v>
      </c>
      <c r="C74" s="29" t="str">
        <f t="array" ref="C74">INDEX('Nov 23-29'!C:C,MATCH($B74,'Nov 23-29'!$B:$B,0))</f>
        <v>N</v>
      </c>
      <c r="D74" s="29">
        <f t="array" ref="D74">INDEX('Nov 23-29'!D:D,MATCH($B74,'Nov 23-29'!$B:$B,0))</f>
        <v>0</v>
      </c>
      <c r="E74" s="65">
        <f t="shared" si="0"/>
        <v>92</v>
      </c>
      <c r="F74" s="66">
        <f t="shared" si="1"/>
        <v>0</v>
      </c>
      <c r="G74" s="65">
        <f t="array" ref="G74">INDEX('Nov 23-29'!E:E,MATCH($B74,'Nov 23-29'!$B:$B,0))</f>
        <v>0</v>
      </c>
      <c r="H74" s="65">
        <f t="array" ref="H74">INDEX('Nov 23-29'!F:F,MATCH($B74,'Nov 23-29'!$B:$B,0))</f>
        <v>0</v>
      </c>
      <c r="I74" s="65">
        <f t="array" ref="I74">INDEX('Nov 23-29'!G:G,MATCH($B74,'Nov 23-29'!$B:$B,0))</f>
        <v>0</v>
      </c>
      <c r="J74" s="65">
        <f t="array" ref="J74">INDEX('Nov 23-29'!H:H,MATCH($B74,'Nov 23-29'!$B:$B,0))</f>
        <v>0</v>
      </c>
      <c r="K74" s="65">
        <f t="array" ref="K74">INDEX('Nov 23-29'!I:I,MATCH($B74,'Nov 23-29'!$B:$B,0))</f>
        <v>0</v>
      </c>
      <c r="L74" s="65">
        <f t="array" ref="L74">INDEX('Nov 23-29'!J:J,MATCH($B74,'Nov 23-29'!$B:$B,0))</f>
        <v>0</v>
      </c>
      <c r="M74" s="17" t="str">
        <f t="shared" si="2"/>
        <v/>
      </c>
      <c r="N74" s="17" t="str">
        <f t="shared" si="3"/>
        <v/>
      </c>
      <c r="O74" s="17" t="str">
        <f t="shared" si="4"/>
        <v/>
      </c>
      <c r="P74" s="17" t="str">
        <f t="shared" si="5"/>
        <v/>
      </c>
      <c r="Q74" s="17" t="str">
        <f t="shared" ref="Q74:R74" si="79">IFERROR(J74/I74,"")</f>
        <v/>
      </c>
      <c r="R74" s="17" t="str">
        <f t="shared" si="79"/>
        <v/>
      </c>
      <c r="S74" s="17" t="str">
        <f t="shared" si="7"/>
        <v/>
      </c>
      <c r="T74" s="17" t="str">
        <f t="shared" si="8"/>
        <v/>
      </c>
    </row>
    <row r="75" spans="2:20" ht="12.75">
      <c r="B75" s="1" t="str">
        <f>'Nov 9-15'!B26</f>
        <v>146 Hillside Street Unit 1</v>
      </c>
      <c r="C75" s="29" t="str">
        <f t="array" ref="C75">INDEX('Nov 23-29'!C:C,MATCH($B75,'Nov 23-29'!$B:$B,0))</f>
        <v>Y</v>
      </c>
      <c r="D75" s="29">
        <f t="array" ref="D75">INDEX('Nov 23-29'!D:D,MATCH($B75,'Nov 23-29'!$B:$B,0))</f>
        <v>6</v>
      </c>
      <c r="E75" s="65">
        <f t="shared" si="0"/>
        <v>70</v>
      </c>
      <c r="F75" s="66">
        <f t="shared" si="1"/>
        <v>2.9747149231531978E-3</v>
      </c>
      <c r="G75" s="65">
        <f t="array" ref="G75">INDEX('Nov 23-29'!E:E,MATCH($B75,'Nov 23-29'!$B:$B,0))</f>
        <v>2</v>
      </c>
      <c r="H75" s="65">
        <f t="array" ref="H75">INDEX('Nov 23-29'!F:F,MATCH($B75,'Nov 23-29'!$B:$B,0))</f>
        <v>2</v>
      </c>
      <c r="I75" s="65">
        <f t="array" ref="I75">INDEX('Nov 23-29'!G:G,MATCH($B75,'Nov 23-29'!$B:$B,0))</f>
        <v>0</v>
      </c>
      <c r="J75" s="65">
        <f t="array" ref="J75">INDEX('Nov 23-29'!H:H,MATCH($B75,'Nov 23-29'!$B:$B,0))</f>
        <v>0</v>
      </c>
      <c r="K75" s="65">
        <f t="array" ref="K75">INDEX('Nov 23-29'!I:I,MATCH($B75,'Nov 23-29'!$B:$B,0))</f>
        <v>0</v>
      </c>
      <c r="L75" s="65">
        <f t="array" ref="L75">INDEX('Nov 23-29'!J:J,MATCH($B75,'Nov 23-29'!$B:$B,0))</f>
        <v>0</v>
      </c>
      <c r="M75" s="17">
        <f t="shared" si="2"/>
        <v>0.33333333333333331</v>
      </c>
      <c r="N75" s="17">
        <f t="shared" si="3"/>
        <v>0</v>
      </c>
      <c r="O75" s="17">
        <f t="shared" si="4"/>
        <v>0</v>
      </c>
      <c r="P75" s="17">
        <f t="shared" si="5"/>
        <v>0</v>
      </c>
      <c r="Q75" s="17" t="str">
        <f t="shared" ref="Q75:R75" si="80">IFERROR(J75/I75,"")</f>
        <v/>
      </c>
      <c r="R75" s="17" t="str">
        <f t="shared" si="80"/>
        <v/>
      </c>
      <c r="S75" s="17">
        <f t="shared" si="7"/>
        <v>0</v>
      </c>
      <c r="T75" s="17" t="str">
        <f t="shared" si="8"/>
        <v/>
      </c>
    </row>
    <row r="76" spans="2:20" ht="12.75">
      <c r="B76" s="1" t="str">
        <f>'Nov 9-15'!B5</f>
        <v>1008 Tremont Street Unit 6</v>
      </c>
      <c r="C76" s="29" t="str">
        <f t="array" ref="C76">INDEX('Nov 23-29'!C:C,MATCH($B76,'Nov 23-29'!$B:$B,0))</f>
        <v>N</v>
      </c>
      <c r="D76" s="29">
        <f t="array" ref="D76">INDEX('Nov 23-29'!D:D,MATCH($B76,'Nov 23-29'!$B:$B,0))</f>
        <v>0</v>
      </c>
      <c r="E76" s="65">
        <f t="shared" si="0"/>
        <v>92</v>
      </c>
      <c r="F76" s="66">
        <f t="shared" si="1"/>
        <v>0</v>
      </c>
      <c r="G76" s="65">
        <f t="array" ref="G76">INDEX('Nov 23-29'!E:E,MATCH($B76,'Nov 23-29'!$B:$B,0))</f>
        <v>0</v>
      </c>
      <c r="H76" s="65">
        <f t="array" ref="H76">INDEX('Nov 23-29'!F:F,MATCH($B76,'Nov 23-29'!$B:$B,0))</f>
        <v>0</v>
      </c>
      <c r="I76" s="65">
        <f t="array" ref="I76">INDEX('Nov 23-29'!G:G,MATCH($B76,'Nov 23-29'!$B:$B,0))</f>
        <v>0</v>
      </c>
      <c r="J76" s="65">
        <f t="array" ref="J76">INDEX('Nov 23-29'!H:H,MATCH($B76,'Nov 23-29'!$B:$B,0))</f>
        <v>0</v>
      </c>
      <c r="K76" s="65">
        <f t="array" ref="K76">INDEX('Nov 23-29'!I:I,MATCH($B76,'Nov 23-29'!$B:$B,0))</f>
        <v>0</v>
      </c>
      <c r="L76" s="65">
        <f t="array" ref="L76">INDEX('Nov 23-29'!J:J,MATCH($B76,'Nov 23-29'!$B:$B,0))</f>
        <v>0</v>
      </c>
      <c r="M76" s="17" t="str">
        <f t="shared" si="2"/>
        <v/>
      </c>
      <c r="N76" s="17" t="str">
        <f t="shared" si="3"/>
        <v/>
      </c>
      <c r="O76" s="17" t="str">
        <f t="shared" si="4"/>
        <v/>
      </c>
      <c r="P76" s="17" t="str">
        <f t="shared" si="5"/>
        <v/>
      </c>
      <c r="Q76" s="17" t="str">
        <f t="shared" ref="Q76:R76" si="81">IFERROR(J76/I76,"")</f>
        <v/>
      </c>
      <c r="R76" s="17" t="str">
        <f t="shared" si="81"/>
        <v/>
      </c>
      <c r="S76" s="17" t="str">
        <f t="shared" si="7"/>
        <v/>
      </c>
      <c r="T76" s="17" t="str">
        <f t="shared" si="8"/>
        <v/>
      </c>
    </row>
    <row r="77" spans="2:20" ht="12.75">
      <c r="B77" s="1" t="str">
        <f>'Nov 9-15'!B6</f>
        <v>101 Heath Street Unit 1</v>
      </c>
      <c r="C77" s="29" t="str">
        <f t="array" ref="C77">INDEX('Nov 23-29'!C:C,MATCH($B77,'Nov 23-29'!$B:$B,0))</f>
        <v>N</v>
      </c>
      <c r="D77" s="29">
        <f t="array" ref="D77">INDEX('Nov 23-29'!D:D,MATCH($B77,'Nov 23-29'!$B:$B,0))</f>
        <v>0</v>
      </c>
      <c r="E77" s="65">
        <f t="shared" si="0"/>
        <v>92</v>
      </c>
      <c r="F77" s="66">
        <f t="shared" si="1"/>
        <v>0</v>
      </c>
      <c r="G77" s="65">
        <f t="array" ref="G77">INDEX('Nov 23-29'!E:E,MATCH($B77,'Nov 23-29'!$B:$B,0))</f>
        <v>0</v>
      </c>
      <c r="H77" s="65">
        <f t="array" ref="H77">INDEX('Nov 23-29'!F:F,MATCH($B77,'Nov 23-29'!$B:$B,0))</f>
        <v>0</v>
      </c>
      <c r="I77" s="65">
        <f t="array" ref="I77">INDEX('Nov 23-29'!G:G,MATCH($B77,'Nov 23-29'!$B:$B,0))</f>
        <v>0</v>
      </c>
      <c r="J77" s="65">
        <f t="array" ref="J77">INDEX('Nov 23-29'!H:H,MATCH($B77,'Nov 23-29'!$B:$B,0))</f>
        <v>0</v>
      </c>
      <c r="K77" s="65">
        <f t="array" ref="K77">INDEX('Nov 23-29'!I:I,MATCH($B77,'Nov 23-29'!$B:$B,0))</f>
        <v>0</v>
      </c>
      <c r="L77" s="65">
        <f t="array" ref="L77">INDEX('Nov 23-29'!J:J,MATCH($B77,'Nov 23-29'!$B:$B,0))</f>
        <v>0</v>
      </c>
      <c r="M77" s="17" t="str">
        <f t="shared" si="2"/>
        <v/>
      </c>
      <c r="N77" s="17" t="str">
        <f t="shared" si="3"/>
        <v/>
      </c>
      <c r="O77" s="17" t="str">
        <f t="shared" si="4"/>
        <v/>
      </c>
      <c r="P77" s="17" t="str">
        <f t="shared" si="5"/>
        <v/>
      </c>
      <c r="Q77" s="17" t="str">
        <f t="shared" ref="Q77:R77" si="82">IFERROR(J77/I77,"")</f>
        <v/>
      </c>
      <c r="R77" s="17" t="str">
        <f t="shared" si="82"/>
        <v/>
      </c>
      <c r="S77" s="17" t="str">
        <f t="shared" si="7"/>
        <v/>
      </c>
      <c r="T77" s="17" t="str">
        <f t="shared" si="8"/>
        <v/>
      </c>
    </row>
    <row r="78" spans="2:20" ht="12.75">
      <c r="B78" s="1" t="str">
        <f>'Nov 9-15'!B102</f>
        <v>8 Hardwick Terrace Unit 1</v>
      </c>
      <c r="C78" s="29" t="str">
        <f t="array" ref="C78">INDEX('Nov 23-29'!C:C,MATCH($B78,'Nov 23-29'!$B:$B,0))</f>
        <v>N</v>
      </c>
      <c r="D78" s="29">
        <f t="array" ref="D78">INDEX('Nov 23-29'!D:D,MATCH($B78,'Nov 23-29'!$B:$B,0))</f>
        <v>1</v>
      </c>
      <c r="E78" s="65">
        <f t="shared" si="0"/>
        <v>89</v>
      </c>
      <c r="F78" s="66">
        <f t="shared" si="1"/>
        <v>4.9578582052553293E-4</v>
      </c>
      <c r="G78" s="65">
        <f t="array" ref="G78">INDEX('Nov 23-29'!E:E,MATCH($B78,'Nov 23-29'!$B:$B,0))</f>
        <v>1</v>
      </c>
      <c r="H78" s="65">
        <f t="array" ref="H78">INDEX('Nov 23-29'!F:F,MATCH($B78,'Nov 23-29'!$B:$B,0))</f>
        <v>1</v>
      </c>
      <c r="I78" s="65">
        <f t="array" ref="I78">INDEX('Nov 23-29'!G:G,MATCH($B78,'Nov 23-29'!$B:$B,0))</f>
        <v>0</v>
      </c>
      <c r="J78" s="65">
        <f t="array" ref="J78">INDEX('Nov 23-29'!H:H,MATCH($B78,'Nov 23-29'!$B:$B,0))</f>
        <v>0</v>
      </c>
      <c r="K78" s="65">
        <f t="array" ref="K78">INDEX('Nov 23-29'!I:I,MATCH($B78,'Nov 23-29'!$B:$B,0))</f>
        <v>0</v>
      </c>
      <c r="L78" s="65">
        <f t="array" ref="L78">INDEX('Nov 23-29'!J:J,MATCH($B78,'Nov 23-29'!$B:$B,0))</f>
        <v>0</v>
      </c>
      <c r="M78" s="17">
        <f t="shared" si="2"/>
        <v>1</v>
      </c>
      <c r="N78" s="17">
        <f t="shared" si="3"/>
        <v>0</v>
      </c>
      <c r="O78" s="17">
        <f t="shared" si="4"/>
        <v>0</v>
      </c>
      <c r="P78" s="17">
        <f t="shared" si="5"/>
        <v>0</v>
      </c>
      <c r="Q78" s="17" t="str">
        <f t="shared" ref="Q78:R78" si="83">IFERROR(J78/I78,"")</f>
        <v/>
      </c>
      <c r="R78" s="17" t="str">
        <f t="shared" si="83"/>
        <v/>
      </c>
      <c r="S78" s="17">
        <f t="shared" si="7"/>
        <v>0</v>
      </c>
      <c r="T78" s="17" t="str">
        <f t="shared" si="8"/>
        <v/>
      </c>
    </row>
    <row r="79" spans="2:20" ht="12.75">
      <c r="B79" s="1" t="str">
        <f>'Nov 9-15'!B105</f>
        <v>848 Huntington Avenue Unit 2</v>
      </c>
      <c r="C79" s="29" t="str">
        <f t="array" ref="C79">INDEX('Nov 23-29'!C:C,MATCH($B79,'Nov 23-29'!$B:$B,0))</f>
        <v>Y</v>
      </c>
      <c r="D79" s="29">
        <f t="array" ref="D79">INDEX('Nov 23-29'!D:D,MATCH($B79,'Nov 23-29'!$B:$B,0))</f>
        <v>27</v>
      </c>
      <c r="E79" s="65">
        <f t="shared" si="0"/>
        <v>28</v>
      </c>
      <c r="F79" s="66">
        <f t="shared" si="1"/>
        <v>1.3386217154189391E-2</v>
      </c>
      <c r="G79" s="65">
        <f t="array" ref="G79">INDEX('Nov 23-29'!E:E,MATCH($B79,'Nov 23-29'!$B:$B,0))</f>
        <v>12</v>
      </c>
      <c r="H79" s="65">
        <f t="array" ref="H79">INDEX('Nov 23-29'!F:F,MATCH($B79,'Nov 23-29'!$B:$B,0))</f>
        <v>1</v>
      </c>
      <c r="I79" s="65">
        <f t="array" ref="I79">INDEX('Nov 23-29'!G:G,MATCH($B79,'Nov 23-29'!$B:$B,0))</f>
        <v>1</v>
      </c>
      <c r="J79" s="65">
        <f t="array" ref="J79">INDEX('Nov 23-29'!H:H,MATCH($B79,'Nov 23-29'!$B:$B,0))</f>
        <v>0</v>
      </c>
      <c r="K79" s="65">
        <f t="array" ref="K79">INDEX('Nov 23-29'!I:I,MATCH($B79,'Nov 23-29'!$B:$B,0))</f>
        <v>0</v>
      </c>
      <c r="L79" s="65">
        <f t="array" ref="L79">INDEX('Nov 23-29'!J:J,MATCH($B79,'Nov 23-29'!$B:$B,0))</f>
        <v>0</v>
      </c>
      <c r="M79" s="17">
        <f t="shared" si="2"/>
        <v>0.44444444444444442</v>
      </c>
      <c r="N79" s="17">
        <f t="shared" si="3"/>
        <v>3.7037037037037035E-2</v>
      </c>
      <c r="O79" s="17">
        <f t="shared" si="4"/>
        <v>8.3333333333333329E-2</v>
      </c>
      <c r="P79" s="17">
        <f t="shared" si="5"/>
        <v>0</v>
      </c>
      <c r="Q79" s="17">
        <f t="shared" ref="Q79:R79" si="84">IFERROR(J79/I79,"")</f>
        <v>0</v>
      </c>
      <c r="R79" s="17" t="str">
        <f t="shared" si="84"/>
        <v/>
      </c>
      <c r="S79" s="17">
        <f t="shared" si="7"/>
        <v>0</v>
      </c>
      <c r="T79" s="17" t="str">
        <f t="shared" si="8"/>
        <v/>
      </c>
    </row>
    <row r="80" spans="2:20" ht="12.75">
      <c r="B80" s="1" t="str">
        <f>'Nov 9-15'!B92</f>
        <v>5 Mark Street Unit 1</v>
      </c>
      <c r="C80" s="29" t="str">
        <f t="array" ref="C80">INDEX('Nov 23-29'!C:C,MATCH($B80,'Nov 23-29'!$B:$B,0))</f>
        <v>Y</v>
      </c>
      <c r="D80" s="29">
        <f t="array" ref="D80">INDEX('Nov 23-29'!D:D,MATCH($B80,'Nov 23-29'!$B:$B,0))</f>
        <v>8</v>
      </c>
      <c r="E80" s="65">
        <f t="shared" si="0"/>
        <v>65</v>
      </c>
      <c r="F80" s="66">
        <f t="shared" si="1"/>
        <v>3.9662865642042635E-3</v>
      </c>
      <c r="G80" s="65">
        <f t="array" ref="G80">INDEX('Nov 23-29'!E:E,MATCH($B80,'Nov 23-29'!$B:$B,0))</f>
        <v>2</v>
      </c>
      <c r="H80" s="65">
        <f t="array" ref="H80">INDEX('Nov 23-29'!F:F,MATCH($B80,'Nov 23-29'!$B:$B,0))</f>
        <v>1</v>
      </c>
      <c r="I80" s="65">
        <f t="array" ref="I80">INDEX('Nov 23-29'!G:G,MATCH($B80,'Nov 23-29'!$B:$B,0))</f>
        <v>0</v>
      </c>
      <c r="J80" s="65">
        <f t="array" ref="J80">INDEX('Nov 23-29'!H:H,MATCH($B80,'Nov 23-29'!$B:$B,0))</f>
        <v>0</v>
      </c>
      <c r="K80" s="65">
        <f t="array" ref="K80">INDEX('Nov 23-29'!I:I,MATCH($B80,'Nov 23-29'!$B:$B,0))</f>
        <v>0</v>
      </c>
      <c r="L80" s="65">
        <f t="array" ref="L80">INDEX('Nov 23-29'!J:J,MATCH($B80,'Nov 23-29'!$B:$B,0))</f>
        <v>0</v>
      </c>
      <c r="M80" s="17">
        <f t="shared" si="2"/>
        <v>0.25</v>
      </c>
      <c r="N80" s="17">
        <f t="shared" si="3"/>
        <v>0</v>
      </c>
      <c r="O80" s="17">
        <f t="shared" si="4"/>
        <v>0</v>
      </c>
      <c r="P80" s="17">
        <f t="shared" si="5"/>
        <v>0</v>
      </c>
      <c r="Q80" s="17" t="str">
        <f t="shared" ref="Q80:R80" si="85">IFERROR(J80/I80,"")</f>
        <v/>
      </c>
      <c r="R80" s="17" t="str">
        <f t="shared" si="85"/>
        <v/>
      </c>
      <c r="S80" s="17">
        <f t="shared" si="7"/>
        <v>0</v>
      </c>
      <c r="T80" s="17" t="str">
        <f t="shared" si="8"/>
        <v/>
      </c>
    </row>
    <row r="81" spans="2:20" ht="12.75">
      <c r="B81" s="1" t="str">
        <f>'Nov 9-15'!B91</f>
        <v>5 Condor Street Unit 3</v>
      </c>
      <c r="C81" s="29" t="str">
        <f t="array" ref="C81">INDEX('Nov 23-29'!C:C,MATCH($B81,'Nov 23-29'!$B:$B,0))</f>
        <v>N</v>
      </c>
      <c r="D81" s="29">
        <f t="array" ref="D81">INDEX('Nov 23-29'!D:D,MATCH($B81,'Nov 23-29'!$B:$B,0))</f>
        <v>2</v>
      </c>
      <c r="E81" s="65">
        <f t="shared" si="0"/>
        <v>83</v>
      </c>
      <c r="F81" s="66">
        <f t="shared" si="1"/>
        <v>9.9157164105106587E-4</v>
      </c>
      <c r="G81" s="65">
        <f t="array" ref="G81">INDEX('Nov 23-29'!E:E,MATCH($B81,'Nov 23-29'!$B:$B,0))</f>
        <v>2</v>
      </c>
      <c r="H81" s="65">
        <f t="array" ref="H81">INDEX('Nov 23-29'!F:F,MATCH($B81,'Nov 23-29'!$B:$B,0))</f>
        <v>0</v>
      </c>
      <c r="I81" s="65">
        <f t="array" ref="I81">INDEX('Nov 23-29'!G:G,MATCH($B81,'Nov 23-29'!$B:$B,0))</f>
        <v>0</v>
      </c>
      <c r="J81" s="65">
        <f t="array" ref="J81">INDEX('Nov 23-29'!H:H,MATCH($B81,'Nov 23-29'!$B:$B,0))</f>
        <v>0</v>
      </c>
      <c r="K81" s="65">
        <f t="array" ref="K81">INDEX('Nov 23-29'!I:I,MATCH($B81,'Nov 23-29'!$B:$B,0))</f>
        <v>0</v>
      </c>
      <c r="L81" s="65">
        <f t="array" ref="L81">INDEX('Nov 23-29'!J:J,MATCH($B81,'Nov 23-29'!$B:$B,0))</f>
        <v>0</v>
      </c>
      <c r="M81" s="17">
        <f t="shared" si="2"/>
        <v>1</v>
      </c>
      <c r="N81" s="17">
        <f t="shared" si="3"/>
        <v>0</v>
      </c>
      <c r="O81" s="17">
        <f t="shared" si="4"/>
        <v>0</v>
      </c>
      <c r="P81" s="17">
        <f t="shared" si="5"/>
        <v>0</v>
      </c>
      <c r="Q81" s="17" t="str">
        <f t="shared" ref="Q81:R81" si="86">IFERROR(J81/I81,"")</f>
        <v/>
      </c>
      <c r="R81" s="17" t="str">
        <f t="shared" si="86"/>
        <v/>
      </c>
      <c r="S81" s="17">
        <f t="shared" si="7"/>
        <v>0</v>
      </c>
      <c r="T81" s="17" t="str">
        <f t="shared" si="8"/>
        <v/>
      </c>
    </row>
    <row r="82" spans="2:20" ht="12.75">
      <c r="B82" s="1" t="str">
        <f>'Nov 9-15'!B25</f>
        <v>1410 Columbia Road Unit 5B</v>
      </c>
      <c r="C82" s="29" t="str">
        <f t="array" ref="C82">INDEX('Nov 23-29'!C:C,MATCH($B82,'Nov 23-29'!$B:$B,0))</f>
        <v>Y</v>
      </c>
      <c r="D82" s="29">
        <f t="array" ref="D82">INDEX('Nov 23-29'!D:D,MATCH($B82,'Nov 23-29'!$B:$B,0))</f>
        <v>2</v>
      </c>
      <c r="E82" s="65">
        <f t="shared" si="0"/>
        <v>83</v>
      </c>
      <c r="F82" s="66">
        <f t="shared" si="1"/>
        <v>9.9157164105106587E-4</v>
      </c>
      <c r="G82" s="65">
        <f t="array" ref="G82">INDEX('Nov 23-29'!E:E,MATCH($B82,'Nov 23-29'!$B:$B,0))</f>
        <v>0</v>
      </c>
      <c r="H82" s="65">
        <f t="array" ref="H82">INDEX('Nov 23-29'!F:F,MATCH($B82,'Nov 23-29'!$B:$B,0))</f>
        <v>1</v>
      </c>
      <c r="I82" s="65">
        <f t="array" ref="I82">INDEX('Nov 23-29'!G:G,MATCH($B82,'Nov 23-29'!$B:$B,0))</f>
        <v>0</v>
      </c>
      <c r="J82" s="65">
        <f t="array" ref="J82">INDEX('Nov 23-29'!H:H,MATCH($B82,'Nov 23-29'!$B:$B,0))</f>
        <v>0</v>
      </c>
      <c r="K82" s="65">
        <f t="array" ref="K82">INDEX('Nov 23-29'!I:I,MATCH($B82,'Nov 23-29'!$B:$B,0))</f>
        <v>0</v>
      </c>
      <c r="L82" s="65">
        <f t="array" ref="L82">INDEX('Nov 23-29'!J:J,MATCH($B82,'Nov 23-29'!$B:$B,0))</f>
        <v>0</v>
      </c>
      <c r="M82" s="17">
        <f t="shared" si="2"/>
        <v>0</v>
      </c>
      <c r="N82" s="17">
        <f t="shared" si="3"/>
        <v>0</v>
      </c>
      <c r="O82" s="17" t="str">
        <f t="shared" si="4"/>
        <v/>
      </c>
      <c r="P82" s="17">
        <f t="shared" si="5"/>
        <v>0</v>
      </c>
      <c r="Q82" s="17" t="str">
        <f t="shared" ref="Q82:R82" si="87">IFERROR(J82/I82,"")</f>
        <v/>
      </c>
      <c r="R82" s="17" t="str">
        <f t="shared" si="87"/>
        <v/>
      </c>
      <c r="S82" s="17">
        <f t="shared" si="7"/>
        <v>0</v>
      </c>
      <c r="T82" s="17" t="str">
        <f t="shared" si="8"/>
        <v/>
      </c>
    </row>
    <row r="83" spans="2:20" ht="12.75">
      <c r="B83" s="1" t="str">
        <f>'Nov 9-15'!B60</f>
        <v>24 Ashford Street Unit 2</v>
      </c>
      <c r="C83" s="29" t="str">
        <f t="array" ref="C83">INDEX('Nov 23-29'!C:C,MATCH($B83,'Nov 23-29'!$B:$B,0))</f>
        <v>N</v>
      </c>
      <c r="D83" s="29">
        <f t="array" ref="D83">INDEX('Nov 23-29'!D:D,MATCH($B83,'Nov 23-29'!$B:$B,0))</f>
        <v>13</v>
      </c>
      <c r="E83" s="65">
        <f t="shared" si="0"/>
        <v>57</v>
      </c>
      <c r="F83" s="66">
        <f t="shared" si="1"/>
        <v>6.4452156668319289E-3</v>
      </c>
      <c r="G83" s="65">
        <f t="array" ref="G83">INDEX('Nov 23-29'!E:E,MATCH($B83,'Nov 23-29'!$B:$B,0))</f>
        <v>2</v>
      </c>
      <c r="H83" s="65">
        <f t="array" ref="H83">INDEX('Nov 23-29'!F:F,MATCH($B83,'Nov 23-29'!$B:$B,0))</f>
        <v>0</v>
      </c>
      <c r="I83" s="65">
        <f t="array" ref="I83">INDEX('Nov 23-29'!G:G,MATCH($B83,'Nov 23-29'!$B:$B,0))</f>
        <v>0</v>
      </c>
      <c r="J83" s="65">
        <f t="array" ref="J83">INDEX('Nov 23-29'!H:H,MATCH($B83,'Nov 23-29'!$B:$B,0))</f>
        <v>0</v>
      </c>
      <c r="K83" s="65">
        <f t="array" ref="K83">INDEX('Nov 23-29'!I:I,MATCH($B83,'Nov 23-29'!$B:$B,0))</f>
        <v>0</v>
      </c>
      <c r="L83" s="65">
        <f t="array" ref="L83">INDEX('Nov 23-29'!J:J,MATCH($B83,'Nov 23-29'!$B:$B,0))</f>
        <v>0</v>
      </c>
      <c r="M83" s="17">
        <f t="shared" si="2"/>
        <v>0.15384615384615385</v>
      </c>
      <c r="N83" s="17">
        <f t="shared" si="3"/>
        <v>0</v>
      </c>
      <c r="O83" s="17">
        <f t="shared" si="4"/>
        <v>0</v>
      </c>
      <c r="P83" s="17">
        <f t="shared" si="5"/>
        <v>0</v>
      </c>
      <c r="Q83" s="17" t="str">
        <f t="shared" ref="Q83:R83" si="88">IFERROR(J83/I83,"")</f>
        <v/>
      </c>
      <c r="R83" s="17" t="str">
        <f t="shared" si="88"/>
        <v/>
      </c>
      <c r="S83" s="17">
        <f t="shared" si="7"/>
        <v>0</v>
      </c>
      <c r="T83" s="17" t="str">
        <f t="shared" si="8"/>
        <v/>
      </c>
    </row>
    <row r="84" spans="2:20" ht="12.75">
      <c r="B84" s="1" t="str">
        <f>'Nov 9-15'!B52</f>
        <v>20 Reedsdale Street</v>
      </c>
      <c r="C84" s="29" t="str">
        <f t="array" ref="C84">INDEX('Nov 23-29'!C:C,MATCH($B84,'Nov 23-29'!$B:$B,0))</f>
        <v>Y</v>
      </c>
      <c r="D84" s="29">
        <f t="array" ref="D84">INDEX('Nov 23-29'!D:D,MATCH($B84,'Nov 23-29'!$B:$B,0))</f>
        <v>21</v>
      </c>
      <c r="E84" s="65">
        <f t="shared" si="0"/>
        <v>37</v>
      </c>
      <c r="F84" s="66">
        <f t="shared" si="1"/>
        <v>1.0411502231036193E-2</v>
      </c>
      <c r="G84" s="65">
        <f t="array" ref="G84">INDEX('Nov 23-29'!E:E,MATCH($B84,'Nov 23-29'!$B:$B,0))</f>
        <v>3</v>
      </c>
      <c r="H84" s="65">
        <f t="array" ref="H84">INDEX('Nov 23-29'!F:F,MATCH($B84,'Nov 23-29'!$B:$B,0))</f>
        <v>2</v>
      </c>
      <c r="I84" s="65">
        <f t="array" ref="I84">INDEX('Nov 23-29'!G:G,MATCH($B84,'Nov 23-29'!$B:$B,0))</f>
        <v>0</v>
      </c>
      <c r="J84" s="65">
        <f t="array" ref="J84">INDEX('Nov 23-29'!H:H,MATCH($B84,'Nov 23-29'!$B:$B,0))</f>
        <v>0</v>
      </c>
      <c r="K84" s="65">
        <f t="array" ref="K84">INDEX('Nov 23-29'!I:I,MATCH($B84,'Nov 23-29'!$B:$B,0))</f>
        <v>0</v>
      </c>
      <c r="L84" s="65">
        <f t="array" ref="L84">INDEX('Nov 23-29'!J:J,MATCH($B84,'Nov 23-29'!$B:$B,0))</f>
        <v>0</v>
      </c>
      <c r="M84" s="17">
        <f t="shared" si="2"/>
        <v>0.14285714285714285</v>
      </c>
      <c r="N84" s="17">
        <f t="shared" si="3"/>
        <v>0</v>
      </c>
      <c r="O84" s="17">
        <f t="shared" si="4"/>
        <v>0</v>
      </c>
      <c r="P84" s="17">
        <f t="shared" si="5"/>
        <v>0</v>
      </c>
      <c r="Q84" s="17" t="str">
        <f t="shared" ref="Q84:R84" si="89">IFERROR(J84/I84,"")</f>
        <v/>
      </c>
      <c r="R84" s="17" t="str">
        <f t="shared" si="89"/>
        <v/>
      </c>
      <c r="S84" s="17">
        <f t="shared" si="7"/>
        <v>0</v>
      </c>
      <c r="T84" s="17" t="str">
        <f t="shared" si="8"/>
        <v/>
      </c>
    </row>
    <row r="85" spans="2:20" ht="12.75">
      <c r="B85" s="1" t="str">
        <f>'Nov 9-15'!B101</f>
        <v>8 Elko Street Unit 6</v>
      </c>
      <c r="C85" s="29" t="str">
        <f t="array" ref="C85">INDEX('Nov 23-29'!C:C,MATCH($B85,'Nov 23-29'!$B:$B,0))</f>
        <v>N</v>
      </c>
      <c r="D85" s="29">
        <f t="array" ref="D85">INDEX('Nov 23-29'!D:D,MATCH($B85,'Nov 23-29'!$B:$B,0))</f>
        <v>0</v>
      </c>
      <c r="E85" s="65">
        <f t="shared" si="0"/>
        <v>92</v>
      </c>
      <c r="F85" s="66">
        <f t="shared" si="1"/>
        <v>0</v>
      </c>
      <c r="G85" s="65">
        <f t="array" ref="G85">INDEX('Nov 23-29'!E:E,MATCH($B85,'Nov 23-29'!$B:$B,0))</f>
        <v>0</v>
      </c>
      <c r="H85" s="65">
        <f t="array" ref="H85">INDEX('Nov 23-29'!F:F,MATCH($B85,'Nov 23-29'!$B:$B,0))</f>
        <v>0</v>
      </c>
      <c r="I85" s="65">
        <f t="array" ref="I85">INDEX('Nov 23-29'!G:G,MATCH($B85,'Nov 23-29'!$B:$B,0))</f>
        <v>0</v>
      </c>
      <c r="J85" s="65">
        <f t="array" ref="J85">INDEX('Nov 23-29'!H:H,MATCH($B85,'Nov 23-29'!$B:$B,0))</f>
        <v>0</v>
      </c>
      <c r="K85" s="65">
        <f t="array" ref="K85">INDEX('Nov 23-29'!I:I,MATCH($B85,'Nov 23-29'!$B:$B,0))</f>
        <v>0</v>
      </c>
      <c r="L85" s="65">
        <f t="array" ref="L85">INDEX('Nov 23-29'!J:J,MATCH($B85,'Nov 23-29'!$B:$B,0))</f>
        <v>0</v>
      </c>
      <c r="M85" s="17" t="str">
        <f t="shared" si="2"/>
        <v/>
      </c>
      <c r="N85" s="17" t="str">
        <f t="shared" si="3"/>
        <v/>
      </c>
      <c r="O85" s="17" t="str">
        <f t="shared" si="4"/>
        <v/>
      </c>
      <c r="P85" s="17" t="str">
        <f t="shared" si="5"/>
        <v/>
      </c>
      <c r="Q85" s="17" t="str">
        <f t="shared" ref="Q85:R85" si="90">IFERROR(J85/I85,"")</f>
        <v/>
      </c>
      <c r="R85" s="17" t="str">
        <f t="shared" si="90"/>
        <v/>
      </c>
      <c r="S85" s="17" t="str">
        <f t="shared" si="7"/>
        <v/>
      </c>
      <c r="T85" s="17" t="str">
        <f t="shared" si="8"/>
        <v/>
      </c>
    </row>
    <row r="86" spans="2:20" ht="12.75">
      <c r="B86" s="1" t="str">
        <f>'Nov 9-15'!B43</f>
        <v>18 Mount Hood Road Unit 2</v>
      </c>
      <c r="C86" s="29" t="str">
        <f t="array" ref="C86">INDEX('Nov 23-29'!C:C,MATCH($B86,'Nov 23-29'!$B:$B,0))</f>
        <v>N</v>
      </c>
      <c r="D86" s="29">
        <f t="array" ref="D86">INDEX('Nov 23-29'!D:D,MATCH($B86,'Nov 23-29'!$B:$B,0))</f>
        <v>0</v>
      </c>
      <c r="E86" s="65">
        <f t="shared" si="0"/>
        <v>92</v>
      </c>
      <c r="F86" s="66">
        <f t="shared" si="1"/>
        <v>0</v>
      </c>
      <c r="G86" s="65">
        <f t="array" ref="G86">INDEX('Nov 23-29'!E:E,MATCH($B86,'Nov 23-29'!$B:$B,0))</f>
        <v>0</v>
      </c>
      <c r="H86" s="65">
        <f t="array" ref="H86">INDEX('Nov 23-29'!F:F,MATCH($B86,'Nov 23-29'!$B:$B,0))</f>
        <v>0</v>
      </c>
      <c r="I86" s="65">
        <f t="array" ref="I86">INDEX('Nov 23-29'!G:G,MATCH($B86,'Nov 23-29'!$B:$B,0))</f>
        <v>0</v>
      </c>
      <c r="J86" s="65">
        <f t="array" ref="J86">INDEX('Nov 23-29'!H:H,MATCH($B86,'Nov 23-29'!$B:$B,0))</f>
        <v>0</v>
      </c>
      <c r="K86" s="65">
        <f t="array" ref="K86">INDEX('Nov 23-29'!I:I,MATCH($B86,'Nov 23-29'!$B:$B,0))</f>
        <v>0</v>
      </c>
      <c r="L86" s="65">
        <f t="array" ref="L86">INDEX('Nov 23-29'!J:J,MATCH($B86,'Nov 23-29'!$B:$B,0))</f>
        <v>0</v>
      </c>
      <c r="M86" s="17" t="str">
        <f t="shared" si="2"/>
        <v/>
      </c>
      <c r="N86" s="17" t="str">
        <f t="shared" si="3"/>
        <v/>
      </c>
      <c r="O86" s="17" t="str">
        <f t="shared" si="4"/>
        <v/>
      </c>
      <c r="P86" s="17" t="str">
        <f t="shared" si="5"/>
        <v/>
      </c>
      <c r="Q86" s="17" t="str">
        <f t="shared" ref="Q86:R86" si="91">IFERROR(J86/I86,"")</f>
        <v/>
      </c>
      <c r="R86" s="17" t="str">
        <f t="shared" si="91"/>
        <v/>
      </c>
      <c r="S86" s="17" t="str">
        <f t="shared" si="7"/>
        <v/>
      </c>
      <c r="T86" s="17" t="str">
        <f t="shared" si="8"/>
        <v/>
      </c>
    </row>
    <row r="87" spans="2:20" ht="12.75">
      <c r="B87" s="1" t="str">
        <f>'Nov 9-15'!B97</f>
        <v>7 Grant Street Unit 2</v>
      </c>
      <c r="C87" s="29" t="str">
        <f t="array" ref="C87">INDEX('Nov 23-29'!C:C,MATCH($B87,'Nov 23-29'!$B:$B,0))</f>
        <v>Y</v>
      </c>
      <c r="D87" s="29">
        <f t="array" ref="D87">INDEX('Nov 23-29'!D:D,MATCH($B87,'Nov 23-29'!$B:$B,0))</f>
        <v>7</v>
      </c>
      <c r="E87" s="65">
        <f t="shared" si="0"/>
        <v>68</v>
      </c>
      <c r="F87" s="66">
        <f t="shared" si="1"/>
        <v>3.4705007436787306E-3</v>
      </c>
      <c r="G87" s="65">
        <f t="array" ref="G87">INDEX('Nov 23-29'!E:E,MATCH($B87,'Nov 23-29'!$B:$B,0))</f>
        <v>1</v>
      </c>
      <c r="H87" s="65">
        <f t="array" ref="H87">INDEX('Nov 23-29'!F:F,MATCH($B87,'Nov 23-29'!$B:$B,0))</f>
        <v>1</v>
      </c>
      <c r="I87" s="65">
        <f t="array" ref="I87">INDEX('Nov 23-29'!G:G,MATCH($B87,'Nov 23-29'!$B:$B,0))</f>
        <v>0</v>
      </c>
      <c r="J87" s="65">
        <f t="array" ref="J87">INDEX('Nov 23-29'!H:H,MATCH($B87,'Nov 23-29'!$B:$B,0))</f>
        <v>0</v>
      </c>
      <c r="K87" s="65">
        <f t="array" ref="K87">INDEX('Nov 23-29'!I:I,MATCH($B87,'Nov 23-29'!$B:$B,0))</f>
        <v>0</v>
      </c>
      <c r="L87" s="65">
        <f t="array" ref="L87">INDEX('Nov 23-29'!J:J,MATCH($B87,'Nov 23-29'!$B:$B,0))</f>
        <v>0</v>
      </c>
      <c r="M87" s="17">
        <f t="shared" si="2"/>
        <v>0.14285714285714285</v>
      </c>
      <c r="N87" s="17">
        <f t="shared" si="3"/>
        <v>0</v>
      </c>
      <c r="O87" s="17">
        <f t="shared" si="4"/>
        <v>0</v>
      </c>
      <c r="P87" s="17">
        <f t="shared" si="5"/>
        <v>0</v>
      </c>
      <c r="Q87" s="17" t="str">
        <f t="shared" ref="Q87:R87" si="92">IFERROR(J87/I87,"")</f>
        <v/>
      </c>
      <c r="R87" s="17" t="str">
        <f t="shared" si="92"/>
        <v/>
      </c>
      <c r="S87" s="17">
        <f t="shared" si="7"/>
        <v>0</v>
      </c>
      <c r="T87" s="17" t="str">
        <f t="shared" si="8"/>
        <v/>
      </c>
    </row>
    <row r="88" spans="2:20" ht="12.75">
      <c r="B88" s="1" t="str">
        <f>'Nov 9-15'!B31</f>
        <v>1578 Beacon Street Unit 7</v>
      </c>
      <c r="C88" s="29" t="str">
        <f t="array" ref="C88">INDEX('Nov 23-29'!C:C,MATCH($B88,'Nov 23-29'!$B:$B,0))</f>
        <v>Y</v>
      </c>
      <c r="D88" s="29">
        <f t="array" ref="D88">INDEX('Nov 23-29'!D:D,MATCH($B88,'Nov 23-29'!$B:$B,0))</f>
        <v>32</v>
      </c>
      <c r="E88" s="65">
        <f t="shared" si="0"/>
        <v>16</v>
      </c>
      <c r="F88" s="66">
        <f t="shared" si="1"/>
        <v>1.5865146256817054E-2</v>
      </c>
      <c r="G88" s="65">
        <f t="array" ref="G88">INDEX('Nov 23-29'!E:E,MATCH($B88,'Nov 23-29'!$B:$B,0))</f>
        <v>7</v>
      </c>
      <c r="H88" s="65">
        <f t="array" ref="H88">INDEX('Nov 23-29'!F:F,MATCH($B88,'Nov 23-29'!$B:$B,0))</f>
        <v>5</v>
      </c>
      <c r="I88" s="65">
        <f t="array" ref="I88">INDEX('Nov 23-29'!G:G,MATCH($B88,'Nov 23-29'!$B:$B,0))</f>
        <v>0</v>
      </c>
      <c r="J88" s="65">
        <f t="array" ref="J88">INDEX('Nov 23-29'!H:H,MATCH($B88,'Nov 23-29'!$B:$B,0))</f>
        <v>1</v>
      </c>
      <c r="K88" s="65">
        <f t="array" ref="K88">INDEX('Nov 23-29'!I:I,MATCH($B88,'Nov 23-29'!$B:$B,0))</f>
        <v>1</v>
      </c>
      <c r="L88" s="65">
        <f t="array" ref="L88">INDEX('Nov 23-29'!J:J,MATCH($B88,'Nov 23-29'!$B:$B,0))</f>
        <v>0</v>
      </c>
      <c r="M88" s="17">
        <f t="shared" si="2"/>
        <v>0.21875</v>
      </c>
      <c r="N88" s="17">
        <f t="shared" si="3"/>
        <v>0</v>
      </c>
      <c r="O88" s="17">
        <f t="shared" si="4"/>
        <v>0</v>
      </c>
      <c r="P88" s="17">
        <f t="shared" si="5"/>
        <v>3.125E-2</v>
      </c>
      <c r="Q88" s="17" t="str">
        <f t="shared" ref="Q88:R88" si="93">IFERROR(J88/I88,"")</f>
        <v/>
      </c>
      <c r="R88" s="17">
        <f t="shared" si="93"/>
        <v>1</v>
      </c>
      <c r="S88" s="17">
        <f t="shared" si="7"/>
        <v>0</v>
      </c>
      <c r="T88" s="17">
        <f t="shared" si="8"/>
        <v>0</v>
      </c>
    </row>
    <row r="89" spans="2:20" ht="12.75">
      <c r="B89" s="1" t="str">
        <f>'Nov 9-15'!B74</f>
        <v>348 E 8th Street Unit 1</v>
      </c>
      <c r="C89" s="29" t="str">
        <f t="array" ref="C89">INDEX('Nov 23-29'!C:C,MATCH($B89,'Nov 23-29'!$B:$B,0))</f>
        <v>Y</v>
      </c>
      <c r="D89" s="29">
        <f t="array" ref="D89">INDEX('Nov 23-29'!D:D,MATCH($B89,'Nov 23-29'!$B:$B,0))</f>
        <v>16</v>
      </c>
      <c r="E89" s="65">
        <f t="shared" si="0"/>
        <v>52</v>
      </c>
      <c r="F89" s="66">
        <f t="shared" si="1"/>
        <v>7.9325731284085269E-3</v>
      </c>
      <c r="G89" s="65">
        <f t="array" ref="G89">INDEX('Nov 23-29'!E:E,MATCH($B89,'Nov 23-29'!$B:$B,0))</f>
        <v>4</v>
      </c>
      <c r="H89" s="65">
        <f t="array" ref="H89">INDEX('Nov 23-29'!F:F,MATCH($B89,'Nov 23-29'!$B:$B,0))</f>
        <v>2</v>
      </c>
      <c r="I89" s="65">
        <f t="array" ref="I89">INDEX('Nov 23-29'!G:G,MATCH($B89,'Nov 23-29'!$B:$B,0))</f>
        <v>0</v>
      </c>
      <c r="J89" s="65">
        <f t="array" ref="J89">INDEX('Nov 23-29'!H:H,MATCH($B89,'Nov 23-29'!$B:$B,0))</f>
        <v>0</v>
      </c>
      <c r="K89" s="65">
        <f t="array" ref="K89">INDEX('Nov 23-29'!I:I,MATCH($B89,'Nov 23-29'!$B:$B,0))</f>
        <v>0</v>
      </c>
      <c r="L89" s="65">
        <f t="array" ref="L89">INDEX('Nov 23-29'!J:J,MATCH($B89,'Nov 23-29'!$B:$B,0))</f>
        <v>0</v>
      </c>
      <c r="M89" s="17">
        <f t="shared" si="2"/>
        <v>0.25</v>
      </c>
      <c r="N89" s="17">
        <f t="shared" si="3"/>
        <v>0</v>
      </c>
      <c r="O89" s="17">
        <f t="shared" si="4"/>
        <v>0</v>
      </c>
      <c r="P89" s="17">
        <f t="shared" si="5"/>
        <v>0</v>
      </c>
      <c r="Q89" s="17" t="str">
        <f t="shared" ref="Q89:R89" si="94">IFERROR(J89/I89,"")</f>
        <v/>
      </c>
      <c r="R89" s="17" t="str">
        <f t="shared" si="94"/>
        <v/>
      </c>
      <c r="S89" s="17">
        <f t="shared" si="7"/>
        <v>0</v>
      </c>
      <c r="T89" s="17" t="str">
        <f t="shared" si="8"/>
        <v/>
      </c>
    </row>
    <row r="90" spans="2:20" ht="12.75">
      <c r="B90" s="1" t="str">
        <f>'Nov 9-15'!B50</f>
        <v>2 Montfern Avenue Unit 2</v>
      </c>
      <c r="C90" s="29" t="str">
        <f t="array" ref="C90">INDEX('Nov 23-29'!C:C,MATCH($B90,'Nov 23-29'!$B:$B,0))</f>
        <v>Y</v>
      </c>
      <c r="D90" s="29">
        <f t="array" ref="D90">INDEX('Nov 23-29'!D:D,MATCH($B90,'Nov 23-29'!$B:$B,0))</f>
        <v>35</v>
      </c>
      <c r="E90" s="65">
        <f t="shared" si="0"/>
        <v>13</v>
      </c>
      <c r="F90" s="66">
        <f t="shared" si="1"/>
        <v>1.7352503718393655E-2</v>
      </c>
      <c r="G90" s="65">
        <f t="array" ref="G90">INDEX('Nov 23-29'!E:E,MATCH($B90,'Nov 23-29'!$B:$B,0))</f>
        <v>18</v>
      </c>
      <c r="H90" s="65">
        <f t="array" ref="H90">INDEX('Nov 23-29'!F:F,MATCH($B90,'Nov 23-29'!$B:$B,0))</f>
        <v>2</v>
      </c>
      <c r="I90" s="65">
        <f t="array" ref="I90">INDEX('Nov 23-29'!G:G,MATCH($B90,'Nov 23-29'!$B:$B,0))</f>
        <v>2</v>
      </c>
      <c r="J90" s="65">
        <f t="array" ref="J90">INDEX('Nov 23-29'!H:H,MATCH($B90,'Nov 23-29'!$B:$B,0))</f>
        <v>0</v>
      </c>
      <c r="K90" s="65">
        <f t="array" ref="K90">INDEX('Nov 23-29'!I:I,MATCH($B90,'Nov 23-29'!$B:$B,0))</f>
        <v>1</v>
      </c>
      <c r="L90" s="65">
        <f t="array" ref="L90">INDEX('Nov 23-29'!J:J,MATCH($B90,'Nov 23-29'!$B:$B,0))</f>
        <v>1</v>
      </c>
      <c r="M90" s="17">
        <f t="shared" si="2"/>
        <v>0.51428571428571423</v>
      </c>
      <c r="N90" s="17">
        <f t="shared" si="3"/>
        <v>5.7142857142857141E-2</v>
      </c>
      <c r="O90" s="17">
        <f t="shared" si="4"/>
        <v>0.1111111111111111</v>
      </c>
      <c r="P90" s="17">
        <f t="shared" si="5"/>
        <v>0</v>
      </c>
      <c r="Q90" s="17">
        <f t="shared" ref="Q90:R90" si="95">IFERROR(J90/I90,"")</f>
        <v>0</v>
      </c>
      <c r="R90" s="17" t="str">
        <f t="shared" si="95"/>
        <v/>
      </c>
      <c r="S90" s="17">
        <f t="shared" si="7"/>
        <v>2.8571428571428571E-2</v>
      </c>
      <c r="T90" s="17">
        <f t="shared" si="8"/>
        <v>1</v>
      </c>
    </row>
    <row r="91" spans="2:20" ht="12.75">
      <c r="B91" s="1" t="str">
        <f>'Nov 9-15'!B75</f>
        <v>35 South Street Unit 7</v>
      </c>
      <c r="C91" s="29" t="str">
        <f t="array" ref="C91">INDEX('Nov 23-29'!C:C,MATCH($B91,'Nov 23-29'!$B:$B,0))</f>
        <v>Y</v>
      </c>
      <c r="D91" s="29">
        <f t="array" ref="D91">INDEX('Nov 23-29'!D:D,MATCH($B91,'Nov 23-29'!$B:$B,0))</f>
        <v>17</v>
      </c>
      <c r="E91" s="65">
        <f t="shared" si="0"/>
        <v>50</v>
      </c>
      <c r="F91" s="66">
        <f t="shared" si="1"/>
        <v>8.4283589489340602E-3</v>
      </c>
      <c r="G91" s="65">
        <f t="array" ref="G91">INDEX('Nov 23-29'!E:E,MATCH($B91,'Nov 23-29'!$B:$B,0))</f>
        <v>6</v>
      </c>
      <c r="H91" s="65">
        <f t="array" ref="H91">INDEX('Nov 23-29'!F:F,MATCH($B91,'Nov 23-29'!$B:$B,0))</f>
        <v>0</v>
      </c>
      <c r="I91" s="65">
        <f t="array" ref="I91">INDEX('Nov 23-29'!G:G,MATCH($B91,'Nov 23-29'!$B:$B,0))</f>
        <v>0</v>
      </c>
      <c r="J91" s="65">
        <f t="array" ref="J91">INDEX('Nov 23-29'!H:H,MATCH($B91,'Nov 23-29'!$B:$B,0))</f>
        <v>0</v>
      </c>
      <c r="K91" s="65">
        <f t="array" ref="K91">INDEX('Nov 23-29'!I:I,MATCH($B91,'Nov 23-29'!$B:$B,0))</f>
        <v>0</v>
      </c>
      <c r="L91" s="65">
        <f t="array" ref="L91">INDEX('Nov 23-29'!J:J,MATCH($B91,'Nov 23-29'!$B:$B,0))</f>
        <v>0</v>
      </c>
      <c r="M91" s="17">
        <f t="shared" si="2"/>
        <v>0.35294117647058826</v>
      </c>
      <c r="N91" s="17">
        <f t="shared" si="3"/>
        <v>0</v>
      </c>
      <c r="O91" s="17">
        <f t="shared" si="4"/>
        <v>0</v>
      </c>
      <c r="P91" s="17">
        <f t="shared" si="5"/>
        <v>0</v>
      </c>
      <c r="Q91" s="17" t="str">
        <f t="shared" ref="Q91:R91" si="96">IFERROR(J91/I91,"")</f>
        <v/>
      </c>
      <c r="R91" s="17" t="str">
        <f t="shared" si="96"/>
        <v/>
      </c>
      <c r="S91" s="17">
        <f t="shared" si="7"/>
        <v>0</v>
      </c>
      <c r="T91" s="17" t="str">
        <f t="shared" si="8"/>
        <v/>
      </c>
    </row>
    <row r="92" spans="2:20" ht="12.75">
      <c r="B92" s="1" t="str">
        <f>'Nov 9-15'!B111</f>
        <v>99 Marion Street Unit 3</v>
      </c>
      <c r="C92" s="29" t="str">
        <f t="array" ref="C92">INDEX('Nov 23-29'!C:C,MATCH($B92,'Nov 23-29'!$B:$B,0))</f>
        <v>Y</v>
      </c>
      <c r="D92" s="29">
        <f t="array" ref="D92">INDEX('Nov 23-29'!D:D,MATCH($B92,'Nov 23-29'!$B:$B,0))</f>
        <v>26</v>
      </c>
      <c r="E92" s="65">
        <f t="shared" si="0"/>
        <v>31</v>
      </c>
      <c r="F92" s="66">
        <f t="shared" si="1"/>
        <v>1.2890431333663858E-2</v>
      </c>
      <c r="G92" s="65">
        <f t="array" ref="G92">INDEX('Nov 23-29'!E:E,MATCH($B92,'Nov 23-29'!$B:$B,0))</f>
        <v>5</v>
      </c>
      <c r="H92" s="65">
        <f t="array" ref="H92">INDEX('Nov 23-29'!F:F,MATCH($B92,'Nov 23-29'!$B:$B,0))</f>
        <v>1</v>
      </c>
      <c r="I92" s="65">
        <f t="array" ref="I92">INDEX('Nov 23-29'!G:G,MATCH($B92,'Nov 23-29'!$B:$B,0))</f>
        <v>0</v>
      </c>
      <c r="J92" s="65">
        <f t="array" ref="J92">INDEX('Nov 23-29'!H:H,MATCH($B92,'Nov 23-29'!$B:$B,0))</f>
        <v>0</v>
      </c>
      <c r="K92" s="65">
        <f t="array" ref="K92">INDEX('Nov 23-29'!I:I,MATCH($B92,'Nov 23-29'!$B:$B,0))</f>
        <v>0</v>
      </c>
      <c r="L92" s="65">
        <f t="array" ref="L92">INDEX('Nov 23-29'!J:J,MATCH($B92,'Nov 23-29'!$B:$B,0))</f>
        <v>0</v>
      </c>
      <c r="M92" s="17">
        <f t="shared" si="2"/>
        <v>0.19230769230769232</v>
      </c>
      <c r="N92" s="17">
        <f t="shared" si="3"/>
        <v>0</v>
      </c>
      <c r="O92" s="17">
        <f t="shared" si="4"/>
        <v>0</v>
      </c>
      <c r="P92" s="17">
        <f t="shared" si="5"/>
        <v>0</v>
      </c>
      <c r="Q92" s="17" t="str">
        <f t="shared" ref="Q92:R92" si="97">IFERROR(J92/I92,"")</f>
        <v/>
      </c>
      <c r="R92" s="17" t="str">
        <f t="shared" si="97"/>
        <v/>
      </c>
      <c r="S92" s="17">
        <f t="shared" si="7"/>
        <v>0</v>
      </c>
      <c r="T92" s="17" t="str">
        <f t="shared" si="8"/>
        <v/>
      </c>
    </row>
    <row r="93" spans="2:20" ht="12.75">
      <c r="B93" s="1" t="str">
        <f>'Nov 9-15'!B83</f>
        <v>4 Litchfield Street Unit 2</v>
      </c>
      <c r="C93" s="29" t="str">
        <f t="array" ref="C93">INDEX('Nov 23-29'!C:C,MATCH($B93,'Nov 23-29'!$B:$B,0))</f>
        <v>N</v>
      </c>
      <c r="D93" s="29">
        <f t="array" ref="D93">INDEX('Nov 23-29'!D:D,MATCH($B93,'Nov 23-29'!$B:$B,0))</f>
        <v>0</v>
      </c>
      <c r="E93" s="65">
        <f t="shared" si="0"/>
        <v>92</v>
      </c>
      <c r="F93" s="66">
        <f t="shared" si="1"/>
        <v>0</v>
      </c>
      <c r="G93" s="65">
        <f t="array" ref="G93">INDEX('Nov 23-29'!E:E,MATCH($B93,'Nov 23-29'!$B:$B,0))</f>
        <v>0</v>
      </c>
      <c r="H93" s="65">
        <f t="array" ref="H93">INDEX('Nov 23-29'!F:F,MATCH($B93,'Nov 23-29'!$B:$B,0))</f>
        <v>0</v>
      </c>
      <c r="I93" s="65">
        <f t="array" ref="I93">INDEX('Nov 23-29'!G:G,MATCH($B93,'Nov 23-29'!$B:$B,0))</f>
        <v>0</v>
      </c>
      <c r="J93" s="65">
        <f t="array" ref="J93">INDEX('Nov 23-29'!H:H,MATCH($B93,'Nov 23-29'!$B:$B,0))</f>
        <v>0</v>
      </c>
      <c r="K93" s="65">
        <f t="array" ref="K93">INDEX('Nov 23-29'!I:I,MATCH($B93,'Nov 23-29'!$B:$B,0))</f>
        <v>0</v>
      </c>
      <c r="L93" s="65">
        <f t="array" ref="L93">INDEX('Nov 23-29'!J:J,MATCH($B93,'Nov 23-29'!$B:$B,0))</f>
        <v>0</v>
      </c>
      <c r="M93" s="17" t="str">
        <f t="shared" si="2"/>
        <v/>
      </c>
      <c r="N93" s="17" t="str">
        <f t="shared" si="3"/>
        <v/>
      </c>
      <c r="O93" s="17" t="str">
        <f t="shared" si="4"/>
        <v/>
      </c>
      <c r="P93" s="17" t="str">
        <f t="shared" si="5"/>
        <v/>
      </c>
      <c r="Q93" s="17" t="str">
        <f t="shared" ref="Q93:R93" si="98">IFERROR(J93/I93,"")</f>
        <v/>
      </c>
      <c r="R93" s="17" t="str">
        <f t="shared" si="98"/>
        <v/>
      </c>
      <c r="S93" s="17" t="str">
        <f t="shared" si="7"/>
        <v/>
      </c>
      <c r="T93" s="17" t="str">
        <f t="shared" si="8"/>
        <v/>
      </c>
    </row>
    <row r="94" spans="2:20" ht="12.75">
      <c r="B94" s="1" t="str">
        <f>'Nov 9-15'!B3</f>
        <v>10 7th Street</v>
      </c>
      <c r="C94" s="29" t="str">
        <f t="array" ref="C94">INDEX('Nov 23-29'!C:C,MATCH($B94,'Nov 23-29'!$B:$B,0))</f>
        <v>N</v>
      </c>
      <c r="D94" s="29">
        <f t="array" ref="D94">INDEX('Nov 23-29'!D:D,MATCH($B94,'Nov 23-29'!$B:$B,0))</f>
        <v>1</v>
      </c>
      <c r="E94" s="65">
        <f t="shared" si="0"/>
        <v>89</v>
      </c>
      <c r="F94" s="66">
        <f t="shared" si="1"/>
        <v>4.9578582052553293E-4</v>
      </c>
      <c r="G94" s="65">
        <f t="array" ref="G94">INDEX('Nov 23-29'!E:E,MATCH($B94,'Nov 23-29'!$B:$B,0))</f>
        <v>1</v>
      </c>
      <c r="H94" s="65">
        <f t="array" ref="H94">INDEX('Nov 23-29'!F:F,MATCH($B94,'Nov 23-29'!$B:$B,0))</f>
        <v>0</v>
      </c>
      <c r="I94" s="65">
        <f t="array" ref="I94">INDEX('Nov 23-29'!G:G,MATCH($B94,'Nov 23-29'!$B:$B,0))</f>
        <v>0</v>
      </c>
      <c r="J94" s="65">
        <f t="array" ref="J94">INDEX('Nov 23-29'!H:H,MATCH($B94,'Nov 23-29'!$B:$B,0))</f>
        <v>0</v>
      </c>
      <c r="K94" s="65">
        <f t="array" ref="K94">INDEX('Nov 23-29'!I:I,MATCH($B94,'Nov 23-29'!$B:$B,0))</f>
        <v>0</v>
      </c>
      <c r="L94" s="65">
        <f t="array" ref="L94">INDEX('Nov 23-29'!J:J,MATCH($B94,'Nov 23-29'!$B:$B,0))</f>
        <v>0</v>
      </c>
      <c r="M94" s="17">
        <f t="shared" si="2"/>
        <v>1</v>
      </c>
      <c r="N94" s="17">
        <f t="shared" si="3"/>
        <v>0</v>
      </c>
      <c r="O94" s="17">
        <f t="shared" si="4"/>
        <v>0</v>
      </c>
      <c r="P94" s="17">
        <f t="shared" si="5"/>
        <v>0</v>
      </c>
      <c r="Q94" s="17" t="str">
        <f t="shared" ref="Q94:R94" si="99">IFERROR(J94/I94,"")</f>
        <v/>
      </c>
      <c r="R94" s="17" t="str">
        <f t="shared" si="99"/>
        <v/>
      </c>
      <c r="S94" s="17">
        <f t="shared" si="7"/>
        <v>0</v>
      </c>
      <c r="T94" s="17" t="str">
        <f t="shared" si="8"/>
        <v/>
      </c>
    </row>
    <row r="95" spans="2:20" ht="12.75">
      <c r="B95" s="1" t="str">
        <f>'Nov 9-15'!B76</f>
        <v>357 Windsor Street Unit 2</v>
      </c>
      <c r="C95" s="29" t="str">
        <f t="array" ref="C95">INDEX('Nov 23-29'!C:C,MATCH($B95,'Nov 23-29'!$B:$B,0))</f>
        <v>Y</v>
      </c>
      <c r="D95" s="29">
        <f t="array" ref="D95">INDEX('Nov 23-29'!D:D,MATCH($B95,'Nov 23-29'!$B:$B,0))</f>
        <v>66</v>
      </c>
      <c r="E95" s="65">
        <f t="shared" si="0"/>
        <v>4</v>
      </c>
      <c r="F95" s="66">
        <f t="shared" si="1"/>
        <v>3.2721864154685178E-2</v>
      </c>
      <c r="G95" s="65">
        <f t="array" ref="G95">INDEX('Nov 23-29'!E:E,MATCH($B95,'Nov 23-29'!$B:$B,0))</f>
        <v>17</v>
      </c>
      <c r="H95" s="65">
        <f t="array" ref="H95">INDEX('Nov 23-29'!F:F,MATCH($B95,'Nov 23-29'!$B:$B,0))</f>
        <v>1</v>
      </c>
      <c r="I95" s="65">
        <f t="array" ref="I95">INDEX('Nov 23-29'!G:G,MATCH($B95,'Nov 23-29'!$B:$B,0))</f>
        <v>2</v>
      </c>
      <c r="J95" s="65">
        <f t="array" ref="J95">INDEX('Nov 23-29'!H:H,MATCH($B95,'Nov 23-29'!$B:$B,0))</f>
        <v>0</v>
      </c>
      <c r="K95" s="65">
        <f t="array" ref="K95">INDEX('Nov 23-29'!I:I,MATCH($B95,'Nov 23-29'!$B:$B,0))</f>
        <v>1</v>
      </c>
      <c r="L95" s="65">
        <f t="array" ref="L95">INDEX('Nov 23-29'!J:J,MATCH($B95,'Nov 23-29'!$B:$B,0))</f>
        <v>0</v>
      </c>
      <c r="M95" s="17">
        <f t="shared" si="2"/>
        <v>0.25757575757575757</v>
      </c>
      <c r="N95" s="17">
        <f t="shared" si="3"/>
        <v>3.0303030303030304E-2</v>
      </c>
      <c r="O95" s="17">
        <f t="shared" si="4"/>
        <v>0.11764705882352941</v>
      </c>
      <c r="P95" s="17">
        <f t="shared" si="5"/>
        <v>0</v>
      </c>
      <c r="Q95" s="17">
        <f t="shared" ref="Q95:R95" si="100">IFERROR(J95/I95,"")</f>
        <v>0</v>
      </c>
      <c r="R95" s="17" t="str">
        <f t="shared" si="100"/>
        <v/>
      </c>
      <c r="S95" s="17">
        <f t="shared" si="7"/>
        <v>0</v>
      </c>
      <c r="T95" s="17">
        <f t="shared" si="8"/>
        <v>0</v>
      </c>
    </row>
    <row r="96" spans="2:20" ht="12.75">
      <c r="B96" s="1" t="str">
        <f>'Nov 9-15'!B77</f>
        <v>376 Prospect Street Unit 2</v>
      </c>
      <c r="C96" s="29" t="str">
        <f t="array" ref="C96">INDEX('Nov 23-29'!C:C,MATCH($B96,'Nov 23-29'!$B:$B,0))</f>
        <v>Y</v>
      </c>
      <c r="D96" s="29">
        <f t="array" ref="D96">INDEX('Nov 23-29'!D:D,MATCH($B96,'Nov 23-29'!$B:$B,0))</f>
        <v>55</v>
      </c>
      <c r="E96" s="65">
        <f t="shared" si="0"/>
        <v>6</v>
      </c>
      <c r="F96" s="66">
        <f t="shared" si="1"/>
        <v>2.7268220128904314E-2</v>
      </c>
      <c r="G96" s="65">
        <f t="array" ref="G96">INDEX('Nov 23-29'!E:E,MATCH($B96,'Nov 23-29'!$B:$B,0))</f>
        <v>10</v>
      </c>
      <c r="H96" s="65">
        <f t="array" ref="H96">INDEX('Nov 23-29'!F:F,MATCH($B96,'Nov 23-29'!$B:$B,0))</f>
        <v>1</v>
      </c>
      <c r="I96" s="65">
        <f t="array" ref="I96">INDEX('Nov 23-29'!G:G,MATCH($B96,'Nov 23-29'!$B:$B,0))</f>
        <v>2</v>
      </c>
      <c r="J96" s="65">
        <f t="array" ref="J96">INDEX('Nov 23-29'!H:H,MATCH($B96,'Nov 23-29'!$B:$B,0))</f>
        <v>0</v>
      </c>
      <c r="K96" s="65">
        <f t="array" ref="K96">INDEX('Nov 23-29'!I:I,MATCH($B96,'Nov 23-29'!$B:$B,0))</f>
        <v>0</v>
      </c>
      <c r="L96" s="65">
        <f t="array" ref="L96">INDEX('Nov 23-29'!J:J,MATCH($B96,'Nov 23-29'!$B:$B,0))</f>
        <v>0</v>
      </c>
      <c r="M96" s="17">
        <f t="shared" si="2"/>
        <v>0.18181818181818182</v>
      </c>
      <c r="N96" s="17">
        <f t="shared" si="3"/>
        <v>3.6363636363636362E-2</v>
      </c>
      <c r="O96" s="17">
        <f t="shared" si="4"/>
        <v>0.2</v>
      </c>
      <c r="P96" s="17">
        <f t="shared" si="5"/>
        <v>0</v>
      </c>
      <c r="Q96" s="17">
        <f t="shared" ref="Q96:R96" si="101">IFERROR(J96/I96,"")</f>
        <v>0</v>
      </c>
      <c r="R96" s="17" t="str">
        <f t="shared" si="101"/>
        <v/>
      </c>
      <c r="S96" s="17">
        <f t="shared" si="7"/>
        <v>0</v>
      </c>
      <c r="T96" s="17" t="str">
        <f t="shared" si="8"/>
        <v/>
      </c>
    </row>
    <row r="97" spans="1:37" ht="12.75">
      <c r="B97" s="1" t="str">
        <f>'Nov 9-15'!B40</f>
        <v>179 Massachusetts Avenue Unit 2</v>
      </c>
      <c r="C97" s="29" t="str">
        <f t="array" ref="C97">INDEX('Nov 23-29'!C:C,MATCH($B97,'Nov 23-29'!$B:$B,0))</f>
        <v>Y</v>
      </c>
      <c r="D97" s="29">
        <f t="array" ref="D97">INDEX('Nov 23-29'!D:D,MATCH($B97,'Nov 23-29'!$B:$B,0))</f>
        <v>28</v>
      </c>
      <c r="E97" s="65">
        <f t="shared" si="0"/>
        <v>23</v>
      </c>
      <c r="F97" s="66">
        <f t="shared" si="1"/>
        <v>1.3882002974714923E-2</v>
      </c>
      <c r="G97" s="65">
        <f t="array" ref="G97">INDEX('Nov 23-29'!E:E,MATCH($B97,'Nov 23-29'!$B:$B,0))</f>
        <v>5</v>
      </c>
      <c r="H97" s="65">
        <f t="array" ref="H97">INDEX('Nov 23-29'!F:F,MATCH($B97,'Nov 23-29'!$B:$B,0))</f>
        <v>1</v>
      </c>
      <c r="I97" s="65">
        <f t="array" ref="I97">INDEX('Nov 23-29'!G:G,MATCH($B97,'Nov 23-29'!$B:$B,0))</f>
        <v>0</v>
      </c>
      <c r="J97" s="65">
        <f t="array" ref="J97">INDEX('Nov 23-29'!H:H,MATCH($B97,'Nov 23-29'!$B:$B,0))</f>
        <v>0</v>
      </c>
      <c r="K97" s="65">
        <f t="array" ref="K97">INDEX('Nov 23-29'!I:I,MATCH($B97,'Nov 23-29'!$B:$B,0))</f>
        <v>0</v>
      </c>
      <c r="L97" s="65">
        <f t="array" ref="L97">INDEX('Nov 23-29'!J:J,MATCH($B97,'Nov 23-29'!$B:$B,0))</f>
        <v>0</v>
      </c>
      <c r="M97" s="17">
        <f t="shared" si="2"/>
        <v>0.17857142857142858</v>
      </c>
      <c r="N97" s="17">
        <f t="shared" si="3"/>
        <v>0</v>
      </c>
      <c r="O97" s="17">
        <f t="shared" si="4"/>
        <v>0</v>
      </c>
      <c r="P97" s="17">
        <f t="shared" si="5"/>
        <v>0</v>
      </c>
      <c r="Q97" s="17" t="str">
        <f t="shared" ref="Q97:R97" si="102">IFERROR(J97/I97,"")</f>
        <v/>
      </c>
      <c r="R97" s="17" t="str">
        <f t="shared" si="102"/>
        <v/>
      </c>
      <c r="S97" s="17">
        <f t="shared" si="7"/>
        <v>0</v>
      </c>
      <c r="T97" s="17" t="str">
        <f t="shared" si="8"/>
        <v/>
      </c>
    </row>
    <row r="98" spans="1:37" ht="12.75">
      <c r="B98" s="1" t="str">
        <f>'Nov 9-15'!B78</f>
        <v>379 Broadway Street Unit 43</v>
      </c>
      <c r="C98" s="29" t="str">
        <f t="array" ref="C98">INDEX('Nov 23-29'!C:C,MATCH($B98,'Nov 23-29'!$B:$B,0))</f>
        <v>Y</v>
      </c>
      <c r="D98" s="29">
        <f t="array" ref="D98">INDEX('Nov 23-29'!D:D,MATCH($B98,'Nov 23-29'!$B:$B,0))</f>
        <v>2</v>
      </c>
      <c r="E98" s="65">
        <f t="shared" si="0"/>
        <v>83</v>
      </c>
      <c r="F98" s="66">
        <f t="shared" si="1"/>
        <v>9.9157164105106587E-4</v>
      </c>
      <c r="G98" s="65">
        <f t="array" ref="G98">INDEX('Nov 23-29'!E:E,MATCH($B98,'Nov 23-29'!$B:$B,0))</f>
        <v>0</v>
      </c>
      <c r="H98" s="65">
        <f t="array" ref="H98">INDEX('Nov 23-29'!F:F,MATCH($B98,'Nov 23-29'!$B:$B,0))</f>
        <v>1</v>
      </c>
      <c r="I98" s="65">
        <f t="array" ref="I98">INDEX('Nov 23-29'!G:G,MATCH($B98,'Nov 23-29'!$B:$B,0))</f>
        <v>0</v>
      </c>
      <c r="J98" s="65">
        <f t="array" ref="J98">INDEX('Nov 23-29'!H:H,MATCH($B98,'Nov 23-29'!$B:$B,0))</f>
        <v>0</v>
      </c>
      <c r="K98" s="65">
        <f t="array" ref="K98">INDEX('Nov 23-29'!I:I,MATCH($B98,'Nov 23-29'!$B:$B,0))</f>
        <v>0</v>
      </c>
      <c r="L98" s="65">
        <f t="array" ref="L98">INDEX('Nov 23-29'!J:J,MATCH($B98,'Nov 23-29'!$B:$B,0))</f>
        <v>0</v>
      </c>
      <c r="M98" s="17">
        <f t="shared" si="2"/>
        <v>0</v>
      </c>
      <c r="N98" s="17">
        <f t="shared" si="3"/>
        <v>0</v>
      </c>
      <c r="O98" s="17" t="str">
        <f t="shared" si="4"/>
        <v/>
      </c>
      <c r="P98" s="17">
        <f t="shared" si="5"/>
        <v>0</v>
      </c>
      <c r="Q98" s="17" t="str">
        <f t="shared" ref="Q98:R98" si="103">IFERROR(J98/I98,"")</f>
        <v/>
      </c>
      <c r="R98" s="17" t="str">
        <f t="shared" si="103"/>
        <v/>
      </c>
      <c r="S98" s="17">
        <f t="shared" si="7"/>
        <v>0</v>
      </c>
      <c r="T98" s="17" t="str">
        <f t="shared" si="8"/>
        <v/>
      </c>
    </row>
    <row r="99" spans="1:37" ht="12.75">
      <c r="B99" s="1" t="str">
        <f>'Nov 9-15'!B44</f>
        <v>19 Mercer Street Unit 1</v>
      </c>
      <c r="C99" s="29" t="str">
        <f t="array" ref="C99">INDEX('Nov 23-29'!C:C,MATCH($B99,'Nov 23-29'!$B:$B,0))</f>
        <v>Y</v>
      </c>
      <c r="D99" s="29">
        <f t="array" ref="D99">INDEX('Nov 23-29'!D:D,MATCH($B99,'Nov 23-29'!$B:$B,0))</f>
        <v>4</v>
      </c>
      <c r="E99" s="65">
        <f t="shared" si="0"/>
        <v>76</v>
      </c>
      <c r="F99" s="66">
        <f t="shared" si="1"/>
        <v>1.9831432821021317E-3</v>
      </c>
      <c r="G99" s="65">
        <f t="array" ref="G99">INDEX('Nov 23-29'!E:E,MATCH($B99,'Nov 23-29'!$B:$B,0))</f>
        <v>0</v>
      </c>
      <c r="H99" s="65">
        <f t="array" ref="H99">INDEX('Nov 23-29'!F:F,MATCH($B99,'Nov 23-29'!$B:$B,0))</f>
        <v>0</v>
      </c>
      <c r="I99" s="65">
        <f t="array" ref="I99">INDEX('Nov 23-29'!G:G,MATCH($B99,'Nov 23-29'!$B:$B,0))</f>
        <v>0</v>
      </c>
      <c r="J99" s="65">
        <f t="array" ref="J99">INDEX('Nov 23-29'!H:H,MATCH($B99,'Nov 23-29'!$B:$B,0))</f>
        <v>0</v>
      </c>
      <c r="K99" s="65">
        <f t="array" ref="K99">INDEX('Nov 23-29'!I:I,MATCH($B99,'Nov 23-29'!$B:$B,0))</f>
        <v>0</v>
      </c>
      <c r="L99" s="65">
        <f t="array" ref="L99">INDEX('Nov 23-29'!J:J,MATCH($B99,'Nov 23-29'!$B:$B,0))</f>
        <v>0</v>
      </c>
      <c r="M99" s="17">
        <f t="shared" si="2"/>
        <v>0</v>
      </c>
      <c r="N99" s="17">
        <f t="shared" si="3"/>
        <v>0</v>
      </c>
      <c r="O99" s="17" t="str">
        <f t="shared" si="4"/>
        <v/>
      </c>
      <c r="P99" s="17">
        <f t="shared" si="5"/>
        <v>0</v>
      </c>
      <c r="Q99" s="17" t="str">
        <f t="shared" ref="Q99:R99" si="104">IFERROR(J99/I99,"")</f>
        <v/>
      </c>
      <c r="R99" s="17" t="str">
        <f t="shared" si="104"/>
        <v/>
      </c>
      <c r="S99" s="17">
        <f t="shared" si="7"/>
        <v>0</v>
      </c>
      <c r="T99" s="17" t="str">
        <f t="shared" si="8"/>
        <v/>
      </c>
    </row>
    <row r="100" spans="1:37" ht="12.75">
      <c r="B100" s="1" t="str">
        <f>'Nov 9-15'!B23</f>
        <v>12 Verndale Street Unit 2</v>
      </c>
      <c r="C100" s="29" t="str">
        <f t="array" ref="C100">INDEX('Nov 23-29'!C:C,MATCH($B100,'Nov 23-29'!$B:$B,0))</f>
        <v>Y</v>
      </c>
      <c r="D100" s="29">
        <f t="array" ref="D100">INDEX('Nov 23-29'!D:D,MATCH($B100,'Nov 23-29'!$B:$B,0))</f>
        <v>26</v>
      </c>
      <c r="E100" s="65">
        <f t="shared" si="0"/>
        <v>31</v>
      </c>
      <c r="F100" s="66">
        <f t="shared" si="1"/>
        <v>1.2890431333663858E-2</v>
      </c>
      <c r="G100" s="65">
        <f t="array" ref="G100">INDEX('Nov 23-29'!E:E,MATCH($B100,'Nov 23-29'!$B:$B,0))</f>
        <v>10</v>
      </c>
      <c r="H100" s="65">
        <f t="array" ref="H100">INDEX('Nov 23-29'!F:F,MATCH($B100,'Nov 23-29'!$B:$B,0))</f>
        <v>3</v>
      </c>
      <c r="I100" s="65">
        <f t="array" ref="I100">INDEX('Nov 23-29'!G:G,MATCH($B100,'Nov 23-29'!$B:$B,0))</f>
        <v>0</v>
      </c>
      <c r="J100" s="65">
        <f t="array" ref="J100">INDEX('Nov 23-29'!H:H,MATCH($B100,'Nov 23-29'!$B:$B,0))</f>
        <v>1</v>
      </c>
      <c r="K100" s="65">
        <f t="array" ref="K100">INDEX('Nov 23-29'!I:I,MATCH($B100,'Nov 23-29'!$B:$B,0))</f>
        <v>0</v>
      </c>
      <c r="L100" s="65">
        <f t="array" ref="L100">INDEX('Nov 23-29'!J:J,MATCH($B100,'Nov 23-29'!$B:$B,0))</f>
        <v>0</v>
      </c>
      <c r="M100" s="17">
        <f t="shared" si="2"/>
        <v>0.38461538461538464</v>
      </c>
      <c r="N100" s="17">
        <f t="shared" si="3"/>
        <v>0</v>
      </c>
      <c r="O100" s="17">
        <f t="shared" si="4"/>
        <v>0</v>
      </c>
      <c r="P100" s="17">
        <f t="shared" si="5"/>
        <v>3.8461538461538464E-2</v>
      </c>
      <c r="Q100" s="17" t="str">
        <f t="shared" ref="Q100:R100" si="105">IFERROR(J100/I100,"")</f>
        <v/>
      </c>
      <c r="R100" s="17">
        <f t="shared" si="105"/>
        <v>0</v>
      </c>
      <c r="S100" s="17">
        <f t="shared" si="7"/>
        <v>0</v>
      </c>
      <c r="T100" s="17" t="str">
        <f t="shared" si="8"/>
        <v/>
      </c>
    </row>
    <row r="101" spans="1:37" ht="12.75">
      <c r="B101" s="1" t="str">
        <f>'Nov 9-15'!B79</f>
        <v>379 Broadway Street Unit 7</v>
      </c>
      <c r="C101" s="29" t="str">
        <f t="array" ref="C101">INDEX('Nov 23-29'!C:C,MATCH($B101,'Nov 23-29'!$B:$B,0))</f>
        <v>Y</v>
      </c>
      <c r="D101" s="29">
        <f t="array" ref="D101">INDEX('Nov 23-29'!D:D,MATCH($B101,'Nov 23-29'!$B:$B,0))</f>
        <v>14</v>
      </c>
      <c r="E101" s="65">
        <f t="shared" si="0"/>
        <v>54</v>
      </c>
      <c r="F101" s="66">
        <f t="shared" si="1"/>
        <v>6.9410014873574613E-3</v>
      </c>
      <c r="G101" s="65">
        <f t="array" ref="G101">INDEX('Nov 23-29'!E:E,MATCH($B101,'Nov 23-29'!$B:$B,0))</f>
        <v>3</v>
      </c>
      <c r="H101" s="65">
        <f t="array" ref="H101">INDEX('Nov 23-29'!F:F,MATCH($B101,'Nov 23-29'!$B:$B,0))</f>
        <v>2</v>
      </c>
      <c r="I101" s="65">
        <f t="array" ref="I101">INDEX('Nov 23-29'!G:G,MATCH($B101,'Nov 23-29'!$B:$B,0))</f>
        <v>0</v>
      </c>
      <c r="J101" s="65">
        <f t="array" ref="J101">INDEX('Nov 23-29'!H:H,MATCH($B101,'Nov 23-29'!$B:$B,0))</f>
        <v>0</v>
      </c>
      <c r="K101" s="65">
        <f t="array" ref="K101">INDEX('Nov 23-29'!I:I,MATCH($B101,'Nov 23-29'!$B:$B,0))</f>
        <v>0</v>
      </c>
      <c r="L101" s="65">
        <f t="array" ref="L101">INDEX('Nov 23-29'!J:J,MATCH($B101,'Nov 23-29'!$B:$B,0))</f>
        <v>0</v>
      </c>
      <c r="M101" s="17">
        <f t="shared" si="2"/>
        <v>0.21428571428571427</v>
      </c>
      <c r="N101" s="17">
        <f t="shared" si="3"/>
        <v>0</v>
      </c>
      <c r="O101" s="17">
        <f t="shared" si="4"/>
        <v>0</v>
      </c>
      <c r="P101" s="17">
        <f t="shared" si="5"/>
        <v>0</v>
      </c>
      <c r="Q101" s="17" t="str">
        <f t="shared" ref="Q101:R101" si="106">IFERROR(J101/I101,"")</f>
        <v/>
      </c>
      <c r="R101" s="17" t="str">
        <f t="shared" si="106"/>
        <v/>
      </c>
      <c r="S101" s="17">
        <f t="shared" si="7"/>
        <v>0</v>
      </c>
      <c r="T101" s="17" t="str">
        <f t="shared" si="8"/>
        <v/>
      </c>
    </row>
    <row r="102" spans="1:37" ht="12.75">
      <c r="B102" s="1" t="str">
        <f>'Nov 9-15'!B80</f>
        <v>38 Day Street Unit 42</v>
      </c>
      <c r="C102" s="29" t="str">
        <f t="array" ref="C102">INDEX('Nov 23-29'!C:C,MATCH($B102,'Nov 23-29'!$B:$B,0))</f>
        <v>Y</v>
      </c>
      <c r="D102" s="29">
        <f t="array" ref="D102">INDEX('Nov 23-29'!D:D,MATCH($B102,'Nov 23-29'!$B:$B,0))</f>
        <v>19</v>
      </c>
      <c r="E102" s="65">
        <f t="shared" si="0"/>
        <v>44</v>
      </c>
      <c r="F102" s="66">
        <f t="shared" si="1"/>
        <v>9.4199305899851267E-3</v>
      </c>
      <c r="G102" s="65">
        <f t="array" ref="G102">INDEX('Nov 23-29'!E:E,MATCH($B102,'Nov 23-29'!$B:$B,0))</f>
        <v>1</v>
      </c>
      <c r="H102" s="65">
        <f t="array" ref="H102">INDEX('Nov 23-29'!F:F,MATCH($B102,'Nov 23-29'!$B:$B,0))</f>
        <v>0</v>
      </c>
      <c r="I102" s="65">
        <f t="array" ref="I102">INDEX('Nov 23-29'!G:G,MATCH($B102,'Nov 23-29'!$B:$B,0))</f>
        <v>1</v>
      </c>
      <c r="J102" s="65">
        <f t="array" ref="J102">INDEX('Nov 23-29'!H:H,MATCH($B102,'Nov 23-29'!$B:$B,0))</f>
        <v>0</v>
      </c>
      <c r="K102" s="65">
        <f t="array" ref="K102">INDEX('Nov 23-29'!I:I,MATCH($B102,'Nov 23-29'!$B:$B,0))</f>
        <v>0</v>
      </c>
      <c r="L102" s="65">
        <f t="array" ref="L102">INDEX('Nov 23-29'!J:J,MATCH($B102,'Nov 23-29'!$B:$B,0))</f>
        <v>0</v>
      </c>
      <c r="M102" s="17">
        <f t="shared" si="2"/>
        <v>5.2631578947368418E-2</v>
      </c>
      <c r="N102" s="17">
        <f t="shared" si="3"/>
        <v>5.2631578947368418E-2</v>
      </c>
      <c r="O102" s="17">
        <f t="shared" si="4"/>
        <v>1</v>
      </c>
      <c r="P102" s="17">
        <f t="shared" si="5"/>
        <v>0</v>
      </c>
      <c r="Q102" s="17">
        <f t="shared" ref="Q102:R102" si="107">IFERROR(J102/I102,"")</f>
        <v>0</v>
      </c>
      <c r="R102" s="17" t="str">
        <f t="shared" si="107"/>
        <v/>
      </c>
      <c r="S102" s="17">
        <f t="shared" si="7"/>
        <v>0</v>
      </c>
      <c r="T102" s="17" t="str">
        <f t="shared" si="8"/>
        <v/>
      </c>
    </row>
    <row r="103" spans="1:37" ht="12.75">
      <c r="B103" s="1" t="str">
        <f>'Nov 9-15'!B96</f>
        <v>64 Sudan Street Unit 3</v>
      </c>
      <c r="C103" s="29" t="str">
        <f t="array" ref="C103">INDEX('Nov 23-29'!C:C,MATCH($B103,'Nov 23-29'!$B:$B,0))</f>
        <v>N</v>
      </c>
      <c r="D103" s="29">
        <f t="array" ref="D103">INDEX('Nov 23-29'!D:D,MATCH($B103,'Nov 23-29'!$B:$B,0))</f>
        <v>0</v>
      </c>
      <c r="E103" s="65">
        <f t="shared" si="0"/>
        <v>92</v>
      </c>
      <c r="F103" s="66">
        <f t="shared" si="1"/>
        <v>0</v>
      </c>
      <c r="G103" s="65">
        <f t="array" ref="G103">INDEX('Nov 23-29'!E:E,MATCH($B103,'Nov 23-29'!$B:$B,0))</f>
        <v>0</v>
      </c>
      <c r="H103" s="65">
        <f t="array" ref="H103">INDEX('Nov 23-29'!F:F,MATCH($B103,'Nov 23-29'!$B:$B,0))</f>
        <v>0</v>
      </c>
      <c r="I103" s="65">
        <f t="array" ref="I103">INDEX('Nov 23-29'!G:G,MATCH($B103,'Nov 23-29'!$B:$B,0))</f>
        <v>0</v>
      </c>
      <c r="J103" s="65">
        <f t="array" ref="J103">INDEX('Nov 23-29'!H:H,MATCH($B103,'Nov 23-29'!$B:$B,0))</f>
        <v>0</v>
      </c>
      <c r="K103" s="65">
        <f t="array" ref="K103">INDEX('Nov 23-29'!I:I,MATCH($B103,'Nov 23-29'!$B:$B,0))</f>
        <v>0</v>
      </c>
      <c r="L103" s="65">
        <f t="array" ref="L103">INDEX('Nov 23-29'!J:J,MATCH($B103,'Nov 23-29'!$B:$B,0))</f>
        <v>0</v>
      </c>
      <c r="M103" s="17" t="str">
        <f t="shared" si="2"/>
        <v/>
      </c>
      <c r="N103" s="17" t="str">
        <f t="shared" si="3"/>
        <v/>
      </c>
      <c r="O103" s="17" t="str">
        <f t="shared" si="4"/>
        <v/>
      </c>
      <c r="P103" s="17" t="str">
        <f t="shared" si="5"/>
        <v/>
      </c>
      <c r="Q103" s="17" t="str">
        <f t="shared" ref="Q103:R103" si="108">IFERROR(J103/I103,"")</f>
        <v/>
      </c>
      <c r="R103" s="17" t="str">
        <f t="shared" si="108"/>
        <v/>
      </c>
      <c r="S103" s="17" t="str">
        <f t="shared" si="7"/>
        <v/>
      </c>
      <c r="T103" s="17" t="str">
        <f t="shared" si="8"/>
        <v/>
      </c>
    </row>
    <row r="104" spans="1:37" ht="12.75">
      <c r="B104" s="1" t="str">
        <f>'Nov 9-15'!B100</f>
        <v>8 Elko Street Unit 5</v>
      </c>
      <c r="C104" s="29" t="str">
        <f t="array" ref="C104">INDEX('Nov 23-29'!C:C,MATCH($B104,'Nov 23-29'!$B:$B,0))</f>
        <v>Y</v>
      </c>
      <c r="D104" s="29">
        <f t="array" ref="D104">INDEX('Nov 23-29'!D:D,MATCH($B104,'Nov 23-29'!$B:$B,0))</f>
        <v>2</v>
      </c>
      <c r="E104" s="65">
        <f t="shared" si="0"/>
        <v>83</v>
      </c>
      <c r="F104" s="66">
        <f t="shared" si="1"/>
        <v>9.9157164105106587E-4</v>
      </c>
      <c r="G104" s="65">
        <f t="array" ref="G104">INDEX('Nov 23-29'!E:E,MATCH($B104,'Nov 23-29'!$B:$B,0))</f>
        <v>2</v>
      </c>
      <c r="H104" s="65">
        <f t="array" ref="H104">INDEX('Nov 23-29'!F:F,MATCH($B104,'Nov 23-29'!$B:$B,0))</f>
        <v>1</v>
      </c>
      <c r="I104" s="65">
        <f t="array" ref="I104">INDEX('Nov 23-29'!G:G,MATCH($B104,'Nov 23-29'!$B:$B,0))</f>
        <v>0</v>
      </c>
      <c r="J104" s="65">
        <f t="array" ref="J104">INDEX('Nov 23-29'!H:H,MATCH($B104,'Nov 23-29'!$B:$B,0))</f>
        <v>0</v>
      </c>
      <c r="K104" s="65">
        <f t="array" ref="K104">INDEX('Nov 23-29'!I:I,MATCH($B104,'Nov 23-29'!$B:$B,0))</f>
        <v>0</v>
      </c>
      <c r="L104" s="65">
        <f t="array" ref="L104">INDEX('Nov 23-29'!J:J,MATCH($B104,'Nov 23-29'!$B:$B,0))</f>
        <v>0</v>
      </c>
      <c r="M104" s="17">
        <f t="shared" si="2"/>
        <v>1</v>
      </c>
      <c r="N104" s="17">
        <f t="shared" si="3"/>
        <v>0</v>
      </c>
      <c r="O104" s="17">
        <f t="shared" si="4"/>
        <v>0</v>
      </c>
      <c r="P104" s="17">
        <f t="shared" si="5"/>
        <v>0</v>
      </c>
      <c r="Q104" s="17" t="str">
        <f t="shared" ref="Q104:R104" si="109">IFERROR(J104/I104,"")</f>
        <v/>
      </c>
      <c r="R104" s="17" t="str">
        <f t="shared" si="109"/>
        <v/>
      </c>
      <c r="S104" s="17">
        <f t="shared" si="7"/>
        <v>0</v>
      </c>
      <c r="T104" s="17" t="str">
        <f t="shared" si="8"/>
        <v/>
      </c>
    </row>
    <row r="105" spans="1:37" ht="12.75">
      <c r="B105" s="1" t="str">
        <f>'Nov 9-15'!B9</f>
        <v>108 Central Street Unit 3L</v>
      </c>
      <c r="C105" s="29" t="str">
        <f t="array" ref="C105">INDEX('Nov 23-29'!C:C,MATCH($B105,'Nov 23-29'!$B:$B,0))</f>
        <v>Y</v>
      </c>
      <c r="D105" s="29">
        <f t="array" ref="D105">INDEX('Nov 23-29'!D:D,MATCH($B105,'Nov 23-29'!$B:$B,0))</f>
        <v>21</v>
      </c>
      <c r="E105" s="65">
        <f t="shared" si="0"/>
        <v>37</v>
      </c>
      <c r="F105" s="66">
        <f t="shared" si="1"/>
        <v>1.0411502231036193E-2</v>
      </c>
      <c r="G105" s="65">
        <f t="array" ref="G105">INDEX('Nov 23-29'!E:E,MATCH($B105,'Nov 23-29'!$B:$B,0))</f>
        <v>6</v>
      </c>
      <c r="H105" s="65">
        <f t="array" ref="H105">INDEX('Nov 23-29'!F:F,MATCH($B105,'Nov 23-29'!$B:$B,0))</f>
        <v>0</v>
      </c>
      <c r="I105" s="65">
        <f t="array" ref="I105">INDEX('Nov 23-29'!G:G,MATCH($B105,'Nov 23-29'!$B:$B,0))</f>
        <v>0</v>
      </c>
      <c r="J105" s="65">
        <f t="array" ref="J105">INDEX('Nov 23-29'!H:H,MATCH($B105,'Nov 23-29'!$B:$B,0))</f>
        <v>0</v>
      </c>
      <c r="K105" s="65">
        <f t="array" ref="K105">INDEX('Nov 23-29'!I:I,MATCH($B105,'Nov 23-29'!$B:$B,0))</f>
        <v>0</v>
      </c>
      <c r="L105" s="65">
        <f t="array" ref="L105">INDEX('Nov 23-29'!J:J,MATCH($B105,'Nov 23-29'!$B:$B,0))</f>
        <v>0</v>
      </c>
      <c r="M105" s="17">
        <f t="shared" si="2"/>
        <v>0.2857142857142857</v>
      </c>
      <c r="N105" s="17">
        <f t="shared" si="3"/>
        <v>0</v>
      </c>
      <c r="O105" s="17">
        <f t="shared" si="4"/>
        <v>0</v>
      </c>
      <c r="P105" s="17">
        <f t="shared" si="5"/>
        <v>0</v>
      </c>
      <c r="Q105" s="17" t="str">
        <f t="shared" ref="Q105:R105" si="110">IFERROR(J105/I105,"")</f>
        <v/>
      </c>
      <c r="R105" s="17" t="str">
        <f t="shared" si="110"/>
        <v/>
      </c>
      <c r="S105" s="17">
        <f t="shared" si="7"/>
        <v>0</v>
      </c>
      <c r="T105" s="17" t="str">
        <f t="shared" si="8"/>
        <v/>
      </c>
    </row>
    <row r="106" spans="1:37" ht="12.75">
      <c r="B106" s="1" t="str">
        <f>'Nov 9-15'!B45</f>
        <v>19 Wallingford Road Unit 1</v>
      </c>
      <c r="C106" s="29" t="str">
        <f t="array" ref="C106">INDEX('Nov 23-29'!C:C,MATCH($B106,'Nov 23-29'!$B:$B,0))</f>
        <v>Y</v>
      </c>
      <c r="D106" s="29">
        <f t="array" ref="D106">INDEX('Nov 23-29'!D:D,MATCH($B106,'Nov 23-29'!$B:$B,0))</f>
        <v>34</v>
      </c>
      <c r="E106" s="65">
        <f t="shared" si="0"/>
        <v>14</v>
      </c>
      <c r="F106" s="66">
        <f t="shared" si="1"/>
        <v>1.685671789786812E-2</v>
      </c>
      <c r="G106" s="65">
        <f t="array" ref="G106">INDEX('Nov 23-29'!E:E,MATCH($B106,'Nov 23-29'!$B:$B,0))</f>
        <v>17</v>
      </c>
      <c r="H106" s="65">
        <f t="array" ref="H106">INDEX('Nov 23-29'!F:F,MATCH($B106,'Nov 23-29'!$B:$B,0))</f>
        <v>3</v>
      </c>
      <c r="I106" s="65">
        <f t="array" ref="I106">INDEX('Nov 23-29'!G:G,MATCH($B106,'Nov 23-29'!$B:$B,0))</f>
        <v>2</v>
      </c>
      <c r="J106" s="65">
        <f t="array" ref="J106">INDEX('Nov 23-29'!H:H,MATCH($B106,'Nov 23-29'!$B:$B,0))</f>
        <v>0</v>
      </c>
      <c r="K106" s="65">
        <f t="array" ref="K106">INDEX('Nov 23-29'!I:I,MATCH($B106,'Nov 23-29'!$B:$B,0))</f>
        <v>1</v>
      </c>
      <c r="L106" s="65">
        <f t="array" ref="L106">INDEX('Nov 23-29'!J:J,MATCH($B106,'Nov 23-29'!$B:$B,0))</f>
        <v>0</v>
      </c>
      <c r="M106" s="17">
        <f t="shared" si="2"/>
        <v>0.5</v>
      </c>
      <c r="N106" s="17">
        <f t="shared" si="3"/>
        <v>5.8823529411764705E-2</v>
      </c>
      <c r="O106" s="17">
        <f t="shared" si="4"/>
        <v>0.11764705882352941</v>
      </c>
      <c r="P106" s="17">
        <f t="shared" si="5"/>
        <v>0</v>
      </c>
      <c r="Q106" s="17">
        <f t="shared" ref="Q106:R106" si="111">IFERROR(J106/I106,"")</f>
        <v>0</v>
      </c>
      <c r="R106" s="17" t="str">
        <f t="shared" si="111"/>
        <v/>
      </c>
      <c r="S106" s="17">
        <f t="shared" si="7"/>
        <v>0</v>
      </c>
      <c r="T106" s="17">
        <f t="shared" si="8"/>
        <v>0</v>
      </c>
    </row>
    <row r="107" spans="1:37" ht="12.75">
      <c r="B107" s="1" t="str">
        <f>'Nov 9-15'!B57</f>
        <v>23 Rogers Avenue Unit 1</v>
      </c>
      <c r="C107" s="29" t="str">
        <f t="array" ref="C107">INDEX('Nov 23-29'!C:C,MATCH($B107,'Nov 23-29'!$B:$B,0))</f>
        <v>Y</v>
      </c>
      <c r="D107" s="29">
        <f t="array" ref="D107">INDEX('Nov 23-29'!D:D,MATCH($B107,'Nov 23-29'!$B:$B,0))</f>
        <v>28</v>
      </c>
      <c r="E107" s="65">
        <f t="shared" si="0"/>
        <v>23</v>
      </c>
      <c r="F107" s="66">
        <f t="shared" si="1"/>
        <v>1.3882002974714923E-2</v>
      </c>
      <c r="G107" s="65">
        <f t="array" ref="G107">INDEX('Nov 23-29'!E:E,MATCH($B107,'Nov 23-29'!$B:$B,0))</f>
        <v>9</v>
      </c>
      <c r="H107" s="65">
        <f t="array" ref="H107">INDEX('Nov 23-29'!F:F,MATCH($B107,'Nov 23-29'!$B:$B,0))</f>
        <v>1</v>
      </c>
      <c r="I107" s="65">
        <f t="array" ref="I107">INDEX('Nov 23-29'!G:G,MATCH($B107,'Nov 23-29'!$B:$B,0))</f>
        <v>1</v>
      </c>
      <c r="J107" s="65">
        <f t="array" ref="J107">INDEX('Nov 23-29'!H:H,MATCH($B107,'Nov 23-29'!$B:$B,0))</f>
        <v>1</v>
      </c>
      <c r="K107" s="65">
        <f t="array" ref="K107">INDEX('Nov 23-29'!I:I,MATCH($B107,'Nov 23-29'!$B:$B,0))</f>
        <v>1</v>
      </c>
      <c r="L107" s="65">
        <f t="array" ref="L107">INDEX('Nov 23-29'!J:J,MATCH($B107,'Nov 23-29'!$B:$B,0))</f>
        <v>0</v>
      </c>
      <c r="M107" s="17">
        <f t="shared" si="2"/>
        <v>0.32142857142857145</v>
      </c>
      <c r="N107" s="17">
        <f t="shared" si="3"/>
        <v>3.5714285714285712E-2</v>
      </c>
      <c r="O107" s="17">
        <f t="shared" si="4"/>
        <v>0.1111111111111111</v>
      </c>
      <c r="P107" s="17">
        <f t="shared" si="5"/>
        <v>3.5714285714285712E-2</v>
      </c>
      <c r="Q107" s="17">
        <f t="shared" ref="Q107:R107" si="112">IFERROR(J107/I107,"")</f>
        <v>1</v>
      </c>
      <c r="R107" s="17">
        <f t="shared" si="112"/>
        <v>1</v>
      </c>
      <c r="S107" s="17">
        <f t="shared" si="7"/>
        <v>0</v>
      </c>
      <c r="T107" s="17">
        <f t="shared" si="8"/>
        <v>0</v>
      </c>
    </row>
    <row r="108" spans="1:37" ht="12.75">
      <c r="B108" s="1" t="str">
        <f>'Nov 9-15'!B22</f>
        <v>12 Verndale Street Unit 1</v>
      </c>
      <c r="C108" s="29" t="str">
        <f t="array" ref="C108">INDEX('Nov 23-29'!C:C,MATCH($B108,'Nov 23-29'!$B:$B,0))</f>
        <v>Y</v>
      </c>
      <c r="D108" s="29">
        <f t="array" ref="D108">INDEX('Nov 23-29'!D:D,MATCH($B108,'Nov 23-29'!$B:$B,0))</f>
        <v>53</v>
      </c>
      <c r="E108" s="65">
        <f t="shared" si="0"/>
        <v>8</v>
      </c>
      <c r="F108" s="66">
        <f t="shared" si="1"/>
        <v>2.6276648487853247E-2</v>
      </c>
      <c r="G108" s="65">
        <f t="array" ref="G108">INDEX('Nov 23-29'!E:E,MATCH($B108,'Nov 23-29'!$B:$B,0))</f>
        <v>12</v>
      </c>
      <c r="H108" s="65">
        <f t="array" ref="H108">INDEX('Nov 23-29'!F:F,MATCH($B108,'Nov 23-29'!$B:$B,0))</f>
        <v>1</v>
      </c>
      <c r="I108" s="65">
        <f t="array" ref="I108">INDEX('Nov 23-29'!G:G,MATCH($B108,'Nov 23-29'!$B:$B,0))</f>
        <v>0</v>
      </c>
      <c r="J108" s="65">
        <f t="array" ref="J108">INDEX('Nov 23-29'!H:H,MATCH($B108,'Nov 23-29'!$B:$B,0))</f>
        <v>1</v>
      </c>
      <c r="K108" s="65">
        <f t="array" ref="K108">INDEX('Nov 23-29'!I:I,MATCH($B108,'Nov 23-29'!$B:$B,0))</f>
        <v>0</v>
      </c>
      <c r="L108" s="65">
        <f t="array" ref="L108">INDEX('Nov 23-29'!J:J,MATCH($B108,'Nov 23-29'!$B:$B,0))</f>
        <v>0</v>
      </c>
      <c r="M108" s="17">
        <f t="shared" si="2"/>
        <v>0.22641509433962265</v>
      </c>
      <c r="N108" s="17">
        <f t="shared" si="3"/>
        <v>0</v>
      </c>
      <c r="O108" s="17">
        <f t="shared" si="4"/>
        <v>0</v>
      </c>
      <c r="P108" s="17">
        <f t="shared" si="5"/>
        <v>1.8867924528301886E-2</v>
      </c>
      <c r="Q108" s="17" t="str">
        <f t="shared" ref="Q108:R108" si="113">IFERROR(J108/I108,"")</f>
        <v/>
      </c>
      <c r="R108" s="17">
        <f t="shared" si="113"/>
        <v>0</v>
      </c>
      <c r="S108" s="17">
        <f t="shared" si="7"/>
        <v>0</v>
      </c>
      <c r="T108" s="17" t="str">
        <f t="shared" si="8"/>
        <v/>
      </c>
    </row>
    <row r="109" spans="1:37" ht="12.75">
      <c r="B109" s="1" t="str">
        <f>'Nov 9-15'!B53</f>
        <v>20 Sudan Street Unit 1</v>
      </c>
      <c r="C109" s="29" t="str">
        <f t="array" ref="C109">INDEX('Nov 23-29'!C:C,MATCH($B109,'Nov 23-29'!$B:$B,0))</f>
        <v>Y</v>
      </c>
      <c r="D109" s="29">
        <f t="array" ref="D109">INDEX('Nov 23-29'!D:D,MATCH($B109,'Nov 23-29'!$B:$B,0))</f>
        <v>3</v>
      </c>
      <c r="E109" s="65">
        <f t="shared" si="0"/>
        <v>78</v>
      </c>
      <c r="F109" s="66">
        <f t="shared" si="1"/>
        <v>1.4873574615765989E-3</v>
      </c>
      <c r="G109" s="65">
        <f t="array" ref="G109">INDEX('Nov 23-29'!E:E,MATCH($B109,'Nov 23-29'!$B:$B,0))</f>
        <v>0</v>
      </c>
      <c r="H109" s="65">
        <f t="array" ref="H109">INDEX('Nov 23-29'!F:F,MATCH($B109,'Nov 23-29'!$B:$B,0))</f>
        <v>2</v>
      </c>
      <c r="I109" s="65">
        <f t="array" ref="I109">INDEX('Nov 23-29'!G:G,MATCH($B109,'Nov 23-29'!$B:$B,0))</f>
        <v>0</v>
      </c>
      <c r="J109" s="65">
        <f t="array" ref="J109">INDEX('Nov 23-29'!H:H,MATCH($B109,'Nov 23-29'!$B:$B,0))</f>
        <v>0</v>
      </c>
      <c r="K109" s="65">
        <f t="array" ref="K109">INDEX('Nov 23-29'!I:I,MATCH($B109,'Nov 23-29'!$B:$B,0))</f>
        <v>0</v>
      </c>
      <c r="L109" s="65">
        <f t="array" ref="L109">INDEX('Nov 23-29'!J:J,MATCH($B109,'Nov 23-29'!$B:$B,0))</f>
        <v>0</v>
      </c>
      <c r="M109" s="17">
        <f t="shared" si="2"/>
        <v>0</v>
      </c>
      <c r="N109" s="17">
        <f t="shared" si="3"/>
        <v>0</v>
      </c>
      <c r="O109" s="17" t="str">
        <f t="shared" si="4"/>
        <v/>
      </c>
      <c r="P109" s="17">
        <f t="shared" si="5"/>
        <v>0</v>
      </c>
      <c r="Q109" s="17" t="str">
        <f t="shared" ref="Q109:R109" si="114">IFERROR(J109/I109,"")</f>
        <v/>
      </c>
      <c r="R109" s="17" t="str">
        <f t="shared" si="114"/>
        <v/>
      </c>
      <c r="S109" s="17">
        <f t="shared" si="7"/>
        <v>0</v>
      </c>
      <c r="T109" s="17" t="str">
        <f t="shared" si="8"/>
        <v/>
      </c>
    </row>
    <row r="110" spans="1:37" ht="12.75">
      <c r="B110" s="1" t="str">
        <f>'Nov 9-15'!B88</f>
        <v>49 Boylston Street Unit 1</v>
      </c>
      <c r="C110" s="29" t="str">
        <f t="array" ref="C110">INDEX('Nov 23-29'!C:C,MATCH($B110,'Nov 23-29'!$B:$B,0))</f>
        <v>Y</v>
      </c>
      <c r="D110" s="29">
        <f t="array" ref="D110">INDEX('Nov 23-29'!D:D,MATCH($B110,'Nov 23-29'!$B:$B,0))</f>
        <v>31</v>
      </c>
      <c r="E110" s="65">
        <f t="shared" si="0"/>
        <v>17</v>
      </c>
      <c r="F110" s="66">
        <f t="shared" si="1"/>
        <v>1.5369360436291522E-2</v>
      </c>
      <c r="G110" s="65">
        <f t="array" ref="G110">INDEX('Nov 23-29'!E:E,MATCH($B110,'Nov 23-29'!$B:$B,0))</f>
        <v>3</v>
      </c>
      <c r="H110" s="65">
        <f t="array" ref="H110">INDEX('Nov 23-29'!F:F,MATCH($B110,'Nov 23-29'!$B:$B,0))</f>
        <v>1</v>
      </c>
      <c r="I110" s="65">
        <f t="array" ref="I110">INDEX('Nov 23-29'!G:G,MATCH($B110,'Nov 23-29'!$B:$B,0))</f>
        <v>0</v>
      </c>
      <c r="J110" s="65">
        <f t="array" ref="J110">INDEX('Nov 23-29'!H:H,MATCH($B110,'Nov 23-29'!$B:$B,0))</f>
        <v>0</v>
      </c>
      <c r="K110" s="65">
        <f t="array" ref="K110">INDEX('Nov 23-29'!I:I,MATCH($B110,'Nov 23-29'!$B:$B,0))</f>
        <v>0</v>
      </c>
      <c r="L110" s="65">
        <f t="array" ref="L110">INDEX('Nov 23-29'!J:J,MATCH($B110,'Nov 23-29'!$B:$B,0))</f>
        <v>0</v>
      </c>
      <c r="M110" s="17">
        <f t="shared" si="2"/>
        <v>9.6774193548387094E-2</v>
      </c>
      <c r="N110" s="17">
        <f t="shared" si="3"/>
        <v>0</v>
      </c>
      <c r="O110" s="17">
        <f t="shared" si="4"/>
        <v>0</v>
      </c>
      <c r="P110" s="17">
        <f t="shared" si="5"/>
        <v>0</v>
      </c>
      <c r="Q110" s="17" t="str">
        <f t="shared" ref="Q110:R110" si="115">IFERROR(J110/I110,"")</f>
        <v/>
      </c>
      <c r="R110" s="17" t="str">
        <f t="shared" si="115"/>
        <v/>
      </c>
      <c r="S110" s="17">
        <f t="shared" si="7"/>
        <v>0</v>
      </c>
      <c r="T110" s="17" t="str">
        <f t="shared" si="8"/>
        <v/>
      </c>
    </row>
    <row r="111" spans="1:37" ht="12.75">
      <c r="B111" s="1" t="str">
        <f>'Nov 9-15'!B51</f>
        <v>2 Montfern Avenue Unit 3</v>
      </c>
      <c r="C111" s="29" t="str">
        <f t="array" ref="C111">INDEX('Nov 23-29'!C:C,MATCH($B111,'Nov 23-29'!$B:$B,0))</f>
        <v>Y</v>
      </c>
      <c r="D111" s="29">
        <f t="array" ref="D111">INDEX('Nov 23-29'!D:D,MATCH($B111,'Nov 23-29'!$B:$B,0))</f>
        <v>18</v>
      </c>
      <c r="E111" s="65">
        <f t="shared" si="0"/>
        <v>47</v>
      </c>
      <c r="F111" s="66">
        <f t="shared" si="1"/>
        <v>8.9241447694595934E-3</v>
      </c>
      <c r="G111" s="65">
        <f t="array" ref="G111">INDEX('Nov 23-29'!E:E,MATCH($B111,'Nov 23-29'!$B:$B,0))</f>
        <v>1</v>
      </c>
      <c r="H111" s="65">
        <f t="array" ref="H111">INDEX('Nov 23-29'!F:F,MATCH($B111,'Nov 23-29'!$B:$B,0))</f>
        <v>1</v>
      </c>
      <c r="I111" s="65">
        <f t="array" ref="I111">INDEX('Nov 23-29'!G:G,MATCH($B111,'Nov 23-29'!$B:$B,0))</f>
        <v>0</v>
      </c>
      <c r="J111" s="65">
        <f t="array" ref="J111">INDEX('Nov 23-29'!H:H,MATCH($B111,'Nov 23-29'!$B:$B,0))</f>
        <v>0</v>
      </c>
      <c r="K111" s="65">
        <f t="array" ref="K111">INDEX('Nov 23-29'!I:I,MATCH($B111,'Nov 23-29'!$B:$B,0))</f>
        <v>0</v>
      </c>
      <c r="L111" s="65">
        <f t="array" ref="L111">INDEX('Nov 23-29'!J:J,MATCH($B111,'Nov 23-29'!$B:$B,0))</f>
        <v>0</v>
      </c>
      <c r="M111" s="17">
        <f t="shared" si="2"/>
        <v>5.5555555555555552E-2</v>
      </c>
      <c r="N111" s="17">
        <f t="shared" si="3"/>
        <v>0</v>
      </c>
      <c r="O111" s="17">
        <f t="shared" si="4"/>
        <v>0</v>
      </c>
      <c r="P111" s="17">
        <f t="shared" si="5"/>
        <v>0</v>
      </c>
      <c r="Q111" s="17" t="str">
        <f t="shared" ref="Q111:R111" si="116">IFERROR(J111/I111,"")</f>
        <v/>
      </c>
      <c r="R111" s="17" t="str">
        <f t="shared" si="116"/>
        <v/>
      </c>
      <c r="S111" s="17">
        <f t="shared" si="7"/>
        <v>0</v>
      </c>
      <c r="T111" s="17" t="str">
        <f t="shared" si="8"/>
        <v/>
      </c>
    </row>
    <row r="112" spans="1:37" ht="27.75" customHeight="1">
      <c r="A112" s="67"/>
      <c r="B112" s="68" t="str">
        <f>'Nov 9-15'!B113</f>
        <v>TOTAL</v>
      </c>
      <c r="C112" s="68"/>
      <c r="D112" s="68">
        <f>SUM(D3:D111)</f>
        <v>2017</v>
      </c>
      <c r="E112" s="69"/>
      <c r="F112" s="69">
        <f>D112/D112</f>
        <v>1</v>
      </c>
      <c r="G112" s="70">
        <f t="shared" ref="G112:L112" si="117">SUM(G3:G111)</f>
        <v>522</v>
      </c>
      <c r="H112" s="70">
        <f t="shared" si="117"/>
        <v>107</v>
      </c>
      <c r="I112" s="70">
        <f t="shared" si="117"/>
        <v>42</v>
      </c>
      <c r="J112" s="70">
        <f t="shared" si="117"/>
        <v>8</v>
      </c>
      <c r="K112" s="70">
        <f t="shared" si="117"/>
        <v>9</v>
      </c>
      <c r="L112" s="70">
        <f t="shared" si="117"/>
        <v>5</v>
      </c>
      <c r="M112" s="71">
        <f>G112/D112</f>
        <v>0.25880019831432821</v>
      </c>
      <c r="N112" s="71">
        <f>I112/D112</f>
        <v>2.0823004462072386E-2</v>
      </c>
      <c r="O112" s="71">
        <f>I112/D112</f>
        <v>2.0823004462072386E-2</v>
      </c>
      <c r="P112" s="71">
        <f>J112/D112</f>
        <v>3.9662865642042635E-3</v>
      </c>
      <c r="Q112" s="71">
        <f t="shared" ref="Q112:R112" si="118">J112/I112</f>
        <v>0.19047619047619047</v>
      </c>
      <c r="R112" s="71">
        <f t="shared" si="118"/>
        <v>1.125</v>
      </c>
      <c r="S112" s="71">
        <f>L112/D112</f>
        <v>2.478929102627665E-3</v>
      </c>
      <c r="T112" s="71">
        <f>L112/K112</f>
        <v>0.55555555555555558</v>
      </c>
      <c r="U112" s="46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</row>
    <row r="113" spans="2:9" ht="12.75">
      <c r="B113" s="1">
        <f>'Nov 9-15'!B114</f>
        <v>0</v>
      </c>
      <c r="C113" s="21" t="s">
        <v>176</v>
      </c>
      <c r="D113" s="72">
        <f ca="1">IFERROR(__xludf.DUMMYFUNCTION("AVERAGE(FILTER($D$3:$D$111,$C$3:$C$111=""Y""))"),24.8974358974358)</f>
        <v>24.897435897435798</v>
      </c>
      <c r="E113" s="17"/>
      <c r="F113" s="17"/>
      <c r="G113" s="17"/>
      <c r="H113" s="17"/>
      <c r="I113" s="17"/>
    </row>
    <row r="114" spans="2:9" ht="12.75">
      <c r="C114" s="21" t="s">
        <v>177</v>
      </c>
      <c r="D114" s="1">
        <f ca="1">IFERROR(__xludf.DUMMYFUNCTION("median(FILTER($D$3:$D$111,$C$3:$C$111=""Y""))"),21)</f>
        <v>21</v>
      </c>
      <c r="E114" s="17"/>
      <c r="F114" s="17"/>
      <c r="G114" s="17"/>
      <c r="H114" s="17"/>
      <c r="I114" s="17"/>
    </row>
    <row r="115" spans="2:9" ht="12.75">
      <c r="E115" s="17"/>
      <c r="F115" s="17"/>
      <c r="G115" s="17"/>
      <c r="H115" s="17"/>
      <c r="I115" s="17"/>
    </row>
    <row r="116" spans="2:9" ht="12.75">
      <c r="E116" s="17"/>
      <c r="F116" s="17"/>
      <c r="G116" s="17"/>
      <c r="H116" s="17"/>
      <c r="I116" s="17"/>
    </row>
    <row r="117" spans="2:9" ht="12.75">
      <c r="E117" s="17"/>
      <c r="F117" s="17"/>
      <c r="G117" s="17"/>
      <c r="H117" s="17"/>
      <c r="I117" s="17"/>
    </row>
    <row r="118" spans="2:9" ht="12.75">
      <c r="E118" s="17"/>
      <c r="F118" s="17"/>
      <c r="G118" s="17"/>
      <c r="H118" s="17"/>
      <c r="I118" s="17"/>
    </row>
    <row r="119" spans="2:9" ht="12.75">
      <c r="E119" s="17"/>
      <c r="F119" s="17"/>
      <c r="G119" s="17"/>
      <c r="H119" s="17"/>
      <c r="I119" s="17"/>
    </row>
    <row r="120" spans="2:9" ht="12.75">
      <c r="E120" s="17"/>
      <c r="F120" s="17"/>
      <c r="G120" s="17"/>
      <c r="H120" s="17"/>
      <c r="I120" s="17"/>
    </row>
    <row r="121" spans="2:9" ht="12.75">
      <c r="E121" s="17"/>
      <c r="F121" s="17"/>
      <c r="G121" s="17"/>
      <c r="H121" s="17"/>
      <c r="I121" s="17"/>
    </row>
    <row r="122" spans="2:9" ht="12.75">
      <c r="E122" s="17"/>
      <c r="F122" s="17"/>
      <c r="G122" s="17"/>
      <c r="H122" s="17"/>
      <c r="I122" s="17"/>
    </row>
    <row r="123" spans="2:9" ht="12.75">
      <c r="E123" s="17"/>
      <c r="F123" s="17"/>
      <c r="G123" s="17"/>
      <c r="H123" s="17"/>
      <c r="I123" s="17"/>
    </row>
    <row r="124" spans="2:9" ht="12.75">
      <c r="E124" s="17"/>
      <c r="F124" s="17"/>
      <c r="G124" s="17"/>
      <c r="H124" s="17"/>
      <c r="I124" s="17"/>
    </row>
    <row r="125" spans="2:9" ht="12.75">
      <c r="E125" s="17"/>
      <c r="F125" s="17"/>
      <c r="G125" s="17"/>
      <c r="H125" s="17"/>
      <c r="I125" s="17"/>
    </row>
  </sheetData>
  <autoFilter ref="B2:T111" xr:uid="{00000000-0009-0000-0000-00000E000000}">
    <sortState xmlns:xlrd2="http://schemas.microsoft.com/office/spreadsheetml/2017/richdata2" ref="B2:T111">
      <sortCondition ref="B2:B111"/>
      <sortCondition descending="1" ref="D2:D111"/>
      <sortCondition descending="1" ref="N2:N111"/>
    </sortState>
  </autoFilter>
  <conditionalFormatting sqref="B2:P111">
    <cfRule type="expression" dxfId="9" priority="1">
      <formula>$C2="N"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2:AB2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.75" customHeight="1"/>
  <cols>
    <col min="1" max="1" width="2.73046875" customWidth="1"/>
    <col min="2" max="2" width="30" customWidth="1"/>
    <col min="3" max="10" width="17.265625" customWidth="1"/>
    <col min="20" max="20" width="18.53125" customWidth="1"/>
  </cols>
  <sheetData>
    <row r="2" spans="1:24" ht="28.5" customHeight="1">
      <c r="B2" s="6" t="s">
        <v>0</v>
      </c>
      <c r="C2" s="7" t="s">
        <v>1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6" t="s">
        <v>8</v>
      </c>
      <c r="J2" s="7" t="s">
        <v>9</v>
      </c>
      <c r="K2" s="7" t="s">
        <v>10</v>
      </c>
      <c r="L2" s="46" t="s">
        <v>158</v>
      </c>
      <c r="M2" s="46" t="s">
        <v>13</v>
      </c>
      <c r="N2" s="46" t="s">
        <v>14</v>
      </c>
      <c r="O2" s="46" t="s">
        <v>15</v>
      </c>
      <c r="P2" s="10" t="s">
        <v>12</v>
      </c>
    </row>
    <row r="3" spans="1:24" ht="12.75">
      <c r="A3" s="73">
        <v>1</v>
      </c>
      <c r="B3" s="13" t="s">
        <v>57</v>
      </c>
      <c r="C3" s="15" t="s">
        <v>147</v>
      </c>
      <c r="D3" s="15">
        <v>17</v>
      </c>
      <c r="E3" s="15">
        <v>11</v>
      </c>
      <c r="F3" s="16">
        <v>1</v>
      </c>
      <c r="G3" s="15">
        <v>0</v>
      </c>
      <c r="H3" s="15"/>
      <c r="I3" s="15"/>
      <c r="J3" s="15"/>
      <c r="K3" s="21" t="s">
        <v>20</v>
      </c>
      <c r="L3" s="24">
        <f t="shared" ref="L3:L113" si="0">IFERROR(J3/D3, " ")</f>
        <v>0</v>
      </c>
      <c r="M3" s="24" t="str">
        <f t="shared" ref="M3:M111" si="1">IFERROR(J3/G3, " ")</f>
        <v xml:space="preserve"> </v>
      </c>
      <c r="N3" s="18" t="str">
        <f t="shared" ref="N3:N103" si="2">IFERROR(J3/H3, " ")</f>
        <v xml:space="preserve"> </v>
      </c>
      <c r="O3" s="18" t="str">
        <f t="shared" ref="O3:O111" si="3">IFERROR(J3/I3, " ")</f>
        <v xml:space="preserve"> </v>
      </c>
      <c r="P3" s="17">
        <f t="shared" ref="P3:P113" si="4">IFERROR(G3/D3," ")</f>
        <v>0</v>
      </c>
      <c r="T3" s="47" t="s">
        <v>159</v>
      </c>
      <c r="U3" s="48"/>
      <c r="V3" s="48"/>
      <c r="W3" s="48"/>
      <c r="X3" s="48"/>
    </row>
    <row r="4" spans="1:24" ht="12.75">
      <c r="A4" s="12">
        <f t="shared" ref="A4:A111" si="5">A3+1</f>
        <v>2</v>
      </c>
      <c r="B4" s="13" t="s">
        <v>67</v>
      </c>
      <c r="C4" s="14" t="s">
        <v>147</v>
      </c>
      <c r="D4" s="15">
        <v>13</v>
      </c>
      <c r="E4" s="15">
        <v>1</v>
      </c>
      <c r="F4" s="16">
        <v>0</v>
      </c>
      <c r="G4" s="15">
        <v>0</v>
      </c>
      <c r="H4" s="15"/>
      <c r="I4" s="15"/>
      <c r="J4" s="15"/>
      <c r="K4" s="1" t="s">
        <v>34</v>
      </c>
      <c r="L4" s="17">
        <f t="shared" si="0"/>
        <v>0</v>
      </c>
      <c r="M4" s="17" t="str">
        <f t="shared" si="1"/>
        <v xml:space="preserve"> </v>
      </c>
      <c r="N4" s="17" t="str">
        <f t="shared" si="2"/>
        <v xml:space="preserve"> </v>
      </c>
      <c r="O4" s="17" t="str">
        <f t="shared" si="3"/>
        <v xml:space="preserve"> </v>
      </c>
      <c r="P4" s="17">
        <f t="shared" si="4"/>
        <v>0</v>
      </c>
      <c r="T4" s="48" t="s">
        <v>160</v>
      </c>
      <c r="U4" s="48" t="s">
        <v>3</v>
      </c>
      <c r="V4" s="48" t="s">
        <v>4</v>
      </c>
      <c r="W4" s="48" t="s">
        <v>6</v>
      </c>
      <c r="X4" s="48" t="s">
        <v>161</v>
      </c>
    </row>
    <row r="5" spans="1:24" ht="12.75">
      <c r="A5" s="12">
        <f t="shared" si="5"/>
        <v>3</v>
      </c>
      <c r="B5" s="13" t="s">
        <v>100</v>
      </c>
      <c r="C5" s="14" t="s">
        <v>142</v>
      </c>
      <c r="D5" s="15">
        <v>0</v>
      </c>
      <c r="E5" s="15">
        <v>0</v>
      </c>
      <c r="F5" s="16">
        <v>0</v>
      </c>
      <c r="G5" s="15">
        <v>0</v>
      </c>
      <c r="H5" s="15"/>
      <c r="I5" s="15"/>
      <c r="J5" s="15"/>
      <c r="K5" s="1" t="s">
        <v>24</v>
      </c>
      <c r="L5" s="17" t="str">
        <f t="shared" si="0"/>
        <v xml:space="preserve"> </v>
      </c>
      <c r="M5" s="17" t="str">
        <f t="shared" si="1"/>
        <v xml:space="preserve"> </v>
      </c>
      <c r="N5" s="17" t="str">
        <f t="shared" si="2"/>
        <v xml:space="preserve"> </v>
      </c>
      <c r="O5" s="17" t="str">
        <f t="shared" si="3"/>
        <v xml:space="preserve"> </v>
      </c>
      <c r="P5" s="17" t="str">
        <f t="shared" si="4"/>
        <v xml:space="preserve"> </v>
      </c>
      <c r="T5" s="49"/>
      <c r="U5" s="50"/>
      <c r="V5" s="50"/>
      <c r="W5" s="50"/>
      <c r="X5" s="51" t="e">
        <f t="shared" ref="X5:X14" si="6">W5/U5</f>
        <v>#DIV/0!</v>
      </c>
    </row>
    <row r="6" spans="1:24" ht="12.75">
      <c r="A6" s="12">
        <f t="shared" si="5"/>
        <v>4</v>
      </c>
      <c r="B6" s="13" t="s">
        <v>75</v>
      </c>
      <c r="C6" s="14" t="s">
        <v>142</v>
      </c>
      <c r="D6" s="15">
        <v>5</v>
      </c>
      <c r="E6" s="15">
        <v>5</v>
      </c>
      <c r="F6" s="16">
        <v>0</v>
      </c>
      <c r="G6" s="15">
        <v>0</v>
      </c>
      <c r="H6" s="15"/>
      <c r="I6" s="15"/>
      <c r="J6" s="15"/>
      <c r="K6" s="1" t="s">
        <v>24</v>
      </c>
      <c r="L6" s="17">
        <f t="shared" si="0"/>
        <v>0</v>
      </c>
      <c r="M6" s="17" t="str">
        <f t="shared" si="1"/>
        <v xml:space="preserve"> </v>
      </c>
      <c r="N6" s="17" t="str">
        <f t="shared" si="2"/>
        <v xml:space="preserve"> </v>
      </c>
      <c r="O6" s="17" t="str">
        <f t="shared" si="3"/>
        <v xml:space="preserve"> </v>
      </c>
      <c r="P6" s="17">
        <f t="shared" si="4"/>
        <v>0</v>
      </c>
      <c r="T6" s="49"/>
      <c r="U6" s="50"/>
      <c r="V6" s="50"/>
      <c r="W6" s="50"/>
      <c r="X6" s="51" t="e">
        <f t="shared" si="6"/>
        <v>#DIV/0!</v>
      </c>
    </row>
    <row r="7" spans="1:24" ht="12.75">
      <c r="A7" s="12">
        <f t="shared" si="5"/>
        <v>5</v>
      </c>
      <c r="B7" s="13" t="s">
        <v>47</v>
      </c>
      <c r="C7" s="14" t="s">
        <v>147</v>
      </c>
      <c r="D7" s="15">
        <v>19</v>
      </c>
      <c r="E7" s="15">
        <v>3</v>
      </c>
      <c r="F7" s="16">
        <v>1</v>
      </c>
      <c r="G7" s="15">
        <v>2</v>
      </c>
      <c r="H7" s="15"/>
      <c r="I7" s="15"/>
      <c r="J7" s="15"/>
      <c r="K7" s="1" t="s">
        <v>20</v>
      </c>
      <c r="L7" s="17">
        <f t="shared" si="0"/>
        <v>0</v>
      </c>
      <c r="M7" s="17">
        <f t="shared" si="1"/>
        <v>0</v>
      </c>
      <c r="N7" s="17" t="str">
        <f t="shared" si="2"/>
        <v xml:space="preserve"> </v>
      </c>
      <c r="O7" s="17" t="str">
        <f t="shared" si="3"/>
        <v xml:space="preserve"> </v>
      </c>
      <c r="P7" s="17">
        <f t="shared" si="4"/>
        <v>0.10526315789473684</v>
      </c>
      <c r="T7" s="49"/>
      <c r="U7" s="50"/>
      <c r="V7" s="50"/>
      <c r="W7" s="50"/>
      <c r="X7" s="51" t="e">
        <f t="shared" si="6"/>
        <v>#DIV/0!</v>
      </c>
    </row>
    <row r="8" spans="1:24" ht="12.75">
      <c r="A8" s="12">
        <f t="shared" si="5"/>
        <v>6</v>
      </c>
      <c r="B8" s="13" t="s">
        <v>30</v>
      </c>
      <c r="C8" s="14" t="s">
        <v>147</v>
      </c>
      <c r="D8" s="15">
        <v>15</v>
      </c>
      <c r="E8" s="15">
        <v>7</v>
      </c>
      <c r="F8" s="16">
        <v>1</v>
      </c>
      <c r="G8" s="15">
        <v>2</v>
      </c>
      <c r="H8" s="15"/>
      <c r="I8" s="15"/>
      <c r="J8" s="15"/>
      <c r="K8" s="1" t="s">
        <v>20</v>
      </c>
      <c r="L8" s="17">
        <f t="shared" si="0"/>
        <v>0</v>
      </c>
      <c r="M8" s="17">
        <f t="shared" si="1"/>
        <v>0</v>
      </c>
      <c r="N8" s="17" t="str">
        <f t="shared" si="2"/>
        <v xml:space="preserve"> </v>
      </c>
      <c r="O8" s="17" t="str">
        <f t="shared" si="3"/>
        <v xml:space="preserve"> </v>
      </c>
      <c r="P8" s="18">
        <f t="shared" si="4"/>
        <v>0.13333333333333333</v>
      </c>
      <c r="T8" s="49"/>
      <c r="U8" s="50"/>
      <c r="V8" s="50"/>
      <c r="W8" s="50"/>
      <c r="X8" s="51" t="e">
        <f t="shared" si="6"/>
        <v>#DIV/0!</v>
      </c>
    </row>
    <row r="9" spans="1:24" ht="12.75">
      <c r="A9" s="12">
        <f t="shared" si="5"/>
        <v>7</v>
      </c>
      <c r="B9" s="13" t="s">
        <v>95</v>
      </c>
      <c r="C9" s="14" t="s">
        <v>147</v>
      </c>
      <c r="D9" s="15">
        <v>13</v>
      </c>
      <c r="E9" s="15">
        <v>6</v>
      </c>
      <c r="F9" s="16">
        <v>0</v>
      </c>
      <c r="G9" s="15">
        <v>0</v>
      </c>
      <c r="H9" s="15"/>
      <c r="I9" s="15"/>
      <c r="J9" s="15"/>
      <c r="K9" s="1" t="s">
        <v>20</v>
      </c>
      <c r="L9" s="17">
        <f t="shared" si="0"/>
        <v>0</v>
      </c>
      <c r="M9" s="17" t="str">
        <f t="shared" si="1"/>
        <v xml:space="preserve"> </v>
      </c>
      <c r="N9" s="17" t="str">
        <f t="shared" si="2"/>
        <v xml:space="preserve"> </v>
      </c>
      <c r="O9" s="17" t="str">
        <f t="shared" si="3"/>
        <v xml:space="preserve"> </v>
      </c>
      <c r="P9" s="17">
        <f t="shared" si="4"/>
        <v>0</v>
      </c>
      <c r="T9" s="49"/>
      <c r="U9" s="50"/>
      <c r="V9" s="50"/>
      <c r="W9" s="50"/>
      <c r="X9" s="51" t="e">
        <f t="shared" si="6"/>
        <v>#DIV/0!</v>
      </c>
    </row>
    <row r="10" spans="1:24" ht="12.75">
      <c r="A10" s="12">
        <f t="shared" si="5"/>
        <v>8</v>
      </c>
      <c r="B10" s="13" t="s">
        <v>22</v>
      </c>
      <c r="C10" s="14" t="s">
        <v>147</v>
      </c>
      <c r="D10" s="15">
        <v>7</v>
      </c>
      <c r="E10" s="15">
        <v>1</v>
      </c>
      <c r="F10" s="16">
        <v>0</v>
      </c>
      <c r="G10" s="15">
        <v>2</v>
      </c>
      <c r="H10" s="15"/>
      <c r="I10" s="15"/>
      <c r="J10" s="15"/>
      <c r="K10" s="1" t="s">
        <v>20</v>
      </c>
      <c r="L10" s="17">
        <f t="shared" si="0"/>
        <v>0</v>
      </c>
      <c r="M10" s="17">
        <f t="shared" si="1"/>
        <v>0</v>
      </c>
      <c r="N10" s="17" t="str">
        <f t="shared" si="2"/>
        <v xml:space="preserve"> </v>
      </c>
      <c r="O10" s="17" t="str">
        <f t="shared" si="3"/>
        <v xml:space="preserve"> </v>
      </c>
      <c r="P10" s="17">
        <f t="shared" si="4"/>
        <v>0.2857142857142857</v>
      </c>
      <c r="T10" s="52"/>
      <c r="U10" s="53"/>
      <c r="V10" s="53"/>
      <c r="W10" s="53"/>
      <c r="X10" s="54" t="e">
        <f t="shared" si="6"/>
        <v>#DIV/0!</v>
      </c>
    </row>
    <row r="11" spans="1:24" ht="12.75">
      <c r="A11" s="12">
        <f t="shared" si="5"/>
        <v>9</v>
      </c>
      <c r="B11" s="13" t="s">
        <v>110</v>
      </c>
      <c r="C11" s="14" t="s">
        <v>147</v>
      </c>
      <c r="D11" s="15">
        <v>2</v>
      </c>
      <c r="E11" s="15">
        <v>0</v>
      </c>
      <c r="F11" s="16">
        <v>0</v>
      </c>
      <c r="G11" s="15">
        <v>2</v>
      </c>
      <c r="H11" s="15"/>
      <c r="I11" s="15"/>
      <c r="J11" s="15"/>
      <c r="K11" s="1" t="s">
        <v>34</v>
      </c>
      <c r="L11" s="17">
        <f t="shared" si="0"/>
        <v>0</v>
      </c>
      <c r="M11" s="17">
        <f t="shared" si="1"/>
        <v>0</v>
      </c>
      <c r="N11" s="17" t="str">
        <f t="shared" si="2"/>
        <v xml:space="preserve"> </v>
      </c>
      <c r="O11" s="17" t="str">
        <f t="shared" si="3"/>
        <v xml:space="preserve"> </v>
      </c>
      <c r="P11" s="18">
        <f t="shared" si="4"/>
        <v>1</v>
      </c>
      <c r="T11" s="49"/>
      <c r="U11" s="50"/>
      <c r="V11" s="50"/>
      <c r="W11" s="50"/>
      <c r="X11" s="51" t="e">
        <f t="shared" si="6"/>
        <v>#DIV/0!</v>
      </c>
    </row>
    <row r="12" spans="1:24" ht="12.75">
      <c r="A12" s="12">
        <f t="shared" si="5"/>
        <v>10</v>
      </c>
      <c r="B12" s="13" t="s">
        <v>117</v>
      </c>
      <c r="C12" s="14" t="s">
        <v>147</v>
      </c>
      <c r="D12" s="15">
        <v>43</v>
      </c>
      <c r="E12" s="15">
        <v>24</v>
      </c>
      <c r="F12" s="16">
        <v>3</v>
      </c>
      <c r="G12" s="15">
        <v>3</v>
      </c>
      <c r="H12" s="15"/>
      <c r="I12" s="15"/>
      <c r="J12" s="15"/>
      <c r="K12" s="1" t="s">
        <v>20</v>
      </c>
      <c r="L12" s="17">
        <f t="shared" si="0"/>
        <v>0</v>
      </c>
      <c r="M12" s="17">
        <f t="shared" si="1"/>
        <v>0</v>
      </c>
      <c r="N12" s="17" t="str">
        <f t="shared" si="2"/>
        <v xml:space="preserve"> </v>
      </c>
      <c r="O12" s="17" t="str">
        <f t="shared" si="3"/>
        <v xml:space="preserve"> </v>
      </c>
      <c r="P12" s="18">
        <f t="shared" si="4"/>
        <v>6.9767441860465115E-2</v>
      </c>
      <c r="T12" s="49"/>
      <c r="U12" s="50"/>
      <c r="V12" s="50"/>
      <c r="W12" s="50"/>
      <c r="X12" s="51" t="e">
        <f t="shared" si="6"/>
        <v>#DIV/0!</v>
      </c>
    </row>
    <row r="13" spans="1:24" ht="12.75">
      <c r="A13" s="12">
        <f t="shared" si="5"/>
        <v>11</v>
      </c>
      <c r="B13" s="13" t="s">
        <v>42</v>
      </c>
      <c r="C13" s="14" t="s">
        <v>147</v>
      </c>
      <c r="D13" s="15">
        <v>73</v>
      </c>
      <c r="E13" s="15">
        <v>13</v>
      </c>
      <c r="F13" s="16">
        <v>1</v>
      </c>
      <c r="G13" s="15">
        <v>4</v>
      </c>
      <c r="H13" s="15"/>
      <c r="I13" s="15"/>
      <c r="J13" s="15"/>
      <c r="K13" s="1" t="s">
        <v>20</v>
      </c>
      <c r="L13" s="17">
        <f t="shared" si="0"/>
        <v>0</v>
      </c>
      <c r="M13" s="17">
        <f t="shared" si="1"/>
        <v>0</v>
      </c>
      <c r="N13" s="17" t="str">
        <f t="shared" si="2"/>
        <v xml:space="preserve"> </v>
      </c>
      <c r="O13" s="17" t="str">
        <f t="shared" si="3"/>
        <v xml:space="preserve"> </v>
      </c>
      <c r="P13" s="18">
        <f t="shared" si="4"/>
        <v>5.4794520547945202E-2</v>
      </c>
      <c r="T13" s="52"/>
      <c r="U13" s="53"/>
      <c r="V13" s="53"/>
      <c r="W13" s="53"/>
      <c r="X13" s="54" t="e">
        <f t="shared" si="6"/>
        <v>#DIV/0!</v>
      </c>
    </row>
    <row r="14" spans="1:24" ht="12.75">
      <c r="A14" s="12">
        <f t="shared" si="5"/>
        <v>12</v>
      </c>
      <c r="B14" s="13" t="s">
        <v>118</v>
      </c>
      <c r="C14" s="14" t="s">
        <v>142</v>
      </c>
      <c r="D14" s="15">
        <v>2</v>
      </c>
      <c r="E14" s="15">
        <v>0</v>
      </c>
      <c r="F14" s="16">
        <v>0</v>
      </c>
      <c r="G14" s="15">
        <v>0</v>
      </c>
      <c r="H14" s="15"/>
      <c r="I14" s="15"/>
      <c r="J14" s="15"/>
      <c r="K14" s="1" t="s">
        <v>24</v>
      </c>
      <c r="L14" s="17">
        <f t="shared" si="0"/>
        <v>0</v>
      </c>
      <c r="M14" s="17" t="str">
        <f t="shared" si="1"/>
        <v xml:space="preserve"> </v>
      </c>
      <c r="N14" s="17" t="str">
        <f t="shared" si="2"/>
        <v xml:space="preserve"> </v>
      </c>
      <c r="O14" s="17" t="str">
        <f t="shared" si="3"/>
        <v xml:space="preserve"> </v>
      </c>
      <c r="P14" s="18">
        <f t="shared" si="4"/>
        <v>0</v>
      </c>
      <c r="T14" s="49"/>
      <c r="U14" s="50"/>
      <c r="V14" s="50"/>
      <c r="W14" s="50"/>
      <c r="X14" s="51" t="e">
        <f t="shared" si="6"/>
        <v>#DIV/0!</v>
      </c>
    </row>
    <row r="15" spans="1:24" ht="12.75">
      <c r="A15" s="12">
        <f t="shared" si="5"/>
        <v>13</v>
      </c>
      <c r="B15" s="13" t="s">
        <v>25</v>
      </c>
      <c r="C15" s="14" t="s">
        <v>147</v>
      </c>
      <c r="D15" s="15">
        <v>52</v>
      </c>
      <c r="E15" s="15">
        <v>21</v>
      </c>
      <c r="F15" s="16">
        <v>3</v>
      </c>
      <c r="G15" s="15">
        <v>0</v>
      </c>
      <c r="H15" s="15"/>
      <c r="I15" s="15"/>
      <c r="J15" s="15"/>
      <c r="K15" s="1" t="s">
        <v>34</v>
      </c>
      <c r="L15" s="17">
        <f t="shared" si="0"/>
        <v>0</v>
      </c>
      <c r="M15" s="17" t="str">
        <f t="shared" si="1"/>
        <v xml:space="preserve"> </v>
      </c>
      <c r="N15" s="17" t="str">
        <f t="shared" si="2"/>
        <v xml:space="preserve"> </v>
      </c>
      <c r="O15" s="17" t="str">
        <f t="shared" si="3"/>
        <v xml:space="preserve"> </v>
      </c>
      <c r="P15" s="18">
        <f t="shared" si="4"/>
        <v>0</v>
      </c>
      <c r="T15" s="13"/>
      <c r="U15" s="19"/>
      <c r="V15" s="19"/>
      <c r="W15" s="19"/>
      <c r="X15" s="20"/>
    </row>
    <row r="16" spans="1:24" ht="12.75">
      <c r="A16" s="12">
        <f t="shared" si="5"/>
        <v>14</v>
      </c>
      <c r="B16" s="13" t="s">
        <v>38</v>
      </c>
      <c r="C16" s="14" t="s">
        <v>147</v>
      </c>
      <c r="D16" s="15">
        <v>18</v>
      </c>
      <c r="E16" s="15">
        <v>11</v>
      </c>
      <c r="F16" s="16">
        <v>0</v>
      </c>
      <c r="G16" s="15">
        <v>0</v>
      </c>
      <c r="H16" s="15"/>
      <c r="I16" s="15"/>
      <c r="J16" s="15"/>
      <c r="K16" s="1" t="s">
        <v>39</v>
      </c>
      <c r="L16" s="17">
        <f t="shared" si="0"/>
        <v>0</v>
      </c>
      <c r="M16" s="17" t="str">
        <f t="shared" si="1"/>
        <v xml:space="preserve"> </v>
      </c>
      <c r="N16" s="17" t="str">
        <f t="shared" si="2"/>
        <v xml:space="preserve"> </v>
      </c>
      <c r="O16" s="17" t="str">
        <f t="shared" si="3"/>
        <v xml:space="preserve"> </v>
      </c>
      <c r="P16" s="18">
        <f t="shared" si="4"/>
        <v>0</v>
      </c>
      <c r="T16" s="25"/>
      <c r="U16" s="25"/>
      <c r="V16" s="25"/>
      <c r="W16" s="25"/>
      <c r="X16" s="25"/>
    </row>
    <row r="17" spans="1:24" ht="12.75">
      <c r="A17" s="12">
        <f t="shared" si="5"/>
        <v>15</v>
      </c>
      <c r="B17" s="13" t="s">
        <v>86</v>
      </c>
      <c r="C17" s="14" t="s">
        <v>147</v>
      </c>
      <c r="D17" s="15">
        <v>22</v>
      </c>
      <c r="E17" s="15">
        <v>5</v>
      </c>
      <c r="F17" s="16">
        <v>1</v>
      </c>
      <c r="G17" s="15">
        <v>2</v>
      </c>
      <c r="H17" s="15"/>
      <c r="I17" s="15"/>
      <c r="J17" s="15"/>
      <c r="K17" s="1" t="s">
        <v>20</v>
      </c>
      <c r="L17" s="17">
        <f t="shared" si="0"/>
        <v>0</v>
      </c>
      <c r="M17" s="17">
        <f t="shared" si="1"/>
        <v>0</v>
      </c>
      <c r="N17" s="17" t="str">
        <f t="shared" si="2"/>
        <v xml:space="preserve"> </v>
      </c>
      <c r="O17" s="17" t="str">
        <f t="shared" si="3"/>
        <v xml:space="preserve"> </v>
      </c>
      <c r="P17" s="17">
        <f t="shared" si="4"/>
        <v>9.0909090909090912E-2</v>
      </c>
      <c r="T17" s="25"/>
      <c r="U17" s="25"/>
      <c r="V17" s="25"/>
      <c r="W17" s="25"/>
      <c r="X17" s="25"/>
    </row>
    <row r="18" spans="1:24" ht="12.75">
      <c r="A18" s="12">
        <f t="shared" si="5"/>
        <v>16</v>
      </c>
      <c r="B18" s="13" t="s">
        <v>78</v>
      </c>
      <c r="C18" s="14" t="s">
        <v>147</v>
      </c>
      <c r="D18" s="15">
        <v>26</v>
      </c>
      <c r="E18" s="15">
        <v>2</v>
      </c>
      <c r="F18" s="16">
        <v>2</v>
      </c>
      <c r="G18" s="15">
        <v>2</v>
      </c>
      <c r="H18" s="15"/>
      <c r="I18" s="15">
        <v>1</v>
      </c>
      <c r="J18" s="15">
        <v>1</v>
      </c>
      <c r="K18" s="1" t="s">
        <v>20</v>
      </c>
      <c r="L18" s="17">
        <f t="shared" si="0"/>
        <v>3.8461538461538464E-2</v>
      </c>
      <c r="M18" s="17">
        <f t="shared" si="1"/>
        <v>0.5</v>
      </c>
      <c r="N18" s="17" t="str">
        <f t="shared" si="2"/>
        <v xml:space="preserve"> </v>
      </c>
      <c r="O18" s="17">
        <f t="shared" si="3"/>
        <v>1</v>
      </c>
      <c r="P18" s="17">
        <f t="shared" si="4"/>
        <v>7.6923076923076927E-2</v>
      </c>
      <c r="T18" s="47" t="s">
        <v>162</v>
      </c>
      <c r="U18" s="48"/>
      <c r="V18" s="48"/>
      <c r="W18" s="48"/>
      <c r="X18" s="48"/>
    </row>
    <row r="19" spans="1:24" ht="12.75">
      <c r="A19" s="12">
        <f t="shared" si="5"/>
        <v>17</v>
      </c>
      <c r="B19" s="13" t="s">
        <v>105</v>
      </c>
      <c r="C19" s="14" t="s">
        <v>142</v>
      </c>
      <c r="D19" s="15">
        <v>0</v>
      </c>
      <c r="E19" s="15">
        <v>0</v>
      </c>
      <c r="F19" s="16">
        <v>0</v>
      </c>
      <c r="G19" s="15">
        <v>0</v>
      </c>
      <c r="H19" s="15"/>
      <c r="I19" s="15"/>
      <c r="J19" s="15"/>
      <c r="K19" s="1" t="s">
        <v>24</v>
      </c>
      <c r="L19" s="17" t="str">
        <f t="shared" si="0"/>
        <v xml:space="preserve"> </v>
      </c>
      <c r="M19" s="17" t="str">
        <f t="shared" si="1"/>
        <v xml:space="preserve"> </v>
      </c>
      <c r="N19" s="17" t="str">
        <f t="shared" si="2"/>
        <v xml:space="preserve"> </v>
      </c>
      <c r="O19" s="17" t="str">
        <f t="shared" si="3"/>
        <v xml:space="preserve"> </v>
      </c>
      <c r="P19" s="17" t="str">
        <f t="shared" si="4"/>
        <v xml:space="preserve"> </v>
      </c>
      <c r="T19" s="48" t="s">
        <v>160</v>
      </c>
      <c r="U19" s="48" t="s">
        <v>3</v>
      </c>
      <c r="V19" s="48" t="s">
        <v>4</v>
      </c>
      <c r="W19" s="48" t="s">
        <v>6</v>
      </c>
      <c r="X19" s="48" t="s">
        <v>161</v>
      </c>
    </row>
    <row r="20" spans="1:24" ht="12.75">
      <c r="A20" s="12">
        <f t="shared" si="5"/>
        <v>18</v>
      </c>
      <c r="B20" s="13" t="s">
        <v>19</v>
      </c>
      <c r="C20" s="14" t="s">
        <v>147</v>
      </c>
      <c r="D20" s="15">
        <v>29</v>
      </c>
      <c r="E20" s="15">
        <v>13</v>
      </c>
      <c r="F20" s="16">
        <v>0</v>
      </c>
      <c r="G20" s="15">
        <v>2</v>
      </c>
      <c r="H20" s="15"/>
      <c r="I20" s="15"/>
      <c r="J20" s="15"/>
      <c r="K20" s="1" t="s">
        <v>20</v>
      </c>
      <c r="L20" s="17">
        <f t="shared" si="0"/>
        <v>0</v>
      </c>
      <c r="M20" s="17">
        <f t="shared" si="1"/>
        <v>0</v>
      </c>
      <c r="N20" s="17" t="str">
        <f t="shared" si="2"/>
        <v xml:space="preserve"> </v>
      </c>
      <c r="O20" s="17" t="str">
        <f t="shared" si="3"/>
        <v xml:space="preserve"> </v>
      </c>
      <c r="P20" s="17">
        <f t="shared" si="4"/>
        <v>6.8965517241379309E-2</v>
      </c>
      <c r="T20" s="55"/>
      <c r="U20" s="56"/>
      <c r="V20" s="56"/>
      <c r="W20" s="56"/>
      <c r="X20" s="57" t="e">
        <f t="shared" ref="X20:X30" si="7">W20/U20</f>
        <v>#DIV/0!</v>
      </c>
    </row>
    <row r="21" spans="1:24" ht="12.75">
      <c r="A21" s="12">
        <f t="shared" si="5"/>
        <v>19</v>
      </c>
      <c r="B21" s="13" t="s">
        <v>114</v>
      </c>
      <c r="C21" s="14" t="s">
        <v>142</v>
      </c>
      <c r="D21" s="15">
        <v>0</v>
      </c>
      <c r="E21" s="15">
        <v>0</v>
      </c>
      <c r="F21" s="16">
        <v>0</v>
      </c>
      <c r="G21" s="15">
        <v>0</v>
      </c>
      <c r="H21" s="15"/>
      <c r="I21" s="15"/>
      <c r="J21" s="15"/>
      <c r="K21" s="1" t="s">
        <v>24</v>
      </c>
      <c r="L21" s="17" t="str">
        <f t="shared" si="0"/>
        <v xml:space="preserve"> </v>
      </c>
      <c r="M21" s="17" t="str">
        <f t="shared" si="1"/>
        <v xml:space="preserve"> </v>
      </c>
      <c r="N21" s="17" t="str">
        <f t="shared" si="2"/>
        <v xml:space="preserve"> </v>
      </c>
      <c r="O21" s="17" t="str">
        <f t="shared" si="3"/>
        <v xml:space="preserve"> </v>
      </c>
      <c r="P21" s="17" t="str">
        <f t="shared" si="4"/>
        <v xml:space="preserve"> </v>
      </c>
      <c r="T21" s="55"/>
      <c r="U21" s="56"/>
      <c r="V21" s="56"/>
      <c r="W21" s="56"/>
      <c r="X21" s="57" t="e">
        <f t="shared" si="7"/>
        <v>#DIV/0!</v>
      </c>
    </row>
    <row r="22" spans="1:24" ht="12.75">
      <c r="A22" s="12">
        <f t="shared" si="5"/>
        <v>20</v>
      </c>
      <c r="B22" s="13" t="s">
        <v>58</v>
      </c>
      <c r="C22" s="14" t="s">
        <v>147</v>
      </c>
      <c r="D22" s="15">
        <v>22</v>
      </c>
      <c r="E22" s="15">
        <v>1</v>
      </c>
      <c r="F22" s="16">
        <v>0</v>
      </c>
      <c r="G22" s="15">
        <v>4</v>
      </c>
      <c r="H22" s="15"/>
      <c r="I22" s="15">
        <v>1</v>
      </c>
      <c r="J22" s="15"/>
      <c r="K22" s="1" t="s">
        <v>20</v>
      </c>
      <c r="L22" s="17">
        <f t="shared" si="0"/>
        <v>0</v>
      </c>
      <c r="M22" s="17">
        <f t="shared" si="1"/>
        <v>0</v>
      </c>
      <c r="N22" s="17" t="str">
        <f t="shared" si="2"/>
        <v xml:space="preserve"> </v>
      </c>
      <c r="O22" s="17">
        <f t="shared" si="3"/>
        <v>0</v>
      </c>
      <c r="P22" s="17">
        <f t="shared" si="4"/>
        <v>0.18181818181818182</v>
      </c>
      <c r="T22" s="55"/>
      <c r="U22" s="56"/>
      <c r="V22" s="56"/>
      <c r="W22" s="56"/>
      <c r="X22" s="57" t="e">
        <f t="shared" si="7"/>
        <v>#DIV/0!</v>
      </c>
    </row>
    <row r="23" spans="1:24" ht="12.75">
      <c r="A23" s="12">
        <f t="shared" si="5"/>
        <v>21</v>
      </c>
      <c r="B23" s="13" t="s">
        <v>80</v>
      </c>
      <c r="C23" s="14" t="s">
        <v>147</v>
      </c>
      <c r="D23" s="15">
        <v>21</v>
      </c>
      <c r="E23" s="15">
        <v>11</v>
      </c>
      <c r="F23" s="16">
        <v>0</v>
      </c>
      <c r="G23" s="15">
        <v>4</v>
      </c>
      <c r="H23" s="15"/>
      <c r="I23" s="15">
        <v>2</v>
      </c>
      <c r="J23" s="15"/>
      <c r="K23" s="1" t="s">
        <v>39</v>
      </c>
      <c r="L23" s="17">
        <f t="shared" si="0"/>
        <v>0</v>
      </c>
      <c r="M23" s="17">
        <f t="shared" si="1"/>
        <v>0</v>
      </c>
      <c r="N23" s="17" t="str">
        <f t="shared" si="2"/>
        <v xml:space="preserve"> </v>
      </c>
      <c r="O23" s="17">
        <f t="shared" si="3"/>
        <v>0</v>
      </c>
      <c r="P23" s="17">
        <f t="shared" si="4"/>
        <v>0.19047619047619047</v>
      </c>
      <c r="T23" s="55"/>
      <c r="U23" s="56"/>
      <c r="V23" s="56"/>
      <c r="W23" s="56"/>
      <c r="X23" s="57" t="e">
        <f t="shared" si="7"/>
        <v>#DIV/0!</v>
      </c>
    </row>
    <row r="24" spans="1:24" ht="12.75">
      <c r="A24" s="12">
        <f t="shared" si="5"/>
        <v>22</v>
      </c>
      <c r="B24" s="13" t="s">
        <v>96</v>
      </c>
      <c r="C24" s="14" t="s">
        <v>147</v>
      </c>
      <c r="D24" s="15">
        <v>8</v>
      </c>
      <c r="E24" s="15">
        <v>0</v>
      </c>
      <c r="F24" s="16">
        <v>0</v>
      </c>
      <c r="G24" s="15">
        <v>0</v>
      </c>
      <c r="H24" s="15"/>
      <c r="I24" s="15"/>
      <c r="J24" s="15"/>
      <c r="K24" s="1" t="s">
        <v>20</v>
      </c>
      <c r="L24" s="17">
        <f t="shared" si="0"/>
        <v>0</v>
      </c>
      <c r="M24" s="17" t="str">
        <f t="shared" si="1"/>
        <v xml:space="preserve"> </v>
      </c>
      <c r="N24" s="17" t="str">
        <f t="shared" si="2"/>
        <v xml:space="preserve"> </v>
      </c>
      <c r="O24" s="17" t="str">
        <f t="shared" si="3"/>
        <v xml:space="preserve"> </v>
      </c>
      <c r="P24" s="17">
        <f t="shared" si="4"/>
        <v>0</v>
      </c>
      <c r="T24" s="58"/>
      <c r="U24" s="59"/>
      <c r="V24" s="59"/>
      <c r="W24" s="59"/>
      <c r="X24" s="60" t="e">
        <f t="shared" si="7"/>
        <v>#DIV/0!</v>
      </c>
    </row>
    <row r="25" spans="1:24" ht="12.75">
      <c r="A25" s="12">
        <f t="shared" si="5"/>
        <v>23</v>
      </c>
      <c r="B25" s="13" t="s">
        <v>89</v>
      </c>
      <c r="C25" s="14" t="s">
        <v>147</v>
      </c>
      <c r="D25" s="15">
        <v>11</v>
      </c>
      <c r="E25" s="15">
        <v>1</v>
      </c>
      <c r="F25" s="16">
        <v>0</v>
      </c>
      <c r="G25" s="15">
        <v>0</v>
      </c>
      <c r="H25" s="15"/>
      <c r="I25" s="15"/>
      <c r="J25" s="15"/>
      <c r="K25" s="1" t="s">
        <v>39</v>
      </c>
      <c r="L25" s="17">
        <f t="shared" si="0"/>
        <v>0</v>
      </c>
      <c r="M25" s="17" t="str">
        <f t="shared" si="1"/>
        <v xml:space="preserve"> </v>
      </c>
      <c r="N25" s="17" t="str">
        <f t="shared" si="2"/>
        <v xml:space="preserve"> </v>
      </c>
      <c r="O25" s="17" t="str">
        <f t="shared" si="3"/>
        <v xml:space="preserve"> </v>
      </c>
      <c r="P25" s="17">
        <f t="shared" si="4"/>
        <v>0</v>
      </c>
      <c r="T25" s="55"/>
      <c r="U25" s="56"/>
      <c r="V25" s="56"/>
      <c r="W25" s="56"/>
      <c r="X25" s="57" t="e">
        <f t="shared" si="7"/>
        <v>#DIV/0!</v>
      </c>
    </row>
    <row r="26" spans="1:24" ht="12.75">
      <c r="A26" s="12">
        <f t="shared" si="5"/>
        <v>24</v>
      </c>
      <c r="B26" s="13" t="s">
        <v>17</v>
      </c>
      <c r="C26" s="14" t="s">
        <v>147</v>
      </c>
      <c r="D26" s="15">
        <v>12</v>
      </c>
      <c r="E26" s="15">
        <v>4</v>
      </c>
      <c r="F26" s="16">
        <v>1</v>
      </c>
      <c r="G26" s="15">
        <v>0</v>
      </c>
      <c r="H26" s="15"/>
      <c r="I26" s="15"/>
      <c r="J26" s="15">
        <v>1</v>
      </c>
      <c r="K26" s="1" t="s">
        <v>18</v>
      </c>
      <c r="L26" s="17">
        <f t="shared" si="0"/>
        <v>8.3333333333333329E-2</v>
      </c>
      <c r="M26" s="17" t="str">
        <f t="shared" si="1"/>
        <v xml:space="preserve"> </v>
      </c>
      <c r="N26" s="17" t="str">
        <f t="shared" si="2"/>
        <v xml:space="preserve"> </v>
      </c>
      <c r="O26" s="17" t="str">
        <f t="shared" si="3"/>
        <v xml:space="preserve"> </v>
      </c>
      <c r="P26" s="17">
        <f t="shared" si="4"/>
        <v>0</v>
      </c>
      <c r="T26" s="55"/>
      <c r="U26" s="56"/>
      <c r="V26" s="56"/>
      <c r="W26" s="56"/>
      <c r="X26" s="57" t="e">
        <f t="shared" si="7"/>
        <v>#DIV/0!</v>
      </c>
    </row>
    <row r="27" spans="1:24" ht="12.75">
      <c r="A27" s="12">
        <f t="shared" si="5"/>
        <v>25</v>
      </c>
      <c r="B27" s="13" t="s">
        <v>97</v>
      </c>
      <c r="C27" s="14" t="s">
        <v>147</v>
      </c>
      <c r="D27" s="15">
        <v>23</v>
      </c>
      <c r="E27" s="15">
        <v>9</v>
      </c>
      <c r="F27" s="16">
        <v>0</v>
      </c>
      <c r="G27" s="15">
        <v>0</v>
      </c>
      <c r="H27" s="15"/>
      <c r="I27" s="15"/>
      <c r="J27" s="15"/>
      <c r="K27" s="1" t="s">
        <v>20</v>
      </c>
      <c r="L27" s="17">
        <f t="shared" si="0"/>
        <v>0</v>
      </c>
      <c r="M27" s="17" t="str">
        <f t="shared" si="1"/>
        <v xml:space="preserve"> </v>
      </c>
      <c r="N27" s="17" t="str">
        <f t="shared" si="2"/>
        <v xml:space="preserve"> </v>
      </c>
      <c r="O27" s="17" t="str">
        <f t="shared" si="3"/>
        <v xml:space="preserve"> </v>
      </c>
      <c r="P27" s="61">
        <f t="shared" si="4"/>
        <v>0</v>
      </c>
      <c r="T27" s="55"/>
      <c r="U27" s="56"/>
      <c r="V27" s="56"/>
      <c r="W27" s="56"/>
      <c r="X27" s="57" t="e">
        <f t="shared" si="7"/>
        <v>#DIV/0!</v>
      </c>
    </row>
    <row r="28" spans="1:24" ht="12.75">
      <c r="A28" s="12">
        <f t="shared" si="5"/>
        <v>26</v>
      </c>
      <c r="B28" s="13" t="s">
        <v>122</v>
      </c>
      <c r="C28" s="15" t="s">
        <v>147</v>
      </c>
      <c r="D28" s="15">
        <v>19</v>
      </c>
      <c r="E28" s="15">
        <v>7</v>
      </c>
      <c r="F28" s="16">
        <v>4</v>
      </c>
      <c r="G28" s="15">
        <v>0</v>
      </c>
      <c r="H28" s="15"/>
      <c r="I28" s="15"/>
      <c r="J28" s="15"/>
      <c r="K28" s="21" t="s">
        <v>20</v>
      </c>
      <c r="L28" s="18">
        <f t="shared" si="0"/>
        <v>0</v>
      </c>
      <c r="M28" s="18" t="str">
        <f t="shared" si="1"/>
        <v xml:space="preserve"> </v>
      </c>
      <c r="N28" s="17" t="str">
        <f t="shared" si="2"/>
        <v xml:space="preserve"> </v>
      </c>
      <c r="O28" s="17" t="str">
        <f t="shared" si="3"/>
        <v xml:space="preserve"> </v>
      </c>
      <c r="P28" s="17">
        <f t="shared" si="4"/>
        <v>0</v>
      </c>
      <c r="T28" s="55"/>
      <c r="U28" s="56"/>
      <c r="V28" s="56"/>
      <c r="W28" s="56"/>
      <c r="X28" s="57" t="e">
        <f t="shared" si="7"/>
        <v>#DIV/0!</v>
      </c>
    </row>
    <row r="29" spans="1:24" ht="12.75">
      <c r="A29" s="12">
        <f t="shared" si="5"/>
        <v>27</v>
      </c>
      <c r="B29" s="13" t="s">
        <v>123</v>
      </c>
      <c r="C29" s="14" t="s">
        <v>147</v>
      </c>
      <c r="D29" s="15">
        <v>81</v>
      </c>
      <c r="E29" s="15">
        <v>37</v>
      </c>
      <c r="F29" s="16">
        <v>7</v>
      </c>
      <c r="G29" s="15">
        <v>3</v>
      </c>
      <c r="H29" s="15">
        <v>1</v>
      </c>
      <c r="I29" s="15">
        <v>3</v>
      </c>
      <c r="J29" s="15">
        <v>3</v>
      </c>
      <c r="K29" s="1" t="s">
        <v>34</v>
      </c>
      <c r="L29" s="17">
        <f t="shared" si="0"/>
        <v>3.7037037037037035E-2</v>
      </c>
      <c r="M29" s="17">
        <f t="shared" si="1"/>
        <v>1</v>
      </c>
      <c r="N29" s="17">
        <f t="shared" si="2"/>
        <v>3</v>
      </c>
      <c r="O29" s="17">
        <f t="shared" si="3"/>
        <v>1</v>
      </c>
      <c r="P29" s="17">
        <f t="shared" si="4"/>
        <v>3.7037037037037035E-2</v>
      </c>
      <c r="T29" s="55"/>
      <c r="U29" s="56"/>
      <c r="V29" s="56"/>
      <c r="W29" s="56"/>
      <c r="X29" s="57" t="e">
        <f t="shared" si="7"/>
        <v>#DIV/0!</v>
      </c>
    </row>
    <row r="30" spans="1:24" ht="12.75">
      <c r="A30" s="12">
        <f t="shared" si="5"/>
        <v>28</v>
      </c>
      <c r="B30" s="13" t="s">
        <v>112</v>
      </c>
      <c r="C30" s="14" t="s">
        <v>147</v>
      </c>
      <c r="D30" s="15">
        <v>4</v>
      </c>
      <c r="E30" s="15">
        <v>0</v>
      </c>
      <c r="F30" s="16">
        <v>1</v>
      </c>
      <c r="G30" s="15">
        <v>0</v>
      </c>
      <c r="H30" s="15"/>
      <c r="I30" s="15"/>
      <c r="J30" s="15"/>
      <c r="K30" s="1" t="s">
        <v>37</v>
      </c>
      <c r="L30" s="17">
        <f t="shared" si="0"/>
        <v>0</v>
      </c>
      <c r="M30" s="17" t="str">
        <f t="shared" si="1"/>
        <v xml:space="preserve"> </v>
      </c>
      <c r="N30" s="17" t="str">
        <f t="shared" si="2"/>
        <v xml:space="preserve"> </v>
      </c>
      <c r="O30" s="17" t="str">
        <f t="shared" si="3"/>
        <v xml:space="preserve"> </v>
      </c>
      <c r="P30" s="61">
        <f t="shared" si="4"/>
        <v>0</v>
      </c>
      <c r="T30" s="55"/>
      <c r="U30" s="56"/>
      <c r="V30" s="56"/>
      <c r="W30" s="56"/>
      <c r="X30" s="57" t="e">
        <f t="shared" si="7"/>
        <v>#DIV/0!</v>
      </c>
    </row>
    <row r="31" spans="1:24" ht="12.75">
      <c r="A31" s="12">
        <f t="shared" si="5"/>
        <v>29</v>
      </c>
      <c r="B31" s="13" t="s">
        <v>74</v>
      </c>
      <c r="C31" s="14" t="s">
        <v>147</v>
      </c>
      <c r="D31" s="15">
        <v>31</v>
      </c>
      <c r="E31" s="15">
        <v>3</v>
      </c>
      <c r="F31" s="16">
        <v>2</v>
      </c>
      <c r="G31" s="15">
        <v>2</v>
      </c>
      <c r="H31" s="15"/>
      <c r="I31" s="15"/>
      <c r="J31" s="15"/>
      <c r="K31" s="1" t="s">
        <v>20</v>
      </c>
      <c r="L31" s="17">
        <f t="shared" si="0"/>
        <v>0</v>
      </c>
      <c r="M31" s="17">
        <f t="shared" si="1"/>
        <v>0</v>
      </c>
      <c r="N31" s="17" t="str">
        <f t="shared" si="2"/>
        <v xml:space="preserve"> </v>
      </c>
      <c r="O31" s="17" t="str">
        <f t="shared" si="3"/>
        <v xml:space="preserve"> </v>
      </c>
      <c r="P31" s="17">
        <f t="shared" si="4"/>
        <v>6.4516129032258063E-2</v>
      </c>
    </row>
    <row r="32" spans="1:24" ht="12.75">
      <c r="A32" s="12">
        <f t="shared" si="5"/>
        <v>30</v>
      </c>
      <c r="B32" s="13" t="s">
        <v>51</v>
      </c>
      <c r="C32" s="14" t="s">
        <v>147</v>
      </c>
      <c r="D32" s="15">
        <v>2</v>
      </c>
      <c r="E32" s="15">
        <v>0</v>
      </c>
      <c r="F32" s="16">
        <v>1</v>
      </c>
      <c r="G32" s="15">
        <v>2</v>
      </c>
      <c r="H32" s="15"/>
      <c r="I32" s="15"/>
      <c r="J32" s="15"/>
      <c r="K32" s="1" t="s">
        <v>20</v>
      </c>
      <c r="L32" s="17">
        <f t="shared" si="0"/>
        <v>0</v>
      </c>
      <c r="M32" s="17">
        <f t="shared" si="1"/>
        <v>0</v>
      </c>
      <c r="N32" s="17" t="str">
        <f t="shared" si="2"/>
        <v xml:space="preserve"> </v>
      </c>
      <c r="O32" s="17" t="str">
        <f t="shared" si="3"/>
        <v xml:space="preserve"> </v>
      </c>
      <c r="P32" s="61">
        <f t="shared" si="4"/>
        <v>1</v>
      </c>
    </row>
    <row r="33" spans="1:16" ht="12.75">
      <c r="A33" s="12">
        <f t="shared" si="5"/>
        <v>31</v>
      </c>
      <c r="B33" s="13" t="s">
        <v>27</v>
      </c>
      <c r="C33" s="14" t="s">
        <v>147</v>
      </c>
      <c r="D33" s="15">
        <v>76</v>
      </c>
      <c r="E33" s="15">
        <v>31</v>
      </c>
      <c r="F33" s="16">
        <v>1</v>
      </c>
      <c r="G33" s="15">
        <v>2</v>
      </c>
      <c r="H33" s="15">
        <v>1</v>
      </c>
      <c r="I33" s="15">
        <v>1</v>
      </c>
      <c r="J33" s="15">
        <v>1</v>
      </c>
      <c r="K33" s="1" t="s">
        <v>20</v>
      </c>
      <c r="L33" s="17">
        <f t="shared" si="0"/>
        <v>1.3157894736842105E-2</v>
      </c>
      <c r="M33" s="17">
        <f t="shared" si="1"/>
        <v>0.5</v>
      </c>
      <c r="N33" s="17">
        <f t="shared" si="2"/>
        <v>1</v>
      </c>
      <c r="O33" s="17">
        <f t="shared" si="3"/>
        <v>1</v>
      </c>
      <c r="P33" s="17">
        <f t="shared" si="4"/>
        <v>2.6315789473684209E-2</v>
      </c>
    </row>
    <row r="34" spans="1:16" ht="12.75">
      <c r="A34" s="12">
        <f t="shared" si="5"/>
        <v>32</v>
      </c>
      <c r="B34" s="13" t="s">
        <v>124</v>
      </c>
      <c r="C34" s="14" t="s">
        <v>147</v>
      </c>
      <c r="D34" s="15">
        <v>20</v>
      </c>
      <c r="E34" s="15">
        <v>1</v>
      </c>
      <c r="F34" s="16">
        <v>1</v>
      </c>
      <c r="G34" s="15">
        <v>1</v>
      </c>
      <c r="H34" s="15"/>
      <c r="I34" s="15"/>
      <c r="J34" s="15"/>
      <c r="K34" s="1" t="s">
        <v>34</v>
      </c>
      <c r="L34" s="17">
        <f t="shared" si="0"/>
        <v>0</v>
      </c>
      <c r="M34" s="17">
        <f t="shared" si="1"/>
        <v>0</v>
      </c>
      <c r="N34" s="17" t="str">
        <f t="shared" si="2"/>
        <v xml:space="preserve"> </v>
      </c>
      <c r="O34" s="17" t="str">
        <f t="shared" si="3"/>
        <v xml:space="preserve"> </v>
      </c>
      <c r="P34" s="17">
        <f t="shared" si="4"/>
        <v>0.05</v>
      </c>
    </row>
    <row r="35" spans="1:16" ht="12.75">
      <c r="A35" s="12">
        <f t="shared" si="5"/>
        <v>33</v>
      </c>
      <c r="B35" s="13" t="s">
        <v>69</v>
      </c>
      <c r="C35" s="14" t="s">
        <v>147</v>
      </c>
      <c r="D35" s="15">
        <v>6</v>
      </c>
      <c r="E35" s="15">
        <v>1</v>
      </c>
      <c r="F35" s="16">
        <v>1</v>
      </c>
      <c r="G35" s="15">
        <v>1</v>
      </c>
      <c r="H35" s="15"/>
      <c r="I35" s="15"/>
      <c r="J35" s="15"/>
      <c r="K35" s="1" t="s">
        <v>20</v>
      </c>
      <c r="L35" s="17">
        <f t="shared" si="0"/>
        <v>0</v>
      </c>
      <c r="M35" s="17">
        <f t="shared" si="1"/>
        <v>0</v>
      </c>
      <c r="N35" s="17" t="str">
        <f t="shared" si="2"/>
        <v xml:space="preserve"> </v>
      </c>
      <c r="O35" s="17" t="str">
        <f t="shared" si="3"/>
        <v xml:space="preserve"> </v>
      </c>
      <c r="P35" s="17">
        <f t="shared" si="4"/>
        <v>0.16666666666666666</v>
      </c>
    </row>
    <row r="36" spans="1:16" ht="12.75">
      <c r="A36" s="12">
        <f t="shared" si="5"/>
        <v>34</v>
      </c>
      <c r="B36" s="13" t="s">
        <v>125</v>
      </c>
      <c r="C36" s="14" t="s">
        <v>147</v>
      </c>
      <c r="D36" s="15">
        <v>53</v>
      </c>
      <c r="E36" s="15">
        <v>13</v>
      </c>
      <c r="F36" s="16">
        <v>4</v>
      </c>
      <c r="G36" s="15">
        <v>2</v>
      </c>
      <c r="H36" s="15">
        <v>1</v>
      </c>
      <c r="I36" s="15"/>
      <c r="J36" s="15"/>
      <c r="K36" s="1" t="s">
        <v>126</v>
      </c>
      <c r="L36" s="17">
        <f t="shared" si="0"/>
        <v>0</v>
      </c>
      <c r="M36" s="17">
        <f t="shared" si="1"/>
        <v>0</v>
      </c>
      <c r="N36" s="17">
        <f t="shared" si="2"/>
        <v>0</v>
      </c>
      <c r="O36" s="17" t="str">
        <f t="shared" si="3"/>
        <v xml:space="preserve"> </v>
      </c>
      <c r="P36" s="17">
        <f t="shared" si="4"/>
        <v>3.7735849056603772E-2</v>
      </c>
    </row>
    <row r="37" spans="1:16" ht="12.75">
      <c r="A37" s="12">
        <f t="shared" si="5"/>
        <v>35</v>
      </c>
      <c r="B37" s="13" t="s">
        <v>28</v>
      </c>
      <c r="C37" s="14" t="s">
        <v>147</v>
      </c>
      <c r="D37" s="15">
        <v>10</v>
      </c>
      <c r="E37" s="15">
        <v>0</v>
      </c>
      <c r="F37" s="16">
        <v>0</v>
      </c>
      <c r="G37" s="15">
        <v>0</v>
      </c>
      <c r="H37" s="15"/>
      <c r="I37" s="15"/>
      <c r="J37" s="15"/>
      <c r="K37" s="1" t="s">
        <v>29</v>
      </c>
      <c r="L37" s="17">
        <f t="shared" si="0"/>
        <v>0</v>
      </c>
      <c r="M37" s="17" t="str">
        <f t="shared" si="1"/>
        <v xml:space="preserve"> </v>
      </c>
      <c r="N37" s="17" t="str">
        <f t="shared" si="2"/>
        <v xml:space="preserve"> </v>
      </c>
      <c r="O37" s="17" t="str">
        <f t="shared" si="3"/>
        <v xml:space="preserve"> </v>
      </c>
      <c r="P37" s="18">
        <f t="shared" si="4"/>
        <v>0</v>
      </c>
    </row>
    <row r="38" spans="1:16" ht="12.75">
      <c r="A38" s="12">
        <f t="shared" si="5"/>
        <v>36</v>
      </c>
      <c r="B38" s="13" t="s">
        <v>127</v>
      </c>
      <c r="C38" s="14" t="s">
        <v>142</v>
      </c>
      <c r="D38" s="15">
        <v>0</v>
      </c>
      <c r="E38" s="15">
        <v>0</v>
      </c>
      <c r="F38" s="16">
        <v>0</v>
      </c>
      <c r="G38" s="15">
        <v>0</v>
      </c>
      <c r="H38" s="15"/>
      <c r="I38" s="15"/>
      <c r="J38" s="15"/>
      <c r="K38" s="1" t="s">
        <v>24</v>
      </c>
      <c r="L38" s="17" t="str">
        <f t="shared" si="0"/>
        <v xml:space="preserve"> </v>
      </c>
      <c r="M38" s="17" t="str">
        <f t="shared" si="1"/>
        <v xml:space="preserve"> </v>
      </c>
      <c r="N38" s="17" t="str">
        <f t="shared" si="2"/>
        <v xml:space="preserve"> </v>
      </c>
      <c r="O38" s="17" t="str">
        <f t="shared" si="3"/>
        <v xml:space="preserve"> </v>
      </c>
      <c r="P38" s="17" t="str">
        <f t="shared" si="4"/>
        <v xml:space="preserve"> </v>
      </c>
    </row>
    <row r="39" spans="1:16" ht="12.75">
      <c r="A39" s="12">
        <f t="shared" si="5"/>
        <v>37</v>
      </c>
      <c r="B39" s="13" t="s">
        <v>128</v>
      </c>
      <c r="C39" s="14" t="s">
        <v>142</v>
      </c>
      <c r="D39" s="15">
        <v>2</v>
      </c>
      <c r="E39" s="15">
        <v>2</v>
      </c>
      <c r="F39" s="16">
        <v>0</v>
      </c>
      <c r="G39" s="15">
        <v>0</v>
      </c>
      <c r="H39" s="15"/>
      <c r="I39" s="15"/>
      <c r="J39" s="15"/>
      <c r="K39" s="1" t="s">
        <v>24</v>
      </c>
      <c r="L39" s="17">
        <f t="shared" si="0"/>
        <v>0</v>
      </c>
      <c r="M39" s="17" t="str">
        <f t="shared" si="1"/>
        <v xml:space="preserve"> </v>
      </c>
      <c r="N39" s="17" t="str">
        <f t="shared" si="2"/>
        <v xml:space="preserve"> </v>
      </c>
      <c r="O39" s="17" t="str">
        <f t="shared" si="3"/>
        <v xml:space="preserve"> </v>
      </c>
      <c r="P39" s="17">
        <f t="shared" si="4"/>
        <v>0</v>
      </c>
    </row>
    <row r="40" spans="1:16" ht="12.75">
      <c r="A40" s="12">
        <f t="shared" si="5"/>
        <v>38</v>
      </c>
      <c r="B40" s="13" t="s">
        <v>129</v>
      </c>
      <c r="C40" s="14" t="s">
        <v>147</v>
      </c>
      <c r="D40" s="15">
        <v>26</v>
      </c>
      <c r="E40" s="15">
        <v>7</v>
      </c>
      <c r="F40" s="16">
        <v>1</v>
      </c>
      <c r="G40" s="15">
        <v>0</v>
      </c>
      <c r="H40" s="15"/>
      <c r="I40" s="15"/>
      <c r="J40" s="15"/>
      <c r="K40" s="1" t="s">
        <v>20</v>
      </c>
      <c r="L40" s="17">
        <f t="shared" si="0"/>
        <v>0</v>
      </c>
      <c r="M40" s="17" t="str">
        <f t="shared" si="1"/>
        <v xml:space="preserve"> </v>
      </c>
      <c r="N40" s="17" t="str">
        <f t="shared" si="2"/>
        <v xml:space="preserve"> </v>
      </c>
      <c r="O40" s="17" t="str">
        <f t="shared" si="3"/>
        <v xml:space="preserve"> </v>
      </c>
      <c r="P40" s="17">
        <f t="shared" si="4"/>
        <v>0</v>
      </c>
    </row>
    <row r="41" spans="1:16" ht="12.75">
      <c r="A41" s="12">
        <f t="shared" si="5"/>
        <v>39</v>
      </c>
      <c r="B41" s="13" t="s">
        <v>23</v>
      </c>
      <c r="C41" s="14" t="s">
        <v>142</v>
      </c>
      <c r="D41" s="15">
        <v>5</v>
      </c>
      <c r="E41" s="15">
        <v>5</v>
      </c>
      <c r="F41" s="16">
        <v>1</v>
      </c>
      <c r="G41" s="15">
        <v>0</v>
      </c>
      <c r="H41" s="15"/>
      <c r="I41" s="15"/>
      <c r="J41" s="15"/>
      <c r="K41" s="1" t="s">
        <v>24</v>
      </c>
      <c r="L41" s="17">
        <f t="shared" si="0"/>
        <v>0</v>
      </c>
      <c r="M41" s="17" t="str">
        <f t="shared" si="1"/>
        <v xml:space="preserve"> </v>
      </c>
      <c r="N41" s="17" t="str">
        <f t="shared" si="2"/>
        <v xml:space="preserve"> </v>
      </c>
      <c r="O41" s="17" t="str">
        <f t="shared" si="3"/>
        <v xml:space="preserve"> </v>
      </c>
      <c r="P41" s="17">
        <f t="shared" si="4"/>
        <v>0</v>
      </c>
    </row>
    <row r="42" spans="1:16" ht="12.75">
      <c r="A42" s="12">
        <f t="shared" si="5"/>
        <v>40</v>
      </c>
      <c r="B42" s="13" t="s">
        <v>130</v>
      </c>
      <c r="C42" s="15" t="s">
        <v>142</v>
      </c>
      <c r="D42" s="15">
        <v>0</v>
      </c>
      <c r="E42" s="15">
        <v>0</v>
      </c>
      <c r="F42" s="16">
        <v>0</v>
      </c>
      <c r="G42" s="15">
        <v>0</v>
      </c>
      <c r="H42" s="15"/>
      <c r="I42" s="15"/>
      <c r="J42" s="15"/>
      <c r="K42" s="21" t="s">
        <v>20</v>
      </c>
      <c r="L42" s="18" t="str">
        <f t="shared" si="0"/>
        <v xml:space="preserve"> </v>
      </c>
      <c r="M42" s="17" t="str">
        <f t="shared" si="1"/>
        <v xml:space="preserve"> </v>
      </c>
      <c r="N42" s="18" t="str">
        <f t="shared" si="2"/>
        <v xml:space="preserve"> </v>
      </c>
      <c r="O42" s="18" t="str">
        <f t="shared" si="3"/>
        <v xml:space="preserve"> </v>
      </c>
      <c r="P42" s="17" t="str">
        <f t="shared" si="4"/>
        <v xml:space="preserve"> </v>
      </c>
    </row>
    <row r="43" spans="1:16" ht="12.75">
      <c r="A43" s="12">
        <f t="shared" si="5"/>
        <v>41</v>
      </c>
      <c r="B43" s="13" t="s">
        <v>131</v>
      </c>
      <c r="C43" s="14" t="s">
        <v>142</v>
      </c>
      <c r="D43" s="15">
        <v>6</v>
      </c>
      <c r="E43" s="15">
        <v>6</v>
      </c>
      <c r="F43" s="16">
        <v>0</v>
      </c>
      <c r="G43" s="15">
        <v>0</v>
      </c>
      <c r="H43" s="15"/>
      <c r="I43" s="15"/>
      <c r="J43" s="15"/>
      <c r="K43" s="1" t="s">
        <v>24</v>
      </c>
      <c r="L43" s="17">
        <f t="shared" si="0"/>
        <v>0</v>
      </c>
      <c r="M43" s="17" t="str">
        <f t="shared" si="1"/>
        <v xml:space="preserve"> </v>
      </c>
      <c r="N43" s="17" t="str">
        <f t="shared" si="2"/>
        <v xml:space="preserve"> </v>
      </c>
      <c r="O43" s="17" t="str">
        <f t="shared" si="3"/>
        <v xml:space="preserve"> </v>
      </c>
      <c r="P43" s="17">
        <f t="shared" si="4"/>
        <v>0</v>
      </c>
    </row>
    <row r="44" spans="1:16" ht="12.75">
      <c r="A44" s="12">
        <f t="shared" si="5"/>
        <v>42</v>
      </c>
      <c r="B44" s="13" t="s">
        <v>49</v>
      </c>
      <c r="C44" s="14" t="s">
        <v>147</v>
      </c>
      <c r="D44" s="15">
        <v>7</v>
      </c>
      <c r="E44" s="15">
        <v>1</v>
      </c>
      <c r="F44" s="16">
        <v>0</v>
      </c>
      <c r="G44" s="15">
        <v>0</v>
      </c>
      <c r="H44" s="15"/>
      <c r="I44" s="15"/>
      <c r="J44" s="15"/>
      <c r="K44" s="1" t="s">
        <v>37</v>
      </c>
      <c r="L44" s="17">
        <f t="shared" si="0"/>
        <v>0</v>
      </c>
      <c r="M44" s="17" t="str">
        <f t="shared" si="1"/>
        <v xml:space="preserve"> </v>
      </c>
      <c r="N44" s="17" t="str">
        <f t="shared" si="2"/>
        <v xml:space="preserve"> </v>
      </c>
      <c r="O44" s="17" t="str">
        <f t="shared" si="3"/>
        <v xml:space="preserve"> </v>
      </c>
      <c r="P44" s="17">
        <f t="shared" si="4"/>
        <v>0</v>
      </c>
    </row>
    <row r="45" spans="1:16" ht="12.75">
      <c r="A45" s="12">
        <f t="shared" si="5"/>
        <v>43</v>
      </c>
      <c r="B45" s="13" t="s">
        <v>56</v>
      </c>
      <c r="C45" s="14" t="s">
        <v>147</v>
      </c>
      <c r="D45" s="15">
        <v>28</v>
      </c>
      <c r="E45" s="15">
        <v>20</v>
      </c>
      <c r="F45" s="16">
        <v>1</v>
      </c>
      <c r="G45" s="15">
        <v>0</v>
      </c>
      <c r="H45" s="15"/>
      <c r="I45" s="15"/>
      <c r="J45" s="15"/>
      <c r="K45" s="1" t="s">
        <v>37</v>
      </c>
      <c r="L45" s="17">
        <f t="shared" si="0"/>
        <v>0</v>
      </c>
      <c r="M45" s="17" t="str">
        <f t="shared" si="1"/>
        <v xml:space="preserve"> </v>
      </c>
      <c r="N45" s="17" t="str">
        <f t="shared" si="2"/>
        <v xml:space="preserve"> </v>
      </c>
      <c r="O45" s="17" t="str">
        <f t="shared" si="3"/>
        <v xml:space="preserve"> </v>
      </c>
      <c r="P45" s="17">
        <f t="shared" si="4"/>
        <v>0</v>
      </c>
    </row>
    <row r="46" spans="1:16" ht="12.75">
      <c r="A46" s="12">
        <f t="shared" si="5"/>
        <v>44</v>
      </c>
      <c r="B46" s="13" t="s">
        <v>132</v>
      </c>
      <c r="C46" s="14" t="s">
        <v>142</v>
      </c>
      <c r="D46" s="15">
        <v>0</v>
      </c>
      <c r="E46" s="15">
        <v>0</v>
      </c>
      <c r="F46" s="16">
        <v>0</v>
      </c>
      <c r="G46" s="15">
        <v>0</v>
      </c>
      <c r="H46" s="15"/>
      <c r="I46" s="15"/>
      <c r="J46" s="15"/>
      <c r="K46" s="1" t="s">
        <v>24</v>
      </c>
      <c r="L46" s="17" t="str">
        <f t="shared" si="0"/>
        <v xml:space="preserve"> </v>
      </c>
      <c r="M46" s="17" t="str">
        <f t="shared" si="1"/>
        <v xml:space="preserve"> </v>
      </c>
      <c r="N46" s="17" t="str">
        <f t="shared" si="2"/>
        <v xml:space="preserve"> </v>
      </c>
      <c r="O46" s="17" t="str">
        <f t="shared" si="3"/>
        <v xml:space="preserve"> </v>
      </c>
      <c r="P46" s="17" t="str">
        <f t="shared" si="4"/>
        <v xml:space="preserve"> </v>
      </c>
    </row>
    <row r="47" spans="1:16" ht="12.75">
      <c r="A47" s="12">
        <f t="shared" si="5"/>
        <v>45</v>
      </c>
      <c r="B47" s="13" t="s">
        <v>106</v>
      </c>
      <c r="C47" s="14" t="s">
        <v>142</v>
      </c>
      <c r="D47" s="15">
        <v>2</v>
      </c>
      <c r="E47" s="15">
        <v>0</v>
      </c>
      <c r="F47" s="16">
        <v>0</v>
      </c>
      <c r="G47" s="15">
        <v>0</v>
      </c>
      <c r="H47" s="15"/>
      <c r="I47" s="15"/>
      <c r="J47" s="15"/>
      <c r="K47" s="1" t="s">
        <v>24</v>
      </c>
      <c r="L47" s="17">
        <f t="shared" si="0"/>
        <v>0</v>
      </c>
      <c r="M47" s="17" t="str">
        <f t="shared" si="1"/>
        <v xml:space="preserve"> </v>
      </c>
      <c r="N47" s="17" t="str">
        <f t="shared" si="2"/>
        <v xml:space="preserve"> </v>
      </c>
      <c r="O47" s="17" t="str">
        <f t="shared" si="3"/>
        <v xml:space="preserve"> </v>
      </c>
      <c r="P47" s="17">
        <f t="shared" si="4"/>
        <v>0</v>
      </c>
    </row>
    <row r="48" spans="1:16" ht="12.75">
      <c r="A48" s="12">
        <f t="shared" si="5"/>
        <v>46</v>
      </c>
      <c r="B48" s="13" t="s">
        <v>31</v>
      </c>
      <c r="C48" s="14" t="s">
        <v>147</v>
      </c>
      <c r="D48" s="15">
        <v>33</v>
      </c>
      <c r="E48" s="15">
        <v>11</v>
      </c>
      <c r="F48" s="16">
        <v>2</v>
      </c>
      <c r="G48" s="15">
        <v>2</v>
      </c>
      <c r="H48" s="15"/>
      <c r="I48" s="15">
        <v>1</v>
      </c>
      <c r="J48" s="15">
        <v>1</v>
      </c>
      <c r="K48" s="1" t="s">
        <v>20</v>
      </c>
      <c r="L48" s="17">
        <f t="shared" si="0"/>
        <v>3.0303030303030304E-2</v>
      </c>
      <c r="M48" s="17">
        <f t="shared" si="1"/>
        <v>0.5</v>
      </c>
      <c r="N48" s="17" t="str">
        <f t="shared" si="2"/>
        <v xml:space="preserve"> </v>
      </c>
      <c r="O48" s="17">
        <f t="shared" si="3"/>
        <v>1</v>
      </c>
      <c r="P48" s="17">
        <f t="shared" si="4"/>
        <v>6.0606060606060608E-2</v>
      </c>
    </row>
    <row r="49" spans="1:16" ht="13.5">
      <c r="A49" s="12">
        <f t="shared" si="5"/>
        <v>47</v>
      </c>
      <c r="B49" s="13" t="s">
        <v>98</v>
      </c>
      <c r="C49" s="14" t="s">
        <v>147</v>
      </c>
      <c r="D49" s="15">
        <v>20</v>
      </c>
      <c r="E49" s="15">
        <v>4</v>
      </c>
      <c r="F49" s="16">
        <v>4</v>
      </c>
      <c r="G49" s="15">
        <v>0</v>
      </c>
      <c r="H49" s="15"/>
      <c r="I49" s="15"/>
      <c r="J49" s="28"/>
      <c r="K49" s="1" t="s">
        <v>34</v>
      </c>
      <c r="L49" s="17">
        <f t="shared" si="0"/>
        <v>0</v>
      </c>
      <c r="M49" s="17" t="str">
        <f t="shared" si="1"/>
        <v xml:space="preserve"> </v>
      </c>
      <c r="N49" s="17" t="str">
        <f t="shared" si="2"/>
        <v xml:space="preserve"> </v>
      </c>
      <c r="O49" s="17" t="str">
        <f t="shared" si="3"/>
        <v xml:space="preserve"> </v>
      </c>
      <c r="P49" s="17">
        <f t="shared" si="4"/>
        <v>0</v>
      </c>
    </row>
    <row r="50" spans="1:16" ht="12.75">
      <c r="A50" s="12">
        <f t="shared" si="5"/>
        <v>48</v>
      </c>
      <c r="B50" s="13" t="s">
        <v>59</v>
      </c>
      <c r="C50" s="14" t="s">
        <v>147</v>
      </c>
      <c r="D50" s="15">
        <v>22</v>
      </c>
      <c r="E50" s="15">
        <v>6</v>
      </c>
      <c r="F50" s="16">
        <v>2</v>
      </c>
      <c r="G50" s="15">
        <v>0</v>
      </c>
      <c r="H50" s="15"/>
      <c r="I50" s="15"/>
      <c r="J50" s="15"/>
      <c r="K50" s="1" t="s">
        <v>34</v>
      </c>
      <c r="L50" s="17">
        <f t="shared" si="0"/>
        <v>0</v>
      </c>
      <c r="M50" s="17" t="str">
        <f t="shared" si="1"/>
        <v xml:space="preserve"> </v>
      </c>
      <c r="N50" s="17" t="str">
        <f t="shared" si="2"/>
        <v xml:space="preserve"> </v>
      </c>
      <c r="O50" s="17" t="str">
        <f t="shared" si="3"/>
        <v xml:space="preserve"> </v>
      </c>
      <c r="P50" s="17">
        <f t="shared" si="4"/>
        <v>0</v>
      </c>
    </row>
    <row r="51" spans="1:16" ht="12.75">
      <c r="A51" s="12">
        <f t="shared" si="5"/>
        <v>49</v>
      </c>
      <c r="B51" s="13" t="s">
        <v>41</v>
      </c>
      <c r="C51" s="14" t="s">
        <v>147</v>
      </c>
      <c r="D51" s="15">
        <v>13</v>
      </c>
      <c r="E51" s="15">
        <v>2</v>
      </c>
      <c r="F51" s="16">
        <v>1</v>
      </c>
      <c r="G51" s="15">
        <v>0</v>
      </c>
      <c r="H51" s="15"/>
      <c r="I51" s="15"/>
      <c r="J51" s="15"/>
      <c r="K51" s="1" t="s">
        <v>34</v>
      </c>
      <c r="L51" s="17">
        <f t="shared" si="0"/>
        <v>0</v>
      </c>
      <c r="M51" s="17" t="str">
        <f t="shared" si="1"/>
        <v xml:space="preserve"> </v>
      </c>
      <c r="N51" s="17" t="str">
        <f t="shared" si="2"/>
        <v xml:space="preserve"> </v>
      </c>
      <c r="O51" s="17" t="str">
        <f t="shared" si="3"/>
        <v xml:space="preserve"> </v>
      </c>
      <c r="P51" s="17">
        <f t="shared" si="4"/>
        <v>0</v>
      </c>
    </row>
    <row r="52" spans="1:16" ht="12.75">
      <c r="A52" s="12">
        <f t="shared" si="5"/>
        <v>50</v>
      </c>
      <c r="B52" s="13" t="s">
        <v>70</v>
      </c>
      <c r="C52" s="14" t="s">
        <v>147</v>
      </c>
      <c r="D52" s="15">
        <v>13</v>
      </c>
      <c r="E52" s="15">
        <v>7</v>
      </c>
      <c r="F52" s="16">
        <v>0</v>
      </c>
      <c r="G52" s="15">
        <v>0</v>
      </c>
      <c r="H52" s="15"/>
      <c r="I52" s="15"/>
      <c r="J52" s="15"/>
      <c r="K52" s="1" t="s">
        <v>20</v>
      </c>
      <c r="L52" s="17">
        <f t="shared" si="0"/>
        <v>0</v>
      </c>
      <c r="M52" s="17" t="str">
        <f t="shared" si="1"/>
        <v xml:space="preserve"> </v>
      </c>
      <c r="N52" s="17" t="str">
        <f t="shared" si="2"/>
        <v xml:space="preserve"> </v>
      </c>
      <c r="O52" s="17" t="str">
        <f t="shared" si="3"/>
        <v xml:space="preserve"> </v>
      </c>
      <c r="P52" s="17">
        <f t="shared" si="4"/>
        <v>0</v>
      </c>
    </row>
    <row r="53" spans="1:16" ht="12.75">
      <c r="A53" s="12">
        <f t="shared" si="5"/>
        <v>51</v>
      </c>
      <c r="B53" s="13" t="s">
        <v>85</v>
      </c>
      <c r="C53" s="14" t="s">
        <v>147</v>
      </c>
      <c r="D53" s="15">
        <v>2</v>
      </c>
      <c r="E53" s="15">
        <v>0</v>
      </c>
      <c r="F53" s="16">
        <v>0</v>
      </c>
      <c r="G53" s="15">
        <v>0</v>
      </c>
      <c r="H53" s="15"/>
      <c r="I53" s="15"/>
      <c r="J53" s="15"/>
      <c r="K53" s="1" t="s">
        <v>37</v>
      </c>
      <c r="L53" s="17">
        <f t="shared" si="0"/>
        <v>0</v>
      </c>
      <c r="M53" s="17" t="str">
        <f t="shared" si="1"/>
        <v xml:space="preserve"> </v>
      </c>
      <c r="N53" s="17" t="str">
        <f t="shared" si="2"/>
        <v xml:space="preserve"> </v>
      </c>
      <c r="O53" s="17" t="str">
        <f t="shared" si="3"/>
        <v xml:space="preserve"> </v>
      </c>
      <c r="P53" s="17">
        <f t="shared" si="4"/>
        <v>0</v>
      </c>
    </row>
    <row r="54" spans="1:16" ht="12.75">
      <c r="A54" s="12">
        <f t="shared" si="5"/>
        <v>52</v>
      </c>
      <c r="B54" s="13" t="s">
        <v>119</v>
      </c>
      <c r="C54" s="14" t="s">
        <v>142</v>
      </c>
      <c r="D54" s="15">
        <v>0</v>
      </c>
      <c r="E54" s="15">
        <v>0</v>
      </c>
      <c r="F54" s="16">
        <v>0</v>
      </c>
      <c r="G54" s="15">
        <v>0</v>
      </c>
      <c r="H54" s="15"/>
      <c r="I54" s="15"/>
      <c r="J54" s="15"/>
      <c r="K54" s="1" t="s">
        <v>24</v>
      </c>
      <c r="L54" s="17" t="str">
        <f t="shared" si="0"/>
        <v xml:space="preserve"> </v>
      </c>
      <c r="M54" s="17" t="str">
        <f t="shared" si="1"/>
        <v xml:space="preserve"> </v>
      </c>
      <c r="N54" s="17" t="str">
        <f t="shared" si="2"/>
        <v xml:space="preserve"> </v>
      </c>
      <c r="O54" s="17" t="str">
        <f t="shared" si="3"/>
        <v xml:space="preserve"> </v>
      </c>
      <c r="P54" s="17" t="str">
        <f t="shared" si="4"/>
        <v xml:space="preserve"> </v>
      </c>
    </row>
    <row r="55" spans="1:16" ht="12.75">
      <c r="A55" s="12">
        <f t="shared" si="5"/>
        <v>53</v>
      </c>
      <c r="B55" s="13" t="s">
        <v>101</v>
      </c>
      <c r="C55" s="14" t="s">
        <v>147</v>
      </c>
      <c r="D55" s="15">
        <v>8</v>
      </c>
      <c r="E55" s="15">
        <v>1</v>
      </c>
      <c r="F55" s="16">
        <v>0</v>
      </c>
      <c r="G55" s="15">
        <v>0</v>
      </c>
      <c r="H55" s="15"/>
      <c r="I55" s="15">
        <v>1</v>
      </c>
      <c r="J55" s="15">
        <v>1</v>
      </c>
      <c r="K55" s="1" t="s">
        <v>34</v>
      </c>
      <c r="L55" s="17">
        <f t="shared" si="0"/>
        <v>0.125</v>
      </c>
      <c r="M55" s="17" t="str">
        <f t="shared" si="1"/>
        <v xml:space="preserve"> </v>
      </c>
      <c r="N55" s="17" t="str">
        <f t="shared" si="2"/>
        <v xml:space="preserve"> </v>
      </c>
      <c r="O55" s="17">
        <f t="shared" si="3"/>
        <v>1</v>
      </c>
      <c r="P55" s="17">
        <f t="shared" si="4"/>
        <v>0</v>
      </c>
    </row>
    <row r="56" spans="1:16" ht="12.75">
      <c r="A56" s="12">
        <f t="shared" si="5"/>
        <v>54</v>
      </c>
      <c r="B56" s="13" t="s">
        <v>52</v>
      </c>
      <c r="C56" s="14" t="s">
        <v>142</v>
      </c>
      <c r="D56" s="15">
        <v>5</v>
      </c>
      <c r="E56" s="15">
        <v>0</v>
      </c>
      <c r="F56" s="16">
        <v>0</v>
      </c>
      <c r="G56" s="15">
        <v>0</v>
      </c>
      <c r="H56" s="15"/>
      <c r="I56" s="15"/>
      <c r="J56" s="15"/>
      <c r="K56" s="1" t="s">
        <v>24</v>
      </c>
      <c r="L56" s="17">
        <f t="shared" si="0"/>
        <v>0</v>
      </c>
      <c r="M56" s="17" t="str">
        <f t="shared" si="1"/>
        <v xml:space="preserve"> </v>
      </c>
      <c r="N56" s="17" t="str">
        <f t="shared" si="2"/>
        <v xml:space="preserve"> </v>
      </c>
      <c r="O56" s="17" t="str">
        <f t="shared" si="3"/>
        <v xml:space="preserve"> </v>
      </c>
      <c r="P56" s="17">
        <f t="shared" si="4"/>
        <v>0</v>
      </c>
    </row>
    <row r="57" spans="1:16" ht="12.75">
      <c r="A57" s="12">
        <f t="shared" si="5"/>
        <v>55</v>
      </c>
      <c r="B57" s="13" t="s">
        <v>61</v>
      </c>
      <c r="C57" s="14" t="s">
        <v>147</v>
      </c>
      <c r="D57" s="15">
        <v>13</v>
      </c>
      <c r="E57" s="15">
        <v>3</v>
      </c>
      <c r="F57" s="16">
        <v>0</v>
      </c>
      <c r="G57" s="15">
        <v>0</v>
      </c>
      <c r="H57" s="15"/>
      <c r="I57" s="15"/>
      <c r="J57" s="15"/>
      <c r="K57" s="1" t="s">
        <v>20</v>
      </c>
      <c r="L57" s="17">
        <f t="shared" si="0"/>
        <v>0</v>
      </c>
      <c r="M57" s="17" t="str">
        <f t="shared" si="1"/>
        <v xml:space="preserve"> </v>
      </c>
      <c r="N57" s="17" t="str">
        <f t="shared" si="2"/>
        <v xml:space="preserve"> </v>
      </c>
      <c r="O57" s="17" t="str">
        <f t="shared" si="3"/>
        <v xml:space="preserve"> </v>
      </c>
      <c r="P57" s="17">
        <f t="shared" si="4"/>
        <v>0</v>
      </c>
    </row>
    <row r="58" spans="1:16" ht="12.75">
      <c r="A58" s="12">
        <f t="shared" si="5"/>
        <v>56</v>
      </c>
      <c r="B58" s="13" t="s">
        <v>44</v>
      </c>
      <c r="C58" s="14" t="s">
        <v>147</v>
      </c>
      <c r="D58" s="15">
        <v>17</v>
      </c>
      <c r="E58" s="15">
        <v>2</v>
      </c>
      <c r="F58" s="16">
        <v>1</v>
      </c>
      <c r="G58" s="15">
        <v>0</v>
      </c>
      <c r="H58" s="15"/>
      <c r="I58" s="15"/>
      <c r="J58" s="15"/>
      <c r="K58" s="21" t="s">
        <v>20</v>
      </c>
      <c r="L58" s="17">
        <f t="shared" si="0"/>
        <v>0</v>
      </c>
      <c r="M58" s="17" t="str">
        <f t="shared" si="1"/>
        <v xml:space="preserve"> </v>
      </c>
      <c r="N58" s="17" t="str">
        <f t="shared" si="2"/>
        <v xml:space="preserve"> </v>
      </c>
      <c r="O58" s="17" t="str">
        <f t="shared" si="3"/>
        <v xml:space="preserve"> </v>
      </c>
      <c r="P58" s="17">
        <f t="shared" si="4"/>
        <v>0</v>
      </c>
    </row>
    <row r="59" spans="1:16" ht="12.75">
      <c r="A59" s="12">
        <f t="shared" si="5"/>
        <v>57</v>
      </c>
      <c r="B59" s="13" t="s">
        <v>108</v>
      </c>
      <c r="C59" s="14" t="s">
        <v>142</v>
      </c>
      <c r="D59" s="15">
        <v>3</v>
      </c>
      <c r="E59" s="15">
        <v>0</v>
      </c>
      <c r="F59" s="16">
        <v>1</v>
      </c>
      <c r="G59" s="15">
        <v>0</v>
      </c>
      <c r="H59" s="15"/>
      <c r="I59" s="15"/>
      <c r="J59" s="15"/>
      <c r="K59" s="1" t="s">
        <v>24</v>
      </c>
      <c r="L59" s="17">
        <f t="shared" si="0"/>
        <v>0</v>
      </c>
      <c r="M59" s="17" t="str">
        <f t="shared" si="1"/>
        <v xml:space="preserve"> </v>
      </c>
      <c r="N59" s="17" t="str">
        <f t="shared" si="2"/>
        <v xml:space="preserve"> </v>
      </c>
      <c r="O59" s="17" t="str">
        <f t="shared" si="3"/>
        <v xml:space="preserve"> </v>
      </c>
      <c r="P59" s="17">
        <f t="shared" si="4"/>
        <v>0</v>
      </c>
    </row>
    <row r="60" spans="1:16" ht="12.75">
      <c r="A60" s="12">
        <f t="shared" si="5"/>
        <v>58</v>
      </c>
      <c r="B60" s="13" t="s">
        <v>88</v>
      </c>
      <c r="C60" s="14" t="s">
        <v>142</v>
      </c>
      <c r="D60" s="15">
        <v>16</v>
      </c>
      <c r="E60" s="15">
        <v>3</v>
      </c>
      <c r="F60" s="16">
        <v>0</v>
      </c>
      <c r="G60" s="15">
        <v>0</v>
      </c>
      <c r="H60" s="15"/>
      <c r="I60" s="15"/>
      <c r="J60" s="15"/>
      <c r="K60" s="1" t="s">
        <v>24</v>
      </c>
      <c r="L60" s="17">
        <f t="shared" si="0"/>
        <v>0</v>
      </c>
      <c r="M60" s="17" t="str">
        <f t="shared" si="1"/>
        <v xml:space="preserve"> </v>
      </c>
      <c r="N60" s="17" t="str">
        <f t="shared" si="2"/>
        <v xml:space="preserve"> </v>
      </c>
      <c r="O60" s="17" t="str">
        <f t="shared" si="3"/>
        <v xml:space="preserve"> </v>
      </c>
      <c r="P60" s="17">
        <f t="shared" si="4"/>
        <v>0</v>
      </c>
    </row>
    <row r="61" spans="1:16" ht="12.75">
      <c r="A61" s="12">
        <f t="shared" si="5"/>
        <v>59</v>
      </c>
      <c r="B61" s="13" t="s">
        <v>55</v>
      </c>
      <c r="C61" s="14" t="s">
        <v>142</v>
      </c>
      <c r="D61" s="15">
        <v>0</v>
      </c>
      <c r="E61" s="15">
        <v>0</v>
      </c>
      <c r="F61" s="16">
        <v>1</v>
      </c>
      <c r="G61" s="15">
        <v>0</v>
      </c>
      <c r="H61" s="15"/>
      <c r="I61" s="15"/>
      <c r="J61" s="15"/>
      <c r="K61" s="1" t="s">
        <v>24</v>
      </c>
      <c r="L61" s="17" t="str">
        <f t="shared" si="0"/>
        <v xml:space="preserve"> </v>
      </c>
      <c r="M61" s="17" t="str">
        <f t="shared" si="1"/>
        <v xml:space="preserve"> </v>
      </c>
      <c r="N61" s="17" t="str">
        <f t="shared" si="2"/>
        <v xml:space="preserve"> </v>
      </c>
      <c r="O61" s="17" t="str">
        <f t="shared" si="3"/>
        <v xml:space="preserve"> </v>
      </c>
      <c r="P61" s="17" t="str">
        <f t="shared" si="4"/>
        <v xml:space="preserve"> </v>
      </c>
    </row>
    <row r="62" spans="1:16" ht="12.75">
      <c r="A62" s="12">
        <f t="shared" si="5"/>
        <v>60</v>
      </c>
      <c r="B62" s="13" t="s">
        <v>46</v>
      </c>
      <c r="C62" s="14" t="s">
        <v>147</v>
      </c>
      <c r="D62" s="15">
        <v>21</v>
      </c>
      <c r="E62" s="15">
        <v>7</v>
      </c>
      <c r="F62" s="16">
        <v>2</v>
      </c>
      <c r="G62" s="15">
        <v>0</v>
      </c>
      <c r="H62" s="15"/>
      <c r="I62" s="15"/>
      <c r="J62" s="15"/>
      <c r="K62" s="1" t="s">
        <v>37</v>
      </c>
      <c r="L62" s="17">
        <f t="shared" si="0"/>
        <v>0</v>
      </c>
      <c r="M62" s="17" t="str">
        <f t="shared" si="1"/>
        <v xml:space="preserve"> </v>
      </c>
      <c r="N62" s="17" t="str">
        <f t="shared" si="2"/>
        <v xml:space="preserve"> </v>
      </c>
      <c r="O62" s="17" t="str">
        <f t="shared" si="3"/>
        <v xml:space="preserve"> </v>
      </c>
      <c r="P62" s="17">
        <f t="shared" si="4"/>
        <v>0</v>
      </c>
    </row>
    <row r="63" spans="1:16" ht="12.75">
      <c r="A63" s="12">
        <f t="shared" si="5"/>
        <v>61</v>
      </c>
      <c r="B63" s="13" t="s">
        <v>133</v>
      </c>
      <c r="C63" s="14" t="s">
        <v>142</v>
      </c>
      <c r="D63" s="15">
        <v>0</v>
      </c>
      <c r="E63" s="15">
        <v>0</v>
      </c>
      <c r="F63" s="16">
        <v>0</v>
      </c>
      <c r="G63" s="15">
        <v>0</v>
      </c>
      <c r="H63" s="15"/>
      <c r="I63" s="15"/>
      <c r="J63" s="15"/>
      <c r="K63" s="1" t="s">
        <v>24</v>
      </c>
      <c r="L63" s="17" t="str">
        <f t="shared" si="0"/>
        <v xml:space="preserve"> </v>
      </c>
      <c r="M63" s="17" t="str">
        <f t="shared" si="1"/>
        <v xml:space="preserve"> </v>
      </c>
      <c r="N63" s="17" t="str">
        <f t="shared" si="2"/>
        <v xml:space="preserve"> </v>
      </c>
      <c r="O63" s="17" t="str">
        <f t="shared" si="3"/>
        <v xml:space="preserve"> </v>
      </c>
      <c r="P63" s="17" t="str">
        <f t="shared" si="4"/>
        <v xml:space="preserve"> </v>
      </c>
    </row>
    <row r="64" spans="1:16" ht="12.75">
      <c r="A64" s="12">
        <f t="shared" si="5"/>
        <v>62</v>
      </c>
      <c r="B64" s="13" t="s">
        <v>134</v>
      </c>
      <c r="C64" s="14" t="s">
        <v>142</v>
      </c>
      <c r="D64" s="15">
        <v>0</v>
      </c>
      <c r="E64" s="15">
        <v>0</v>
      </c>
      <c r="F64" s="16">
        <v>0</v>
      </c>
      <c r="G64" s="15">
        <v>0</v>
      </c>
      <c r="H64" s="15"/>
      <c r="I64" s="15"/>
      <c r="J64" s="15"/>
      <c r="K64" s="1" t="s">
        <v>24</v>
      </c>
      <c r="L64" s="17" t="str">
        <f t="shared" si="0"/>
        <v xml:space="preserve"> </v>
      </c>
      <c r="M64" s="17" t="str">
        <f t="shared" si="1"/>
        <v xml:space="preserve"> </v>
      </c>
      <c r="N64" s="17" t="str">
        <f t="shared" si="2"/>
        <v xml:space="preserve"> </v>
      </c>
      <c r="O64" s="17" t="str">
        <f t="shared" si="3"/>
        <v xml:space="preserve"> </v>
      </c>
      <c r="P64" s="17" t="str">
        <f t="shared" si="4"/>
        <v xml:space="preserve"> </v>
      </c>
    </row>
    <row r="65" spans="1:16" ht="12.75">
      <c r="A65" s="12">
        <f t="shared" si="5"/>
        <v>63</v>
      </c>
      <c r="B65" s="13" t="s">
        <v>104</v>
      </c>
      <c r="C65" s="14" t="s">
        <v>147</v>
      </c>
      <c r="D65" s="15">
        <v>14</v>
      </c>
      <c r="E65" s="15">
        <v>2</v>
      </c>
      <c r="F65" s="16">
        <v>0</v>
      </c>
      <c r="G65" s="15">
        <v>0</v>
      </c>
      <c r="H65" s="15"/>
      <c r="I65" s="15"/>
      <c r="J65" s="15"/>
      <c r="K65" s="1" t="s">
        <v>20</v>
      </c>
      <c r="L65" s="17">
        <f t="shared" si="0"/>
        <v>0</v>
      </c>
      <c r="M65" s="17" t="str">
        <f t="shared" si="1"/>
        <v xml:space="preserve"> </v>
      </c>
      <c r="N65" s="17" t="str">
        <f t="shared" si="2"/>
        <v xml:space="preserve"> </v>
      </c>
      <c r="O65" s="17" t="str">
        <f t="shared" si="3"/>
        <v xml:space="preserve"> </v>
      </c>
      <c r="P65" s="17">
        <f t="shared" si="4"/>
        <v>0</v>
      </c>
    </row>
    <row r="66" spans="1:16" ht="12.75">
      <c r="A66" s="12">
        <f t="shared" si="5"/>
        <v>64</v>
      </c>
      <c r="B66" s="13" t="s">
        <v>87</v>
      </c>
      <c r="C66" s="14" t="s">
        <v>147</v>
      </c>
      <c r="D66" s="15">
        <v>4</v>
      </c>
      <c r="E66" s="15">
        <v>1</v>
      </c>
      <c r="F66" s="16">
        <v>0</v>
      </c>
      <c r="G66" s="15">
        <v>0</v>
      </c>
      <c r="H66" s="15"/>
      <c r="I66" s="15"/>
      <c r="J66" s="15"/>
      <c r="K66" s="1" t="s">
        <v>34</v>
      </c>
      <c r="L66" s="17">
        <f t="shared" si="0"/>
        <v>0</v>
      </c>
      <c r="M66" s="17" t="str">
        <f t="shared" si="1"/>
        <v xml:space="preserve"> </v>
      </c>
      <c r="N66" s="17" t="str">
        <f t="shared" si="2"/>
        <v xml:space="preserve"> </v>
      </c>
      <c r="O66" s="17" t="str">
        <f t="shared" si="3"/>
        <v xml:space="preserve"> </v>
      </c>
      <c r="P66" s="17">
        <f t="shared" si="4"/>
        <v>0</v>
      </c>
    </row>
    <row r="67" spans="1:16" ht="12.75">
      <c r="A67" s="12">
        <f t="shared" si="5"/>
        <v>65</v>
      </c>
      <c r="B67" s="13" t="s">
        <v>135</v>
      </c>
      <c r="C67" s="14" t="s">
        <v>147</v>
      </c>
      <c r="D67" s="15">
        <v>33</v>
      </c>
      <c r="E67" s="15">
        <v>12</v>
      </c>
      <c r="F67" s="16">
        <v>2</v>
      </c>
      <c r="G67" s="15">
        <v>5</v>
      </c>
      <c r="H67" s="15"/>
      <c r="I67" s="15"/>
      <c r="J67" s="15"/>
      <c r="K67" s="1" t="s">
        <v>20</v>
      </c>
      <c r="L67" s="17">
        <f t="shared" si="0"/>
        <v>0</v>
      </c>
      <c r="M67" s="17">
        <f t="shared" si="1"/>
        <v>0</v>
      </c>
      <c r="N67" s="17" t="str">
        <f t="shared" si="2"/>
        <v xml:space="preserve"> </v>
      </c>
      <c r="O67" s="17" t="str">
        <f t="shared" si="3"/>
        <v xml:space="preserve"> </v>
      </c>
      <c r="P67" s="17">
        <f t="shared" si="4"/>
        <v>0.15151515151515152</v>
      </c>
    </row>
    <row r="68" spans="1:16" ht="12.75">
      <c r="A68" s="12">
        <f t="shared" si="5"/>
        <v>66</v>
      </c>
      <c r="B68" s="13" t="s">
        <v>136</v>
      </c>
      <c r="C68" s="14" t="s">
        <v>147</v>
      </c>
      <c r="D68" s="15">
        <v>21</v>
      </c>
      <c r="E68" s="15">
        <v>9</v>
      </c>
      <c r="F68" s="16">
        <v>5</v>
      </c>
      <c r="G68" s="15">
        <v>5</v>
      </c>
      <c r="H68" s="15"/>
      <c r="I68" s="15"/>
      <c r="J68" s="15"/>
      <c r="K68" s="1" t="s">
        <v>34</v>
      </c>
      <c r="L68" s="17">
        <f t="shared" si="0"/>
        <v>0</v>
      </c>
      <c r="M68" s="17">
        <f t="shared" si="1"/>
        <v>0</v>
      </c>
      <c r="N68" s="17" t="str">
        <f t="shared" si="2"/>
        <v xml:space="preserve"> </v>
      </c>
      <c r="O68" s="17" t="str">
        <f t="shared" si="3"/>
        <v xml:space="preserve"> </v>
      </c>
      <c r="P68" s="17">
        <f t="shared" si="4"/>
        <v>0.23809523809523808</v>
      </c>
    </row>
    <row r="69" spans="1:16" ht="12.75">
      <c r="A69" s="12">
        <f t="shared" si="5"/>
        <v>67</v>
      </c>
      <c r="B69" s="13" t="s">
        <v>137</v>
      </c>
      <c r="C69" s="14" t="s">
        <v>147</v>
      </c>
      <c r="D69" s="15">
        <v>42</v>
      </c>
      <c r="E69" s="15">
        <v>23</v>
      </c>
      <c r="F69" s="16">
        <v>0</v>
      </c>
      <c r="G69" s="15">
        <v>0</v>
      </c>
      <c r="H69" s="15"/>
      <c r="I69" s="15"/>
      <c r="J69" s="15">
        <v>1</v>
      </c>
      <c r="K69" s="1" t="s">
        <v>138</v>
      </c>
      <c r="L69" s="17">
        <f t="shared" si="0"/>
        <v>2.3809523809523808E-2</v>
      </c>
      <c r="M69" s="17" t="str">
        <f t="shared" si="1"/>
        <v xml:space="preserve"> </v>
      </c>
      <c r="N69" s="17" t="str">
        <f t="shared" si="2"/>
        <v xml:space="preserve"> </v>
      </c>
      <c r="O69" s="17" t="str">
        <f t="shared" si="3"/>
        <v xml:space="preserve"> </v>
      </c>
      <c r="P69" s="17">
        <f t="shared" si="4"/>
        <v>0</v>
      </c>
    </row>
    <row r="70" spans="1:16" ht="12.75">
      <c r="A70" s="12">
        <f t="shared" si="5"/>
        <v>68</v>
      </c>
      <c r="B70" s="13" t="s">
        <v>40</v>
      </c>
      <c r="C70" s="14" t="s">
        <v>147</v>
      </c>
      <c r="D70" s="15">
        <v>78</v>
      </c>
      <c r="E70" s="15">
        <v>21</v>
      </c>
      <c r="F70" s="16">
        <v>1</v>
      </c>
      <c r="G70" s="15">
        <v>2</v>
      </c>
      <c r="H70" s="15"/>
      <c r="I70" s="15"/>
      <c r="J70" s="15"/>
      <c r="K70" s="1" t="s">
        <v>20</v>
      </c>
      <c r="L70" s="17">
        <f t="shared" si="0"/>
        <v>0</v>
      </c>
      <c r="M70" s="17">
        <f t="shared" si="1"/>
        <v>0</v>
      </c>
      <c r="N70" s="17" t="str">
        <f t="shared" si="2"/>
        <v xml:space="preserve"> </v>
      </c>
      <c r="O70" s="17" t="str">
        <f t="shared" si="3"/>
        <v xml:space="preserve"> </v>
      </c>
      <c r="P70" s="17">
        <f t="shared" si="4"/>
        <v>2.564102564102564E-2</v>
      </c>
    </row>
    <row r="71" spans="1:16" ht="12.75">
      <c r="A71" s="12">
        <f t="shared" si="5"/>
        <v>69</v>
      </c>
      <c r="B71" s="13" t="s">
        <v>32</v>
      </c>
      <c r="C71" s="14" t="s">
        <v>147</v>
      </c>
      <c r="D71" s="15">
        <v>48</v>
      </c>
      <c r="E71" s="15">
        <v>13</v>
      </c>
      <c r="F71" s="16">
        <v>2</v>
      </c>
      <c r="G71" s="15">
        <v>0</v>
      </c>
      <c r="H71" s="15"/>
      <c r="I71" s="15"/>
      <c r="J71" s="15"/>
      <c r="K71" s="1" t="s">
        <v>20</v>
      </c>
      <c r="L71" s="17">
        <f t="shared" si="0"/>
        <v>0</v>
      </c>
      <c r="M71" s="17" t="str">
        <f t="shared" si="1"/>
        <v xml:space="preserve"> </v>
      </c>
      <c r="N71" s="17" t="str">
        <f t="shared" si="2"/>
        <v xml:space="preserve"> </v>
      </c>
      <c r="O71" s="17" t="str">
        <f t="shared" si="3"/>
        <v xml:space="preserve"> </v>
      </c>
      <c r="P71" s="17">
        <f t="shared" si="4"/>
        <v>0</v>
      </c>
    </row>
    <row r="72" spans="1:16" ht="12.75">
      <c r="A72" s="12">
        <f t="shared" si="5"/>
        <v>70</v>
      </c>
      <c r="B72" s="13" t="s">
        <v>45</v>
      </c>
      <c r="C72" s="14" t="s">
        <v>147</v>
      </c>
      <c r="D72" s="15">
        <v>48</v>
      </c>
      <c r="E72" s="15">
        <v>16</v>
      </c>
      <c r="F72" s="16">
        <v>0</v>
      </c>
      <c r="G72" s="15">
        <v>6</v>
      </c>
      <c r="H72" s="15">
        <v>0</v>
      </c>
      <c r="I72" s="15">
        <v>0</v>
      </c>
      <c r="J72" s="15">
        <v>0</v>
      </c>
      <c r="K72" s="1" t="s">
        <v>20</v>
      </c>
      <c r="L72" s="17">
        <f t="shared" si="0"/>
        <v>0</v>
      </c>
      <c r="M72" s="17">
        <f t="shared" si="1"/>
        <v>0</v>
      </c>
      <c r="N72" s="17" t="str">
        <f t="shared" si="2"/>
        <v xml:space="preserve"> </v>
      </c>
      <c r="O72" s="17" t="str">
        <f t="shared" si="3"/>
        <v xml:space="preserve"> </v>
      </c>
      <c r="P72" s="17">
        <f t="shared" si="4"/>
        <v>0.125</v>
      </c>
    </row>
    <row r="73" spans="1:16" ht="12.75">
      <c r="A73" s="12">
        <f t="shared" si="5"/>
        <v>71</v>
      </c>
      <c r="B73" s="13" t="s">
        <v>26</v>
      </c>
      <c r="C73" s="14" t="s">
        <v>147</v>
      </c>
      <c r="D73" s="15">
        <v>11</v>
      </c>
      <c r="E73" s="15">
        <v>4</v>
      </c>
      <c r="F73" s="16">
        <v>0</v>
      </c>
      <c r="G73" s="15">
        <v>0</v>
      </c>
      <c r="H73" s="15"/>
      <c r="I73" s="15"/>
      <c r="J73" s="15"/>
      <c r="K73" s="1" t="s">
        <v>20</v>
      </c>
      <c r="L73" s="17">
        <f t="shared" si="0"/>
        <v>0</v>
      </c>
      <c r="M73" s="17" t="str">
        <f t="shared" si="1"/>
        <v xml:space="preserve"> </v>
      </c>
      <c r="N73" s="17" t="str">
        <f t="shared" si="2"/>
        <v xml:space="preserve"> </v>
      </c>
      <c r="O73" s="17" t="str">
        <f t="shared" si="3"/>
        <v xml:space="preserve"> </v>
      </c>
      <c r="P73" s="17">
        <f t="shared" si="4"/>
        <v>0</v>
      </c>
    </row>
    <row r="74" spans="1:16" ht="12.75">
      <c r="A74" s="12">
        <f t="shared" si="5"/>
        <v>72</v>
      </c>
      <c r="B74" s="13" t="s">
        <v>84</v>
      </c>
      <c r="C74" s="14" t="s">
        <v>147</v>
      </c>
      <c r="D74" s="15">
        <v>3</v>
      </c>
      <c r="E74" s="15">
        <v>0</v>
      </c>
      <c r="F74" s="16">
        <v>0</v>
      </c>
      <c r="G74" s="15">
        <v>0</v>
      </c>
      <c r="H74" s="15"/>
      <c r="I74" s="15"/>
      <c r="J74" s="15"/>
      <c r="K74" s="1" t="s">
        <v>20</v>
      </c>
      <c r="L74" s="17">
        <f t="shared" si="0"/>
        <v>0</v>
      </c>
      <c r="M74" s="17" t="str">
        <f t="shared" si="1"/>
        <v xml:space="preserve"> </v>
      </c>
      <c r="N74" s="17" t="str">
        <f t="shared" si="2"/>
        <v xml:space="preserve"> </v>
      </c>
      <c r="O74" s="17" t="str">
        <f t="shared" si="3"/>
        <v xml:space="preserve"> </v>
      </c>
      <c r="P74" s="17">
        <f t="shared" si="4"/>
        <v>0</v>
      </c>
    </row>
    <row r="75" spans="1:16" ht="12.75">
      <c r="A75" s="12">
        <f t="shared" si="5"/>
        <v>73</v>
      </c>
      <c r="B75" s="13" t="s">
        <v>73</v>
      </c>
      <c r="C75" s="14" t="s">
        <v>147</v>
      </c>
      <c r="D75" s="15">
        <v>4</v>
      </c>
      <c r="E75" s="15">
        <v>0</v>
      </c>
      <c r="F75" s="16">
        <v>0</v>
      </c>
      <c r="G75" s="15">
        <v>0</v>
      </c>
      <c r="H75" s="15"/>
      <c r="I75" s="15"/>
      <c r="J75" s="15"/>
      <c r="K75" s="1" t="s">
        <v>20</v>
      </c>
      <c r="L75" s="17">
        <f t="shared" si="0"/>
        <v>0</v>
      </c>
      <c r="M75" s="17" t="str">
        <f t="shared" si="1"/>
        <v xml:space="preserve"> </v>
      </c>
      <c r="N75" s="17" t="str">
        <f t="shared" si="2"/>
        <v xml:space="preserve"> </v>
      </c>
      <c r="O75" s="17" t="str">
        <f t="shared" si="3"/>
        <v xml:space="preserve"> </v>
      </c>
      <c r="P75" s="17">
        <f t="shared" si="4"/>
        <v>0</v>
      </c>
    </row>
    <row r="76" spans="1:16" ht="12.75">
      <c r="A76" s="12">
        <f t="shared" si="5"/>
        <v>74</v>
      </c>
      <c r="B76" s="13" t="s">
        <v>102</v>
      </c>
      <c r="C76" s="14" t="s">
        <v>147</v>
      </c>
      <c r="D76" s="15">
        <v>104</v>
      </c>
      <c r="E76" s="15">
        <v>26</v>
      </c>
      <c r="F76" s="16">
        <v>2</v>
      </c>
      <c r="G76" s="15">
        <v>4</v>
      </c>
      <c r="H76" s="15"/>
      <c r="I76" s="15"/>
      <c r="J76" s="15"/>
      <c r="K76" s="1" t="s">
        <v>29</v>
      </c>
      <c r="L76" s="17">
        <f t="shared" si="0"/>
        <v>0</v>
      </c>
      <c r="M76" s="17">
        <f t="shared" si="1"/>
        <v>0</v>
      </c>
      <c r="N76" s="17" t="str">
        <f t="shared" si="2"/>
        <v xml:space="preserve"> </v>
      </c>
      <c r="O76" s="17" t="str">
        <f t="shared" si="3"/>
        <v xml:space="preserve"> </v>
      </c>
      <c r="P76" s="17">
        <f t="shared" si="4"/>
        <v>3.8461538461538464E-2</v>
      </c>
    </row>
    <row r="77" spans="1:16" ht="12.75">
      <c r="A77" s="12">
        <f t="shared" si="5"/>
        <v>75</v>
      </c>
      <c r="B77" s="13" t="s">
        <v>76</v>
      </c>
      <c r="C77" s="14" t="s">
        <v>147</v>
      </c>
      <c r="D77" s="15">
        <v>71</v>
      </c>
      <c r="E77" s="15">
        <v>28</v>
      </c>
      <c r="F77" s="16">
        <v>5</v>
      </c>
      <c r="G77" s="15">
        <v>1</v>
      </c>
      <c r="H77" s="15"/>
      <c r="I77" s="15"/>
      <c r="J77" s="15"/>
      <c r="K77" s="1" t="s">
        <v>34</v>
      </c>
      <c r="L77" s="17">
        <f t="shared" si="0"/>
        <v>0</v>
      </c>
      <c r="M77" s="17">
        <f t="shared" si="1"/>
        <v>0</v>
      </c>
      <c r="N77" s="17" t="str">
        <f t="shared" si="2"/>
        <v xml:space="preserve"> </v>
      </c>
      <c r="O77" s="17" t="str">
        <f t="shared" si="3"/>
        <v xml:space="preserve"> </v>
      </c>
      <c r="P77" s="17">
        <f t="shared" si="4"/>
        <v>1.4084507042253521E-2</v>
      </c>
    </row>
    <row r="78" spans="1:16" ht="12.75">
      <c r="A78" s="12">
        <f t="shared" si="5"/>
        <v>76</v>
      </c>
      <c r="B78" s="13" t="s">
        <v>63</v>
      </c>
      <c r="C78" s="14" t="s">
        <v>147</v>
      </c>
      <c r="D78" s="15">
        <v>10</v>
      </c>
      <c r="E78" s="15">
        <v>1</v>
      </c>
      <c r="F78" s="16">
        <v>0</v>
      </c>
      <c r="G78" s="15">
        <v>0</v>
      </c>
      <c r="H78" s="15"/>
      <c r="I78" s="15"/>
      <c r="J78" s="15"/>
      <c r="K78" s="1" t="s">
        <v>64</v>
      </c>
      <c r="L78" s="17">
        <f t="shared" si="0"/>
        <v>0</v>
      </c>
      <c r="M78" s="17" t="str">
        <f t="shared" si="1"/>
        <v xml:space="preserve"> </v>
      </c>
      <c r="N78" s="17" t="str">
        <f t="shared" si="2"/>
        <v xml:space="preserve"> </v>
      </c>
      <c r="O78" s="17" t="str">
        <f t="shared" si="3"/>
        <v xml:space="preserve"> </v>
      </c>
      <c r="P78" s="17">
        <f t="shared" si="4"/>
        <v>0</v>
      </c>
    </row>
    <row r="79" spans="1:16" ht="12.75">
      <c r="A79" s="12">
        <f t="shared" si="5"/>
        <v>77</v>
      </c>
      <c r="B79" s="13" t="s">
        <v>60</v>
      </c>
      <c r="C79" s="14" t="s">
        <v>147</v>
      </c>
      <c r="D79" s="15">
        <v>8</v>
      </c>
      <c r="E79" s="15">
        <v>1</v>
      </c>
      <c r="F79" s="16">
        <v>0</v>
      </c>
      <c r="G79" s="15">
        <v>0</v>
      </c>
      <c r="H79" s="15"/>
      <c r="I79" s="15"/>
      <c r="J79" s="15"/>
      <c r="K79" s="1" t="s">
        <v>20</v>
      </c>
      <c r="L79" s="17">
        <f t="shared" si="0"/>
        <v>0</v>
      </c>
      <c r="M79" s="17" t="str">
        <f t="shared" si="1"/>
        <v xml:space="preserve"> </v>
      </c>
      <c r="N79" s="17" t="str">
        <f t="shared" si="2"/>
        <v xml:space="preserve"> </v>
      </c>
      <c r="O79" s="17" t="str">
        <f t="shared" si="3"/>
        <v xml:space="preserve"> </v>
      </c>
      <c r="P79" s="17">
        <f t="shared" si="4"/>
        <v>0</v>
      </c>
    </row>
    <row r="80" spans="1:16" ht="12.75">
      <c r="A80" s="12">
        <f t="shared" si="5"/>
        <v>78</v>
      </c>
      <c r="B80" s="13" t="s">
        <v>54</v>
      </c>
      <c r="C80" s="14" t="s">
        <v>147</v>
      </c>
      <c r="D80" s="15">
        <v>19</v>
      </c>
      <c r="E80" s="15">
        <v>5</v>
      </c>
      <c r="F80" s="16">
        <v>1</v>
      </c>
      <c r="G80" s="15">
        <v>2</v>
      </c>
      <c r="H80" s="15"/>
      <c r="I80" s="15"/>
      <c r="J80" s="15"/>
      <c r="K80" s="1" t="s">
        <v>20</v>
      </c>
      <c r="L80" s="17">
        <f t="shared" si="0"/>
        <v>0</v>
      </c>
      <c r="M80" s="17">
        <f t="shared" si="1"/>
        <v>0</v>
      </c>
      <c r="N80" s="17" t="str">
        <f t="shared" si="2"/>
        <v xml:space="preserve"> </v>
      </c>
      <c r="O80" s="17" t="str">
        <f t="shared" si="3"/>
        <v xml:space="preserve"> </v>
      </c>
      <c r="P80" s="17">
        <f t="shared" si="4"/>
        <v>0.10526315789473684</v>
      </c>
    </row>
    <row r="81" spans="1:16" ht="12.75">
      <c r="A81" s="12">
        <f t="shared" si="5"/>
        <v>79</v>
      </c>
      <c r="B81" s="13" t="s">
        <v>71</v>
      </c>
      <c r="C81" s="14" t="s">
        <v>147</v>
      </c>
      <c r="D81" s="15">
        <v>15</v>
      </c>
      <c r="E81" s="15">
        <v>3</v>
      </c>
      <c r="F81" s="16">
        <v>2</v>
      </c>
      <c r="G81" s="15">
        <v>0</v>
      </c>
      <c r="H81" s="15"/>
      <c r="I81" s="15"/>
      <c r="J81" s="15"/>
      <c r="K81" s="1" t="s">
        <v>20</v>
      </c>
      <c r="L81" s="17">
        <f t="shared" si="0"/>
        <v>0</v>
      </c>
      <c r="M81" s="17" t="str">
        <f t="shared" si="1"/>
        <v xml:space="preserve"> </v>
      </c>
      <c r="N81" s="17" t="str">
        <f t="shared" si="2"/>
        <v xml:space="preserve"> </v>
      </c>
      <c r="O81" s="17" t="str">
        <f t="shared" si="3"/>
        <v xml:space="preserve"> </v>
      </c>
      <c r="P81" s="17">
        <f t="shared" si="4"/>
        <v>0</v>
      </c>
    </row>
    <row r="82" spans="1:16" ht="12.75">
      <c r="A82" s="12">
        <f t="shared" si="5"/>
        <v>80</v>
      </c>
      <c r="B82" s="13" t="s">
        <v>66</v>
      </c>
      <c r="C82" s="14" t="s">
        <v>147</v>
      </c>
      <c r="D82" s="15">
        <v>6</v>
      </c>
      <c r="E82" s="15">
        <v>1</v>
      </c>
      <c r="F82" s="16">
        <v>0</v>
      </c>
      <c r="G82" s="15">
        <v>2</v>
      </c>
      <c r="H82" s="15"/>
      <c r="I82" s="15"/>
      <c r="J82" s="15"/>
      <c r="K82" s="1" t="s">
        <v>34</v>
      </c>
      <c r="L82" s="17">
        <f t="shared" si="0"/>
        <v>0</v>
      </c>
      <c r="M82" s="17">
        <f t="shared" si="1"/>
        <v>0</v>
      </c>
      <c r="N82" s="17" t="str">
        <f t="shared" si="2"/>
        <v xml:space="preserve"> </v>
      </c>
      <c r="O82" s="17" t="str">
        <f t="shared" si="3"/>
        <v xml:space="preserve"> </v>
      </c>
      <c r="P82" s="17">
        <f t="shared" si="4"/>
        <v>0.33333333333333331</v>
      </c>
    </row>
    <row r="83" spans="1:16" ht="12.75">
      <c r="A83" s="12">
        <f t="shared" si="5"/>
        <v>81</v>
      </c>
      <c r="B83" s="13" t="s">
        <v>139</v>
      </c>
      <c r="C83" s="14" t="s">
        <v>142</v>
      </c>
      <c r="D83" s="15">
        <v>0</v>
      </c>
      <c r="E83" s="15">
        <v>0</v>
      </c>
      <c r="F83" s="16">
        <v>0</v>
      </c>
      <c r="G83" s="15">
        <v>0</v>
      </c>
      <c r="H83" s="15"/>
      <c r="I83" s="15"/>
      <c r="J83" s="15"/>
      <c r="K83" s="1" t="s">
        <v>24</v>
      </c>
      <c r="L83" s="17" t="str">
        <f t="shared" si="0"/>
        <v xml:space="preserve"> </v>
      </c>
      <c r="M83" s="17" t="str">
        <f t="shared" si="1"/>
        <v xml:space="preserve"> </v>
      </c>
      <c r="N83" s="17" t="str">
        <f t="shared" si="2"/>
        <v xml:space="preserve"> </v>
      </c>
      <c r="O83" s="17" t="str">
        <f t="shared" si="3"/>
        <v xml:space="preserve"> </v>
      </c>
      <c r="P83" s="17" t="str">
        <f t="shared" si="4"/>
        <v xml:space="preserve"> </v>
      </c>
    </row>
    <row r="84" spans="1:16" ht="12.75">
      <c r="A84" s="12">
        <f t="shared" si="5"/>
        <v>82</v>
      </c>
      <c r="B84" s="13" t="s">
        <v>79</v>
      </c>
      <c r="C84" s="14" t="s">
        <v>147</v>
      </c>
      <c r="D84" s="15">
        <v>4</v>
      </c>
      <c r="E84" s="15">
        <v>0</v>
      </c>
      <c r="F84" s="16">
        <v>0</v>
      </c>
      <c r="G84" s="15">
        <v>0</v>
      </c>
      <c r="H84" s="15"/>
      <c r="I84" s="15"/>
      <c r="J84" s="15"/>
      <c r="K84" s="1" t="s">
        <v>64</v>
      </c>
      <c r="L84" s="17">
        <f t="shared" si="0"/>
        <v>0</v>
      </c>
      <c r="M84" s="17" t="str">
        <f t="shared" si="1"/>
        <v xml:space="preserve"> </v>
      </c>
      <c r="N84" s="17" t="str">
        <f t="shared" si="2"/>
        <v xml:space="preserve"> </v>
      </c>
      <c r="O84" s="17" t="str">
        <f t="shared" si="3"/>
        <v xml:space="preserve"> </v>
      </c>
      <c r="P84" s="17">
        <f t="shared" si="4"/>
        <v>0</v>
      </c>
    </row>
    <row r="85" spans="1:16" ht="12.75">
      <c r="A85" s="12">
        <f t="shared" si="5"/>
        <v>83</v>
      </c>
      <c r="B85" s="13" t="s">
        <v>50</v>
      </c>
      <c r="C85" s="14" t="s">
        <v>147</v>
      </c>
      <c r="D85" s="15">
        <v>22</v>
      </c>
      <c r="E85" s="15">
        <v>5</v>
      </c>
      <c r="F85" s="16">
        <v>2</v>
      </c>
      <c r="G85" s="15">
        <v>1</v>
      </c>
      <c r="H85" s="15"/>
      <c r="I85" s="15"/>
      <c r="J85" s="15"/>
      <c r="K85" s="1" t="s">
        <v>34</v>
      </c>
      <c r="L85" s="17">
        <f t="shared" si="0"/>
        <v>0</v>
      </c>
      <c r="M85" s="17">
        <f t="shared" si="1"/>
        <v>0</v>
      </c>
      <c r="N85" s="17" t="str">
        <f t="shared" si="2"/>
        <v xml:space="preserve"> </v>
      </c>
      <c r="O85" s="17" t="str">
        <f t="shared" si="3"/>
        <v xml:space="preserve"> </v>
      </c>
      <c r="P85" s="17">
        <f t="shared" si="4"/>
        <v>4.5454545454545456E-2</v>
      </c>
    </row>
    <row r="86" spans="1:16" ht="12.75">
      <c r="A86" s="12">
        <f t="shared" si="5"/>
        <v>84</v>
      </c>
      <c r="B86" s="13" t="s">
        <v>36</v>
      </c>
      <c r="C86" s="14" t="s">
        <v>147</v>
      </c>
      <c r="D86" s="15">
        <v>9</v>
      </c>
      <c r="E86" s="15">
        <v>3</v>
      </c>
      <c r="F86" s="16">
        <v>0</v>
      </c>
      <c r="G86" s="15">
        <v>0</v>
      </c>
      <c r="H86" s="15"/>
      <c r="I86" s="15"/>
      <c r="J86" s="15"/>
      <c r="K86" s="1" t="s">
        <v>37</v>
      </c>
      <c r="L86" s="17">
        <f t="shared" si="0"/>
        <v>0</v>
      </c>
      <c r="M86" s="17" t="str">
        <f t="shared" si="1"/>
        <v xml:space="preserve"> </v>
      </c>
      <c r="N86" s="17" t="str">
        <f t="shared" si="2"/>
        <v xml:space="preserve"> </v>
      </c>
      <c r="O86" s="17" t="str">
        <f t="shared" si="3"/>
        <v xml:space="preserve"> </v>
      </c>
      <c r="P86" s="17">
        <f t="shared" si="4"/>
        <v>0</v>
      </c>
    </row>
    <row r="87" spans="1:16" ht="12.75">
      <c r="A87" s="12">
        <f t="shared" si="5"/>
        <v>85</v>
      </c>
      <c r="B87" s="13" t="s">
        <v>48</v>
      </c>
      <c r="C87" s="14" t="s">
        <v>147</v>
      </c>
      <c r="D87" s="15">
        <v>16</v>
      </c>
      <c r="E87" s="15">
        <v>0</v>
      </c>
      <c r="F87" s="16">
        <v>1</v>
      </c>
      <c r="G87" s="15">
        <v>1</v>
      </c>
      <c r="H87" s="15"/>
      <c r="I87" s="15"/>
      <c r="J87" s="15"/>
      <c r="K87" s="1" t="s">
        <v>20</v>
      </c>
      <c r="L87" s="17">
        <f t="shared" si="0"/>
        <v>0</v>
      </c>
      <c r="M87" s="17">
        <f t="shared" si="1"/>
        <v>0</v>
      </c>
      <c r="N87" s="17" t="str">
        <f t="shared" si="2"/>
        <v xml:space="preserve"> </v>
      </c>
      <c r="O87" s="17" t="str">
        <f t="shared" si="3"/>
        <v xml:space="preserve"> </v>
      </c>
      <c r="P87" s="17">
        <f t="shared" si="4"/>
        <v>6.25E-2</v>
      </c>
    </row>
    <row r="88" spans="1:16" ht="12.75">
      <c r="A88" s="12">
        <f t="shared" si="5"/>
        <v>86</v>
      </c>
      <c r="B88" s="13" t="s">
        <v>33</v>
      </c>
      <c r="C88" s="14" t="s">
        <v>147</v>
      </c>
      <c r="D88" s="15">
        <v>14</v>
      </c>
      <c r="E88" s="15">
        <v>2</v>
      </c>
      <c r="F88" s="16">
        <v>0</v>
      </c>
      <c r="G88" s="15">
        <v>1</v>
      </c>
      <c r="H88" s="15"/>
      <c r="I88" s="15"/>
      <c r="J88" s="15"/>
      <c r="K88" s="1" t="s">
        <v>34</v>
      </c>
      <c r="L88" s="17">
        <f t="shared" si="0"/>
        <v>0</v>
      </c>
      <c r="M88" s="17">
        <f t="shared" si="1"/>
        <v>0</v>
      </c>
      <c r="N88" s="17" t="str">
        <f t="shared" si="2"/>
        <v xml:space="preserve"> </v>
      </c>
      <c r="O88" s="17" t="str">
        <f t="shared" si="3"/>
        <v xml:space="preserve"> </v>
      </c>
      <c r="P88" s="17">
        <f t="shared" si="4"/>
        <v>7.1428571428571425E-2</v>
      </c>
    </row>
    <row r="89" spans="1:16" ht="12.75">
      <c r="A89" s="12">
        <f t="shared" si="5"/>
        <v>87</v>
      </c>
      <c r="B89" s="13" t="s">
        <v>140</v>
      </c>
      <c r="C89" s="14" t="s">
        <v>142</v>
      </c>
      <c r="D89" s="15">
        <v>0</v>
      </c>
      <c r="E89" s="15">
        <v>0</v>
      </c>
      <c r="F89" s="16">
        <v>0</v>
      </c>
      <c r="G89" s="15">
        <v>0</v>
      </c>
      <c r="H89" s="15"/>
      <c r="I89" s="15"/>
      <c r="J89" s="15"/>
      <c r="K89" s="1" t="s">
        <v>24</v>
      </c>
      <c r="L89" s="17" t="str">
        <f t="shared" si="0"/>
        <v xml:space="preserve"> </v>
      </c>
      <c r="M89" s="17" t="str">
        <f t="shared" si="1"/>
        <v xml:space="preserve"> </v>
      </c>
      <c r="N89" s="17" t="str">
        <f t="shared" si="2"/>
        <v xml:space="preserve"> </v>
      </c>
      <c r="O89" s="17" t="str">
        <f t="shared" si="3"/>
        <v xml:space="preserve"> </v>
      </c>
      <c r="P89" s="17" t="str">
        <f t="shared" si="4"/>
        <v xml:space="preserve"> </v>
      </c>
    </row>
    <row r="90" spans="1:16" ht="12.75">
      <c r="A90" s="12">
        <f t="shared" si="5"/>
        <v>88</v>
      </c>
      <c r="B90" s="13" t="s">
        <v>116</v>
      </c>
      <c r="C90" s="14" t="s">
        <v>147</v>
      </c>
      <c r="D90" s="15">
        <v>6</v>
      </c>
      <c r="E90" s="15">
        <v>0</v>
      </c>
      <c r="F90" s="16">
        <v>0</v>
      </c>
      <c r="G90" s="15">
        <v>0</v>
      </c>
      <c r="H90" s="15"/>
      <c r="I90" s="15"/>
      <c r="J90" s="15"/>
      <c r="K90" s="1" t="s">
        <v>64</v>
      </c>
      <c r="L90" s="17">
        <f t="shared" si="0"/>
        <v>0</v>
      </c>
      <c r="M90" s="17" t="str">
        <f t="shared" si="1"/>
        <v xml:space="preserve"> </v>
      </c>
      <c r="N90" s="17" t="str">
        <f t="shared" si="2"/>
        <v xml:space="preserve"> </v>
      </c>
      <c r="O90" s="17" t="str">
        <f t="shared" si="3"/>
        <v xml:space="preserve"> </v>
      </c>
      <c r="P90" s="17">
        <f t="shared" si="4"/>
        <v>0</v>
      </c>
    </row>
    <row r="91" spans="1:16" ht="12.75">
      <c r="A91" s="12">
        <f t="shared" si="5"/>
        <v>89</v>
      </c>
      <c r="B91" s="13" t="s">
        <v>107</v>
      </c>
      <c r="C91" s="14" t="s">
        <v>142</v>
      </c>
      <c r="D91" s="15">
        <v>0</v>
      </c>
      <c r="E91" s="15">
        <v>0</v>
      </c>
      <c r="F91" s="16">
        <v>0</v>
      </c>
      <c r="G91" s="15">
        <v>0</v>
      </c>
      <c r="H91" s="15"/>
      <c r="I91" s="15"/>
      <c r="J91" s="15"/>
      <c r="K91" s="1" t="s">
        <v>24</v>
      </c>
      <c r="L91" s="17" t="str">
        <f t="shared" si="0"/>
        <v xml:space="preserve"> </v>
      </c>
      <c r="M91" s="17" t="str">
        <f t="shared" si="1"/>
        <v xml:space="preserve"> </v>
      </c>
      <c r="N91" s="17" t="str">
        <f t="shared" si="2"/>
        <v xml:space="preserve"> </v>
      </c>
      <c r="O91" s="17" t="str">
        <f t="shared" si="3"/>
        <v xml:space="preserve"> </v>
      </c>
      <c r="P91" s="17" t="str">
        <f t="shared" si="4"/>
        <v xml:space="preserve"> </v>
      </c>
    </row>
    <row r="92" spans="1:16" ht="12.75">
      <c r="A92" s="12">
        <f t="shared" si="5"/>
        <v>90</v>
      </c>
      <c r="B92" s="13" t="s">
        <v>93</v>
      </c>
      <c r="C92" s="14" t="s">
        <v>147</v>
      </c>
      <c r="D92" s="15">
        <v>19</v>
      </c>
      <c r="E92" s="15">
        <v>2</v>
      </c>
      <c r="F92" s="16">
        <v>5</v>
      </c>
      <c r="G92" s="15">
        <v>1</v>
      </c>
      <c r="H92" s="15"/>
      <c r="I92" s="15"/>
      <c r="J92" s="15"/>
      <c r="K92" s="1" t="s">
        <v>20</v>
      </c>
      <c r="L92" s="17">
        <f t="shared" si="0"/>
        <v>0</v>
      </c>
      <c r="M92" s="17">
        <f t="shared" si="1"/>
        <v>0</v>
      </c>
      <c r="N92" s="17" t="str">
        <f t="shared" si="2"/>
        <v xml:space="preserve"> </v>
      </c>
      <c r="O92" s="17" t="str">
        <f t="shared" si="3"/>
        <v xml:space="preserve"> </v>
      </c>
      <c r="P92" s="17">
        <f t="shared" si="4"/>
        <v>5.2631578947368418E-2</v>
      </c>
    </row>
    <row r="93" spans="1:16" ht="12.75">
      <c r="A93" s="12">
        <f t="shared" si="5"/>
        <v>91</v>
      </c>
      <c r="B93" s="13" t="s">
        <v>90</v>
      </c>
      <c r="C93" s="14" t="s">
        <v>147</v>
      </c>
      <c r="D93" s="15">
        <v>113</v>
      </c>
      <c r="E93" s="15">
        <v>21</v>
      </c>
      <c r="F93" s="16">
        <v>3</v>
      </c>
      <c r="G93" s="15">
        <v>1</v>
      </c>
      <c r="H93" s="15"/>
      <c r="I93" s="15"/>
      <c r="J93" s="15"/>
      <c r="K93" s="1" t="s">
        <v>20</v>
      </c>
      <c r="L93" s="17">
        <f t="shared" si="0"/>
        <v>0</v>
      </c>
      <c r="M93" s="17">
        <f t="shared" si="1"/>
        <v>0</v>
      </c>
      <c r="N93" s="17" t="str">
        <f t="shared" si="2"/>
        <v xml:space="preserve"> </v>
      </c>
      <c r="O93" s="17" t="str">
        <f t="shared" si="3"/>
        <v xml:space="preserve"> </v>
      </c>
      <c r="P93" s="17">
        <f t="shared" si="4"/>
        <v>8.8495575221238937E-3</v>
      </c>
    </row>
    <row r="94" spans="1:16" ht="12.75">
      <c r="A94" s="12">
        <f t="shared" si="5"/>
        <v>92</v>
      </c>
      <c r="B94" s="13" t="s">
        <v>72</v>
      </c>
      <c r="C94" s="14" t="s">
        <v>147</v>
      </c>
      <c r="D94" s="15">
        <v>57</v>
      </c>
      <c r="E94" s="15">
        <v>20</v>
      </c>
      <c r="F94" s="16">
        <v>2</v>
      </c>
      <c r="G94" s="15">
        <v>0</v>
      </c>
      <c r="H94" s="15">
        <v>0</v>
      </c>
      <c r="I94" s="15">
        <v>0</v>
      </c>
      <c r="J94" s="15">
        <v>5</v>
      </c>
      <c r="K94" s="21" t="s">
        <v>20</v>
      </c>
      <c r="L94" s="17">
        <f t="shared" si="0"/>
        <v>8.771929824561403E-2</v>
      </c>
      <c r="M94" s="17" t="str">
        <f t="shared" si="1"/>
        <v xml:space="preserve"> </v>
      </c>
      <c r="N94" s="17" t="str">
        <f t="shared" si="2"/>
        <v xml:space="preserve"> </v>
      </c>
      <c r="O94" s="17" t="str">
        <f t="shared" si="3"/>
        <v xml:space="preserve"> </v>
      </c>
      <c r="P94" s="17">
        <f t="shared" si="4"/>
        <v>0</v>
      </c>
    </row>
    <row r="95" spans="1:16" ht="12.75">
      <c r="A95" s="12">
        <f t="shared" si="5"/>
        <v>93</v>
      </c>
      <c r="B95" s="13" t="s">
        <v>113</v>
      </c>
      <c r="C95" s="14" t="s">
        <v>142</v>
      </c>
      <c r="D95" s="15">
        <v>0</v>
      </c>
      <c r="E95" s="15">
        <v>0</v>
      </c>
      <c r="F95" s="16">
        <v>0</v>
      </c>
      <c r="G95" s="15">
        <v>0</v>
      </c>
      <c r="H95" s="15"/>
      <c r="I95" s="15"/>
      <c r="J95" s="15"/>
      <c r="K95" s="1" t="s">
        <v>24</v>
      </c>
      <c r="L95" s="17" t="str">
        <f t="shared" si="0"/>
        <v xml:space="preserve"> </v>
      </c>
      <c r="M95" s="17" t="str">
        <f t="shared" si="1"/>
        <v xml:space="preserve"> </v>
      </c>
      <c r="N95" s="17" t="str">
        <f t="shared" si="2"/>
        <v xml:space="preserve"> </v>
      </c>
      <c r="O95" s="17" t="str">
        <f t="shared" si="3"/>
        <v xml:space="preserve"> </v>
      </c>
      <c r="P95" s="17" t="str">
        <f t="shared" si="4"/>
        <v xml:space="preserve"> </v>
      </c>
    </row>
    <row r="96" spans="1:16" ht="12.75">
      <c r="A96" s="12">
        <f t="shared" si="5"/>
        <v>94</v>
      </c>
      <c r="B96" s="13" t="s">
        <v>141</v>
      </c>
      <c r="C96" s="14" t="s">
        <v>142</v>
      </c>
      <c r="D96" s="15">
        <v>0</v>
      </c>
      <c r="E96" s="15">
        <v>0</v>
      </c>
      <c r="F96" s="16">
        <v>1</v>
      </c>
      <c r="G96" s="15">
        <v>0</v>
      </c>
      <c r="H96" s="15"/>
      <c r="I96" s="15"/>
      <c r="J96" s="15"/>
      <c r="K96" s="1" t="s">
        <v>24</v>
      </c>
      <c r="L96" s="17" t="str">
        <f t="shared" si="0"/>
        <v xml:space="preserve"> </v>
      </c>
      <c r="M96" s="17" t="str">
        <f t="shared" si="1"/>
        <v xml:space="preserve"> </v>
      </c>
      <c r="N96" s="17" t="str">
        <f t="shared" si="2"/>
        <v xml:space="preserve"> </v>
      </c>
      <c r="O96" s="17" t="str">
        <f t="shared" si="3"/>
        <v xml:space="preserve"> </v>
      </c>
      <c r="P96" s="17" t="str">
        <f t="shared" si="4"/>
        <v xml:space="preserve"> </v>
      </c>
    </row>
    <row r="97" spans="1:16" ht="12.75">
      <c r="A97" s="12">
        <f t="shared" si="5"/>
        <v>95</v>
      </c>
      <c r="B97" s="13" t="s">
        <v>109</v>
      </c>
      <c r="C97" s="14" t="s">
        <v>147</v>
      </c>
      <c r="D97" s="15">
        <v>12</v>
      </c>
      <c r="E97" s="15">
        <v>4</v>
      </c>
      <c r="F97" s="16">
        <v>0</v>
      </c>
      <c r="G97" s="15">
        <v>0</v>
      </c>
      <c r="H97" s="15"/>
      <c r="I97" s="15"/>
      <c r="J97" s="15"/>
      <c r="K97" s="1" t="s">
        <v>37</v>
      </c>
      <c r="L97" s="17">
        <f t="shared" si="0"/>
        <v>0</v>
      </c>
      <c r="M97" s="17" t="str">
        <f t="shared" si="1"/>
        <v xml:space="preserve"> </v>
      </c>
      <c r="N97" s="17" t="str">
        <f t="shared" si="2"/>
        <v xml:space="preserve"> </v>
      </c>
      <c r="O97" s="17" t="str">
        <f t="shared" si="3"/>
        <v xml:space="preserve"> </v>
      </c>
      <c r="P97" s="17">
        <f t="shared" si="4"/>
        <v>0</v>
      </c>
    </row>
    <row r="98" spans="1:16" ht="12.75">
      <c r="A98" s="12">
        <f t="shared" si="5"/>
        <v>96</v>
      </c>
      <c r="B98" s="13" t="s">
        <v>94</v>
      </c>
      <c r="C98" s="14" t="s">
        <v>142</v>
      </c>
      <c r="D98" s="15">
        <v>0</v>
      </c>
      <c r="E98" s="15">
        <v>0</v>
      </c>
      <c r="F98" s="16">
        <v>0</v>
      </c>
      <c r="G98" s="15">
        <v>0</v>
      </c>
      <c r="H98" s="15"/>
      <c r="I98" s="15"/>
      <c r="J98" s="15"/>
      <c r="K98" s="1" t="s">
        <v>24</v>
      </c>
      <c r="L98" s="17" t="str">
        <f t="shared" si="0"/>
        <v xml:space="preserve"> </v>
      </c>
      <c r="M98" s="17" t="str">
        <f t="shared" si="1"/>
        <v xml:space="preserve"> </v>
      </c>
      <c r="N98" s="17" t="str">
        <f t="shared" si="2"/>
        <v xml:space="preserve"> </v>
      </c>
      <c r="O98" s="17" t="str">
        <f t="shared" si="3"/>
        <v xml:space="preserve"> </v>
      </c>
      <c r="P98" s="17" t="str">
        <f t="shared" si="4"/>
        <v xml:space="preserve"> </v>
      </c>
    </row>
    <row r="99" spans="1:16" ht="12.75">
      <c r="A99" s="12">
        <f t="shared" si="5"/>
        <v>97</v>
      </c>
      <c r="B99" s="13" t="s">
        <v>115</v>
      </c>
      <c r="C99" s="14" t="s">
        <v>147</v>
      </c>
      <c r="D99" s="15">
        <v>14</v>
      </c>
      <c r="E99" s="15">
        <v>3</v>
      </c>
      <c r="F99" s="16">
        <v>1</v>
      </c>
      <c r="G99" s="15">
        <v>0</v>
      </c>
      <c r="H99" s="15"/>
      <c r="I99" s="15"/>
      <c r="J99" s="15"/>
      <c r="K99" s="1" t="s">
        <v>29</v>
      </c>
      <c r="L99" s="17">
        <f t="shared" si="0"/>
        <v>0</v>
      </c>
      <c r="M99" s="17" t="str">
        <f t="shared" si="1"/>
        <v xml:space="preserve"> </v>
      </c>
      <c r="N99" s="17" t="str">
        <f t="shared" si="2"/>
        <v xml:space="preserve"> </v>
      </c>
      <c r="O99" s="17" t="str">
        <f t="shared" si="3"/>
        <v xml:space="preserve"> </v>
      </c>
      <c r="P99" s="17">
        <f t="shared" si="4"/>
        <v>0</v>
      </c>
    </row>
    <row r="100" spans="1:16" ht="12.75">
      <c r="A100" s="12">
        <f t="shared" si="5"/>
        <v>98</v>
      </c>
      <c r="B100" s="13" t="s">
        <v>103</v>
      </c>
      <c r="C100" s="14" t="s">
        <v>147</v>
      </c>
      <c r="D100" s="15">
        <v>1</v>
      </c>
      <c r="E100" s="15">
        <v>0</v>
      </c>
      <c r="F100" s="16">
        <v>1</v>
      </c>
      <c r="G100" s="15">
        <v>2</v>
      </c>
      <c r="H100" s="15"/>
      <c r="I100" s="15"/>
      <c r="J100" s="15"/>
      <c r="K100" s="1" t="s">
        <v>20</v>
      </c>
      <c r="L100" s="17">
        <f t="shared" si="0"/>
        <v>0</v>
      </c>
      <c r="M100" s="17">
        <f t="shared" si="1"/>
        <v>0</v>
      </c>
      <c r="N100" s="17" t="str">
        <f t="shared" si="2"/>
        <v xml:space="preserve"> </v>
      </c>
      <c r="O100" s="17" t="str">
        <f t="shared" si="3"/>
        <v xml:space="preserve"> </v>
      </c>
      <c r="P100" s="17">
        <f t="shared" si="4"/>
        <v>2</v>
      </c>
    </row>
    <row r="101" spans="1:16" ht="12.75">
      <c r="A101" s="12">
        <f t="shared" si="5"/>
        <v>99</v>
      </c>
      <c r="B101" s="13" t="s">
        <v>120</v>
      </c>
      <c r="C101" s="14" t="s">
        <v>142</v>
      </c>
      <c r="D101" s="15">
        <v>0</v>
      </c>
      <c r="E101" s="15">
        <v>0</v>
      </c>
      <c r="F101" s="16">
        <v>0</v>
      </c>
      <c r="G101" s="15">
        <v>0</v>
      </c>
      <c r="H101" s="15"/>
      <c r="I101" s="15"/>
      <c r="J101" s="15"/>
      <c r="K101" s="1" t="s">
        <v>24</v>
      </c>
      <c r="L101" s="17" t="str">
        <f t="shared" si="0"/>
        <v xml:space="preserve"> </v>
      </c>
      <c r="M101" s="17" t="str">
        <f t="shared" si="1"/>
        <v xml:space="preserve"> </v>
      </c>
      <c r="N101" s="17" t="str">
        <f t="shared" si="2"/>
        <v xml:space="preserve"> </v>
      </c>
      <c r="O101" s="17" t="str">
        <f t="shared" si="3"/>
        <v xml:space="preserve"> </v>
      </c>
      <c r="P101" s="17" t="str">
        <f t="shared" si="4"/>
        <v xml:space="preserve"> </v>
      </c>
    </row>
    <row r="102" spans="1:16" ht="12.75">
      <c r="A102" s="12">
        <f t="shared" si="5"/>
        <v>100</v>
      </c>
      <c r="B102" s="13" t="s">
        <v>121</v>
      </c>
      <c r="C102" s="14" t="s">
        <v>142</v>
      </c>
      <c r="D102" s="15">
        <v>0</v>
      </c>
      <c r="E102" s="15">
        <v>0</v>
      </c>
      <c r="F102" s="16">
        <v>0</v>
      </c>
      <c r="G102" s="15">
        <v>0</v>
      </c>
      <c r="H102" s="15"/>
      <c r="I102" s="15"/>
      <c r="J102" s="15"/>
      <c r="K102" s="1" t="s">
        <v>24</v>
      </c>
      <c r="L102" s="17" t="str">
        <f t="shared" si="0"/>
        <v xml:space="preserve"> </v>
      </c>
      <c r="M102" s="17" t="str">
        <f t="shared" si="1"/>
        <v xml:space="preserve"> </v>
      </c>
      <c r="N102" s="17" t="str">
        <f t="shared" si="2"/>
        <v xml:space="preserve"> </v>
      </c>
      <c r="O102" s="17" t="str">
        <f t="shared" si="3"/>
        <v xml:space="preserve"> </v>
      </c>
      <c r="P102" s="17" t="str">
        <f t="shared" si="4"/>
        <v xml:space="preserve"> </v>
      </c>
    </row>
    <row r="103" spans="1:16" ht="12.75">
      <c r="A103" s="12">
        <f t="shared" si="5"/>
        <v>101</v>
      </c>
      <c r="B103" s="13" t="s">
        <v>21</v>
      </c>
      <c r="C103" s="14" t="s">
        <v>147</v>
      </c>
      <c r="D103" s="15">
        <v>21</v>
      </c>
      <c r="E103" s="15">
        <v>12</v>
      </c>
      <c r="F103" s="16">
        <v>0</v>
      </c>
      <c r="G103" s="15">
        <v>0</v>
      </c>
      <c r="H103" s="15"/>
      <c r="I103" s="15"/>
      <c r="J103" s="15"/>
      <c r="K103" s="1" t="s">
        <v>20</v>
      </c>
      <c r="L103" s="17">
        <f t="shared" si="0"/>
        <v>0</v>
      </c>
      <c r="M103" s="17" t="str">
        <f t="shared" si="1"/>
        <v xml:space="preserve"> </v>
      </c>
      <c r="N103" s="17" t="str">
        <f t="shared" si="2"/>
        <v xml:space="preserve"> </v>
      </c>
      <c r="O103" s="17" t="str">
        <f t="shared" si="3"/>
        <v xml:space="preserve"> </v>
      </c>
      <c r="P103" s="17">
        <f t="shared" si="4"/>
        <v>0</v>
      </c>
    </row>
    <row r="104" spans="1:16" ht="12.75">
      <c r="A104" s="12">
        <f t="shared" si="5"/>
        <v>102</v>
      </c>
      <c r="B104" s="13" t="s">
        <v>99</v>
      </c>
      <c r="C104" s="14" t="s">
        <v>147</v>
      </c>
      <c r="D104" s="15">
        <v>14</v>
      </c>
      <c r="E104" s="15">
        <v>2</v>
      </c>
      <c r="F104" s="16">
        <v>1</v>
      </c>
      <c r="G104" s="15">
        <v>0</v>
      </c>
      <c r="I104" s="15"/>
      <c r="J104" s="15"/>
      <c r="K104" s="1" t="s">
        <v>20</v>
      </c>
      <c r="L104" s="17">
        <f t="shared" si="0"/>
        <v>0</v>
      </c>
      <c r="M104" s="17" t="str">
        <f t="shared" si="1"/>
        <v xml:space="preserve"> </v>
      </c>
      <c r="N104" s="17" t="str">
        <f>IFERROR(J104/H105, " ")</f>
        <v xml:space="preserve"> </v>
      </c>
      <c r="O104" s="17" t="str">
        <f t="shared" si="3"/>
        <v xml:space="preserve"> </v>
      </c>
      <c r="P104" s="17">
        <f t="shared" si="4"/>
        <v>0</v>
      </c>
    </row>
    <row r="105" spans="1:16" ht="12.75">
      <c r="A105" s="12">
        <f t="shared" si="5"/>
        <v>103</v>
      </c>
      <c r="B105" s="13" t="s">
        <v>91</v>
      </c>
      <c r="C105" s="14" t="s">
        <v>147</v>
      </c>
      <c r="D105" s="15">
        <v>58</v>
      </c>
      <c r="E105" s="15">
        <v>10</v>
      </c>
      <c r="F105" s="16">
        <v>3</v>
      </c>
      <c r="G105" s="15">
        <v>3</v>
      </c>
      <c r="H105" s="15"/>
      <c r="I105" s="15"/>
      <c r="J105" s="15"/>
      <c r="K105" s="1" t="s">
        <v>20</v>
      </c>
      <c r="L105" s="17">
        <f t="shared" si="0"/>
        <v>0</v>
      </c>
      <c r="M105" s="17">
        <f t="shared" si="1"/>
        <v>0</v>
      </c>
      <c r="N105" s="17" t="str">
        <f>IFERROR(J105/#REF!, " ")</f>
        <v xml:space="preserve"> </v>
      </c>
      <c r="O105" s="17" t="str">
        <f t="shared" si="3"/>
        <v xml:space="preserve"> </v>
      </c>
      <c r="P105" s="17">
        <f t="shared" si="4"/>
        <v>5.1724137931034482E-2</v>
      </c>
    </row>
    <row r="106" spans="1:16" ht="12.75">
      <c r="A106" s="12">
        <f t="shared" si="5"/>
        <v>104</v>
      </c>
      <c r="B106" s="13" t="s">
        <v>81</v>
      </c>
      <c r="C106" s="14" t="s">
        <v>147</v>
      </c>
      <c r="D106" s="15">
        <v>10</v>
      </c>
      <c r="E106" s="15">
        <v>4</v>
      </c>
      <c r="F106" s="16">
        <v>0</v>
      </c>
      <c r="G106" s="15">
        <v>0</v>
      </c>
      <c r="H106" s="15"/>
      <c r="I106" s="15"/>
      <c r="J106" s="15"/>
      <c r="K106" s="1" t="s">
        <v>64</v>
      </c>
      <c r="L106" s="17">
        <f t="shared" si="0"/>
        <v>0</v>
      </c>
      <c r="M106" s="17" t="str">
        <f t="shared" si="1"/>
        <v xml:space="preserve"> </v>
      </c>
      <c r="N106" s="17" t="str">
        <f t="shared" ref="N106:N111" si="8">IFERROR(J106/H106, " ")</f>
        <v xml:space="preserve"> </v>
      </c>
      <c r="O106" s="17" t="str">
        <f t="shared" si="3"/>
        <v xml:space="preserve"> </v>
      </c>
      <c r="P106" s="17">
        <f t="shared" si="4"/>
        <v>0</v>
      </c>
    </row>
    <row r="107" spans="1:16" ht="12.75">
      <c r="A107" s="12">
        <f t="shared" si="5"/>
        <v>105</v>
      </c>
      <c r="B107" s="13" t="s">
        <v>92</v>
      </c>
      <c r="C107" s="14" t="s">
        <v>147</v>
      </c>
      <c r="D107" s="15">
        <v>9</v>
      </c>
      <c r="E107" s="15">
        <v>2</v>
      </c>
      <c r="F107" s="16">
        <v>0</v>
      </c>
      <c r="G107" s="15">
        <v>0</v>
      </c>
      <c r="H107" s="15"/>
      <c r="I107" s="15"/>
      <c r="J107" s="15"/>
      <c r="K107" s="1" t="s">
        <v>64</v>
      </c>
      <c r="L107" s="17">
        <f t="shared" si="0"/>
        <v>0</v>
      </c>
      <c r="M107" s="17" t="str">
        <f t="shared" si="1"/>
        <v xml:space="preserve"> </v>
      </c>
      <c r="N107" s="17" t="str">
        <f t="shared" si="8"/>
        <v xml:space="preserve"> </v>
      </c>
      <c r="O107" s="17" t="str">
        <f t="shared" si="3"/>
        <v xml:space="preserve"> </v>
      </c>
      <c r="P107" s="17">
        <f t="shared" si="4"/>
        <v>0</v>
      </c>
    </row>
    <row r="108" spans="1:16" ht="12.75">
      <c r="A108" s="12">
        <f t="shared" si="5"/>
        <v>106</v>
      </c>
      <c r="B108" s="13" t="s">
        <v>62</v>
      </c>
      <c r="C108" s="14" t="s">
        <v>147</v>
      </c>
      <c r="D108" s="15">
        <v>11</v>
      </c>
      <c r="E108" s="15">
        <v>3</v>
      </c>
      <c r="F108" s="16">
        <v>0</v>
      </c>
      <c r="G108" s="15">
        <v>0</v>
      </c>
      <c r="H108" s="15"/>
      <c r="I108" s="15">
        <v>1</v>
      </c>
      <c r="J108" s="15">
        <v>1</v>
      </c>
      <c r="K108" s="1" t="s">
        <v>20</v>
      </c>
      <c r="L108" s="18">
        <f t="shared" si="0"/>
        <v>9.0909090909090912E-2</v>
      </c>
      <c r="M108" s="17" t="str">
        <f t="shared" si="1"/>
        <v xml:space="preserve"> </v>
      </c>
      <c r="N108" s="18" t="str">
        <f t="shared" si="8"/>
        <v xml:space="preserve"> </v>
      </c>
      <c r="O108" s="18">
        <f t="shared" si="3"/>
        <v>1</v>
      </c>
      <c r="P108" s="17">
        <f t="shared" si="4"/>
        <v>0</v>
      </c>
    </row>
    <row r="109" spans="1:16" ht="12.75">
      <c r="A109" s="12">
        <f t="shared" si="5"/>
        <v>107</v>
      </c>
      <c r="B109" s="13" t="s">
        <v>111</v>
      </c>
      <c r="C109" s="14" t="s">
        <v>142</v>
      </c>
      <c r="D109" s="15">
        <v>2</v>
      </c>
      <c r="E109" s="15">
        <v>1</v>
      </c>
      <c r="F109" s="16">
        <v>0</v>
      </c>
      <c r="G109" s="15">
        <v>0</v>
      </c>
      <c r="H109" s="15"/>
      <c r="I109" s="15"/>
      <c r="J109" s="15"/>
      <c r="K109" s="1" t="s">
        <v>24</v>
      </c>
      <c r="L109" s="17">
        <f t="shared" si="0"/>
        <v>0</v>
      </c>
      <c r="M109" s="17" t="str">
        <f t="shared" si="1"/>
        <v xml:space="preserve"> </v>
      </c>
      <c r="N109" s="17" t="str">
        <f t="shared" si="8"/>
        <v xml:space="preserve"> </v>
      </c>
      <c r="O109" s="17" t="str">
        <f t="shared" si="3"/>
        <v xml:space="preserve"> </v>
      </c>
      <c r="P109" s="17">
        <f t="shared" si="4"/>
        <v>0</v>
      </c>
    </row>
    <row r="110" spans="1:16" ht="12.75">
      <c r="A110" s="12">
        <f t="shared" si="5"/>
        <v>108</v>
      </c>
      <c r="B110" s="13" t="s">
        <v>77</v>
      </c>
      <c r="C110" s="14" t="s">
        <v>147</v>
      </c>
      <c r="D110" s="15">
        <v>42</v>
      </c>
      <c r="E110" s="15">
        <v>12</v>
      </c>
      <c r="F110" s="16">
        <v>1</v>
      </c>
      <c r="G110" s="15">
        <v>2</v>
      </c>
      <c r="H110" s="15"/>
      <c r="I110" s="15"/>
      <c r="J110" s="15"/>
      <c r="K110" s="1" t="s">
        <v>20</v>
      </c>
      <c r="L110" s="17">
        <f t="shared" si="0"/>
        <v>0</v>
      </c>
      <c r="M110" s="17">
        <f t="shared" si="1"/>
        <v>0</v>
      </c>
      <c r="N110" s="17" t="str">
        <f t="shared" si="8"/>
        <v xml:space="preserve"> </v>
      </c>
      <c r="O110" s="17" t="str">
        <f t="shared" si="3"/>
        <v xml:space="preserve"> </v>
      </c>
      <c r="P110" s="17">
        <f t="shared" si="4"/>
        <v>4.7619047619047616E-2</v>
      </c>
    </row>
    <row r="111" spans="1:16" ht="12.75">
      <c r="A111" s="12">
        <f t="shared" si="5"/>
        <v>109</v>
      </c>
      <c r="B111" s="13" t="s">
        <v>65</v>
      </c>
      <c r="C111" s="14" t="s">
        <v>147</v>
      </c>
      <c r="D111" s="15">
        <v>10</v>
      </c>
      <c r="E111" s="15">
        <v>0</v>
      </c>
      <c r="F111" s="16">
        <v>0</v>
      </c>
      <c r="G111" s="15">
        <v>0</v>
      </c>
      <c r="H111" s="15"/>
      <c r="I111" s="15"/>
      <c r="J111" s="15"/>
      <c r="K111" s="1" t="s">
        <v>20</v>
      </c>
      <c r="L111" s="17">
        <f t="shared" si="0"/>
        <v>0</v>
      </c>
      <c r="M111" s="17" t="str">
        <f t="shared" si="1"/>
        <v xml:space="preserve"> </v>
      </c>
      <c r="N111" s="17" t="str">
        <f t="shared" si="8"/>
        <v xml:space="preserve"> </v>
      </c>
      <c r="O111" s="17" t="str">
        <f t="shared" si="3"/>
        <v xml:space="preserve"> </v>
      </c>
      <c r="P111" s="17">
        <f t="shared" si="4"/>
        <v>0</v>
      </c>
    </row>
    <row r="112" spans="1:16" ht="12.75">
      <c r="C112" s="29"/>
      <c r="D112" s="29"/>
      <c r="E112" s="29"/>
      <c r="F112" s="29"/>
      <c r="G112" s="29"/>
      <c r="H112" s="29"/>
      <c r="I112" s="29"/>
      <c r="J112" s="29"/>
      <c r="L112" s="17" t="str">
        <f t="shared" si="0"/>
        <v xml:space="preserve"> </v>
      </c>
      <c r="P112" s="17" t="str">
        <f t="shared" si="4"/>
        <v xml:space="preserve"> </v>
      </c>
    </row>
    <row r="113" spans="1:28" ht="13.15">
      <c r="A113" s="30"/>
      <c r="B113" s="31" t="s">
        <v>143</v>
      </c>
      <c r="C113" s="32"/>
      <c r="D113" s="32">
        <f t="shared" ref="D113:I113" si="9">SUM(D3:D111)</f>
        <v>2020</v>
      </c>
      <c r="E113" s="32">
        <f t="shared" si="9"/>
        <v>601</v>
      </c>
      <c r="F113" s="32">
        <f t="shared" si="9"/>
        <v>94</v>
      </c>
      <c r="G113" s="32">
        <f t="shared" si="9"/>
        <v>83</v>
      </c>
      <c r="H113" s="32">
        <f t="shared" si="9"/>
        <v>3</v>
      </c>
      <c r="I113" s="32">
        <f t="shared" si="9"/>
        <v>11</v>
      </c>
      <c r="J113" s="32">
        <f>SUM(J3:J112)</f>
        <v>15</v>
      </c>
      <c r="K113" s="30"/>
      <c r="L113" s="17">
        <f t="shared" si="0"/>
        <v>7.4257425742574254E-3</v>
      </c>
      <c r="M113" s="30"/>
      <c r="N113" s="30"/>
      <c r="O113" s="30"/>
      <c r="P113" s="33">
        <f t="shared" si="4"/>
        <v>4.1089108910891091E-2</v>
      </c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</row>
    <row r="115" spans="1:28" ht="12.75">
      <c r="B115" s="21" t="s">
        <v>163</v>
      </c>
    </row>
    <row r="117" spans="1:28" ht="12.75">
      <c r="B117" s="21" t="s">
        <v>164</v>
      </c>
    </row>
    <row r="119" spans="1:28" ht="12.75">
      <c r="B119" s="13" t="s">
        <v>98</v>
      </c>
      <c r="C119" s="25" t="s">
        <v>147</v>
      </c>
      <c r="E119" s="38">
        <f t="shared" ref="E119:E229" si="10">IFERROR(E3/D3," ")</f>
        <v>0.6470588235294118</v>
      </c>
      <c r="F119" s="38"/>
      <c r="G119" s="38">
        <f t="shared" ref="G119:G229" si="11">IFERROR(G3/E3," ")</f>
        <v>0</v>
      </c>
      <c r="H119" s="38" t="str">
        <f t="shared" ref="H119:J119" si="12">IFERROR(H3/G3," ")</f>
        <v xml:space="preserve"> </v>
      </c>
      <c r="I119" s="38" t="str">
        <f t="shared" si="12"/>
        <v xml:space="preserve"> </v>
      </c>
      <c r="J119" s="38" t="str">
        <f t="shared" si="12"/>
        <v xml:space="preserve"> </v>
      </c>
    </row>
    <row r="120" spans="1:28" ht="12.75">
      <c r="B120" s="13" t="s">
        <v>59</v>
      </c>
      <c r="C120" s="25" t="s">
        <v>147</v>
      </c>
      <c r="E120" s="38">
        <f t="shared" si="10"/>
        <v>7.6923076923076927E-2</v>
      </c>
      <c r="F120" s="38"/>
      <c r="G120" s="38">
        <f t="shared" si="11"/>
        <v>0</v>
      </c>
      <c r="H120" s="38" t="str">
        <f t="shared" ref="H120:J120" si="13">IFERROR(H4/G4," ")</f>
        <v xml:space="preserve"> </v>
      </c>
      <c r="I120" s="38" t="str">
        <f t="shared" si="13"/>
        <v xml:space="preserve"> </v>
      </c>
      <c r="J120" s="38" t="str">
        <f t="shared" si="13"/>
        <v xml:space="preserve"> </v>
      </c>
    </row>
    <row r="121" spans="1:28" ht="12.75">
      <c r="B121" s="13" t="s">
        <v>41</v>
      </c>
      <c r="C121" s="25" t="s">
        <v>147</v>
      </c>
      <c r="E121" s="38" t="str">
        <f t="shared" si="10"/>
        <v xml:space="preserve"> </v>
      </c>
      <c r="F121" s="38"/>
      <c r="G121" s="38" t="str">
        <f t="shared" si="11"/>
        <v xml:space="preserve"> </v>
      </c>
      <c r="H121" s="38" t="str">
        <f t="shared" ref="H121:J121" si="14">IFERROR(H5/G5," ")</f>
        <v xml:space="preserve"> </v>
      </c>
      <c r="I121" s="38" t="str">
        <f t="shared" si="14"/>
        <v xml:space="preserve"> </v>
      </c>
      <c r="J121" s="38" t="str">
        <f t="shared" si="14"/>
        <v xml:space="preserve"> </v>
      </c>
    </row>
    <row r="122" spans="1:28" ht="12.75">
      <c r="B122" s="13" t="s">
        <v>66</v>
      </c>
      <c r="C122" s="25" t="s">
        <v>147</v>
      </c>
      <c r="E122" s="38">
        <f t="shared" si="10"/>
        <v>1</v>
      </c>
      <c r="F122" s="38"/>
      <c r="G122" s="38">
        <f t="shared" si="11"/>
        <v>0</v>
      </c>
      <c r="H122" s="38" t="str">
        <f t="shared" ref="H122:J122" si="15">IFERROR(H6/G6," ")</f>
        <v xml:space="preserve"> </v>
      </c>
      <c r="I122" s="38" t="str">
        <f t="shared" si="15"/>
        <v xml:space="preserve"> </v>
      </c>
      <c r="J122" s="38" t="str">
        <f t="shared" si="15"/>
        <v xml:space="preserve"> </v>
      </c>
    </row>
    <row r="123" spans="1:28" ht="12.75">
      <c r="B123" s="13" t="s">
        <v>139</v>
      </c>
      <c r="C123" s="25" t="s">
        <v>142</v>
      </c>
      <c r="E123" s="38">
        <f t="shared" si="10"/>
        <v>0.15789473684210525</v>
      </c>
      <c r="F123" s="38"/>
      <c r="G123" s="38">
        <f t="shared" si="11"/>
        <v>0.66666666666666663</v>
      </c>
      <c r="H123" s="38">
        <f t="shared" ref="H123:J123" si="16">IFERROR(H7/G7," ")</f>
        <v>0</v>
      </c>
      <c r="I123" s="38" t="str">
        <f t="shared" si="16"/>
        <v xml:space="preserve"> </v>
      </c>
      <c r="J123" s="38" t="str">
        <f t="shared" si="16"/>
        <v xml:space="preserve"> </v>
      </c>
    </row>
    <row r="124" spans="1:28" ht="12.75">
      <c r="B124" s="13" t="s">
        <v>107</v>
      </c>
      <c r="C124" s="25" t="s">
        <v>142</v>
      </c>
      <c r="E124" s="38">
        <f t="shared" si="10"/>
        <v>0.46666666666666667</v>
      </c>
      <c r="F124" s="38"/>
      <c r="G124" s="38">
        <f t="shared" si="11"/>
        <v>0.2857142857142857</v>
      </c>
      <c r="H124" s="38">
        <f t="shared" ref="H124:J124" si="17">IFERROR(H8/G8," ")</f>
        <v>0</v>
      </c>
      <c r="I124" s="38" t="str">
        <f t="shared" si="17"/>
        <v xml:space="preserve"> </v>
      </c>
      <c r="J124" s="38" t="str">
        <f t="shared" si="17"/>
        <v xml:space="preserve"> </v>
      </c>
    </row>
    <row r="125" spans="1:28" ht="12.75">
      <c r="B125" s="13" t="s">
        <v>93</v>
      </c>
      <c r="C125" s="25" t="s">
        <v>147</v>
      </c>
      <c r="E125" s="38">
        <f t="shared" si="10"/>
        <v>0.46153846153846156</v>
      </c>
      <c r="F125" s="38"/>
      <c r="G125" s="38">
        <f t="shared" si="11"/>
        <v>0</v>
      </c>
      <c r="H125" s="38" t="str">
        <f t="shared" ref="H125:J125" si="18">IFERROR(H9/G9," ")</f>
        <v xml:space="preserve"> </v>
      </c>
      <c r="I125" s="38" t="str">
        <f t="shared" si="18"/>
        <v xml:space="preserve"> </v>
      </c>
      <c r="J125" s="38" t="str">
        <f t="shared" si="18"/>
        <v xml:space="preserve"> </v>
      </c>
    </row>
    <row r="126" spans="1:28" ht="12.75">
      <c r="B126" s="13" t="s">
        <v>90</v>
      </c>
      <c r="C126" s="25" t="s">
        <v>147</v>
      </c>
      <c r="E126" s="38">
        <f t="shared" si="10"/>
        <v>0.14285714285714285</v>
      </c>
      <c r="F126" s="38"/>
      <c r="G126" s="38">
        <f t="shared" si="11"/>
        <v>2</v>
      </c>
      <c r="H126" s="38">
        <f t="shared" ref="H126:J126" si="19">IFERROR(H10/G10," ")</f>
        <v>0</v>
      </c>
      <c r="I126" s="38" t="str">
        <f t="shared" si="19"/>
        <v xml:space="preserve"> </v>
      </c>
      <c r="J126" s="38" t="str">
        <f t="shared" si="19"/>
        <v xml:space="preserve"> </v>
      </c>
    </row>
    <row r="127" spans="1:28" ht="12.75">
      <c r="B127" s="13" t="s">
        <v>113</v>
      </c>
      <c r="C127" s="25" t="s">
        <v>142</v>
      </c>
      <c r="E127" s="38">
        <f t="shared" si="10"/>
        <v>0</v>
      </c>
      <c r="F127" s="38"/>
      <c r="G127" s="38" t="str">
        <f t="shared" si="11"/>
        <v xml:space="preserve"> </v>
      </c>
      <c r="H127" s="38">
        <f t="shared" ref="H127:J127" si="20">IFERROR(H11/G11," ")</f>
        <v>0</v>
      </c>
      <c r="I127" s="38" t="str">
        <f t="shared" si="20"/>
        <v xml:space="preserve"> </v>
      </c>
      <c r="J127" s="38" t="str">
        <f t="shared" si="20"/>
        <v xml:space="preserve"> </v>
      </c>
    </row>
    <row r="128" spans="1:28" ht="12.75">
      <c r="B128" s="13" t="s">
        <v>109</v>
      </c>
      <c r="C128" s="25" t="s">
        <v>147</v>
      </c>
      <c r="E128" s="38">
        <f t="shared" si="10"/>
        <v>0.55813953488372092</v>
      </c>
      <c r="F128" s="38"/>
      <c r="G128" s="38">
        <f t="shared" si="11"/>
        <v>0.125</v>
      </c>
      <c r="H128" s="38">
        <f t="shared" ref="H128:J128" si="21">IFERROR(H12/G12," ")</f>
        <v>0</v>
      </c>
      <c r="I128" s="38" t="str">
        <f t="shared" si="21"/>
        <v xml:space="preserve"> </v>
      </c>
      <c r="J128" s="38" t="str">
        <f t="shared" si="21"/>
        <v xml:space="preserve"> </v>
      </c>
    </row>
    <row r="129" spans="2:10" ht="12.75">
      <c r="B129" s="13" t="s">
        <v>115</v>
      </c>
      <c r="C129" s="25" t="s">
        <v>147</v>
      </c>
      <c r="E129" s="38">
        <f t="shared" si="10"/>
        <v>0.17808219178082191</v>
      </c>
      <c r="F129" s="38"/>
      <c r="G129" s="38">
        <f t="shared" si="11"/>
        <v>0.30769230769230771</v>
      </c>
      <c r="H129" s="38">
        <f t="shared" ref="H129:J129" si="22">IFERROR(H13/G13," ")</f>
        <v>0</v>
      </c>
      <c r="I129" s="38" t="str">
        <f t="shared" si="22"/>
        <v xml:space="preserve"> </v>
      </c>
      <c r="J129" s="38" t="str">
        <f t="shared" si="22"/>
        <v xml:space="preserve"> </v>
      </c>
    </row>
    <row r="130" spans="2:10" ht="12.75">
      <c r="B130" s="13" t="s">
        <v>103</v>
      </c>
      <c r="C130" s="25" t="s">
        <v>147</v>
      </c>
      <c r="E130" s="38">
        <f t="shared" si="10"/>
        <v>0</v>
      </c>
      <c r="F130" s="38"/>
      <c r="G130" s="38" t="str">
        <f t="shared" si="11"/>
        <v xml:space="preserve"> </v>
      </c>
      <c r="H130" s="38" t="str">
        <f t="shared" ref="H130:J130" si="23">IFERROR(H14/G14," ")</f>
        <v xml:space="preserve"> </v>
      </c>
      <c r="I130" s="38" t="str">
        <f t="shared" si="23"/>
        <v xml:space="preserve"> </v>
      </c>
      <c r="J130" s="38" t="str">
        <f t="shared" si="23"/>
        <v xml:space="preserve"> </v>
      </c>
    </row>
    <row r="131" spans="2:10" ht="12.75">
      <c r="B131" s="13" t="s">
        <v>120</v>
      </c>
      <c r="C131" s="25" t="s">
        <v>142</v>
      </c>
      <c r="E131" s="38">
        <f t="shared" si="10"/>
        <v>0.40384615384615385</v>
      </c>
      <c r="F131" s="38"/>
      <c r="G131" s="38">
        <f t="shared" si="11"/>
        <v>0</v>
      </c>
      <c r="H131" s="38" t="str">
        <f t="shared" ref="H131:J131" si="24">IFERROR(H15/G15," ")</f>
        <v xml:space="preserve"> </v>
      </c>
      <c r="I131" s="38" t="str">
        <f t="shared" si="24"/>
        <v xml:space="preserve"> </v>
      </c>
      <c r="J131" s="38" t="str">
        <f t="shared" si="24"/>
        <v xml:space="preserve"> </v>
      </c>
    </row>
    <row r="132" spans="2:10" ht="12.75">
      <c r="B132" s="13" t="s">
        <v>121</v>
      </c>
      <c r="C132" s="25" t="s">
        <v>142</v>
      </c>
      <c r="E132" s="38">
        <f t="shared" si="10"/>
        <v>0.61111111111111116</v>
      </c>
      <c r="F132" s="38"/>
      <c r="G132" s="38">
        <f t="shared" si="11"/>
        <v>0</v>
      </c>
      <c r="H132" s="38" t="str">
        <f t="shared" ref="H132:J132" si="25">IFERROR(H16/G16," ")</f>
        <v xml:space="preserve"> </v>
      </c>
      <c r="I132" s="38" t="str">
        <f t="shared" si="25"/>
        <v xml:space="preserve"> </v>
      </c>
      <c r="J132" s="38" t="str">
        <f t="shared" si="25"/>
        <v xml:space="preserve"> </v>
      </c>
    </row>
    <row r="133" spans="2:10" ht="12.75">
      <c r="B133" s="13" t="s">
        <v>81</v>
      </c>
      <c r="C133" s="25" t="s">
        <v>147</v>
      </c>
      <c r="E133" s="38">
        <f t="shared" si="10"/>
        <v>0.22727272727272727</v>
      </c>
      <c r="F133" s="38"/>
      <c r="G133" s="38">
        <f t="shared" si="11"/>
        <v>0.4</v>
      </c>
      <c r="H133" s="38">
        <f t="shared" ref="H133:J133" si="26">IFERROR(H17/G17," ")</f>
        <v>0</v>
      </c>
      <c r="I133" s="38" t="str">
        <f t="shared" si="26"/>
        <v xml:space="preserve"> </v>
      </c>
      <c r="J133" s="38" t="str">
        <f t="shared" si="26"/>
        <v xml:space="preserve"> </v>
      </c>
    </row>
    <row r="134" spans="2:10" ht="12.75">
      <c r="B134" s="13" t="s">
        <v>92</v>
      </c>
      <c r="C134" s="25" t="s">
        <v>147</v>
      </c>
      <c r="E134" s="38">
        <f t="shared" si="10"/>
        <v>7.6923076923076927E-2</v>
      </c>
      <c r="F134" s="38"/>
      <c r="G134" s="38">
        <f t="shared" si="11"/>
        <v>1</v>
      </c>
      <c r="H134" s="38">
        <f t="shared" ref="H134:J134" si="27">IFERROR(H18/G18," ")</f>
        <v>0</v>
      </c>
      <c r="I134" s="38" t="str">
        <f t="shared" si="27"/>
        <v xml:space="preserve"> </v>
      </c>
      <c r="J134" s="38">
        <f t="shared" si="27"/>
        <v>1</v>
      </c>
    </row>
    <row r="135" spans="2:10" ht="12.75">
      <c r="B135" s="13" t="s">
        <v>57</v>
      </c>
      <c r="C135" s="13" t="s">
        <v>147</v>
      </c>
      <c r="E135" s="38" t="str">
        <f t="shared" si="10"/>
        <v xml:space="preserve"> </v>
      </c>
      <c r="F135" s="38"/>
      <c r="G135" s="38" t="str">
        <f t="shared" si="11"/>
        <v xml:space="preserve"> </v>
      </c>
      <c r="H135" s="38" t="str">
        <f t="shared" ref="H135:J135" si="28">IFERROR(H19/G19," ")</f>
        <v xml:space="preserve"> </v>
      </c>
      <c r="I135" s="38" t="str">
        <f t="shared" si="28"/>
        <v xml:space="preserve"> </v>
      </c>
      <c r="J135" s="38" t="str">
        <f t="shared" si="28"/>
        <v xml:space="preserve"> </v>
      </c>
    </row>
    <row r="136" spans="2:10" ht="12.75">
      <c r="B136" s="13" t="s">
        <v>105</v>
      </c>
      <c r="C136" s="25" t="s">
        <v>142</v>
      </c>
      <c r="E136" s="38">
        <f t="shared" si="10"/>
        <v>0.44827586206896552</v>
      </c>
      <c r="F136" s="38"/>
      <c r="G136" s="38">
        <f t="shared" si="11"/>
        <v>0.15384615384615385</v>
      </c>
      <c r="H136" s="38">
        <f t="shared" ref="H136:J136" si="29">IFERROR(H20/G20," ")</f>
        <v>0</v>
      </c>
      <c r="I136" s="38" t="str">
        <f t="shared" si="29"/>
        <v xml:space="preserve"> </v>
      </c>
      <c r="J136" s="38" t="str">
        <f t="shared" si="29"/>
        <v xml:space="preserve"> </v>
      </c>
    </row>
    <row r="137" spans="2:10" ht="12.75">
      <c r="B137" s="13" t="s">
        <v>19</v>
      </c>
      <c r="C137" s="25" t="s">
        <v>147</v>
      </c>
      <c r="E137" s="38" t="str">
        <f t="shared" si="10"/>
        <v xml:space="preserve"> </v>
      </c>
      <c r="F137" s="38"/>
      <c r="G137" s="38" t="str">
        <f t="shared" si="11"/>
        <v xml:space="preserve"> </v>
      </c>
      <c r="H137" s="38" t="str">
        <f t="shared" ref="H137:J137" si="30">IFERROR(H21/G21," ")</f>
        <v xml:space="preserve"> </v>
      </c>
      <c r="I137" s="38" t="str">
        <f t="shared" si="30"/>
        <v xml:space="preserve"> </v>
      </c>
      <c r="J137" s="38" t="str">
        <f t="shared" si="30"/>
        <v xml:space="preserve"> </v>
      </c>
    </row>
    <row r="138" spans="2:10" ht="12.75">
      <c r="B138" s="13" t="s">
        <v>114</v>
      </c>
      <c r="C138" s="25" t="s">
        <v>142</v>
      </c>
      <c r="E138" s="38">
        <f t="shared" si="10"/>
        <v>4.5454545454545456E-2</v>
      </c>
      <c r="F138" s="38"/>
      <c r="G138" s="38">
        <f t="shared" si="11"/>
        <v>4</v>
      </c>
      <c r="H138" s="38">
        <f t="shared" ref="H138:J138" si="31">IFERROR(H22/G22," ")</f>
        <v>0</v>
      </c>
      <c r="I138" s="38" t="str">
        <f t="shared" si="31"/>
        <v xml:space="preserve"> </v>
      </c>
      <c r="J138" s="38">
        <f t="shared" si="31"/>
        <v>0</v>
      </c>
    </row>
    <row r="139" spans="2:10" ht="12.75">
      <c r="B139" s="13" t="s">
        <v>58</v>
      </c>
      <c r="C139" s="25" t="s">
        <v>147</v>
      </c>
      <c r="E139" s="38">
        <f t="shared" si="10"/>
        <v>0.52380952380952384</v>
      </c>
      <c r="F139" s="38"/>
      <c r="G139" s="38">
        <f t="shared" si="11"/>
        <v>0.36363636363636365</v>
      </c>
      <c r="H139" s="38">
        <f t="shared" ref="H139:J139" si="32">IFERROR(H23/G23," ")</f>
        <v>0</v>
      </c>
      <c r="I139" s="38" t="str">
        <f t="shared" si="32"/>
        <v xml:space="preserve"> </v>
      </c>
      <c r="J139" s="38">
        <f t="shared" si="32"/>
        <v>0</v>
      </c>
    </row>
    <row r="140" spans="2:10" ht="12.75">
      <c r="B140" s="13" t="s">
        <v>80</v>
      </c>
      <c r="C140" s="25" t="s">
        <v>147</v>
      </c>
      <c r="E140" s="38">
        <f t="shared" si="10"/>
        <v>0</v>
      </c>
      <c r="F140" s="38"/>
      <c r="G140" s="38" t="str">
        <f t="shared" si="11"/>
        <v xml:space="preserve"> </v>
      </c>
      <c r="H140" s="38" t="str">
        <f t="shared" ref="H140:J140" si="33">IFERROR(H24/G24," ")</f>
        <v xml:space="preserve"> </v>
      </c>
      <c r="I140" s="38" t="str">
        <f t="shared" si="33"/>
        <v xml:space="preserve"> </v>
      </c>
      <c r="J140" s="38" t="str">
        <f t="shared" si="33"/>
        <v xml:space="preserve"> </v>
      </c>
    </row>
    <row r="141" spans="2:10" ht="12.75">
      <c r="B141" s="13" t="s">
        <v>28</v>
      </c>
      <c r="C141" s="25" t="s">
        <v>147</v>
      </c>
      <c r="E141" s="38">
        <f t="shared" si="10"/>
        <v>9.0909090909090912E-2</v>
      </c>
      <c r="F141" s="38"/>
      <c r="G141" s="38">
        <f t="shared" si="11"/>
        <v>0</v>
      </c>
      <c r="H141" s="38" t="str">
        <f t="shared" ref="H141:J141" si="34">IFERROR(H25/G25," ")</f>
        <v xml:space="preserve"> </v>
      </c>
      <c r="I141" s="38" t="str">
        <f t="shared" si="34"/>
        <v xml:space="preserve"> </v>
      </c>
      <c r="J141" s="38" t="str">
        <f t="shared" si="34"/>
        <v xml:space="preserve"> </v>
      </c>
    </row>
    <row r="142" spans="2:10" ht="12.75">
      <c r="B142" s="13" t="s">
        <v>127</v>
      </c>
      <c r="C142" s="25" t="s">
        <v>142</v>
      </c>
      <c r="E142" s="38">
        <f t="shared" si="10"/>
        <v>0.33333333333333331</v>
      </c>
      <c r="F142" s="38"/>
      <c r="G142" s="38">
        <f t="shared" si="11"/>
        <v>0</v>
      </c>
      <c r="H142" s="38" t="str">
        <f t="shared" ref="H142:J142" si="35">IFERROR(H26/G26," ")</f>
        <v xml:space="preserve"> </v>
      </c>
      <c r="I142" s="38" t="str">
        <f t="shared" si="35"/>
        <v xml:space="preserve"> </v>
      </c>
      <c r="J142" s="38" t="str">
        <f t="shared" si="35"/>
        <v xml:space="preserve"> </v>
      </c>
    </row>
    <row r="143" spans="2:10" ht="12.75">
      <c r="B143" s="13" t="s">
        <v>130</v>
      </c>
      <c r="C143" s="13" t="s">
        <v>147</v>
      </c>
      <c r="E143" s="38">
        <f t="shared" si="10"/>
        <v>0.39130434782608697</v>
      </c>
      <c r="F143" s="38"/>
      <c r="G143" s="38">
        <f t="shared" si="11"/>
        <v>0</v>
      </c>
      <c r="H143" s="38" t="str">
        <f t="shared" ref="H143:J143" si="36">IFERROR(H27/G27," ")</f>
        <v xml:space="preserve"> </v>
      </c>
      <c r="I143" s="38" t="str">
        <f t="shared" si="36"/>
        <v xml:space="preserve"> </v>
      </c>
      <c r="J143" s="38" t="str">
        <f t="shared" si="36"/>
        <v xml:space="preserve"> </v>
      </c>
    </row>
    <row r="144" spans="2:10" ht="12.75">
      <c r="B144" s="13" t="s">
        <v>131</v>
      </c>
      <c r="C144" s="25" t="s">
        <v>142</v>
      </c>
      <c r="E144" s="38">
        <f t="shared" si="10"/>
        <v>0.36842105263157893</v>
      </c>
      <c r="F144" s="38"/>
      <c r="G144" s="38">
        <f t="shared" si="11"/>
        <v>0</v>
      </c>
      <c r="H144" s="38" t="str">
        <f t="shared" ref="H144:J144" si="37">IFERROR(H28/G28," ")</f>
        <v xml:space="preserve"> </v>
      </c>
      <c r="I144" s="38" t="str">
        <f t="shared" si="37"/>
        <v xml:space="preserve"> </v>
      </c>
      <c r="J144" s="38" t="str">
        <f t="shared" si="37"/>
        <v xml:space="preserve"> </v>
      </c>
    </row>
    <row r="145" spans="2:10" ht="12.75">
      <c r="B145" s="13" t="s">
        <v>49</v>
      </c>
      <c r="C145" s="25" t="s">
        <v>147</v>
      </c>
      <c r="E145" s="38">
        <f t="shared" si="10"/>
        <v>0.4567901234567901</v>
      </c>
      <c r="F145" s="38"/>
      <c r="G145" s="38">
        <f t="shared" si="11"/>
        <v>8.1081081081081086E-2</v>
      </c>
      <c r="H145" s="38">
        <f t="shared" ref="H145:J145" si="38">IFERROR(H29/G29," ")</f>
        <v>0.33333333333333331</v>
      </c>
      <c r="I145" s="38">
        <f t="shared" si="38"/>
        <v>3</v>
      </c>
      <c r="J145" s="38">
        <f t="shared" si="38"/>
        <v>1</v>
      </c>
    </row>
    <row r="146" spans="2:10" ht="12.75">
      <c r="B146" s="13" t="s">
        <v>56</v>
      </c>
      <c r="C146" s="25" t="s">
        <v>147</v>
      </c>
      <c r="E146" s="38">
        <f t="shared" si="10"/>
        <v>0</v>
      </c>
      <c r="F146" s="38"/>
      <c r="G146" s="38" t="str">
        <f t="shared" si="11"/>
        <v xml:space="preserve"> </v>
      </c>
      <c r="H146" s="38" t="str">
        <f t="shared" ref="H146:J146" si="39">IFERROR(H30/G30," ")</f>
        <v xml:space="preserve"> </v>
      </c>
      <c r="I146" s="38" t="str">
        <f t="shared" si="39"/>
        <v xml:space="preserve"> </v>
      </c>
      <c r="J146" s="38" t="str">
        <f t="shared" si="39"/>
        <v xml:space="preserve"> </v>
      </c>
    </row>
    <row r="147" spans="2:10" ht="12.75">
      <c r="B147" s="13" t="s">
        <v>70</v>
      </c>
      <c r="C147" s="25" t="s">
        <v>147</v>
      </c>
      <c r="E147" s="38">
        <f t="shared" si="10"/>
        <v>9.6774193548387094E-2</v>
      </c>
      <c r="F147" s="38"/>
      <c r="G147" s="38">
        <f t="shared" si="11"/>
        <v>0.66666666666666663</v>
      </c>
      <c r="H147" s="38">
        <f t="shared" ref="H147:J147" si="40">IFERROR(H31/G31," ")</f>
        <v>0</v>
      </c>
      <c r="I147" s="38" t="str">
        <f t="shared" si="40"/>
        <v xml:space="preserve"> </v>
      </c>
      <c r="J147" s="38" t="str">
        <f t="shared" si="40"/>
        <v xml:space="preserve"> </v>
      </c>
    </row>
    <row r="148" spans="2:10" ht="12.75">
      <c r="B148" s="13" t="s">
        <v>85</v>
      </c>
      <c r="C148" s="25" t="s">
        <v>147</v>
      </c>
      <c r="E148" s="38">
        <f t="shared" si="10"/>
        <v>0</v>
      </c>
      <c r="F148" s="38"/>
      <c r="G148" s="38" t="str">
        <f t="shared" si="11"/>
        <v xml:space="preserve"> </v>
      </c>
      <c r="H148" s="38">
        <f t="shared" ref="H148:J148" si="41">IFERROR(H32/G32," ")</f>
        <v>0</v>
      </c>
      <c r="I148" s="38" t="str">
        <f t="shared" si="41"/>
        <v xml:space="preserve"> </v>
      </c>
      <c r="J148" s="38" t="str">
        <f t="shared" si="41"/>
        <v xml:space="preserve"> </v>
      </c>
    </row>
    <row r="149" spans="2:10" ht="12.75">
      <c r="B149" s="13" t="s">
        <v>101</v>
      </c>
      <c r="C149" s="25" t="s">
        <v>147</v>
      </c>
      <c r="E149" s="38">
        <f t="shared" si="10"/>
        <v>0.40789473684210525</v>
      </c>
      <c r="F149" s="38"/>
      <c r="G149" s="38">
        <f t="shared" si="11"/>
        <v>6.4516129032258063E-2</v>
      </c>
      <c r="H149" s="38">
        <f t="shared" ref="H149:J149" si="42">IFERROR(H33/G33," ")</f>
        <v>0.5</v>
      </c>
      <c r="I149" s="38">
        <f t="shared" si="42"/>
        <v>1</v>
      </c>
      <c r="J149" s="38">
        <f t="shared" si="42"/>
        <v>1</v>
      </c>
    </row>
    <row r="150" spans="2:10" ht="12.75">
      <c r="B150" s="13" t="s">
        <v>52</v>
      </c>
      <c r="C150" s="25" t="s">
        <v>142</v>
      </c>
      <c r="E150" s="38">
        <f t="shared" si="10"/>
        <v>0.05</v>
      </c>
      <c r="F150" s="38"/>
      <c r="G150" s="38">
        <f t="shared" si="11"/>
        <v>1</v>
      </c>
      <c r="H150" s="38">
        <f t="shared" ref="H150:J150" si="43">IFERROR(H34/G34," ")</f>
        <v>0</v>
      </c>
      <c r="I150" s="38" t="str">
        <f t="shared" si="43"/>
        <v xml:space="preserve"> </v>
      </c>
      <c r="J150" s="38" t="str">
        <f t="shared" si="43"/>
        <v xml:space="preserve"> </v>
      </c>
    </row>
    <row r="151" spans="2:10" ht="12.75">
      <c r="B151" s="13" t="s">
        <v>61</v>
      </c>
      <c r="C151" s="25" t="s">
        <v>147</v>
      </c>
      <c r="E151" s="38">
        <f t="shared" si="10"/>
        <v>0.16666666666666666</v>
      </c>
      <c r="F151" s="38"/>
      <c r="G151" s="38">
        <f t="shared" si="11"/>
        <v>1</v>
      </c>
      <c r="H151" s="38">
        <f t="shared" ref="H151:J151" si="44">IFERROR(H35/G35," ")</f>
        <v>0</v>
      </c>
      <c r="I151" s="38" t="str">
        <f t="shared" si="44"/>
        <v xml:space="preserve"> </v>
      </c>
      <c r="J151" s="38" t="str">
        <f t="shared" si="44"/>
        <v xml:space="preserve"> </v>
      </c>
    </row>
    <row r="152" spans="2:10" ht="12.75">
      <c r="B152" s="13" t="s">
        <v>88</v>
      </c>
      <c r="C152" s="25" t="s">
        <v>142</v>
      </c>
      <c r="E152" s="38">
        <f t="shared" si="10"/>
        <v>0.24528301886792453</v>
      </c>
      <c r="F152" s="38"/>
      <c r="G152" s="38">
        <f t="shared" si="11"/>
        <v>0.15384615384615385</v>
      </c>
      <c r="H152" s="38">
        <f t="shared" ref="H152:J152" si="45">IFERROR(H36/G36," ")</f>
        <v>0.5</v>
      </c>
      <c r="I152" s="38">
        <f t="shared" si="45"/>
        <v>0</v>
      </c>
      <c r="J152" s="38" t="str">
        <f t="shared" si="45"/>
        <v xml:space="preserve"> </v>
      </c>
    </row>
    <row r="153" spans="2:10" ht="12.75">
      <c r="B153" s="13" t="s">
        <v>55</v>
      </c>
      <c r="C153" s="25" t="s">
        <v>142</v>
      </c>
      <c r="E153" s="38">
        <f t="shared" si="10"/>
        <v>0</v>
      </c>
      <c r="F153" s="38"/>
      <c r="G153" s="38" t="str">
        <f t="shared" si="11"/>
        <v xml:space="preserve"> </v>
      </c>
      <c r="H153" s="38" t="str">
        <f t="shared" ref="H153:J153" si="46">IFERROR(H37/G37," ")</f>
        <v xml:space="preserve"> </v>
      </c>
      <c r="I153" s="38" t="str">
        <f t="shared" si="46"/>
        <v xml:space="preserve"> </v>
      </c>
      <c r="J153" s="38" t="str">
        <f t="shared" si="46"/>
        <v xml:space="preserve"> </v>
      </c>
    </row>
    <row r="154" spans="2:10" ht="12.75">
      <c r="B154" s="13" t="s">
        <v>46</v>
      </c>
      <c r="C154" s="25" t="s">
        <v>147</v>
      </c>
      <c r="E154" s="38" t="str">
        <f t="shared" si="10"/>
        <v xml:space="preserve"> </v>
      </c>
      <c r="F154" s="38"/>
      <c r="G154" s="38" t="str">
        <f t="shared" si="11"/>
        <v xml:space="preserve"> </v>
      </c>
      <c r="H154" s="38" t="str">
        <f t="shared" ref="H154:J154" si="47">IFERROR(H38/G38," ")</f>
        <v xml:space="preserve"> </v>
      </c>
      <c r="I154" s="38" t="str">
        <f t="shared" si="47"/>
        <v xml:space="preserve"> </v>
      </c>
      <c r="J154" s="38" t="str">
        <f t="shared" si="47"/>
        <v xml:space="preserve"> </v>
      </c>
    </row>
    <row r="155" spans="2:10" ht="12.75">
      <c r="B155" s="13" t="s">
        <v>133</v>
      </c>
      <c r="C155" s="25" t="s">
        <v>142</v>
      </c>
      <c r="E155" s="38">
        <f t="shared" si="10"/>
        <v>1</v>
      </c>
      <c r="F155" s="38"/>
      <c r="G155" s="38">
        <f t="shared" si="11"/>
        <v>0</v>
      </c>
      <c r="H155" s="38" t="str">
        <f t="shared" ref="H155:J155" si="48">IFERROR(H39/G39," ")</f>
        <v xml:space="preserve"> </v>
      </c>
      <c r="I155" s="38" t="str">
        <f t="shared" si="48"/>
        <v xml:space="preserve"> </v>
      </c>
      <c r="J155" s="38" t="str">
        <f t="shared" si="48"/>
        <v xml:space="preserve"> </v>
      </c>
    </row>
    <row r="156" spans="2:10" ht="12.75">
      <c r="B156" s="13" t="s">
        <v>134</v>
      </c>
      <c r="C156" s="25" t="s">
        <v>142</v>
      </c>
      <c r="E156" s="38">
        <f t="shared" si="10"/>
        <v>0.26923076923076922</v>
      </c>
      <c r="F156" s="38"/>
      <c r="G156" s="38">
        <f t="shared" si="11"/>
        <v>0</v>
      </c>
      <c r="H156" s="38" t="str">
        <f t="shared" ref="H156:J156" si="49">IFERROR(H40/G40," ")</f>
        <v xml:space="preserve"> </v>
      </c>
      <c r="I156" s="38" t="str">
        <f t="shared" si="49"/>
        <v xml:space="preserve"> </v>
      </c>
      <c r="J156" s="38" t="str">
        <f t="shared" si="49"/>
        <v xml:space="preserve"> </v>
      </c>
    </row>
    <row r="157" spans="2:10" ht="12.75">
      <c r="B157" s="13" t="s">
        <v>135</v>
      </c>
      <c r="C157" s="25" t="s">
        <v>147</v>
      </c>
      <c r="E157" s="38">
        <f t="shared" si="10"/>
        <v>1</v>
      </c>
      <c r="F157" s="38"/>
      <c r="G157" s="38">
        <f t="shared" si="11"/>
        <v>0</v>
      </c>
      <c r="H157" s="38" t="str">
        <f t="shared" ref="H157:J157" si="50">IFERROR(H41/G41," ")</f>
        <v xml:space="preserve"> </v>
      </c>
      <c r="I157" s="38" t="str">
        <f t="shared" si="50"/>
        <v xml:space="preserve"> </v>
      </c>
      <c r="J157" s="38" t="str">
        <f t="shared" si="50"/>
        <v xml:space="preserve"> </v>
      </c>
    </row>
    <row r="158" spans="2:10" ht="12.75">
      <c r="B158" s="13" t="s">
        <v>136</v>
      </c>
      <c r="C158" s="25" t="s">
        <v>147</v>
      </c>
      <c r="E158" s="38" t="str">
        <f t="shared" si="10"/>
        <v xml:space="preserve"> </v>
      </c>
      <c r="F158" s="38"/>
      <c r="G158" s="38" t="str">
        <f t="shared" si="11"/>
        <v xml:space="preserve"> </v>
      </c>
      <c r="H158" s="38" t="str">
        <f t="shared" ref="H158:J158" si="51">IFERROR(H42/G42," ")</f>
        <v xml:space="preserve"> </v>
      </c>
      <c r="I158" s="38" t="str">
        <f t="shared" si="51"/>
        <v xml:space="preserve"> </v>
      </c>
      <c r="J158" s="38" t="str">
        <f t="shared" si="51"/>
        <v xml:space="preserve"> </v>
      </c>
    </row>
    <row r="159" spans="2:10" ht="12.75">
      <c r="B159" s="13" t="s">
        <v>137</v>
      </c>
      <c r="C159" s="25" t="s">
        <v>147</v>
      </c>
      <c r="E159" s="38">
        <f t="shared" si="10"/>
        <v>1</v>
      </c>
      <c r="F159" s="38"/>
      <c r="G159" s="38">
        <f t="shared" si="11"/>
        <v>0</v>
      </c>
      <c r="H159" s="38" t="str">
        <f t="shared" ref="H159:J159" si="52">IFERROR(H43/G43," ")</f>
        <v xml:space="preserve"> </v>
      </c>
      <c r="I159" s="38" t="str">
        <f t="shared" si="52"/>
        <v xml:space="preserve"> </v>
      </c>
      <c r="J159" s="38" t="str">
        <f t="shared" si="52"/>
        <v xml:space="preserve"> </v>
      </c>
    </row>
    <row r="160" spans="2:10" ht="12.75">
      <c r="B160" s="13" t="s">
        <v>32</v>
      </c>
      <c r="C160" s="25" t="s">
        <v>147</v>
      </c>
      <c r="E160" s="38">
        <f t="shared" si="10"/>
        <v>0.14285714285714285</v>
      </c>
      <c r="F160" s="38"/>
      <c r="G160" s="38">
        <f t="shared" si="11"/>
        <v>0</v>
      </c>
      <c r="H160" s="38" t="str">
        <f t="shared" ref="H160:J160" si="53">IFERROR(H44/G44," ")</f>
        <v xml:space="preserve"> </v>
      </c>
      <c r="I160" s="38" t="str">
        <f t="shared" si="53"/>
        <v xml:space="preserve"> </v>
      </c>
      <c r="J160" s="38" t="str">
        <f t="shared" si="53"/>
        <v xml:space="preserve"> </v>
      </c>
    </row>
    <row r="161" spans="2:10" ht="12.75">
      <c r="B161" s="13" t="s">
        <v>26</v>
      </c>
      <c r="C161" s="25" t="s">
        <v>147</v>
      </c>
      <c r="E161" s="38">
        <f t="shared" si="10"/>
        <v>0.7142857142857143</v>
      </c>
      <c r="F161" s="38"/>
      <c r="G161" s="38">
        <f t="shared" si="11"/>
        <v>0</v>
      </c>
      <c r="H161" s="38" t="str">
        <f t="shared" ref="H161:J161" si="54">IFERROR(H45/G45," ")</f>
        <v xml:space="preserve"> </v>
      </c>
      <c r="I161" s="38" t="str">
        <f t="shared" si="54"/>
        <v xml:space="preserve"> </v>
      </c>
      <c r="J161" s="38" t="str">
        <f t="shared" si="54"/>
        <v xml:space="preserve"> </v>
      </c>
    </row>
    <row r="162" spans="2:10" ht="12.75">
      <c r="B162" s="13" t="s">
        <v>45</v>
      </c>
      <c r="C162" s="25" t="s">
        <v>147</v>
      </c>
      <c r="E162" s="38" t="str">
        <f t="shared" si="10"/>
        <v xml:space="preserve"> </v>
      </c>
      <c r="F162" s="38"/>
      <c r="G162" s="38" t="str">
        <f t="shared" si="11"/>
        <v xml:space="preserve"> </v>
      </c>
      <c r="H162" s="38" t="str">
        <f t="shared" ref="H162:J162" si="55">IFERROR(H46/G46," ")</f>
        <v xml:space="preserve"> </v>
      </c>
      <c r="I162" s="38" t="str">
        <f t="shared" si="55"/>
        <v xml:space="preserve"> </v>
      </c>
      <c r="J162" s="38" t="str">
        <f t="shared" si="55"/>
        <v xml:space="preserve"> </v>
      </c>
    </row>
    <row r="163" spans="2:10" ht="12.75">
      <c r="B163" s="13" t="s">
        <v>73</v>
      </c>
      <c r="C163" s="25" t="s">
        <v>147</v>
      </c>
      <c r="E163" s="38">
        <f t="shared" si="10"/>
        <v>0</v>
      </c>
      <c r="F163" s="38"/>
      <c r="G163" s="38" t="str">
        <f t="shared" si="11"/>
        <v xml:space="preserve"> </v>
      </c>
      <c r="H163" s="38" t="str">
        <f t="shared" ref="H163:J163" si="56">IFERROR(H47/G47," ")</f>
        <v xml:space="preserve"> </v>
      </c>
      <c r="I163" s="38" t="str">
        <f t="shared" si="56"/>
        <v xml:space="preserve"> </v>
      </c>
      <c r="J163" s="38" t="str">
        <f t="shared" si="56"/>
        <v xml:space="preserve"> </v>
      </c>
    </row>
    <row r="164" spans="2:10" ht="12.75">
      <c r="B164" s="13" t="s">
        <v>54</v>
      </c>
      <c r="C164" s="25" t="s">
        <v>147</v>
      </c>
      <c r="E164" s="38">
        <f t="shared" si="10"/>
        <v>0.33333333333333331</v>
      </c>
      <c r="F164" s="38"/>
      <c r="G164" s="38">
        <f t="shared" si="11"/>
        <v>0.18181818181818182</v>
      </c>
      <c r="H164" s="38">
        <f t="shared" ref="H164:J164" si="57">IFERROR(H48/G48," ")</f>
        <v>0</v>
      </c>
      <c r="I164" s="38" t="str">
        <f t="shared" si="57"/>
        <v xml:space="preserve"> </v>
      </c>
      <c r="J164" s="38">
        <f t="shared" si="57"/>
        <v>1</v>
      </c>
    </row>
    <row r="165" spans="2:10" ht="12.75">
      <c r="B165" s="13" t="s">
        <v>79</v>
      </c>
      <c r="C165" s="25" t="s">
        <v>147</v>
      </c>
      <c r="E165" s="38">
        <f t="shared" si="10"/>
        <v>0.2</v>
      </c>
      <c r="F165" s="38"/>
      <c r="G165" s="38">
        <f t="shared" si="11"/>
        <v>0</v>
      </c>
      <c r="H165" s="38" t="str">
        <f t="shared" ref="H165:J165" si="58">IFERROR(H49/G49," ")</f>
        <v xml:space="preserve"> </v>
      </c>
      <c r="I165" s="38" t="str">
        <f t="shared" si="58"/>
        <v xml:space="preserve"> </v>
      </c>
      <c r="J165" s="38" t="str">
        <f t="shared" si="58"/>
        <v xml:space="preserve"> </v>
      </c>
    </row>
    <row r="166" spans="2:10" ht="12.75">
      <c r="B166" s="13" t="s">
        <v>50</v>
      </c>
      <c r="C166" s="25" t="s">
        <v>147</v>
      </c>
      <c r="E166" s="38">
        <f t="shared" si="10"/>
        <v>0.27272727272727271</v>
      </c>
      <c r="F166" s="38"/>
      <c r="G166" s="38">
        <f t="shared" si="11"/>
        <v>0</v>
      </c>
      <c r="H166" s="38" t="str">
        <f t="shared" ref="H166:J166" si="59">IFERROR(H50/G50," ")</f>
        <v xml:space="preserve"> </v>
      </c>
      <c r="I166" s="38" t="str">
        <f t="shared" si="59"/>
        <v xml:space="preserve"> </v>
      </c>
      <c r="J166" s="38" t="str">
        <f t="shared" si="59"/>
        <v xml:space="preserve"> </v>
      </c>
    </row>
    <row r="167" spans="2:10" ht="12.75">
      <c r="B167" s="13" t="s">
        <v>36</v>
      </c>
      <c r="C167" s="25" t="s">
        <v>147</v>
      </c>
      <c r="E167" s="38">
        <f t="shared" si="10"/>
        <v>0.15384615384615385</v>
      </c>
      <c r="F167" s="38"/>
      <c r="G167" s="38">
        <f t="shared" si="11"/>
        <v>0</v>
      </c>
      <c r="H167" s="38" t="str">
        <f t="shared" ref="H167:J167" si="60">IFERROR(H51/G51," ")</f>
        <v xml:space="preserve"> </v>
      </c>
      <c r="I167" s="38" t="str">
        <f t="shared" si="60"/>
        <v xml:space="preserve"> </v>
      </c>
      <c r="J167" s="38" t="str">
        <f t="shared" si="60"/>
        <v xml:space="preserve"> </v>
      </c>
    </row>
    <row r="168" spans="2:10" ht="12.75">
      <c r="B168" s="13" t="s">
        <v>48</v>
      </c>
      <c r="C168" s="25" t="s">
        <v>147</v>
      </c>
      <c r="E168" s="38">
        <f t="shared" si="10"/>
        <v>0.53846153846153844</v>
      </c>
      <c r="F168" s="38"/>
      <c r="G168" s="38">
        <f t="shared" si="11"/>
        <v>0</v>
      </c>
      <c r="H168" s="38" t="str">
        <f t="shared" ref="H168:J168" si="61">IFERROR(H52/G52," ")</f>
        <v xml:space="preserve"> </v>
      </c>
      <c r="I168" s="38" t="str">
        <f t="shared" si="61"/>
        <v xml:space="preserve"> </v>
      </c>
      <c r="J168" s="38" t="str">
        <f t="shared" si="61"/>
        <v xml:space="preserve"> </v>
      </c>
    </row>
    <row r="169" spans="2:10" ht="12.75">
      <c r="B169" s="13" t="s">
        <v>33</v>
      </c>
      <c r="C169" s="25" t="s">
        <v>147</v>
      </c>
      <c r="E169" s="38">
        <f t="shared" si="10"/>
        <v>0</v>
      </c>
      <c r="F169" s="38"/>
      <c r="G169" s="38" t="str">
        <f t="shared" si="11"/>
        <v xml:space="preserve"> </v>
      </c>
      <c r="H169" s="38" t="str">
        <f t="shared" ref="H169:J169" si="62">IFERROR(H53/G53," ")</f>
        <v xml:space="preserve"> </v>
      </c>
      <c r="I169" s="38" t="str">
        <f t="shared" si="62"/>
        <v xml:space="preserve"> </v>
      </c>
      <c r="J169" s="38" t="str">
        <f t="shared" si="62"/>
        <v xml:space="preserve"> </v>
      </c>
    </row>
    <row r="170" spans="2:10" ht="12.75">
      <c r="B170" s="13" t="s">
        <v>140</v>
      </c>
      <c r="C170" s="25" t="s">
        <v>142</v>
      </c>
      <c r="E170" s="38" t="str">
        <f t="shared" si="10"/>
        <v xml:space="preserve"> </v>
      </c>
      <c r="F170" s="38"/>
      <c r="G170" s="38" t="str">
        <f t="shared" si="11"/>
        <v xml:space="preserve"> </v>
      </c>
      <c r="H170" s="38" t="str">
        <f t="shared" ref="H170:J170" si="63">IFERROR(H54/G54," ")</f>
        <v xml:space="preserve"> </v>
      </c>
      <c r="I170" s="38" t="str">
        <f t="shared" si="63"/>
        <v xml:space="preserve"> </v>
      </c>
      <c r="J170" s="38" t="str">
        <f t="shared" si="63"/>
        <v xml:space="preserve"> </v>
      </c>
    </row>
    <row r="171" spans="2:10" ht="12.75">
      <c r="B171" s="13" t="s">
        <v>116</v>
      </c>
      <c r="C171" s="25" t="s">
        <v>147</v>
      </c>
      <c r="E171" s="38">
        <f t="shared" si="10"/>
        <v>0.125</v>
      </c>
      <c r="F171" s="38"/>
      <c r="G171" s="38">
        <f t="shared" si="11"/>
        <v>0</v>
      </c>
      <c r="H171" s="38" t="str">
        <f t="shared" ref="H171:J171" si="64">IFERROR(H55/G55," ")</f>
        <v xml:space="preserve"> </v>
      </c>
      <c r="I171" s="38" t="str">
        <f t="shared" si="64"/>
        <v xml:space="preserve"> </v>
      </c>
      <c r="J171" s="38">
        <f t="shared" si="64"/>
        <v>1</v>
      </c>
    </row>
    <row r="172" spans="2:10" ht="12.75">
      <c r="B172" s="13" t="s">
        <v>72</v>
      </c>
      <c r="C172" s="25" t="s">
        <v>147</v>
      </c>
      <c r="E172" s="38">
        <f t="shared" si="10"/>
        <v>0</v>
      </c>
      <c r="F172" s="38"/>
      <c r="G172" s="38" t="str">
        <f t="shared" si="11"/>
        <v xml:space="preserve"> </v>
      </c>
      <c r="H172" s="38" t="str">
        <f t="shared" ref="H172:J172" si="65">IFERROR(H56/G56," ")</f>
        <v xml:space="preserve"> </v>
      </c>
      <c r="I172" s="38" t="str">
        <f t="shared" si="65"/>
        <v xml:space="preserve"> </v>
      </c>
      <c r="J172" s="38" t="str">
        <f t="shared" si="65"/>
        <v xml:space="preserve"> </v>
      </c>
    </row>
    <row r="173" spans="2:10" ht="12.75">
      <c r="B173" s="13" t="s">
        <v>141</v>
      </c>
      <c r="C173" s="25" t="s">
        <v>142</v>
      </c>
      <c r="E173" s="38">
        <f t="shared" si="10"/>
        <v>0.23076923076923078</v>
      </c>
      <c r="F173" s="38"/>
      <c r="G173" s="38">
        <f t="shared" si="11"/>
        <v>0</v>
      </c>
      <c r="H173" s="38" t="str">
        <f t="shared" ref="H173:J173" si="66">IFERROR(H57/G57," ")</f>
        <v xml:space="preserve"> </v>
      </c>
      <c r="I173" s="38" t="str">
        <f t="shared" si="66"/>
        <v xml:space="preserve"> </v>
      </c>
      <c r="J173" s="38" t="str">
        <f t="shared" si="66"/>
        <v xml:space="preserve"> </v>
      </c>
    </row>
    <row r="174" spans="2:10" ht="12.75">
      <c r="B174" s="13" t="s">
        <v>94</v>
      </c>
      <c r="C174" s="25" t="s">
        <v>142</v>
      </c>
      <c r="E174" s="38">
        <f t="shared" si="10"/>
        <v>0.11764705882352941</v>
      </c>
      <c r="F174" s="38"/>
      <c r="G174" s="38">
        <f t="shared" si="11"/>
        <v>0</v>
      </c>
      <c r="H174" s="38" t="str">
        <f t="shared" ref="H174:J174" si="67">IFERROR(H58/G58," ")</f>
        <v xml:space="preserve"> </v>
      </c>
      <c r="I174" s="38" t="str">
        <f t="shared" si="67"/>
        <v xml:space="preserve"> </v>
      </c>
      <c r="J174" s="38" t="str">
        <f t="shared" si="67"/>
        <v xml:space="preserve"> </v>
      </c>
    </row>
    <row r="175" spans="2:10" ht="12.75">
      <c r="B175" s="13" t="s">
        <v>21</v>
      </c>
      <c r="C175" s="25" t="s">
        <v>147</v>
      </c>
      <c r="E175" s="38">
        <f t="shared" si="10"/>
        <v>0</v>
      </c>
      <c r="F175" s="38"/>
      <c r="G175" s="38" t="str">
        <f t="shared" si="11"/>
        <v xml:space="preserve"> </v>
      </c>
      <c r="H175" s="38" t="str">
        <f t="shared" ref="H175:J175" si="68">IFERROR(H59/G59," ")</f>
        <v xml:space="preserve"> </v>
      </c>
      <c r="I175" s="38" t="str">
        <f t="shared" si="68"/>
        <v xml:space="preserve"> </v>
      </c>
      <c r="J175" s="38" t="str">
        <f t="shared" si="68"/>
        <v xml:space="preserve"> </v>
      </c>
    </row>
    <row r="176" spans="2:10" ht="12.75">
      <c r="B176" s="13" t="s">
        <v>99</v>
      </c>
      <c r="C176" s="25" t="s">
        <v>147</v>
      </c>
      <c r="E176" s="38">
        <f t="shared" si="10"/>
        <v>0.1875</v>
      </c>
      <c r="F176" s="38"/>
      <c r="G176" s="38">
        <f t="shared" si="11"/>
        <v>0</v>
      </c>
      <c r="H176" s="38" t="str">
        <f t="shared" ref="H176:J176" si="69">IFERROR(H60/G60," ")</f>
        <v xml:space="preserve"> </v>
      </c>
      <c r="I176" s="38" t="str">
        <f t="shared" si="69"/>
        <v xml:space="preserve"> </v>
      </c>
      <c r="J176" s="38" t="str">
        <f t="shared" si="69"/>
        <v xml:space="preserve"> </v>
      </c>
    </row>
    <row r="177" spans="2:10" ht="12.75">
      <c r="B177" s="13" t="s">
        <v>62</v>
      </c>
      <c r="C177" s="25" t="s">
        <v>147</v>
      </c>
      <c r="E177" s="38" t="str">
        <f t="shared" si="10"/>
        <v xml:space="preserve"> </v>
      </c>
      <c r="F177" s="38"/>
      <c r="G177" s="38" t="str">
        <f t="shared" si="11"/>
        <v xml:space="preserve"> </v>
      </c>
      <c r="H177" s="38" t="str">
        <f t="shared" ref="H177:J177" si="70">IFERROR(H61/G61," ")</f>
        <v xml:space="preserve"> </v>
      </c>
      <c r="I177" s="38" t="str">
        <f t="shared" si="70"/>
        <v xml:space="preserve"> </v>
      </c>
      <c r="J177" s="38" t="str">
        <f t="shared" si="70"/>
        <v xml:space="preserve"> </v>
      </c>
    </row>
    <row r="178" spans="2:10" ht="12.75">
      <c r="B178" s="13" t="s">
        <v>111</v>
      </c>
      <c r="C178" s="25" t="s">
        <v>142</v>
      </c>
      <c r="E178" s="38">
        <f t="shared" si="10"/>
        <v>0.33333333333333331</v>
      </c>
      <c r="F178" s="38"/>
      <c r="G178" s="38">
        <f t="shared" si="11"/>
        <v>0</v>
      </c>
      <c r="H178" s="38" t="str">
        <f t="shared" ref="H178:J178" si="71">IFERROR(H62/G62," ")</f>
        <v xml:space="preserve"> </v>
      </c>
      <c r="I178" s="38" t="str">
        <f t="shared" si="71"/>
        <v xml:space="preserve"> </v>
      </c>
      <c r="J178" s="38" t="str">
        <f t="shared" si="71"/>
        <v xml:space="preserve"> </v>
      </c>
    </row>
    <row r="179" spans="2:10" ht="12.75">
      <c r="B179" s="13" t="s">
        <v>77</v>
      </c>
      <c r="C179" s="25" t="s">
        <v>147</v>
      </c>
      <c r="E179" s="38" t="str">
        <f t="shared" si="10"/>
        <v xml:space="preserve"> </v>
      </c>
      <c r="F179" s="38"/>
      <c r="G179" s="38" t="str">
        <f t="shared" si="11"/>
        <v xml:space="preserve"> </v>
      </c>
      <c r="H179" s="38" t="str">
        <f t="shared" ref="H179:J179" si="72">IFERROR(H63/G63," ")</f>
        <v xml:space="preserve"> </v>
      </c>
      <c r="I179" s="38" t="str">
        <f t="shared" si="72"/>
        <v xml:space="preserve"> </v>
      </c>
      <c r="J179" s="38" t="str">
        <f t="shared" si="72"/>
        <v xml:space="preserve"> </v>
      </c>
    </row>
    <row r="180" spans="2:10" ht="12.75">
      <c r="B180" s="13" t="s">
        <v>65</v>
      </c>
      <c r="C180" s="25" t="s">
        <v>147</v>
      </c>
      <c r="E180" s="38" t="str">
        <f t="shared" si="10"/>
        <v xml:space="preserve"> </v>
      </c>
      <c r="F180" s="38"/>
      <c r="G180" s="38" t="str">
        <f t="shared" si="11"/>
        <v xml:space="preserve"> </v>
      </c>
      <c r="H180" s="38" t="str">
        <f t="shared" ref="H180:J180" si="73">IFERROR(H64/G64," ")</f>
        <v xml:space="preserve"> </v>
      </c>
      <c r="I180" s="38" t="str">
        <f t="shared" si="73"/>
        <v xml:space="preserve"> </v>
      </c>
      <c r="J180" s="38" t="str">
        <f t="shared" si="73"/>
        <v xml:space="preserve"> </v>
      </c>
    </row>
    <row r="181" spans="2:10" ht="12.75">
      <c r="B181" s="13" t="s">
        <v>75</v>
      </c>
      <c r="C181" s="25" t="s">
        <v>142</v>
      </c>
      <c r="E181" s="38">
        <f t="shared" si="10"/>
        <v>0.14285714285714285</v>
      </c>
      <c r="F181" s="38"/>
      <c r="G181" s="38">
        <f t="shared" si="11"/>
        <v>0</v>
      </c>
      <c r="H181" s="38" t="str">
        <f t="shared" ref="H181:J181" si="74">IFERROR(H65/G65," ")</f>
        <v xml:space="preserve"> </v>
      </c>
      <c r="I181" s="38" t="str">
        <f t="shared" si="74"/>
        <v xml:space="preserve"> </v>
      </c>
      <c r="J181" s="38" t="str">
        <f t="shared" si="74"/>
        <v xml:space="preserve"> </v>
      </c>
    </row>
    <row r="182" spans="2:10" ht="12.75">
      <c r="B182" s="13" t="s">
        <v>47</v>
      </c>
      <c r="C182" s="25" t="s">
        <v>147</v>
      </c>
      <c r="E182" s="38">
        <f t="shared" si="10"/>
        <v>0.25</v>
      </c>
      <c r="F182" s="38"/>
      <c r="G182" s="38">
        <f t="shared" si="11"/>
        <v>0</v>
      </c>
      <c r="H182" s="38" t="str">
        <f t="shared" ref="H182:J182" si="75">IFERROR(H66/G66," ")</f>
        <v xml:space="preserve"> </v>
      </c>
      <c r="I182" s="38" t="str">
        <f t="shared" si="75"/>
        <v xml:space="preserve"> </v>
      </c>
      <c r="J182" s="38" t="str">
        <f t="shared" si="75"/>
        <v xml:space="preserve"> </v>
      </c>
    </row>
    <row r="183" spans="2:10" ht="12.75">
      <c r="B183" s="13" t="s">
        <v>30</v>
      </c>
      <c r="C183" s="25" t="s">
        <v>147</v>
      </c>
      <c r="E183" s="38">
        <f t="shared" si="10"/>
        <v>0.36363636363636365</v>
      </c>
      <c r="F183" s="38"/>
      <c r="G183" s="38">
        <f t="shared" si="11"/>
        <v>0.41666666666666669</v>
      </c>
      <c r="H183" s="38">
        <f t="shared" ref="H183:J183" si="76">IFERROR(H67/G67," ")</f>
        <v>0</v>
      </c>
      <c r="I183" s="38" t="str">
        <f t="shared" si="76"/>
        <v xml:space="preserve"> </v>
      </c>
      <c r="J183" s="38" t="str">
        <f t="shared" si="76"/>
        <v xml:space="preserve"> </v>
      </c>
    </row>
    <row r="184" spans="2:10" ht="12.75">
      <c r="B184" s="13" t="s">
        <v>95</v>
      </c>
      <c r="C184" s="25" t="s">
        <v>147</v>
      </c>
      <c r="E184" s="38">
        <f t="shared" si="10"/>
        <v>0.42857142857142855</v>
      </c>
      <c r="F184" s="38"/>
      <c r="G184" s="38">
        <f t="shared" si="11"/>
        <v>0.55555555555555558</v>
      </c>
      <c r="H184" s="38">
        <f t="shared" ref="H184:J184" si="77">IFERROR(H68/G68," ")</f>
        <v>0</v>
      </c>
      <c r="I184" s="38" t="str">
        <f t="shared" si="77"/>
        <v xml:space="preserve"> </v>
      </c>
      <c r="J184" s="38" t="str">
        <f t="shared" si="77"/>
        <v xml:space="preserve"> </v>
      </c>
    </row>
    <row r="185" spans="2:10" ht="12.75">
      <c r="B185" s="13" t="s">
        <v>22</v>
      </c>
      <c r="C185" s="25" t="s">
        <v>147</v>
      </c>
      <c r="E185" s="38">
        <f t="shared" si="10"/>
        <v>0.54761904761904767</v>
      </c>
      <c r="F185" s="38"/>
      <c r="G185" s="38">
        <f t="shared" si="11"/>
        <v>0</v>
      </c>
      <c r="H185" s="38" t="str">
        <f t="shared" ref="H185:J185" si="78">IFERROR(H69/G69," ")</f>
        <v xml:space="preserve"> </v>
      </c>
      <c r="I185" s="38" t="str">
        <f t="shared" si="78"/>
        <v xml:space="preserve"> </v>
      </c>
      <c r="J185" s="38" t="str">
        <f t="shared" si="78"/>
        <v xml:space="preserve"> </v>
      </c>
    </row>
    <row r="186" spans="2:10" ht="12.75">
      <c r="B186" s="13" t="s">
        <v>110</v>
      </c>
      <c r="C186" s="25" t="s">
        <v>147</v>
      </c>
      <c r="E186" s="38">
        <f t="shared" si="10"/>
        <v>0.26923076923076922</v>
      </c>
      <c r="F186" s="38"/>
      <c r="G186" s="38">
        <f t="shared" si="11"/>
        <v>9.5238095238095233E-2</v>
      </c>
      <c r="H186" s="38">
        <f t="shared" ref="H186:J186" si="79">IFERROR(H70/G70," ")</f>
        <v>0</v>
      </c>
      <c r="I186" s="38" t="str">
        <f t="shared" si="79"/>
        <v xml:space="preserve"> </v>
      </c>
      <c r="J186" s="38" t="str">
        <f t="shared" si="79"/>
        <v xml:space="preserve"> </v>
      </c>
    </row>
    <row r="187" spans="2:10" ht="12.75">
      <c r="B187" s="13" t="s">
        <v>42</v>
      </c>
      <c r="C187" s="25" t="s">
        <v>147</v>
      </c>
      <c r="E187" s="38">
        <f t="shared" si="10"/>
        <v>0.27083333333333331</v>
      </c>
      <c r="F187" s="38"/>
      <c r="G187" s="38">
        <f t="shared" si="11"/>
        <v>0</v>
      </c>
      <c r="H187" s="38" t="str">
        <f t="shared" ref="H187:J187" si="80">IFERROR(H71/G71," ")</f>
        <v xml:space="preserve"> </v>
      </c>
      <c r="I187" s="38" t="str">
        <f t="shared" si="80"/>
        <v xml:space="preserve"> </v>
      </c>
      <c r="J187" s="38" t="str">
        <f t="shared" si="80"/>
        <v xml:space="preserve"> </v>
      </c>
    </row>
    <row r="188" spans="2:10" ht="12.75">
      <c r="B188" s="13" t="s">
        <v>118</v>
      </c>
      <c r="C188" s="25" t="s">
        <v>142</v>
      </c>
      <c r="E188" s="38">
        <f t="shared" si="10"/>
        <v>0.33333333333333331</v>
      </c>
      <c r="F188" s="38"/>
      <c r="G188" s="38">
        <f t="shared" si="11"/>
        <v>0.375</v>
      </c>
      <c r="H188" s="38">
        <f t="shared" ref="H188:J188" si="81">IFERROR(H72/G72," ")</f>
        <v>0</v>
      </c>
      <c r="I188" s="38" t="str">
        <f t="shared" si="81"/>
        <v xml:space="preserve"> </v>
      </c>
      <c r="J188" s="38" t="str">
        <f t="shared" si="81"/>
        <v xml:space="preserve"> </v>
      </c>
    </row>
    <row r="189" spans="2:10" ht="12.75">
      <c r="B189" s="13" t="s">
        <v>38</v>
      </c>
      <c r="C189" s="25" t="s">
        <v>147</v>
      </c>
      <c r="E189" s="38">
        <f t="shared" si="10"/>
        <v>0.36363636363636365</v>
      </c>
      <c r="F189" s="38"/>
      <c r="G189" s="38">
        <f t="shared" si="11"/>
        <v>0</v>
      </c>
      <c r="H189" s="38" t="str">
        <f t="shared" ref="H189:J189" si="82">IFERROR(H73/G73," ")</f>
        <v xml:space="preserve"> </v>
      </c>
      <c r="I189" s="38" t="str">
        <f t="shared" si="82"/>
        <v xml:space="preserve"> </v>
      </c>
      <c r="J189" s="38" t="str">
        <f t="shared" si="82"/>
        <v xml:space="preserve"> </v>
      </c>
    </row>
    <row r="190" spans="2:10" ht="12.75">
      <c r="B190" s="13" t="s">
        <v>86</v>
      </c>
      <c r="C190" s="25" t="s">
        <v>147</v>
      </c>
      <c r="E190" s="38">
        <f t="shared" si="10"/>
        <v>0</v>
      </c>
      <c r="F190" s="38"/>
      <c r="G190" s="38" t="str">
        <f t="shared" si="11"/>
        <v xml:space="preserve"> </v>
      </c>
      <c r="H190" s="38" t="str">
        <f t="shared" ref="H190:J190" si="83">IFERROR(H74/G74," ")</f>
        <v xml:space="preserve"> </v>
      </c>
      <c r="I190" s="38" t="str">
        <f t="shared" si="83"/>
        <v xml:space="preserve"> </v>
      </c>
      <c r="J190" s="38" t="str">
        <f t="shared" si="83"/>
        <v xml:space="preserve"> </v>
      </c>
    </row>
    <row r="191" spans="2:10" ht="12.75">
      <c r="B191" s="13" t="s">
        <v>78</v>
      </c>
      <c r="C191" s="25" t="s">
        <v>147</v>
      </c>
      <c r="E191" s="38">
        <f t="shared" si="10"/>
        <v>0</v>
      </c>
      <c r="F191" s="38"/>
      <c r="G191" s="38" t="str">
        <f t="shared" si="11"/>
        <v xml:space="preserve"> </v>
      </c>
      <c r="H191" s="38" t="str">
        <f t="shared" ref="H191:J191" si="84">IFERROR(H75/G75," ")</f>
        <v xml:space="preserve"> </v>
      </c>
      <c r="I191" s="38" t="str">
        <f t="shared" si="84"/>
        <v xml:space="preserve"> </v>
      </c>
      <c r="J191" s="38" t="str">
        <f t="shared" si="84"/>
        <v xml:space="preserve"> </v>
      </c>
    </row>
    <row r="192" spans="2:10" ht="12.75">
      <c r="B192" s="13" t="s">
        <v>96</v>
      </c>
      <c r="C192" s="25" t="s">
        <v>147</v>
      </c>
      <c r="E192" s="38">
        <f t="shared" si="10"/>
        <v>0.25</v>
      </c>
      <c r="F192" s="38"/>
      <c r="G192" s="38">
        <f t="shared" si="11"/>
        <v>0.15384615384615385</v>
      </c>
      <c r="H192" s="38">
        <f t="shared" ref="H192:J192" si="85">IFERROR(H76/G76," ")</f>
        <v>0</v>
      </c>
      <c r="I192" s="38" t="str">
        <f t="shared" si="85"/>
        <v xml:space="preserve"> </v>
      </c>
      <c r="J192" s="38" t="str">
        <f t="shared" si="85"/>
        <v xml:space="preserve"> </v>
      </c>
    </row>
    <row r="193" spans="2:10" ht="12.75">
      <c r="B193" s="13" t="s">
        <v>17</v>
      </c>
      <c r="C193" s="25" t="s">
        <v>147</v>
      </c>
      <c r="E193" s="38">
        <f t="shared" si="10"/>
        <v>0.39436619718309857</v>
      </c>
      <c r="F193" s="38"/>
      <c r="G193" s="38">
        <f t="shared" si="11"/>
        <v>3.5714285714285712E-2</v>
      </c>
      <c r="H193" s="38">
        <f t="shared" ref="H193:J193" si="86">IFERROR(H77/G77," ")</f>
        <v>0</v>
      </c>
      <c r="I193" s="38" t="str">
        <f t="shared" si="86"/>
        <v xml:space="preserve"> </v>
      </c>
      <c r="J193" s="38" t="str">
        <f t="shared" si="86"/>
        <v xml:space="preserve"> </v>
      </c>
    </row>
    <row r="194" spans="2:10" ht="12.75">
      <c r="B194" s="13" t="s">
        <v>97</v>
      </c>
      <c r="C194" s="25" t="s">
        <v>147</v>
      </c>
      <c r="E194" s="38">
        <f t="shared" si="10"/>
        <v>0.1</v>
      </c>
      <c r="F194" s="38"/>
      <c r="G194" s="38">
        <f t="shared" si="11"/>
        <v>0</v>
      </c>
      <c r="H194" s="38" t="str">
        <f t="shared" ref="H194:J194" si="87">IFERROR(H78/G78," ")</f>
        <v xml:space="preserve"> </v>
      </c>
      <c r="I194" s="38" t="str">
        <f t="shared" si="87"/>
        <v xml:space="preserve"> </v>
      </c>
      <c r="J194" s="38" t="str">
        <f t="shared" si="87"/>
        <v xml:space="preserve"> </v>
      </c>
    </row>
    <row r="195" spans="2:10" ht="12.75">
      <c r="B195" s="13" t="s">
        <v>122</v>
      </c>
      <c r="C195" s="13" t="s">
        <v>147</v>
      </c>
      <c r="E195" s="38">
        <f t="shared" si="10"/>
        <v>0.125</v>
      </c>
      <c r="F195" s="38"/>
      <c r="G195" s="38">
        <f t="shared" si="11"/>
        <v>0</v>
      </c>
      <c r="H195" s="38" t="str">
        <f t="shared" ref="H195:J195" si="88">IFERROR(H79/G79," ")</f>
        <v xml:space="preserve"> </v>
      </c>
      <c r="I195" s="38" t="str">
        <f t="shared" si="88"/>
        <v xml:space="preserve"> </v>
      </c>
      <c r="J195" s="38" t="str">
        <f t="shared" si="88"/>
        <v xml:space="preserve"> </v>
      </c>
    </row>
    <row r="196" spans="2:10" ht="12.75">
      <c r="B196" s="13" t="s">
        <v>123</v>
      </c>
      <c r="C196" s="25" t="s">
        <v>147</v>
      </c>
      <c r="E196" s="38">
        <f t="shared" si="10"/>
        <v>0.26315789473684209</v>
      </c>
      <c r="F196" s="38"/>
      <c r="G196" s="38">
        <f t="shared" si="11"/>
        <v>0.4</v>
      </c>
      <c r="H196" s="38">
        <f t="shared" ref="H196:J196" si="89">IFERROR(H80/G80," ")</f>
        <v>0</v>
      </c>
      <c r="I196" s="38" t="str">
        <f t="shared" si="89"/>
        <v xml:space="preserve"> </v>
      </c>
      <c r="J196" s="38" t="str">
        <f t="shared" si="89"/>
        <v xml:space="preserve"> </v>
      </c>
    </row>
    <row r="197" spans="2:10" ht="12.75">
      <c r="B197" s="13" t="s">
        <v>27</v>
      </c>
      <c r="C197" s="25" t="s">
        <v>147</v>
      </c>
      <c r="E197" s="38">
        <f t="shared" si="10"/>
        <v>0.2</v>
      </c>
      <c r="F197" s="38"/>
      <c r="G197" s="38">
        <f t="shared" si="11"/>
        <v>0</v>
      </c>
      <c r="H197" s="38" t="str">
        <f t="shared" ref="H197:J197" si="90">IFERROR(H81/G81," ")</f>
        <v xml:space="preserve"> </v>
      </c>
      <c r="I197" s="38" t="str">
        <f t="shared" si="90"/>
        <v xml:space="preserve"> </v>
      </c>
      <c r="J197" s="38" t="str">
        <f t="shared" si="90"/>
        <v xml:space="preserve"> </v>
      </c>
    </row>
    <row r="198" spans="2:10" ht="12.75">
      <c r="B198" s="13" t="s">
        <v>69</v>
      </c>
      <c r="C198" s="25" t="s">
        <v>147</v>
      </c>
      <c r="E198" s="38">
        <f t="shared" si="10"/>
        <v>0.16666666666666666</v>
      </c>
      <c r="F198" s="38"/>
      <c r="G198" s="38">
        <f t="shared" si="11"/>
        <v>2</v>
      </c>
      <c r="H198" s="38">
        <f t="shared" ref="H198:J198" si="91">IFERROR(H82/G82," ")</f>
        <v>0</v>
      </c>
      <c r="I198" s="38" t="str">
        <f t="shared" si="91"/>
        <v xml:space="preserve"> </v>
      </c>
      <c r="J198" s="38" t="str">
        <f t="shared" si="91"/>
        <v xml:space="preserve"> </v>
      </c>
    </row>
    <row r="199" spans="2:10" ht="12.75">
      <c r="B199" s="13" t="s">
        <v>125</v>
      </c>
      <c r="C199" s="25" t="s">
        <v>147</v>
      </c>
      <c r="E199" s="38" t="str">
        <f t="shared" si="10"/>
        <v xml:space="preserve"> </v>
      </c>
      <c r="F199" s="38"/>
      <c r="G199" s="38" t="str">
        <f t="shared" si="11"/>
        <v xml:space="preserve"> </v>
      </c>
      <c r="H199" s="38" t="str">
        <f t="shared" ref="H199:J199" si="92">IFERROR(H83/G83," ")</f>
        <v xml:space="preserve"> </v>
      </c>
      <c r="I199" s="38" t="str">
        <f t="shared" si="92"/>
        <v xml:space="preserve"> </v>
      </c>
      <c r="J199" s="38" t="str">
        <f t="shared" si="92"/>
        <v xml:space="preserve"> </v>
      </c>
    </row>
    <row r="200" spans="2:10" ht="12.75">
      <c r="B200" s="13" t="s">
        <v>124</v>
      </c>
      <c r="C200" s="25" t="s">
        <v>147</v>
      </c>
      <c r="E200" s="38">
        <f t="shared" si="10"/>
        <v>0</v>
      </c>
      <c r="F200" s="38"/>
      <c r="G200" s="38" t="str">
        <f t="shared" si="11"/>
        <v xml:space="preserve"> </v>
      </c>
      <c r="H200" s="38" t="str">
        <f t="shared" ref="H200:J200" si="93">IFERROR(H84/G84," ")</f>
        <v xml:space="preserve"> </v>
      </c>
      <c r="I200" s="38" t="str">
        <f t="shared" si="93"/>
        <v xml:space="preserve"> </v>
      </c>
      <c r="J200" s="38" t="str">
        <f t="shared" si="93"/>
        <v xml:space="preserve"> </v>
      </c>
    </row>
    <row r="201" spans="2:10" ht="12.75">
      <c r="B201" s="13" t="s">
        <v>128</v>
      </c>
      <c r="C201" s="25" t="s">
        <v>142</v>
      </c>
      <c r="E201" s="38">
        <f t="shared" si="10"/>
        <v>0.22727272727272727</v>
      </c>
      <c r="F201" s="38"/>
      <c r="G201" s="38">
        <f t="shared" si="11"/>
        <v>0.2</v>
      </c>
      <c r="H201" s="38">
        <f t="shared" ref="H201:J201" si="94">IFERROR(H85/G85," ")</f>
        <v>0</v>
      </c>
      <c r="I201" s="38" t="str">
        <f t="shared" si="94"/>
        <v xml:space="preserve"> </v>
      </c>
      <c r="J201" s="38" t="str">
        <f t="shared" si="94"/>
        <v xml:space="preserve"> </v>
      </c>
    </row>
    <row r="202" spans="2:10" ht="12.75">
      <c r="B202" s="13" t="s">
        <v>129</v>
      </c>
      <c r="C202" s="25" t="s">
        <v>147</v>
      </c>
      <c r="E202" s="38">
        <f t="shared" si="10"/>
        <v>0.33333333333333331</v>
      </c>
      <c r="F202" s="38"/>
      <c r="G202" s="38">
        <f t="shared" si="11"/>
        <v>0</v>
      </c>
      <c r="H202" s="38" t="str">
        <f t="shared" ref="H202:J202" si="95">IFERROR(H86/G86," ")</f>
        <v xml:space="preserve"> </v>
      </c>
      <c r="I202" s="38" t="str">
        <f t="shared" si="95"/>
        <v xml:space="preserve"> </v>
      </c>
      <c r="J202" s="38" t="str">
        <f t="shared" si="95"/>
        <v xml:space="preserve"> </v>
      </c>
    </row>
    <row r="203" spans="2:10" ht="12.75">
      <c r="B203" s="13" t="s">
        <v>23</v>
      </c>
      <c r="C203" s="25" t="s">
        <v>142</v>
      </c>
      <c r="E203" s="38">
        <f t="shared" si="10"/>
        <v>0</v>
      </c>
      <c r="F203" s="38"/>
      <c r="G203" s="38" t="str">
        <f t="shared" si="11"/>
        <v xml:space="preserve"> </v>
      </c>
      <c r="H203" s="38">
        <f t="shared" ref="H203:J203" si="96">IFERROR(H87/G87," ")</f>
        <v>0</v>
      </c>
      <c r="I203" s="38" t="str">
        <f t="shared" si="96"/>
        <v xml:space="preserve"> </v>
      </c>
      <c r="J203" s="38" t="str">
        <f t="shared" si="96"/>
        <v xml:space="preserve"> </v>
      </c>
    </row>
    <row r="204" spans="2:10" ht="12.75">
      <c r="B204" s="13" t="s">
        <v>132</v>
      </c>
      <c r="C204" s="25" t="s">
        <v>142</v>
      </c>
      <c r="E204" s="38">
        <f t="shared" si="10"/>
        <v>0.14285714285714285</v>
      </c>
      <c r="F204" s="38"/>
      <c r="G204" s="38">
        <f t="shared" si="11"/>
        <v>0.5</v>
      </c>
      <c r="H204" s="38">
        <f t="shared" ref="H204:J204" si="97">IFERROR(H88/G88," ")</f>
        <v>0</v>
      </c>
      <c r="I204" s="38" t="str">
        <f t="shared" si="97"/>
        <v xml:space="preserve"> </v>
      </c>
      <c r="J204" s="38" t="str">
        <f t="shared" si="97"/>
        <v xml:space="preserve"> </v>
      </c>
    </row>
    <row r="205" spans="2:10" ht="12.75">
      <c r="B205" s="13" t="s">
        <v>106</v>
      </c>
      <c r="C205" s="25" t="s">
        <v>142</v>
      </c>
      <c r="E205" s="38" t="str">
        <f t="shared" si="10"/>
        <v xml:space="preserve"> </v>
      </c>
      <c r="F205" s="38"/>
      <c r="G205" s="38" t="str">
        <f t="shared" si="11"/>
        <v xml:space="preserve"> </v>
      </c>
      <c r="H205" s="38" t="str">
        <f t="shared" ref="H205:J205" si="98">IFERROR(H89/G89," ")</f>
        <v xml:space="preserve"> </v>
      </c>
      <c r="I205" s="38" t="str">
        <f t="shared" si="98"/>
        <v xml:space="preserve"> </v>
      </c>
      <c r="J205" s="38" t="str">
        <f t="shared" si="98"/>
        <v xml:space="preserve"> </v>
      </c>
    </row>
    <row r="206" spans="2:10" ht="12.75">
      <c r="B206" s="13" t="s">
        <v>31</v>
      </c>
      <c r="C206" s="25" t="s">
        <v>147</v>
      </c>
      <c r="E206" s="38">
        <f t="shared" si="10"/>
        <v>0</v>
      </c>
      <c r="F206" s="38"/>
      <c r="G206" s="38" t="str">
        <f t="shared" si="11"/>
        <v xml:space="preserve"> </v>
      </c>
      <c r="H206" s="38" t="str">
        <f t="shared" ref="H206:J206" si="99">IFERROR(H90/G90," ")</f>
        <v xml:space="preserve"> </v>
      </c>
      <c r="I206" s="38" t="str">
        <f t="shared" si="99"/>
        <v xml:space="preserve"> </v>
      </c>
      <c r="J206" s="38" t="str">
        <f t="shared" si="99"/>
        <v xml:space="preserve"> </v>
      </c>
    </row>
    <row r="207" spans="2:10" ht="12.75">
      <c r="B207" s="13" t="s">
        <v>119</v>
      </c>
      <c r="C207" s="25" t="s">
        <v>142</v>
      </c>
      <c r="E207" s="38" t="str">
        <f t="shared" si="10"/>
        <v xml:space="preserve"> </v>
      </c>
      <c r="F207" s="38"/>
      <c r="G207" s="38" t="str">
        <f t="shared" si="11"/>
        <v xml:space="preserve"> </v>
      </c>
      <c r="H207" s="38" t="str">
        <f t="shared" ref="H207:J207" si="100">IFERROR(H91/G91," ")</f>
        <v xml:space="preserve"> </v>
      </c>
      <c r="I207" s="38" t="str">
        <f t="shared" si="100"/>
        <v xml:space="preserve"> </v>
      </c>
      <c r="J207" s="38" t="str">
        <f t="shared" si="100"/>
        <v xml:space="preserve"> </v>
      </c>
    </row>
    <row r="208" spans="2:10" ht="12.75">
      <c r="B208" s="13" t="s">
        <v>44</v>
      </c>
      <c r="C208" s="25" t="s">
        <v>147</v>
      </c>
      <c r="E208" s="38">
        <f t="shared" si="10"/>
        <v>0.10526315789473684</v>
      </c>
      <c r="F208" s="38"/>
      <c r="G208" s="38">
        <f t="shared" si="11"/>
        <v>0.5</v>
      </c>
      <c r="H208" s="38">
        <f t="shared" ref="H208:J208" si="101">IFERROR(H92/G92," ")</f>
        <v>0</v>
      </c>
      <c r="I208" s="38" t="str">
        <f t="shared" si="101"/>
        <v xml:space="preserve"> </v>
      </c>
      <c r="J208" s="38" t="str">
        <f t="shared" si="101"/>
        <v xml:space="preserve"> </v>
      </c>
    </row>
    <row r="209" spans="2:10" ht="12.75">
      <c r="B209" s="13" t="s">
        <v>108</v>
      </c>
      <c r="C209" s="25" t="s">
        <v>142</v>
      </c>
      <c r="E209" s="38">
        <f t="shared" si="10"/>
        <v>0.18584070796460178</v>
      </c>
      <c r="F209" s="38"/>
      <c r="G209" s="38">
        <f t="shared" si="11"/>
        <v>4.7619047619047616E-2</v>
      </c>
      <c r="H209" s="38">
        <f t="shared" ref="H209:J209" si="102">IFERROR(H93/G93," ")</f>
        <v>0</v>
      </c>
      <c r="I209" s="38" t="str">
        <f t="shared" si="102"/>
        <v xml:space="preserve"> </v>
      </c>
      <c r="J209" s="38" t="str">
        <f t="shared" si="102"/>
        <v xml:space="preserve"> </v>
      </c>
    </row>
    <row r="210" spans="2:10" ht="12.75">
      <c r="B210" s="13" t="s">
        <v>104</v>
      </c>
      <c r="C210" s="25" t="s">
        <v>147</v>
      </c>
      <c r="E210" s="38">
        <f t="shared" si="10"/>
        <v>0.35087719298245612</v>
      </c>
      <c r="F210" s="38"/>
      <c r="G210" s="38">
        <f t="shared" si="11"/>
        <v>0</v>
      </c>
      <c r="H210" s="38" t="str">
        <f t="shared" ref="H210:J210" si="103">IFERROR(H94/G94," ")</f>
        <v xml:space="preserve"> </v>
      </c>
      <c r="I210" s="38" t="str">
        <f t="shared" si="103"/>
        <v xml:space="preserve"> </v>
      </c>
      <c r="J210" s="38" t="str">
        <f t="shared" si="103"/>
        <v xml:space="preserve"> </v>
      </c>
    </row>
    <row r="211" spans="2:10" ht="12.75">
      <c r="B211" s="13" t="s">
        <v>87</v>
      </c>
      <c r="C211" s="25" t="s">
        <v>147</v>
      </c>
      <c r="E211" s="38" t="str">
        <f t="shared" si="10"/>
        <v xml:space="preserve"> </v>
      </c>
      <c r="F211" s="38"/>
      <c r="G211" s="38" t="str">
        <f t="shared" si="11"/>
        <v xml:space="preserve"> </v>
      </c>
      <c r="H211" s="38" t="str">
        <f t="shared" ref="H211:J211" si="104">IFERROR(H95/G95," ")</f>
        <v xml:space="preserve"> </v>
      </c>
      <c r="I211" s="38" t="str">
        <f t="shared" si="104"/>
        <v xml:space="preserve"> </v>
      </c>
      <c r="J211" s="38" t="str">
        <f t="shared" si="104"/>
        <v xml:space="preserve"> </v>
      </c>
    </row>
    <row r="212" spans="2:10" ht="12.75">
      <c r="B212" s="13" t="s">
        <v>40</v>
      </c>
      <c r="C212" s="25" t="s">
        <v>147</v>
      </c>
      <c r="E212" s="38" t="str">
        <f t="shared" si="10"/>
        <v xml:space="preserve"> </v>
      </c>
      <c r="F212" s="38"/>
      <c r="G212" s="38" t="str">
        <f t="shared" si="11"/>
        <v xml:space="preserve"> </v>
      </c>
      <c r="H212" s="38" t="str">
        <f t="shared" ref="H212:J212" si="105">IFERROR(H96/G96," ")</f>
        <v xml:space="preserve"> </v>
      </c>
      <c r="I212" s="38" t="str">
        <f t="shared" si="105"/>
        <v xml:space="preserve"> </v>
      </c>
      <c r="J212" s="38" t="str">
        <f t="shared" si="105"/>
        <v xml:space="preserve"> </v>
      </c>
    </row>
    <row r="213" spans="2:10" ht="12.75">
      <c r="B213" s="13" t="s">
        <v>84</v>
      </c>
      <c r="C213" s="25" t="s">
        <v>147</v>
      </c>
      <c r="E213" s="38">
        <f t="shared" si="10"/>
        <v>0.33333333333333331</v>
      </c>
      <c r="F213" s="38"/>
      <c r="G213" s="38">
        <f t="shared" si="11"/>
        <v>0</v>
      </c>
      <c r="H213" s="38" t="str">
        <f t="shared" ref="H213:J213" si="106">IFERROR(H97/G97," ")</f>
        <v xml:space="preserve"> </v>
      </c>
      <c r="I213" s="38" t="str">
        <f t="shared" si="106"/>
        <v xml:space="preserve"> </v>
      </c>
      <c r="J213" s="38" t="str">
        <f t="shared" si="106"/>
        <v xml:space="preserve"> </v>
      </c>
    </row>
    <row r="214" spans="2:10" ht="12.75">
      <c r="B214" s="13" t="s">
        <v>102</v>
      </c>
      <c r="C214" s="25" t="s">
        <v>147</v>
      </c>
      <c r="E214" s="38" t="str">
        <f t="shared" si="10"/>
        <v xml:space="preserve"> </v>
      </c>
      <c r="F214" s="38"/>
      <c r="G214" s="38" t="str">
        <f t="shared" si="11"/>
        <v xml:space="preserve"> </v>
      </c>
      <c r="H214" s="38" t="str">
        <f t="shared" ref="H214:J214" si="107">IFERROR(H98/G98," ")</f>
        <v xml:space="preserve"> </v>
      </c>
      <c r="I214" s="38" t="str">
        <f t="shared" si="107"/>
        <v xml:space="preserve"> </v>
      </c>
      <c r="J214" s="38" t="str">
        <f t="shared" si="107"/>
        <v xml:space="preserve"> </v>
      </c>
    </row>
    <row r="215" spans="2:10" ht="12.75">
      <c r="B215" s="13" t="s">
        <v>76</v>
      </c>
      <c r="C215" s="25" t="s">
        <v>147</v>
      </c>
      <c r="E215" s="38">
        <f t="shared" si="10"/>
        <v>0.21428571428571427</v>
      </c>
      <c r="F215" s="38"/>
      <c r="G215" s="38">
        <f t="shared" si="11"/>
        <v>0</v>
      </c>
      <c r="H215" s="38" t="str">
        <f t="shared" ref="H215:J215" si="108">IFERROR(H99/G99," ")</f>
        <v xml:space="preserve"> </v>
      </c>
      <c r="I215" s="38" t="str">
        <f t="shared" si="108"/>
        <v xml:space="preserve"> </v>
      </c>
      <c r="J215" s="38" t="str">
        <f t="shared" si="108"/>
        <v xml:space="preserve"> </v>
      </c>
    </row>
    <row r="216" spans="2:10" ht="12.75">
      <c r="B216" s="13" t="s">
        <v>63</v>
      </c>
      <c r="C216" s="25" t="s">
        <v>147</v>
      </c>
      <c r="E216" s="38">
        <f t="shared" si="10"/>
        <v>0</v>
      </c>
      <c r="F216" s="38"/>
      <c r="G216" s="38" t="str">
        <f t="shared" si="11"/>
        <v xml:space="preserve"> </v>
      </c>
      <c r="H216" s="38">
        <f t="shared" ref="H216:J216" si="109">IFERROR(H100/G100," ")</f>
        <v>0</v>
      </c>
      <c r="I216" s="38" t="str">
        <f t="shared" si="109"/>
        <v xml:space="preserve"> </v>
      </c>
      <c r="J216" s="38" t="str">
        <f t="shared" si="109"/>
        <v xml:space="preserve"> </v>
      </c>
    </row>
    <row r="217" spans="2:10" ht="12.75">
      <c r="B217" s="13" t="s">
        <v>60</v>
      </c>
      <c r="C217" s="25" t="s">
        <v>147</v>
      </c>
      <c r="E217" s="38" t="str">
        <f t="shared" si="10"/>
        <v xml:space="preserve"> </v>
      </c>
      <c r="F217" s="38"/>
      <c r="G217" s="38" t="str">
        <f t="shared" si="11"/>
        <v xml:space="preserve"> </v>
      </c>
      <c r="H217" s="38" t="str">
        <f t="shared" ref="H217:J217" si="110">IFERROR(H101/G101," ")</f>
        <v xml:space="preserve"> </v>
      </c>
      <c r="I217" s="38" t="str">
        <f t="shared" si="110"/>
        <v xml:space="preserve"> </v>
      </c>
      <c r="J217" s="38" t="str">
        <f t="shared" si="110"/>
        <v xml:space="preserve"> </v>
      </c>
    </row>
    <row r="218" spans="2:10" ht="12.75">
      <c r="B218" s="13" t="s">
        <v>71</v>
      </c>
      <c r="C218" s="25" t="s">
        <v>147</v>
      </c>
      <c r="E218" s="38" t="str">
        <f t="shared" si="10"/>
        <v xml:space="preserve"> </v>
      </c>
      <c r="F218" s="38"/>
      <c r="G218" s="38" t="str">
        <f t="shared" si="11"/>
        <v xml:space="preserve"> </v>
      </c>
      <c r="H218" s="38" t="str">
        <f t="shared" ref="H218:J218" si="111">IFERROR(H102/G102," ")</f>
        <v xml:space="preserve"> </v>
      </c>
      <c r="I218" s="38" t="str">
        <f t="shared" si="111"/>
        <v xml:space="preserve"> </v>
      </c>
      <c r="J218" s="38" t="str">
        <f t="shared" si="111"/>
        <v xml:space="preserve"> </v>
      </c>
    </row>
    <row r="219" spans="2:10" ht="12.75">
      <c r="B219" s="13" t="s">
        <v>91</v>
      </c>
      <c r="C219" s="25" t="s">
        <v>147</v>
      </c>
      <c r="E219" s="38">
        <f t="shared" si="10"/>
        <v>0.5714285714285714</v>
      </c>
      <c r="F219" s="38"/>
      <c r="G219" s="38">
        <f t="shared" si="11"/>
        <v>0</v>
      </c>
      <c r="H219" s="38" t="str">
        <f t="shared" ref="H219:J219" si="112">IFERROR(H103/G103," ")</f>
        <v xml:space="preserve"> </v>
      </c>
      <c r="I219" s="38" t="str">
        <f t="shared" si="112"/>
        <v xml:space="preserve"> </v>
      </c>
      <c r="J219" s="38" t="str">
        <f t="shared" si="112"/>
        <v xml:space="preserve"> </v>
      </c>
    </row>
    <row r="220" spans="2:10" ht="12.75">
      <c r="B220" s="13" t="s">
        <v>67</v>
      </c>
      <c r="C220" s="25" t="s">
        <v>147</v>
      </c>
      <c r="E220" s="38">
        <f t="shared" si="10"/>
        <v>0.14285714285714285</v>
      </c>
      <c r="F220" s="38"/>
      <c r="G220" s="38">
        <f t="shared" si="11"/>
        <v>0</v>
      </c>
      <c r="H220" s="38" t="str">
        <f>IFERROR(H105/G104," ")</f>
        <v xml:space="preserve"> </v>
      </c>
      <c r="I220" s="38" t="str">
        <f>IFERROR(I104/H105," ")</f>
        <v xml:space="preserve"> </v>
      </c>
      <c r="J220" s="38" t="str">
        <f t="shared" ref="J220:J221" si="113">IFERROR(J104/I104," ")</f>
        <v xml:space="preserve"> </v>
      </c>
    </row>
    <row r="221" spans="2:10" ht="12.75">
      <c r="B221" s="13" t="s">
        <v>100</v>
      </c>
      <c r="C221" s="25" t="s">
        <v>142</v>
      </c>
      <c r="E221" s="38">
        <f t="shared" si="10"/>
        <v>0.17241379310344829</v>
      </c>
      <c r="F221" s="38"/>
      <c r="G221" s="38">
        <f t="shared" si="11"/>
        <v>0.3</v>
      </c>
      <c r="H221" s="38" t="str">
        <f>IFERROR(#REF!/G105," ")</f>
        <v xml:space="preserve"> </v>
      </c>
      <c r="I221" s="38" t="str">
        <f>IFERROR(I105/#REF!," ")</f>
        <v xml:space="preserve"> </v>
      </c>
      <c r="J221" s="38" t="str">
        <f t="shared" si="113"/>
        <v xml:space="preserve"> </v>
      </c>
    </row>
    <row r="222" spans="2:10" ht="12.75">
      <c r="B222" s="13" t="s">
        <v>117</v>
      </c>
      <c r="C222" s="25" t="s">
        <v>147</v>
      </c>
      <c r="E222" s="38">
        <f t="shared" si="10"/>
        <v>0.4</v>
      </c>
      <c r="F222" s="38"/>
      <c r="G222" s="38">
        <f t="shared" si="11"/>
        <v>0</v>
      </c>
      <c r="H222" s="38" t="str">
        <f t="shared" ref="H222:J222" si="114">IFERROR(H106/G106," ")</f>
        <v xml:space="preserve"> </v>
      </c>
      <c r="I222" s="38" t="str">
        <f t="shared" si="114"/>
        <v xml:space="preserve"> </v>
      </c>
      <c r="J222" s="38" t="str">
        <f t="shared" si="114"/>
        <v xml:space="preserve"> </v>
      </c>
    </row>
    <row r="223" spans="2:10" ht="12.75">
      <c r="B223" s="13" t="s">
        <v>25</v>
      </c>
      <c r="C223" s="25" t="s">
        <v>147</v>
      </c>
      <c r="E223" s="38">
        <f t="shared" si="10"/>
        <v>0.22222222222222221</v>
      </c>
      <c r="F223" s="38"/>
      <c r="G223" s="38">
        <f t="shared" si="11"/>
        <v>0</v>
      </c>
      <c r="H223" s="38" t="str">
        <f t="shared" ref="H223:J223" si="115">IFERROR(H107/G107," ")</f>
        <v xml:space="preserve"> </v>
      </c>
      <c r="I223" s="38" t="str">
        <f t="shared" si="115"/>
        <v xml:space="preserve"> </v>
      </c>
      <c r="J223" s="38" t="str">
        <f t="shared" si="115"/>
        <v xml:space="preserve"> </v>
      </c>
    </row>
    <row r="224" spans="2:10" ht="12.75">
      <c r="B224" s="13" t="s">
        <v>89</v>
      </c>
      <c r="C224" s="25" t="s">
        <v>147</v>
      </c>
      <c r="E224" s="38">
        <f t="shared" si="10"/>
        <v>0.27272727272727271</v>
      </c>
      <c r="F224" s="38"/>
      <c r="G224" s="38">
        <f t="shared" si="11"/>
        <v>0</v>
      </c>
      <c r="H224" s="38" t="str">
        <f t="shared" ref="H224:J224" si="116">IFERROR(H108/G108," ")</f>
        <v xml:space="preserve"> </v>
      </c>
      <c r="I224" s="38" t="str">
        <f t="shared" si="116"/>
        <v xml:space="preserve"> </v>
      </c>
      <c r="J224" s="38">
        <f t="shared" si="116"/>
        <v>1</v>
      </c>
    </row>
    <row r="225" spans="1:28" ht="12.75">
      <c r="B225" s="13" t="s">
        <v>74</v>
      </c>
      <c r="C225" s="25" t="s">
        <v>147</v>
      </c>
      <c r="E225" s="38">
        <f t="shared" si="10"/>
        <v>0.5</v>
      </c>
      <c r="F225" s="38"/>
      <c r="G225" s="38">
        <f t="shared" si="11"/>
        <v>0</v>
      </c>
      <c r="H225" s="38" t="str">
        <f t="shared" ref="H225:J225" si="117">IFERROR(H109/G109," ")</f>
        <v xml:space="preserve"> </v>
      </c>
      <c r="I225" s="38" t="str">
        <f t="shared" si="117"/>
        <v xml:space="preserve"> </v>
      </c>
      <c r="J225" s="38" t="str">
        <f t="shared" si="117"/>
        <v xml:space="preserve"> </v>
      </c>
    </row>
    <row r="226" spans="1:28" ht="12.75">
      <c r="B226" s="13" t="s">
        <v>51</v>
      </c>
      <c r="C226" s="25" t="s">
        <v>147</v>
      </c>
      <c r="E226" s="38">
        <f t="shared" si="10"/>
        <v>0.2857142857142857</v>
      </c>
      <c r="F226" s="38"/>
      <c r="G226" s="38">
        <f t="shared" si="11"/>
        <v>0.16666666666666666</v>
      </c>
      <c r="H226" s="38">
        <f t="shared" ref="H226:J226" si="118">IFERROR(H110/G110," ")</f>
        <v>0</v>
      </c>
      <c r="I226" s="38" t="str">
        <f t="shared" si="118"/>
        <v xml:space="preserve"> </v>
      </c>
      <c r="J226" s="38" t="str">
        <f t="shared" si="118"/>
        <v xml:space="preserve"> </v>
      </c>
    </row>
    <row r="227" spans="1:28" ht="12.75">
      <c r="B227" s="13" t="s">
        <v>112</v>
      </c>
      <c r="C227" s="25" t="s">
        <v>147</v>
      </c>
      <c r="E227" s="38">
        <f t="shared" si="10"/>
        <v>0</v>
      </c>
      <c r="F227" s="38"/>
      <c r="G227" s="38" t="str">
        <f t="shared" si="11"/>
        <v xml:space="preserve"> </v>
      </c>
      <c r="H227" s="38" t="str">
        <f t="shared" ref="H227:J227" si="119">IFERROR(H111/G111," ")</f>
        <v xml:space="preserve"> </v>
      </c>
      <c r="I227" s="38" t="str">
        <f t="shared" si="119"/>
        <v xml:space="preserve"> </v>
      </c>
      <c r="J227" s="38" t="str">
        <f t="shared" si="119"/>
        <v xml:space="preserve"> </v>
      </c>
    </row>
    <row r="228" spans="1:28" ht="12.75">
      <c r="E228" s="38" t="str">
        <f t="shared" si="10"/>
        <v xml:space="preserve"> </v>
      </c>
      <c r="F228" s="38"/>
      <c r="G228" s="38" t="str">
        <f t="shared" si="11"/>
        <v xml:space="preserve"> </v>
      </c>
      <c r="H228" s="38" t="str">
        <f t="shared" ref="H228:J228" si="120">IFERROR(H112/G112," ")</f>
        <v xml:space="preserve"> </v>
      </c>
      <c r="I228" s="38" t="str">
        <f t="shared" si="120"/>
        <v xml:space="preserve"> </v>
      </c>
      <c r="J228" s="38" t="str">
        <f t="shared" si="120"/>
        <v xml:space="preserve"> </v>
      </c>
    </row>
    <row r="229" spans="1:28" ht="13.15">
      <c r="A229" s="30"/>
      <c r="B229" s="31" t="s">
        <v>143</v>
      </c>
      <c r="C229" s="30"/>
      <c r="D229" s="30"/>
      <c r="E229" s="39">
        <f t="shared" si="10"/>
        <v>0.29752475247524751</v>
      </c>
      <c r="F229" s="39"/>
      <c r="G229" s="38">
        <f t="shared" si="11"/>
        <v>0.13810316139767054</v>
      </c>
      <c r="H229" s="38">
        <f t="shared" ref="H229:J229" si="121">IFERROR(H113/G113," ")</f>
        <v>3.614457831325301E-2</v>
      </c>
      <c r="I229" s="38">
        <f t="shared" si="121"/>
        <v>3.6666666666666665</v>
      </c>
      <c r="J229" s="38">
        <f t="shared" si="121"/>
        <v>1.3636363636363635</v>
      </c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</row>
    <row r="230" spans="1:28" ht="12.75">
      <c r="E230" s="38"/>
      <c r="F230" s="38"/>
    </row>
    <row r="231" spans="1:28" ht="12.75">
      <c r="E231" s="38"/>
      <c r="F231" s="38"/>
    </row>
    <row r="232" spans="1:28" ht="12.75">
      <c r="E232" s="38"/>
      <c r="F232" s="38"/>
    </row>
    <row r="233" spans="1:28" ht="12.75">
      <c r="E233" s="38"/>
      <c r="F233" s="38"/>
    </row>
  </sheetData>
  <autoFilter ref="B2:O111" xr:uid="{00000000-0009-0000-0000-00000F000000}">
    <sortState xmlns:xlrd2="http://schemas.microsoft.com/office/spreadsheetml/2017/richdata2" ref="B2:O111">
      <sortCondition ref="B2:B111"/>
      <sortCondition ref="D2:D111"/>
      <sortCondition descending="1" ref="G2:G111"/>
      <sortCondition descending="1" ref="E2:E111"/>
      <sortCondition descending="1" ref="J2:J111"/>
      <sortCondition descending="1" ref="M2:M111"/>
      <sortCondition ref="O2:O111"/>
    </sortState>
  </autoFilter>
  <customSheetViews>
    <customSheetView guid="{D4D06763-5632-4CAF-A0BD-7BAD6B3784B6}" filter="1" showAutoFilter="1">
      <pageMargins left="0.7" right="0.7" top="0.75" bottom="0.75" header="0.3" footer="0.3"/>
      <autoFilter ref="B2:K112" xr:uid="{00000000-0000-0000-0000-000000000000}"/>
    </customSheetView>
  </customSheetViews>
  <conditionalFormatting sqref="H105">
    <cfRule type="expression" dxfId="8" priority="1">
      <formula>$C104="N"</formula>
    </cfRule>
  </conditionalFormatting>
  <conditionalFormatting sqref="K1:K118 K228:K1000">
    <cfRule type="expression" dxfId="7" priority="2">
      <formula>AND(C1="Y",K1="")</formula>
    </cfRule>
  </conditionalFormatting>
  <conditionalFormatting sqref="B3:G111 H3:H103 I3:J111 U5:W14 T20:W30 H106:H111 B119:C227 E119:F233 G119:J229">
    <cfRule type="expression" dxfId="6" priority="3">
      <formula>$C3="N"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2:AK1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.75" customHeight="1" outlineLevelCol="1"/>
  <cols>
    <col min="1" max="1" width="5.53125" customWidth="1"/>
    <col min="2" max="2" width="30" customWidth="1"/>
    <col min="7" max="7" width="14.3984375" outlineLevel="1"/>
    <col min="8" max="8" width="12.53125" customWidth="1" outlineLevel="1"/>
    <col min="9" max="12" width="14.3984375" outlineLevel="1"/>
    <col min="16" max="16" width="16.265625" customWidth="1"/>
  </cols>
  <sheetData>
    <row r="2" spans="1:37" ht="26.25">
      <c r="A2" s="30"/>
      <c r="B2" s="62" t="str">
        <f>'Nov 9-15'!B2</f>
        <v>UNIT</v>
      </c>
      <c r="C2" s="62" t="str">
        <f>'Nov 9-15'!C2</f>
        <v>Availbility</v>
      </c>
      <c r="D2" s="62" t="s">
        <v>3</v>
      </c>
      <c r="E2" s="63" t="s">
        <v>165</v>
      </c>
      <c r="F2" s="63" t="s">
        <v>166</v>
      </c>
      <c r="G2" s="63" t="s">
        <v>4</v>
      </c>
      <c r="H2" s="63" t="s">
        <v>167</v>
      </c>
      <c r="I2" s="63" t="s">
        <v>6</v>
      </c>
      <c r="J2" s="63" t="s">
        <v>7</v>
      </c>
      <c r="K2" s="64" t="s">
        <v>8</v>
      </c>
      <c r="L2" s="63" t="s">
        <v>9</v>
      </c>
      <c r="M2" s="63" t="s">
        <v>168</v>
      </c>
      <c r="N2" s="63" t="s">
        <v>169</v>
      </c>
      <c r="O2" s="63" t="s">
        <v>170</v>
      </c>
      <c r="P2" s="63" t="s">
        <v>171</v>
      </c>
      <c r="Q2" s="63" t="s">
        <v>172</v>
      </c>
      <c r="R2" s="63" t="s">
        <v>173</v>
      </c>
      <c r="S2" s="63" t="s">
        <v>174</v>
      </c>
      <c r="T2" s="63" t="s">
        <v>175</v>
      </c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</row>
    <row r="3" spans="1:37" ht="12.75">
      <c r="B3" s="1" t="str">
        <f>'Nov 9-15'!B82</f>
        <v>4 Elko Street Unit B1</v>
      </c>
      <c r="C3" s="29" t="str">
        <f t="array" ref="C3">INDEX('Nov 16-22'!C:C,MATCH($B3,'Nov 16-22'!$B:$B,0))</f>
        <v>Y</v>
      </c>
      <c r="D3" s="29">
        <f t="array" ref="D3">INDEX('Nov 16-22'!D:D,MATCH($B3,'Nov 16-22'!$B:$B,0))</f>
        <v>6</v>
      </c>
      <c r="E3" s="65">
        <f t="shared" ref="E3:E111" si="0">RANK(D3,$D$3:$D$111)</f>
        <v>71</v>
      </c>
      <c r="F3" s="66">
        <f t="shared" ref="F3:F111" si="1">D3/$D$112</f>
        <v>2.9702970297029703E-3</v>
      </c>
      <c r="G3" s="65">
        <f t="array" ref="G3">INDEX('Nov 16-22'!E:E,MATCH($B3,'Nov 16-22'!$B:$B,0))</f>
        <v>1</v>
      </c>
      <c r="H3" s="65">
        <f t="array" ref="H3">INDEX('Nov 16-22'!F:F,MATCH($B3,'Nov 16-22'!$B:$B,0))</f>
        <v>0</v>
      </c>
      <c r="I3" s="65">
        <f t="array" ref="I3">INDEX('Nov 16-22'!G:G,MATCH($B3,'Nov 16-22'!$B:$B,0))</f>
        <v>2</v>
      </c>
      <c r="J3" s="65">
        <f t="array" ref="J3">INDEX('Nov 16-22'!H:H,MATCH($B3,'Nov 16-22'!$B:$B,0))</f>
        <v>0</v>
      </c>
      <c r="K3" s="65">
        <f t="array" ref="K3">INDEX('Nov 16-22'!I:I,MATCH($B3,'Nov 16-22'!$B:$B,0))</f>
        <v>0</v>
      </c>
      <c r="L3" s="65">
        <f t="array" ref="L3">INDEX('Nov 16-22'!J:J,MATCH($B3,'Nov 16-22'!$B:$B,0))</f>
        <v>0</v>
      </c>
      <c r="M3" s="17">
        <f t="shared" ref="M3:M111" si="2">IFERROR(G3/D3,"")</f>
        <v>0.16666666666666666</v>
      </c>
      <c r="N3" s="17">
        <f t="shared" ref="N3:N111" si="3">IFERROR(I3/D3,"")</f>
        <v>0.33333333333333331</v>
      </c>
      <c r="O3" s="17">
        <f t="shared" ref="O3:O111" si="4">IFERROR(I3/G3,"")</f>
        <v>2</v>
      </c>
      <c r="P3" s="17">
        <f t="shared" ref="P3:P111" si="5">IFERROR(J3/D3,"")</f>
        <v>0</v>
      </c>
      <c r="Q3" s="17">
        <f t="shared" ref="Q3:R3" si="6">IFERROR(J3/I3,"")</f>
        <v>0</v>
      </c>
      <c r="R3" s="17" t="str">
        <f t="shared" si="6"/>
        <v/>
      </c>
      <c r="S3" s="17">
        <f t="shared" ref="S3:S111" si="7">IFERROR(L3/D3,"")</f>
        <v>0</v>
      </c>
      <c r="T3" s="17" t="str">
        <f t="shared" ref="T3:T111" si="8">IFERROR(L3/K3,"")</f>
        <v/>
      </c>
    </row>
    <row r="4" spans="1:37" ht="12.75">
      <c r="B4" s="1" t="str">
        <f>'Nov 9-15'!B107</f>
        <v>9 Fairfield Street Unit 1R</v>
      </c>
      <c r="C4" s="29" t="str">
        <f t="array" ref="C4">INDEX('Nov 16-22'!C:C,MATCH($B4,'Nov 16-22'!$B:$B,0))</f>
        <v>Y</v>
      </c>
      <c r="D4" s="29">
        <f t="array" ref="D4">INDEX('Nov 16-22'!D:D,MATCH($B4,'Nov 16-22'!$B:$B,0))</f>
        <v>9</v>
      </c>
      <c r="E4" s="65">
        <f t="shared" si="0"/>
        <v>64</v>
      </c>
      <c r="F4" s="66">
        <f t="shared" si="1"/>
        <v>4.4554455445544551E-3</v>
      </c>
      <c r="G4" s="65">
        <f t="array" ref="G4">INDEX('Nov 16-22'!E:E,MATCH($B4,'Nov 16-22'!$B:$B,0))</f>
        <v>2</v>
      </c>
      <c r="H4" s="65">
        <f t="array" ref="H4">INDEX('Nov 16-22'!F:F,MATCH($B4,'Nov 16-22'!$B:$B,0))</f>
        <v>0</v>
      </c>
      <c r="I4" s="65">
        <f t="array" ref="I4">INDEX('Nov 16-22'!G:G,MATCH($B4,'Nov 16-22'!$B:$B,0))</f>
        <v>0</v>
      </c>
      <c r="J4" s="65">
        <f t="array" ref="J4">INDEX('Nov 16-22'!H:H,MATCH($B4,'Nov 16-22'!$B:$B,0))</f>
        <v>0</v>
      </c>
      <c r="K4" s="65">
        <f t="array" ref="K4">INDEX('Nov 16-22'!I:I,MATCH($B4,'Nov 16-22'!$B:$B,0))</f>
        <v>0</v>
      </c>
      <c r="L4" s="65">
        <f t="array" ref="L4">INDEX('Nov 16-22'!J:J,MATCH($B4,'Nov 16-22'!$B:$B,0))</f>
        <v>0</v>
      </c>
      <c r="M4" s="17">
        <f t="shared" si="2"/>
        <v>0.22222222222222221</v>
      </c>
      <c r="N4" s="17">
        <f t="shared" si="3"/>
        <v>0</v>
      </c>
      <c r="O4" s="17">
        <f t="shared" si="4"/>
        <v>0</v>
      </c>
      <c r="P4" s="17">
        <f t="shared" si="5"/>
        <v>0</v>
      </c>
      <c r="Q4" s="17" t="str">
        <f t="shared" ref="Q4:R4" si="9">IFERROR(J4/I4,"")</f>
        <v/>
      </c>
      <c r="R4" s="17" t="str">
        <f t="shared" si="9"/>
        <v/>
      </c>
      <c r="S4" s="17">
        <f t="shared" si="7"/>
        <v>0</v>
      </c>
      <c r="T4" s="17" t="str">
        <f t="shared" si="8"/>
        <v/>
      </c>
    </row>
    <row r="5" spans="1:37" ht="12.75">
      <c r="B5" s="1" t="str">
        <f>'Nov 9-15'!B61</f>
        <v>25 Howes Street Unit 2</v>
      </c>
      <c r="C5" s="29" t="str">
        <f t="array" ref="C5">INDEX('Nov 16-22'!C:C,MATCH($B5,'Nov 16-22'!$B:$B,0))</f>
        <v>N</v>
      </c>
      <c r="D5" s="29">
        <f t="array" ref="D5">INDEX('Nov 16-22'!D:D,MATCH($B5,'Nov 16-22'!$B:$B,0))</f>
        <v>0</v>
      </c>
      <c r="E5" s="65">
        <f t="shared" si="0"/>
        <v>92</v>
      </c>
      <c r="F5" s="66">
        <f t="shared" si="1"/>
        <v>0</v>
      </c>
      <c r="G5" s="65">
        <f t="array" ref="G5">INDEX('Nov 16-22'!E:E,MATCH($B5,'Nov 16-22'!$B:$B,0))</f>
        <v>0</v>
      </c>
      <c r="H5" s="65">
        <f t="array" ref="H5">INDEX('Nov 16-22'!F:F,MATCH($B5,'Nov 16-22'!$B:$B,0))</f>
        <v>1</v>
      </c>
      <c r="I5" s="65">
        <f t="array" ref="I5">INDEX('Nov 16-22'!G:G,MATCH($B5,'Nov 16-22'!$B:$B,0))</f>
        <v>0</v>
      </c>
      <c r="J5" s="65">
        <f t="array" ref="J5">INDEX('Nov 16-22'!H:H,MATCH($B5,'Nov 16-22'!$B:$B,0))</f>
        <v>0</v>
      </c>
      <c r="K5" s="65">
        <f t="array" ref="K5">INDEX('Nov 16-22'!I:I,MATCH($B5,'Nov 16-22'!$B:$B,0))</f>
        <v>0</v>
      </c>
      <c r="L5" s="65">
        <f t="array" ref="L5">INDEX('Nov 16-22'!J:J,MATCH($B5,'Nov 16-22'!$B:$B,0))</f>
        <v>0</v>
      </c>
      <c r="M5" s="17" t="str">
        <f t="shared" si="2"/>
        <v/>
      </c>
      <c r="N5" s="17" t="str">
        <f t="shared" si="3"/>
        <v/>
      </c>
      <c r="O5" s="17" t="str">
        <f t="shared" si="4"/>
        <v/>
      </c>
      <c r="P5" s="17" t="str">
        <f t="shared" si="5"/>
        <v/>
      </c>
      <c r="Q5" s="17" t="str">
        <f t="shared" ref="Q5:R5" si="10">IFERROR(J5/I5,"")</f>
        <v/>
      </c>
      <c r="R5" s="17" t="str">
        <f t="shared" si="10"/>
        <v/>
      </c>
      <c r="S5" s="17" t="str">
        <f t="shared" si="7"/>
        <v/>
      </c>
      <c r="T5" s="17" t="str">
        <f t="shared" si="8"/>
        <v/>
      </c>
    </row>
    <row r="6" spans="1:37" ht="12.75">
      <c r="B6" s="1" t="str">
        <f>'Nov 9-15'!B62</f>
        <v>25 Howes Street Unit 3</v>
      </c>
      <c r="C6" s="29" t="str">
        <f t="array" ref="C6">INDEX('Nov 16-22'!C:C,MATCH($B6,'Nov 16-22'!$B:$B,0))</f>
        <v>Y</v>
      </c>
      <c r="D6" s="29">
        <f t="array" ref="D6">INDEX('Nov 16-22'!D:D,MATCH($B6,'Nov 16-22'!$B:$B,0))</f>
        <v>21</v>
      </c>
      <c r="E6" s="65">
        <f t="shared" si="0"/>
        <v>29</v>
      </c>
      <c r="F6" s="66">
        <f t="shared" si="1"/>
        <v>1.0396039603960397E-2</v>
      </c>
      <c r="G6" s="65">
        <f t="array" ref="G6">INDEX('Nov 16-22'!E:E,MATCH($B6,'Nov 16-22'!$B:$B,0))</f>
        <v>7</v>
      </c>
      <c r="H6" s="65">
        <f t="array" ref="H6">INDEX('Nov 16-22'!F:F,MATCH($B6,'Nov 16-22'!$B:$B,0))</f>
        <v>2</v>
      </c>
      <c r="I6" s="65">
        <f t="array" ref="I6">INDEX('Nov 16-22'!G:G,MATCH($B6,'Nov 16-22'!$B:$B,0))</f>
        <v>0</v>
      </c>
      <c r="J6" s="65">
        <f t="array" ref="J6">INDEX('Nov 16-22'!H:H,MATCH($B6,'Nov 16-22'!$B:$B,0))</f>
        <v>0</v>
      </c>
      <c r="K6" s="65">
        <f t="array" ref="K6">INDEX('Nov 16-22'!I:I,MATCH($B6,'Nov 16-22'!$B:$B,0))</f>
        <v>0</v>
      </c>
      <c r="L6" s="65">
        <f t="array" ref="L6">INDEX('Nov 16-22'!J:J,MATCH($B6,'Nov 16-22'!$B:$B,0))</f>
        <v>0</v>
      </c>
      <c r="M6" s="17">
        <f t="shared" si="2"/>
        <v>0.33333333333333331</v>
      </c>
      <c r="N6" s="17">
        <f t="shared" si="3"/>
        <v>0</v>
      </c>
      <c r="O6" s="17">
        <f t="shared" si="4"/>
        <v>0</v>
      </c>
      <c r="P6" s="17">
        <f t="shared" si="5"/>
        <v>0</v>
      </c>
      <c r="Q6" s="17" t="str">
        <f t="shared" ref="Q6:R6" si="11">IFERROR(J6/I6,"")</f>
        <v/>
      </c>
      <c r="R6" s="17" t="str">
        <f t="shared" si="11"/>
        <v/>
      </c>
      <c r="S6" s="17">
        <f t="shared" si="7"/>
        <v>0</v>
      </c>
      <c r="T6" s="17" t="str">
        <f t="shared" si="8"/>
        <v/>
      </c>
    </row>
    <row r="7" spans="1:37" ht="12.75">
      <c r="B7" s="1" t="str">
        <f>'Nov 9-15'!B108</f>
        <v>95 Upland Road Unit 2</v>
      </c>
      <c r="C7" s="29" t="str">
        <f t="array" ref="C7">INDEX('Nov 16-22'!C:C,MATCH($B7,'Nov 16-22'!$B:$B,0))</f>
        <v>Y</v>
      </c>
      <c r="D7" s="29">
        <f t="array" ref="D7">INDEX('Nov 16-22'!D:D,MATCH($B7,'Nov 16-22'!$B:$B,0))</f>
        <v>11</v>
      </c>
      <c r="E7" s="65">
        <f t="shared" si="0"/>
        <v>57</v>
      </c>
      <c r="F7" s="66">
        <f t="shared" si="1"/>
        <v>5.4455445544554452E-3</v>
      </c>
      <c r="G7" s="65">
        <f t="array" ref="G7">INDEX('Nov 16-22'!E:E,MATCH($B7,'Nov 16-22'!$B:$B,0))</f>
        <v>3</v>
      </c>
      <c r="H7" s="65">
        <f t="array" ref="H7">INDEX('Nov 16-22'!F:F,MATCH($B7,'Nov 16-22'!$B:$B,0))</f>
        <v>0</v>
      </c>
      <c r="I7" s="65">
        <f t="array" ref="I7">INDEX('Nov 16-22'!G:G,MATCH($B7,'Nov 16-22'!$B:$B,0))</f>
        <v>0</v>
      </c>
      <c r="J7" s="65">
        <f t="array" ref="J7">INDEX('Nov 16-22'!H:H,MATCH($B7,'Nov 16-22'!$B:$B,0))</f>
        <v>0</v>
      </c>
      <c r="K7" s="65">
        <f t="array" ref="K7">INDEX('Nov 16-22'!I:I,MATCH($B7,'Nov 16-22'!$B:$B,0))</f>
        <v>1</v>
      </c>
      <c r="L7" s="65">
        <f t="array" ref="L7">INDEX('Nov 16-22'!J:J,MATCH($B7,'Nov 16-22'!$B:$B,0))</f>
        <v>1</v>
      </c>
      <c r="M7" s="17">
        <f t="shared" si="2"/>
        <v>0.27272727272727271</v>
      </c>
      <c r="N7" s="17">
        <f t="shared" si="3"/>
        <v>0</v>
      </c>
      <c r="O7" s="17">
        <f t="shared" si="4"/>
        <v>0</v>
      </c>
      <c r="P7" s="17">
        <f t="shared" si="5"/>
        <v>0</v>
      </c>
      <c r="Q7" s="17" t="str">
        <f t="shared" ref="Q7:R7" si="12">IFERROR(J7/I7,"")</f>
        <v/>
      </c>
      <c r="R7" s="17" t="str">
        <f t="shared" si="12"/>
        <v/>
      </c>
      <c r="S7" s="17">
        <f t="shared" si="7"/>
        <v>9.0909090909090912E-2</v>
      </c>
      <c r="T7" s="17">
        <f t="shared" si="8"/>
        <v>1</v>
      </c>
    </row>
    <row r="8" spans="1:37" ht="12.75">
      <c r="B8" s="1" t="str">
        <f>'Nov 9-15'!B94</f>
        <v>51 Clifton Street Unit 2</v>
      </c>
      <c r="C8" s="29" t="str">
        <f t="array" ref="C8">INDEX('Nov 16-22'!C:C,MATCH($B8,'Nov 16-22'!$B:$B,0))</f>
        <v>Y</v>
      </c>
      <c r="D8" s="29">
        <f t="array" ref="D8">INDEX('Nov 16-22'!D:D,MATCH($B8,'Nov 16-22'!$B:$B,0))</f>
        <v>57</v>
      </c>
      <c r="E8" s="65">
        <f t="shared" si="0"/>
        <v>9</v>
      </c>
      <c r="F8" s="66">
        <f t="shared" si="1"/>
        <v>2.8217821782178219E-2</v>
      </c>
      <c r="G8" s="65">
        <f t="array" ref="G8">INDEX('Nov 16-22'!E:E,MATCH($B8,'Nov 16-22'!$B:$B,0))</f>
        <v>20</v>
      </c>
      <c r="H8" s="65">
        <f t="array" ref="H8">INDEX('Nov 16-22'!F:F,MATCH($B8,'Nov 16-22'!$B:$B,0))</f>
        <v>2</v>
      </c>
      <c r="I8" s="65">
        <f t="array" ref="I8">INDEX('Nov 16-22'!G:G,MATCH($B8,'Nov 16-22'!$B:$B,0))</f>
        <v>0</v>
      </c>
      <c r="J8" s="65">
        <f t="array" ref="J8">INDEX('Nov 16-22'!H:H,MATCH($B8,'Nov 16-22'!$B:$B,0))</f>
        <v>0</v>
      </c>
      <c r="K8" s="65">
        <f t="array" ref="K8">INDEX('Nov 16-22'!I:I,MATCH($B8,'Nov 16-22'!$B:$B,0))</f>
        <v>0</v>
      </c>
      <c r="L8" s="65">
        <f t="array" ref="L8">INDEX('Nov 16-22'!J:J,MATCH($B8,'Nov 16-22'!$B:$B,0))</f>
        <v>5</v>
      </c>
      <c r="M8" s="17">
        <f t="shared" si="2"/>
        <v>0.35087719298245612</v>
      </c>
      <c r="N8" s="17">
        <f t="shared" si="3"/>
        <v>0</v>
      </c>
      <c r="O8" s="17">
        <f t="shared" si="4"/>
        <v>0</v>
      </c>
      <c r="P8" s="17">
        <f t="shared" si="5"/>
        <v>0</v>
      </c>
      <c r="Q8" s="17" t="str">
        <f t="shared" ref="Q8:R8" si="13">IFERROR(J8/I8,"")</f>
        <v/>
      </c>
      <c r="R8" s="17" t="str">
        <f t="shared" si="13"/>
        <v/>
      </c>
      <c r="S8" s="17">
        <f t="shared" si="7"/>
        <v>8.771929824561403E-2</v>
      </c>
      <c r="T8" s="17" t="str">
        <f t="shared" si="8"/>
        <v/>
      </c>
    </row>
    <row r="9" spans="1:37" ht="12.75">
      <c r="B9" s="1" t="str">
        <f>'Nov 9-15'!B27</f>
        <v>147 Columbia Street Unit 3R</v>
      </c>
      <c r="C9" s="29" t="str">
        <f t="array" ref="C9">INDEX('Nov 16-22'!C:C,MATCH($B9,'Nov 16-22'!$B:$B,0))</f>
        <v>Y</v>
      </c>
      <c r="D9" s="29">
        <f t="array" ref="D9">INDEX('Nov 16-22'!D:D,MATCH($B9,'Nov 16-22'!$B:$B,0))</f>
        <v>23</v>
      </c>
      <c r="E9" s="65">
        <f t="shared" si="0"/>
        <v>24</v>
      </c>
      <c r="F9" s="66">
        <f t="shared" si="1"/>
        <v>1.1386138613861386E-2</v>
      </c>
      <c r="G9" s="65">
        <f t="array" ref="G9">INDEX('Nov 16-22'!E:E,MATCH($B9,'Nov 16-22'!$B:$B,0))</f>
        <v>9</v>
      </c>
      <c r="H9" s="65">
        <f t="array" ref="H9">INDEX('Nov 16-22'!F:F,MATCH($B9,'Nov 16-22'!$B:$B,0))</f>
        <v>0</v>
      </c>
      <c r="I9" s="65">
        <f t="array" ref="I9">INDEX('Nov 16-22'!G:G,MATCH($B9,'Nov 16-22'!$B:$B,0))</f>
        <v>0</v>
      </c>
      <c r="J9" s="65">
        <f t="array" ref="J9">INDEX('Nov 16-22'!H:H,MATCH($B9,'Nov 16-22'!$B:$B,0))</f>
        <v>0</v>
      </c>
      <c r="K9" s="65">
        <f t="array" ref="K9">INDEX('Nov 16-22'!I:I,MATCH($B9,'Nov 16-22'!$B:$B,0))</f>
        <v>0</v>
      </c>
      <c r="L9" s="65">
        <f t="array" ref="L9">INDEX('Nov 16-22'!J:J,MATCH($B9,'Nov 16-22'!$B:$B,0))</f>
        <v>0</v>
      </c>
      <c r="M9" s="17">
        <f t="shared" si="2"/>
        <v>0.39130434782608697</v>
      </c>
      <c r="N9" s="17">
        <f t="shared" si="3"/>
        <v>0</v>
      </c>
      <c r="O9" s="17">
        <f t="shared" si="4"/>
        <v>0</v>
      </c>
      <c r="P9" s="17">
        <f t="shared" si="5"/>
        <v>0</v>
      </c>
      <c r="Q9" s="17" t="str">
        <f t="shared" ref="Q9:R9" si="14">IFERROR(J9/I9,"")</f>
        <v/>
      </c>
      <c r="R9" s="17" t="str">
        <f t="shared" si="14"/>
        <v/>
      </c>
      <c r="S9" s="17">
        <f t="shared" si="7"/>
        <v>0</v>
      </c>
      <c r="T9" s="17" t="str">
        <f t="shared" si="8"/>
        <v/>
      </c>
    </row>
    <row r="10" spans="1:37" ht="12.75">
      <c r="B10" s="1" t="str">
        <f>'Nov 9-15'!B106</f>
        <v>9 Fairfield Street Unit 1L</v>
      </c>
      <c r="C10" s="29" t="str">
        <f t="array" ref="C10">INDEX('Nov 16-22'!C:C,MATCH($B10,'Nov 16-22'!$B:$B,0))</f>
        <v>Y</v>
      </c>
      <c r="D10" s="29">
        <f t="array" ref="D10">INDEX('Nov 16-22'!D:D,MATCH($B10,'Nov 16-22'!$B:$B,0))</f>
        <v>10</v>
      </c>
      <c r="E10" s="65">
        <f t="shared" si="0"/>
        <v>60</v>
      </c>
      <c r="F10" s="66">
        <f t="shared" si="1"/>
        <v>4.9504950495049506E-3</v>
      </c>
      <c r="G10" s="65">
        <f t="array" ref="G10">INDEX('Nov 16-22'!E:E,MATCH($B10,'Nov 16-22'!$B:$B,0))</f>
        <v>4</v>
      </c>
      <c r="H10" s="65">
        <f t="array" ref="H10">INDEX('Nov 16-22'!F:F,MATCH($B10,'Nov 16-22'!$B:$B,0))</f>
        <v>0</v>
      </c>
      <c r="I10" s="65">
        <f t="array" ref="I10">INDEX('Nov 16-22'!G:G,MATCH($B10,'Nov 16-22'!$B:$B,0))</f>
        <v>0</v>
      </c>
      <c r="J10" s="65">
        <f t="array" ref="J10">INDEX('Nov 16-22'!H:H,MATCH($B10,'Nov 16-22'!$B:$B,0))</f>
        <v>0</v>
      </c>
      <c r="K10" s="65">
        <f t="array" ref="K10">INDEX('Nov 16-22'!I:I,MATCH($B10,'Nov 16-22'!$B:$B,0))</f>
        <v>0</v>
      </c>
      <c r="L10" s="65">
        <f t="array" ref="L10">INDEX('Nov 16-22'!J:J,MATCH($B10,'Nov 16-22'!$B:$B,0))</f>
        <v>0</v>
      </c>
      <c r="M10" s="17">
        <f t="shared" si="2"/>
        <v>0.4</v>
      </c>
      <c r="N10" s="17">
        <f t="shared" si="3"/>
        <v>0</v>
      </c>
      <c r="O10" s="17">
        <f t="shared" si="4"/>
        <v>0</v>
      </c>
      <c r="P10" s="17">
        <f t="shared" si="5"/>
        <v>0</v>
      </c>
      <c r="Q10" s="17" t="str">
        <f t="shared" ref="Q10:R10" si="15">IFERROR(J10/I10,"")</f>
        <v/>
      </c>
      <c r="R10" s="17" t="str">
        <f t="shared" si="15"/>
        <v/>
      </c>
      <c r="S10" s="17">
        <f t="shared" si="7"/>
        <v>0</v>
      </c>
      <c r="T10" s="17" t="str">
        <f t="shared" si="8"/>
        <v/>
      </c>
    </row>
    <row r="11" spans="1:37" ht="12.75">
      <c r="B11" s="1" t="str">
        <f>'Nov 9-15'!B55</f>
        <v>22 Austin Street Unit 1</v>
      </c>
      <c r="C11" s="29" t="str">
        <f t="array" ref="C11">INDEX('Nov 16-22'!C:C,MATCH($B11,'Nov 16-22'!$B:$B,0))</f>
        <v>Y</v>
      </c>
      <c r="D11" s="29">
        <f t="array" ref="D11">INDEX('Nov 16-22'!D:D,MATCH($B11,'Nov 16-22'!$B:$B,0))</f>
        <v>8</v>
      </c>
      <c r="E11" s="65">
        <f t="shared" si="0"/>
        <v>66</v>
      </c>
      <c r="F11" s="66">
        <f t="shared" si="1"/>
        <v>3.9603960396039604E-3</v>
      </c>
      <c r="G11" s="65">
        <f t="array" ref="G11">INDEX('Nov 16-22'!E:E,MATCH($B11,'Nov 16-22'!$B:$B,0))</f>
        <v>1</v>
      </c>
      <c r="H11" s="65">
        <f t="array" ref="H11">INDEX('Nov 16-22'!F:F,MATCH($B11,'Nov 16-22'!$B:$B,0))</f>
        <v>0</v>
      </c>
      <c r="I11" s="65">
        <f t="array" ref="I11">INDEX('Nov 16-22'!G:G,MATCH($B11,'Nov 16-22'!$B:$B,0))</f>
        <v>0</v>
      </c>
      <c r="J11" s="65">
        <f t="array" ref="J11">INDEX('Nov 16-22'!H:H,MATCH($B11,'Nov 16-22'!$B:$B,0))</f>
        <v>0</v>
      </c>
      <c r="K11" s="65">
        <f t="array" ref="K11">INDEX('Nov 16-22'!I:I,MATCH($B11,'Nov 16-22'!$B:$B,0))</f>
        <v>1</v>
      </c>
      <c r="L11" s="65">
        <f t="array" ref="L11">INDEX('Nov 16-22'!J:J,MATCH($B11,'Nov 16-22'!$B:$B,0))</f>
        <v>1</v>
      </c>
      <c r="M11" s="17">
        <f t="shared" si="2"/>
        <v>0.125</v>
      </c>
      <c r="N11" s="17">
        <f t="shared" si="3"/>
        <v>0</v>
      </c>
      <c r="O11" s="17">
        <f t="shared" si="4"/>
        <v>0</v>
      </c>
      <c r="P11" s="17">
        <f t="shared" si="5"/>
        <v>0</v>
      </c>
      <c r="Q11" s="17" t="str">
        <f t="shared" ref="Q11:R11" si="16">IFERROR(J11/I11,"")</f>
        <v/>
      </c>
      <c r="R11" s="17" t="str">
        <f t="shared" si="16"/>
        <v/>
      </c>
      <c r="S11" s="17">
        <f t="shared" si="7"/>
        <v>0.125</v>
      </c>
      <c r="T11" s="17">
        <f t="shared" si="8"/>
        <v>1</v>
      </c>
    </row>
    <row r="12" spans="1:37" ht="12.75">
      <c r="B12" s="1" t="str">
        <f>'Nov 9-15'!B7</f>
        <v>106 Hyde Park Avenue Unit 2</v>
      </c>
      <c r="C12" s="29" t="str">
        <f t="array" ref="C12">INDEX('Nov 16-22'!C:C,MATCH($B12,'Nov 16-22'!$B:$B,0))</f>
        <v>Y</v>
      </c>
      <c r="D12" s="29">
        <f t="array" ref="D12">INDEX('Nov 16-22'!D:D,MATCH($B12,'Nov 16-22'!$B:$B,0))</f>
        <v>19</v>
      </c>
      <c r="E12" s="65">
        <f t="shared" si="0"/>
        <v>35</v>
      </c>
      <c r="F12" s="66">
        <f t="shared" si="1"/>
        <v>9.4059405940594056E-3</v>
      </c>
      <c r="G12" s="65">
        <f t="array" ref="G12">INDEX('Nov 16-22'!E:E,MATCH($B12,'Nov 16-22'!$B:$B,0))</f>
        <v>3</v>
      </c>
      <c r="H12" s="65">
        <f t="array" ref="H12">INDEX('Nov 16-22'!F:F,MATCH($B12,'Nov 16-22'!$B:$B,0))</f>
        <v>1</v>
      </c>
      <c r="I12" s="65">
        <f t="array" ref="I12">INDEX('Nov 16-22'!G:G,MATCH($B12,'Nov 16-22'!$B:$B,0))</f>
        <v>2</v>
      </c>
      <c r="J12" s="65">
        <f t="array" ref="J12">INDEX('Nov 16-22'!H:H,MATCH($B12,'Nov 16-22'!$B:$B,0))</f>
        <v>0</v>
      </c>
      <c r="K12" s="65">
        <f t="array" ref="K12">INDEX('Nov 16-22'!I:I,MATCH($B12,'Nov 16-22'!$B:$B,0))</f>
        <v>0</v>
      </c>
      <c r="L12" s="65">
        <f t="array" ref="L12">INDEX('Nov 16-22'!J:J,MATCH($B12,'Nov 16-22'!$B:$B,0))</f>
        <v>0</v>
      </c>
      <c r="M12" s="17">
        <f t="shared" si="2"/>
        <v>0.15789473684210525</v>
      </c>
      <c r="N12" s="17">
        <f t="shared" si="3"/>
        <v>0.10526315789473684</v>
      </c>
      <c r="O12" s="17">
        <f t="shared" si="4"/>
        <v>0.66666666666666663</v>
      </c>
      <c r="P12" s="17">
        <f t="shared" si="5"/>
        <v>0</v>
      </c>
      <c r="Q12" s="17">
        <f t="shared" ref="Q12:R12" si="17">IFERROR(J12/I12,"")</f>
        <v>0</v>
      </c>
      <c r="R12" s="17" t="str">
        <f t="shared" si="17"/>
        <v/>
      </c>
      <c r="S12" s="17">
        <f t="shared" si="7"/>
        <v>0</v>
      </c>
      <c r="T12" s="17" t="str">
        <f t="shared" si="8"/>
        <v/>
      </c>
    </row>
    <row r="13" spans="1:37" ht="12.75">
      <c r="B13" s="1" t="str">
        <f>'Nov 9-15'!B86</f>
        <v>45 Crescent Avenue Unit 1</v>
      </c>
      <c r="C13" s="29" t="str">
        <f t="array" ref="C13">INDEX('Nov 16-22'!C:C,MATCH($B13,'Nov 16-22'!$B:$B,0))</f>
        <v>Y</v>
      </c>
      <c r="D13" s="29">
        <f t="array" ref="D13">INDEX('Nov 16-22'!D:D,MATCH($B13,'Nov 16-22'!$B:$B,0))</f>
        <v>9</v>
      </c>
      <c r="E13" s="65">
        <f t="shared" si="0"/>
        <v>64</v>
      </c>
      <c r="F13" s="66">
        <f t="shared" si="1"/>
        <v>4.4554455445544551E-3</v>
      </c>
      <c r="G13" s="65">
        <f t="array" ref="G13">INDEX('Nov 16-22'!E:E,MATCH($B13,'Nov 16-22'!$B:$B,0))</f>
        <v>3</v>
      </c>
      <c r="H13" s="65">
        <f t="array" ref="H13">INDEX('Nov 16-22'!F:F,MATCH($B13,'Nov 16-22'!$B:$B,0))</f>
        <v>0</v>
      </c>
      <c r="I13" s="65">
        <f t="array" ref="I13">INDEX('Nov 16-22'!G:G,MATCH($B13,'Nov 16-22'!$B:$B,0))</f>
        <v>0</v>
      </c>
      <c r="J13" s="65">
        <f t="array" ref="J13">INDEX('Nov 16-22'!H:H,MATCH($B13,'Nov 16-22'!$B:$B,0))</f>
        <v>0</v>
      </c>
      <c r="K13" s="65">
        <f t="array" ref="K13">INDEX('Nov 16-22'!I:I,MATCH($B13,'Nov 16-22'!$B:$B,0))</f>
        <v>0</v>
      </c>
      <c r="L13" s="65">
        <f t="array" ref="L13">INDEX('Nov 16-22'!J:J,MATCH($B13,'Nov 16-22'!$B:$B,0))</f>
        <v>0</v>
      </c>
      <c r="M13" s="17">
        <f t="shared" si="2"/>
        <v>0.33333333333333331</v>
      </c>
      <c r="N13" s="17">
        <f t="shared" si="3"/>
        <v>0</v>
      </c>
      <c r="O13" s="17">
        <f t="shared" si="4"/>
        <v>0</v>
      </c>
      <c r="P13" s="17">
        <f t="shared" si="5"/>
        <v>0</v>
      </c>
      <c r="Q13" s="17" t="str">
        <f t="shared" ref="Q13:R13" si="18">IFERROR(J13/I13,"")</f>
        <v/>
      </c>
      <c r="R13" s="17" t="str">
        <f t="shared" si="18"/>
        <v/>
      </c>
      <c r="S13" s="17">
        <f t="shared" si="7"/>
        <v>0</v>
      </c>
      <c r="T13" s="17" t="str">
        <f t="shared" si="8"/>
        <v/>
      </c>
    </row>
    <row r="14" spans="1:37" ht="12.75">
      <c r="B14" s="1" t="str">
        <f>'Nov 9-15'!B63</f>
        <v>26 Washington Terrace Unit 1</v>
      </c>
      <c r="C14" s="29" t="str">
        <f t="array" ref="C14">INDEX('Nov 16-22'!C:C,MATCH($B14,'Nov 16-22'!$B:$B,0))</f>
        <v>N</v>
      </c>
      <c r="D14" s="29">
        <f t="array" ref="D14">INDEX('Nov 16-22'!D:D,MATCH($B14,'Nov 16-22'!$B:$B,0))</f>
        <v>0</v>
      </c>
      <c r="E14" s="65">
        <f t="shared" si="0"/>
        <v>92</v>
      </c>
      <c r="F14" s="66">
        <f t="shared" si="1"/>
        <v>0</v>
      </c>
      <c r="G14" s="65">
        <f t="array" ref="G14">INDEX('Nov 16-22'!E:E,MATCH($B14,'Nov 16-22'!$B:$B,0))</f>
        <v>0</v>
      </c>
      <c r="H14" s="65">
        <f t="array" ref="H14">INDEX('Nov 16-22'!F:F,MATCH($B14,'Nov 16-22'!$B:$B,0))</f>
        <v>0</v>
      </c>
      <c r="I14" s="65">
        <f t="array" ref="I14">INDEX('Nov 16-22'!G:G,MATCH($B14,'Nov 16-22'!$B:$B,0))</f>
        <v>0</v>
      </c>
      <c r="J14" s="65">
        <f t="array" ref="J14">INDEX('Nov 16-22'!H:H,MATCH($B14,'Nov 16-22'!$B:$B,0))</f>
        <v>0</v>
      </c>
      <c r="K14" s="65">
        <f t="array" ref="K14">INDEX('Nov 16-22'!I:I,MATCH($B14,'Nov 16-22'!$B:$B,0))</f>
        <v>0</v>
      </c>
      <c r="L14" s="65">
        <f t="array" ref="L14">INDEX('Nov 16-22'!J:J,MATCH($B14,'Nov 16-22'!$B:$B,0))</f>
        <v>0</v>
      </c>
      <c r="M14" s="17" t="str">
        <f t="shared" si="2"/>
        <v/>
      </c>
      <c r="N14" s="17" t="str">
        <f t="shared" si="3"/>
        <v/>
      </c>
      <c r="O14" s="17" t="str">
        <f t="shared" si="4"/>
        <v/>
      </c>
      <c r="P14" s="17" t="str">
        <f t="shared" si="5"/>
        <v/>
      </c>
      <c r="Q14" s="17" t="str">
        <f t="shared" ref="Q14:R14" si="19">IFERROR(J14/I14,"")</f>
        <v/>
      </c>
      <c r="R14" s="17" t="str">
        <f t="shared" si="19"/>
        <v/>
      </c>
      <c r="S14" s="17" t="str">
        <f t="shared" si="7"/>
        <v/>
      </c>
      <c r="T14" s="17" t="str">
        <f t="shared" si="8"/>
        <v/>
      </c>
    </row>
    <row r="15" spans="1:37" ht="12.75">
      <c r="B15" s="1" t="str">
        <f>'Nov 9-15'!B12</f>
        <v>1099 Cambridge Street Unit 1</v>
      </c>
      <c r="C15" s="29" t="str">
        <f t="array" ref="C15">INDEX('Nov 16-22'!C:C,MATCH($B15,'Nov 16-22'!$B:$B,0))</f>
        <v>Y</v>
      </c>
      <c r="D15" s="29">
        <f t="array" ref="D15">INDEX('Nov 16-22'!D:D,MATCH($B15,'Nov 16-22'!$B:$B,0))</f>
        <v>43</v>
      </c>
      <c r="E15" s="65">
        <f t="shared" si="0"/>
        <v>14</v>
      </c>
      <c r="F15" s="66">
        <f t="shared" si="1"/>
        <v>2.1287128712871289E-2</v>
      </c>
      <c r="G15" s="65">
        <f t="array" ref="G15">INDEX('Nov 16-22'!E:E,MATCH($B15,'Nov 16-22'!$B:$B,0))</f>
        <v>24</v>
      </c>
      <c r="H15" s="65">
        <f t="array" ref="H15">INDEX('Nov 16-22'!F:F,MATCH($B15,'Nov 16-22'!$B:$B,0))</f>
        <v>3</v>
      </c>
      <c r="I15" s="65">
        <f t="array" ref="I15">INDEX('Nov 16-22'!G:G,MATCH($B15,'Nov 16-22'!$B:$B,0))</f>
        <v>3</v>
      </c>
      <c r="J15" s="65">
        <f t="array" ref="J15">INDEX('Nov 16-22'!H:H,MATCH($B15,'Nov 16-22'!$B:$B,0))</f>
        <v>0</v>
      </c>
      <c r="K15" s="65">
        <f t="array" ref="K15">INDEX('Nov 16-22'!I:I,MATCH($B15,'Nov 16-22'!$B:$B,0))</f>
        <v>0</v>
      </c>
      <c r="L15" s="65">
        <f t="array" ref="L15">INDEX('Nov 16-22'!J:J,MATCH($B15,'Nov 16-22'!$B:$B,0))</f>
        <v>0</v>
      </c>
      <c r="M15" s="17">
        <f t="shared" si="2"/>
        <v>0.55813953488372092</v>
      </c>
      <c r="N15" s="17">
        <f t="shared" si="3"/>
        <v>6.9767441860465115E-2</v>
      </c>
      <c r="O15" s="17">
        <f t="shared" si="4"/>
        <v>0.125</v>
      </c>
      <c r="P15" s="17">
        <f t="shared" si="5"/>
        <v>0</v>
      </c>
      <c r="Q15" s="17">
        <f t="shared" ref="Q15:R15" si="20">IFERROR(J15/I15,"")</f>
        <v>0</v>
      </c>
      <c r="R15" s="17" t="str">
        <f t="shared" si="20"/>
        <v/>
      </c>
      <c r="S15" s="17">
        <f t="shared" si="7"/>
        <v>0</v>
      </c>
      <c r="T15" s="17" t="str">
        <f t="shared" si="8"/>
        <v/>
      </c>
    </row>
    <row r="16" spans="1:37" ht="12.75">
      <c r="B16" s="1" t="str">
        <f>'Nov 9-15'!B20</f>
        <v>12 Estrella Street Unit 2</v>
      </c>
      <c r="C16" s="29" t="str">
        <f t="array" ref="C16">INDEX('Nov 16-22'!C:C,MATCH($B16,'Nov 16-22'!$B:$B,0))</f>
        <v>Y</v>
      </c>
      <c r="D16" s="29">
        <f t="array" ref="D16">INDEX('Nov 16-22'!D:D,MATCH($B16,'Nov 16-22'!$B:$B,0))</f>
        <v>29</v>
      </c>
      <c r="E16" s="65">
        <f t="shared" si="0"/>
        <v>20</v>
      </c>
      <c r="F16" s="66">
        <f t="shared" si="1"/>
        <v>1.4356435643564357E-2</v>
      </c>
      <c r="G16" s="65">
        <f t="array" ref="G16">INDEX('Nov 16-22'!E:E,MATCH($B16,'Nov 16-22'!$B:$B,0))</f>
        <v>13</v>
      </c>
      <c r="H16" s="65">
        <f t="array" ref="H16">INDEX('Nov 16-22'!F:F,MATCH($B16,'Nov 16-22'!$B:$B,0))</f>
        <v>0</v>
      </c>
      <c r="I16" s="65">
        <f t="array" ref="I16">INDEX('Nov 16-22'!G:G,MATCH($B16,'Nov 16-22'!$B:$B,0))</f>
        <v>2</v>
      </c>
      <c r="J16" s="65">
        <f t="array" ref="J16">INDEX('Nov 16-22'!H:H,MATCH($B16,'Nov 16-22'!$B:$B,0))</f>
        <v>0</v>
      </c>
      <c r="K16" s="65">
        <f t="array" ref="K16">INDEX('Nov 16-22'!I:I,MATCH($B16,'Nov 16-22'!$B:$B,0))</f>
        <v>0</v>
      </c>
      <c r="L16" s="65">
        <f t="array" ref="L16">INDEX('Nov 16-22'!J:J,MATCH($B16,'Nov 16-22'!$B:$B,0))</f>
        <v>0</v>
      </c>
      <c r="M16" s="17">
        <f t="shared" si="2"/>
        <v>0.44827586206896552</v>
      </c>
      <c r="N16" s="17">
        <f t="shared" si="3"/>
        <v>6.8965517241379309E-2</v>
      </c>
      <c r="O16" s="17">
        <f t="shared" si="4"/>
        <v>0.15384615384615385</v>
      </c>
      <c r="P16" s="17">
        <f t="shared" si="5"/>
        <v>0</v>
      </c>
      <c r="Q16" s="17">
        <f t="shared" ref="Q16:R16" si="21">IFERROR(J16/I16,"")</f>
        <v>0</v>
      </c>
      <c r="R16" s="17" t="str">
        <f t="shared" si="21"/>
        <v/>
      </c>
      <c r="S16" s="17">
        <f t="shared" si="7"/>
        <v>0</v>
      </c>
      <c r="T16" s="17" t="str">
        <f t="shared" si="8"/>
        <v/>
      </c>
    </row>
    <row r="17" spans="2:20" ht="12.75">
      <c r="B17" s="1" t="str">
        <f>'Nov 9-15'!B19</f>
        <v>12 7th Street</v>
      </c>
      <c r="C17" s="29" t="str">
        <f t="array" ref="C17">INDEX('Nov 16-22'!C:C,MATCH($B17,'Nov 16-22'!$B:$B,0))</f>
        <v>N</v>
      </c>
      <c r="D17" s="29">
        <f t="array" ref="D17">INDEX('Nov 16-22'!D:D,MATCH($B17,'Nov 16-22'!$B:$B,0))</f>
        <v>0</v>
      </c>
      <c r="E17" s="65">
        <f t="shared" si="0"/>
        <v>92</v>
      </c>
      <c r="F17" s="66">
        <f t="shared" si="1"/>
        <v>0</v>
      </c>
      <c r="G17" s="65">
        <f t="array" ref="G17">INDEX('Nov 16-22'!E:E,MATCH($B17,'Nov 16-22'!$B:$B,0))</f>
        <v>0</v>
      </c>
      <c r="H17" s="65">
        <f t="array" ref="H17">INDEX('Nov 16-22'!F:F,MATCH($B17,'Nov 16-22'!$B:$B,0))</f>
        <v>0</v>
      </c>
      <c r="I17" s="65">
        <f t="array" ref="I17">INDEX('Nov 16-22'!G:G,MATCH($B17,'Nov 16-22'!$B:$B,0))</f>
        <v>0</v>
      </c>
      <c r="J17" s="65">
        <f t="array" ref="J17">INDEX('Nov 16-22'!H:H,MATCH($B17,'Nov 16-22'!$B:$B,0))</f>
        <v>0</v>
      </c>
      <c r="K17" s="65">
        <f t="array" ref="K17">INDEX('Nov 16-22'!I:I,MATCH($B17,'Nov 16-22'!$B:$B,0))</f>
        <v>0</v>
      </c>
      <c r="L17" s="65">
        <f t="array" ref="L17">INDEX('Nov 16-22'!J:J,MATCH($B17,'Nov 16-22'!$B:$B,0))</f>
        <v>0</v>
      </c>
      <c r="M17" s="17" t="str">
        <f t="shared" si="2"/>
        <v/>
      </c>
      <c r="N17" s="17" t="str">
        <f t="shared" si="3"/>
        <v/>
      </c>
      <c r="O17" s="17" t="str">
        <f t="shared" si="4"/>
        <v/>
      </c>
      <c r="P17" s="17" t="str">
        <f t="shared" si="5"/>
        <v/>
      </c>
      <c r="Q17" s="17" t="str">
        <f t="shared" ref="Q17:R17" si="22">IFERROR(J17/I17,"")</f>
        <v/>
      </c>
      <c r="R17" s="17" t="str">
        <f t="shared" si="22"/>
        <v/>
      </c>
      <c r="S17" s="17" t="str">
        <f t="shared" si="7"/>
        <v/>
      </c>
      <c r="T17" s="17" t="str">
        <f t="shared" si="8"/>
        <v/>
      </c>
    </row>
    <row r="18" spans="2:20" ht="12.75">
      <c r="B18" s="1" t="str">
        <f>'Nov 9-15'!B15</f>
        <v>1111 Boylston Street Unit 26</v>
      </c>
      <c r="C18" s="29" t="str">
        <f t="array" ref="C18">INDEX('Nov 16-22'!C:C,MATCH($B18,'Nov 16-22'!$B:$B,0))</f>
        <v>Y</v>
      </c>
      <c r="D18" s="29">
        <f t="array" ref="D18">INDEX('Nov 16-22'!D:D,MATCH($B18,'Nov 16-22'!$B:$B,0))</f>
        <v>52</v>
      </c>
      <c r="E18" s="65">
        <f t="shared" si="0"/>
        <v>11</v>
      </c>
      <c r="F18" s="66">
        <f t="shared" si="1"/>
        <v>2.5742574257425741E-2</v>
      </c>
      <c r="G18" s="65">
        <f t="array" ref="G18">INDEX('Nov 16-22'!E:E,MATCH($B18,'Nov 16-22'!$B:$B,0))</f>
        <v>21</v>
      </c>
      <c r="H18" s="65">
        <f t="array" ref="H18">INDEX('Nov 16-22'!F:F,MATCH($B18,'Nov 16-22'!$B:$B,0))</f>
        <v>3</v>
      </c>
      <c r="I18" s="65">
        <f t="array" ref="I18">INDEX('Nov 16-22'!G:G,MATCH($B18,'Nov 16-22'!$B:$B,0))</f>
        <v>0</v>
      </c>
      <c r="J18" s="65">
        <f t="array" ref="J18">INDEX('Nov 16-22'!H:H,MATCH($B18,'Nov 16-22'!$B:$B,0))</f>
        <v>0</v>
      </c>
      <c r="K18" s="65">
        <f t="array" ref="K18">INDEX('Nov 16-22'!I:I,MATCH($B18,'Nov 16-22'!$B:$B,0))</f>
        <v>0</v>
      </c>
      <c r="L18" s="65">
        <f t="array" ref="L18">INDEX('Nov 16-22'!J:J,MATCH($B18,'Nov 16-22'!$B:$B,0))</f>
        <v>0</v>
      </c>
      <c r="M18" s="17">
        <f t="shared" si="2"/>
        <v>0.40384615384615385</v>
      </c>
      <c r="N18" s="17">
        <f t="shared" si="3"/>
        <v>0</v>
      </c>
      <c r="O18" s="17">
        <f t="shared" si="4"/>
        <v>0</v>
      </c>
      <c r="P18" s="17">
        <f t="shared" si="5"/>
        <v>0</v>
      </c>
      <c r="Q18" s="17" t="str">
        <f t="shared" ref="Q18:R18" si="23">IFERROR(J18/I18,"")</f>
        <v/>
      </c>
      <c r="R18" s="17" t="str">
        <f t="shared" si="23"/>
        <v/>
      </c>
      <c r="S18" s="17">
        <f t="shared" si="7"/>
        <v>0</v>
      </c>
      <c r="T18" s="17" t="str">
        <f t="shared" si="8"/>
        <v/>
      </c>
    </row>
    <row r="19" spans="2:20" ht="12.75">
      <c r="B19" s="1" t="str">
        <f>'Nov 9-15'!B64</f>
        <v>26 Washington Terrace Unit 2</v>
      </c>
      <c r="C19" s="29" t="str">
        <f t="array" ref="C19">INDEX('Nov 16-22'!C:C,MATCH($B19,'Nov 16-22'!$B:$B,0))</f>
        <v>N</v>
      </c>
      <c r="D19" s="29">
        <f t="array" ref="D19">INDEX('Nov 16-22'!D:D,MATCH($B19,'Nov 16-22'!$B:$B,0))</f>
        <v>0</v>
      </c>
      <c r="E19" s="65">
        <f t="shared" si="0"/>
        <v>92</v>
      </c>
      <c r="F19" s="66">
        <f t="shared" si="1"/>
        <v>0</v>
      </c>
      <c r="G19" s="65">
        <f t="array" ref="G19">INDEX('Nov 16-22'!E:E,MATCH($B19,'Nov 16-22'!$B:$B,0))</f>
        <v>0</v>
      </c>
      <c r="H19" s="65">
        <f t="array" ref="H19">INDEX('Nov 16-22'!F:F,MATCH($B19,'Nov 16-22'!$B:$B,0))</f>
        <v>0</v>
      </c>
      <c r="I19" s="65">
        <f t="array" ref="I19">INDEX('Nov 16-22'!G:G,MATCH($B19,'Nov 16-22'!$B:$B,0))</f>
        <v>0</v>
      </c>
      <c r="J19" s="65">
        <f t="array" ref="J19">INDEX('Nov 16-22'!H:H,MATCH($B19,'Nov 16-22'!$B:$B,0))</f>
        <v>0</v>
      </c>
      <c r="K19" s="65">
        <f t="array" ref="K19">INDEX('Nov 16-22'!I:I,MATCH($B19,'Nov 16-22'!$B:$B,0))</f>
        <v>0</v>
      </c>
      <c r="L19" s="65">
        <f t="array" ref="L19">INDEX('Nov 16-22'!J:J,MATCH($B19,'Nov 16-22'!$B:$B,0))</f>
        <v>0</v>
      </c>
      <c r="M19" s="17" t="str">
        <f t="shared" si="2"/>
        <v/>
      </c>
      <c r="N19" s="17" t="str">
        <f t="shared" si="3"/>
        <v/>
      </c>
      <c r="O19" s="17" t="str">
        <f t="shared" si="4"/>
        <v/>
      </c>
      <c r="P19" s="17" t="str">
        <f t="shared" si="5"/>
        <v/>
      </c>
      <c r="Q19" s="17" t="str">
        <f t="shared" ref="Q19:R19" si="24">IFERROR(J19/I19,"")</f>
        <v/>
      </c>
      <c r="R19" s="17" t="str">
        <f t="shared" si="24"/>
        <v/>
      </c>
      <c r="S19" s="17" t="str">
        <f t="shared" si="7"/>
        <v/>
      </c>
      <c r="T19" s="17" t="str">
        <f t="shared" si="8"/>
        <v/>
      </c>
    </row>
    <row r="20" spans="2:20" ht="12.75">
      <c r="B20" s="1" t="str">
        <f>'Nov 9-15'!B90</f>
        <v>49 Paulina Street Unit 3</v>
      </c>
      <c r="C20" s="29" t="str">
        <f t="array" ref="C20">INDEX('Nov 16-22'!C:C,MATCH($B20,'Nov 16-22'!$B:$B,0))</f>
        <v>Y</v>
      </c>
      <c r="D20" s="29">
        <f t="array" ref="D20">INDEX('Nov 16-22'!D:D,MATCH($B20,'Nov 16-22'!$B:$B,0))</f>
        <v>6</v>
      </c>
      <c r="E20" s="65">
        <f t="shared" si="0"/>
        <v>71</v>
      </c>
      <c r="F20" s="66">
        <f t="shared" si="1"/>
        <v>2.9702970297029703E-3</v>
      </c>
      <c r="G20" s="65">
        <f t="array" ref="G20">INDEX('Nov 16-22'!E:E,MATCH($B20,'Nov 16-22'!$B:$B,0))</f>
        <v>0</v>
      </c>
      <c r="H20" s="65">
        <f t="array" ref="H20">INDEX('Nov 16-22'!F:F,MATCH($B20,'Nov 16-22'!$B:$B,0))</f>
        <v>0</v>
      </c>
      <c r="I20" s="65">
        <f t="array" ref="I20">INDEX('Nov 16-22'!G:G,MATCH($B20,'Nov 16-22'!$B:$B,0))</f>
        <v>0</v>
      </c>
      <c r="J20" s="65">
        <f t="array" ref="J20">INDEX('Nov 16-22'!H:H,MATCH($B20,'Nov 16-22'!$B:$B,0))</f>
        <v>0</v>
      </c>
      <c r="K20" s="65">
        <f t="array" ref="K20">INDEX('Nov 16-22'!I:I,MATCH($B20,'Nov 16-22'!$B:$B,0))</f>
        <v>0</v>
      </c>
      <c r="L20" s="65">
        <f t="array" ref="L20">INDEX('Nov 16-22'!J:J,MATCH($B20,'Nov 16-22'!$B:$B,0))</f>
        <v>0</v>
      </c>
      <c r="M20" s="17">
        <f t="shared" si="2"/>
        <v>0</v>
      </c>
      <c r="N20" s="17">
        <f t="shared" si="3"/>
        <v>0</v>
      </c>
      <c r="O20" s="17" t="str">
        <f t="shared" si="4"/>
        <v/>
      </c>
      <c r="P20" s="17">
        <f t="shared" si="5"/>
        <v>0</v>
      </c>
      <c r="Q20" s="17" t="str">
        <f t="shared" ref="Q20:R20" si="25">IFERROR(J20/I20,"")</f>
        <v/>
      </c>
      <c r="R20" s="17" t="str">
        <f t="shared" si="25"/>
        <v/>
      </c>
      <c r="S20" s="17">
        <f t="shared" si="7"/>
        <v>0</v>
      </c>
      <c r="T20" s="17" t="str">
        <f t="shared" si="8"/>
        <v/>
      </c>
    </row>
    <row r="21" spans="2:20" ht="12.75">
      <c r="B21" s="1" t="str">
        <f>'Nov 9-15'!B58</f>
        <v>231 Norfolk Street Unit 1</v>
      </c>
      <c r="C21" s="29" t="str">
        <f t="array" ref="C21">INDEX('Nov 16-22'!C:C,MATCH($B21,'Nov 16-22'!$B:$B,0))</f>
        <v>Y</v>
      </c>
      <c r="D21" s="29">
        <f t="array" ref="D21">INDEX('Nov 16-22'!D:D,MATCH($B21,'Nov 16-22'!$B:$B,0))</f>
        <v>17</v>
      </c>
      <c r="E21" s="65">
        <f t="shared" si="0"/>
        <v>40</v>
      </c>
      <c r="F21" s="66">
        <f t="shared" si="1"/>
        <v>8.4158415841584164E-3</v>
      </c>
      <c r="G21" s="65">
        <f t="array" ref="G21">INDEX('Nov 16-22'!E:E,MATCH($B21,'Nov 16-22'!$B:$B,0))</f>
        <v>2</v>
      </c>
      <c r="H21" s="65">
        <f t="array" ref="H21">INDEX('Nov 16-22'!F:F,MATCH($B21,'Nov 16-22'!$B:$B,0))</f>
        <v>1</v>
      </c>
      <c r="I21" s="65">
        <f t="array" ref="I21">INDEX('Nov 16-22'!G:G,MATCH($B21,'Nov 16-22'!$B:$B,0))</f>
        <v>0</v>
      </c>
      <c r="J21" s="65">
        <f t="array" ref="J21">INDEX('Nov 16-22'!H:H,MATCH($B21,'Nov 16-22'!$B:$B,0))</f>
        <v>0</v>
      </c>
      <c r="K21" s="65">
        <f t="array" ref="K21">INDEX('Nov 16-22'!I:I,MATCH($B21,'Nov 16-22'!$B:$B,0))</f>
        <v>0</v>
      </c>
      <c r="L21" s="65">
        <f t="array" ref="L21">INDEX('Nov 16-22'!J:J,MATCH($B21,'Nov 16-22'!$B:$B,0))</f>
        <v>0</v>
      </c>
      <c r="M21" s="17">
        <f t="shared" si="2"/>
        <v>0.11764705882352941</v>
      </c>
      <c r="N21" s="17">
        <f t="shared" si="3"/>
        <v>0</v>
      </c>
      <c r="O21" s="17">
        <f t="shared" si="4"/>
        <v>0</v>
      </c>
      <c r="P21" s="17">
        <f t="shared" si="5"/>
        <v>0</v>
      </c>
      <c r="Q21" s="17" t="str">
        <f t="shared" ref="Q21:R21" si="26">IFERROR(J21/I21,"")</f>
        <v/>
      </c>
      <c r="R21" s="17" t="str">
        <f t="shared" si="26"/>
        <v/>
      </c>
      <c r="S21" s="17">
        <f t="shared" si="7"/>
        <v>0</v>
      </c>
      <c r="T21" s="17" t="str">
        <f t="shared" si="8"/>
        <v/>
      </c>
    </row>
    <row r="22" spans="2:20" ht="12.75">
      <c r="B22" s="1" t="str">
        <f>'Nov 9-15'!B17</f>
        <v>116 Thornton Street Unit 2</v>
      </c>
      <c r="C22" s="29" t="str">
        <f t="array" ref="C22">INDEX('Nov 16-22'!C:C,MATCH($B22,'Nov 16-22'!$B:$B,0))</f>
        <v>Y</v>
      </c>
      <c r="D22" s="29">
        <f t="array" ref="D22">INDEX('Nov 16-22'!D:D,MATCH($B22,'Nov 16-22'!$B:$B,0))</f>
        <v>22</v>
      </c>
      <c r="E22" s="65">
        <f t="shared" si="0"/>
        <v>25</v>
      </c>
      <c r="F22" s="66">
        <f t="shared" si="1"/>
        <v>1.089108910891089E-2</v>
      </c>
      <c r="G22" s="65">
        <f t="array" ref="G22">INDEX('Nov 16-22'!E:E,MATCH($B22,'Nov 16-22'!$B:$B,0))</f>
        <v>5</v>
      </c>
      <c r="H22" s="65">
        <f t="array" ref="H22">INDEX('Nov 16-22'!F:F,MATCH($B22,'Nov 16-22'!$B:$B,0))</f>
        <v>1</v>
      </c>
      <c r="I22" s="65">
        <f t="array" ref="I22">INDEX('Nov 16-22'!G:G,MATCH($B22,'Nov 16-22'!$B:$B,0))</f>
        <v>2</v>
      </c>
      <c r="J22" s="65">
        <f t="array" ref="J22">INDEX('Nov 16-22'!H:H,MATCH($B22,'Nov 16-22'!$B:$B,0))</f>
        <v>0</v>
      </c>
      <c r="K22" s="65">
        <f t="array" ref="K22">INDEX('Nov 16-22'!I:I,MATCH($B22,'Nov 16-22'!$B:$B,0))</f>
        <v>0</v>
      </c>
      <c r="L22" s="65">
        <f t="array" ref="L22">INDEX('Nov 16-22'!J:J,MATCH($B22,'Nov 16-22'!$B:$B,0))</f>
        <v>0</v>
      </c>
      <c r="M22" s="17">
        <f t="shared" si="2"/>
        <v>0.22727272727272727</v>
      </c>
      <c r="N22" s="17">
        <f t="shared" si="3"/>
        <v>9.0909090909090912E-2</v>
      </c>
      <c r="O22" s="17">
        <f t="shared" si="4"/>
        <v>0.4</v>
      </c>
      <c r="P22" s="17">
        <f t="shared" si="5"/>
        <v>0</v>
      </c>
      <c r="Q22" s="17">
        <f t="shared" ref="Q22:R22" si="27">IFERROR(J22/I22,"")</f>
        <v>0</v>
      </c>
      <c r="R22" s="17" t="str">
        <f t="shared" si="27"/>
        <v/>
      </c>
      <c r="S22" s="17">
        <f t="shared" si="7"/>
        <v>0</v>
      </c>
      <c r="T22" s="17" t="str">
        <f t="shared" si="8"/>
        <v/>
      </c>
    </row>
    <row r="23" spans="2:20" ht="12.75">
      <c r="B23" s="1" t="str">
        <f>'Nov 9-15'!B33</f>
        <v>158 Boston Street Unit 2</v>
      </c>
      <c r="C23" s="29" t="str">
        <f t="array" ref="C23">INDEX('Nov 16-22'!C:C,MATCH($B23,'Nov 16-22'!$B:$B,0))</f>
        <v>Y</v>
      </c>
      <c r="D23" s="29">
        <f t="array" ref="D23">INDEX('Nov 16-22'!D:D,MATCH($B23,'Nov 16-22'!$B:$B,0))</f>
        <v>76</v>
      </c>
      <c r="E23" s="65">
        <f t="shared" si="0"/>
        <v>5</v>
      </c>
      <c r="F23" s="66">
        <f t="shared" si="1"/>
        <v>3.7623762376237622E-2</v>
      </c>
      <c r="G23" s="65">
        <f t="array" ref="G23">INDEX('Nov 16-22'!E:E,MATCH($B23,'Nov 16-22'!$B:$B,0))</f>
        <v>31</v>
      </c>
      <c r="H23" s="65">
        <f t="array" ref="H23">INDEX('Nov 16-22'!F:F,MATCH($B23,'Nov 16-22'!$B:$B,0))</f>
        <v>1</v>
      </c>
      <c r="I23" s="65">
        <f t="array" ref="I23">INDEX('Nov 16-22'!G:G,MATCH($B23,'Nov 16-22'!$B:$B,0))</f>
        <v>2</v>
      </c>
      <c r="J23" s="65">
        <f t="array" ref="J23">INDEX('Nov 16-22'!H:H,MATCH($B23,'Nov 16-22'!$B:$B,0))</f>
        <v>1</v>
      </c>
      <c r="K23" s="65">
        <f t="array" ref="K23">INDEX('Nov 16-22'!I:I,MATCH($B23,'Nov 16-22'!$B:$B,0))</f>
        <v>1</v>
      </c>
      <c r="L23" s="65">
        <f t="array" ref="L23">INDEX('Nov 16-22'!J:J,MATCH($B23,'Nov 16-22'!$B:$B,0))</f>
        <v>1</v>
      </c>
      <c r="M23" s="17">
        <f t="shared" si="2"/>
        <v>0.40789473684210525</v>
      </c>
      <c r="N23" s="17">
        <f t="shared" si="3"/>
        <v>2.6315789473684209E-2</v>
      </c>
      <c r="O23" s="17">
        <f t="shared" si="4"/>
        <v>6.4516129032258063E-2</v>
      </c>
      <c r="P23" s="17">
        <f t="shared" si="5"/>
        <v>1.3157894736842105E-2</v>
      </c>
      <c r="Q23" s="17">
        <f t="shared" ref="Q23:R23" si="28">IFERROR(J23/I23,"")</f>
        <v>0.5</v>
      </c>
      <c r="R23" s="17">
        <f t="shared" si="28"/>
        <v>1</v>
      </c>
      <c r="S23" s="17">
        <f t="shared" si="7"/>
        <v>1.3157894736842105E-2</v>
      </c>
      <c r="T23" s="17">
        <f t="shared" si="8"/>
        <v>1</v>
      </c>
    </row>
    <row r="24" spans="2:20" ht="12.75">
      <c r="B24" s="1" t="str">
        <f>'Nov 9-15'!B32</f>
        <v>1578 Beacon Street Unit 8</v>
      </c>
      <c r="C24" s="29" t="str">
        <f t="array" ref="C24">INDEX('Nov 16-22'!C:C,MATCH($B24,'Nov 16-22'!$B:$B,0))</f>
        <v>Y</v>
      </c>
      <c r="D24" s="29">
        <f t="array" ref="D24">INDEX('Nov 16-22'!D:D,MATCH($B24,'Nov 16-22'!$B:$B,0))</f>
        <v>2</v>
      </c>
      <c r="E24" s="65">
        <f t="shared" si="0"/>
        <v>84</v>
      </c>
      <c r="F24" s="66">
        <f t="shared" si="1"/>
        <v>9.9009900990099011E-4</v>
      </c>
      <c r="G24" s="65">
        <f t="array" ref="G24">INDEX('Nov 16-22'!E:E,MATCH($B24,'Nov 16-22'!$B:$B,0))</f>
        <v>0</v>
      </c>
      <c r="H24" s="65">
        <f t="array" ref="H24">INDEX('Nov 16-22'!F:F,MATCH($B24,'Nov 16-22'!$B:$B,0))</f>
        <v>1</v>
      </c>
      <c r="I24" s="65">
        <f t="array" ref="I24">INDEX('Nov 16-22'!G:G,MATCH($B24,'Nov 16-22'!$B:$B,0))</f>
        <v>2</v>
      </c>
      <c r="J24" s="65">
        <f t="array" ref="J24">INDEX('Nov 16-22'!H:H,MATCH($B24,'Nov 16-22'!$B:$B,0))</f>
        <v>0</v>
      </c>
      <c r="K24" s="65">
        <f t="array" ref="K24">INDEX('Nov 16-22'!I:I,MATCH($B24,'Nov 16-22'!$B:$B,0))</f>
        <v>0</v>
      </c>
      <c r="L24" s="65">
        <f t="array" ref="L24">INDEX('Nov 16-22'!J:J,MATCH($B24,'Nov 16-22'!$B:$B,0))</f>
        <v>0</v>
      </c>
      <c r="M24" s="17">
        <f t="shared" si="2"/>
        <v>0</v>
      </c>
      <c r="N24" s="17">
        <f t="shared" si="3"/>
        <v>1</v>
      </c>
      <c r="O24" s="17" t="str">
        <f t="shared" si="4"/>
        <v/>
      </c>
      <c r="P24" s="17">
        <f t="shared" si="5"/>
        <v>0</v>
      </c>
      <c r="Q24" s="17">
        <f t="shared" ref="Q24:R24" si="29">IFERROR(J24/I24,"")</f>
        <v>0</v>
      </c>
      <c r="R24" s="17" t="str">
        <f t="shared" si="29"/>
        <v/>
      </c>
      <c r="S24" s="17">
        <f t="shared" si="7"/>
        <v>0</v>
      </c>
      <c r="T24" s="17" t="str">
        <f t="shared" si="8"/>
        <v/>
      </c>
    </row>
    <row r="25" spans="2:20" ht="12.75">
      <c r="B25" s="1" t="str">
        <f>'Nov 9-15'!B37</f>
        <v>16A Forest Street Unit 33</v>
      </c>
      <c r="C25" s="29" t="str">
        <f t="array" ref="C25">INDEX('Nov 16-22'!C:C,MATCH($B25,'Nov 16-22'!$B:$B,0))</f>
        <v>Y</v>
      </c>
      <c r="D25" s="29">
        <f t="array" ref="D25">INDEX('Nov 16-22'!D:D,MATCH($B25,'Nov 16-22'!$B:$B,0))</f>
        <v>10</v>
      </c>
      <c r="E25" s="65">
        <f t="shared" si="0"/>
        <v>60</v>
      </c>
      <c r="F25" s="66">
        <f t="shared" si="1"/>
        <v>4.9504950495049506E-3</v>
      </c>
      <c r="G25" s="65">
        <f t="array" ref="G25">INDEX('Nov 16-22'!E:E,MATCH($B25,'Nov 16-22'!$B:$B,0))</f>
        <v>0</v>
      </c>
      <c r="H25" s="65">
        <f t="array" ref="H25">INDEX('Nov 16-22'!F:F,MATCH($B25,'Nov 16-22'!$B:$B,0))</f>
        <v>0</v>
      </c>
      <c r="I25" s="65">
        <f t="array" ref="I25">INDEX('Nov 16-22'!G:G,MATCH($B25,'Nov 16-22'!$B:$B,0))</f>
        <v>0</v>
      </c>
      <c r="J25" s="65">
        <f t="array" ref="J25">INDEX('Nov 16-22'!H:H,MATCH($B25,'Nov 16-22'!$B:$B,0))</f>
        <v>0</v>
      </c>
      <c r="K25" s="65">
        <f t="array" ref="K25">INDEX('Nov 16-22'!I:I,MATCH($B25,'Nov 16-22'!$B:$B,0))</f>
        <v>0</v>
      </c>
      <c r="L25" s="65">
        <f t="array" ref="L25">INDEX('Nov 16-22'!J:J,MATCH($B25,'Nov 16-22'!$B:$B,0))</f>
        <v>0</v>
      </c>
      <c r="M25" s="17">
        <f t="shared" si="2"/>
        <v>0</v>
      </c>
      <c r="N25" s="17">
        <f t="shared" si="3"/>
        <v>0</v>
      </c>
      <c r="O25" s="17" t="str">
        <f t="shared" si="4"/>
        <v/>
      </c>
      <c r="P25" s="17">
        <f t="shared" si="5"/>
        <v>0</v>
      </c>
      <c r="Q25" s="17" t="str">
        <f t="shared" ref="Q25:R25" si="30">IFERROR(J25/I25,"")</f>
        <v/>
      </c>
      <c r="R25" s="17" t="str">
        <f t="shared" si="30"/>
        <v/>
      </c>
      <c r="S25" s="17">
        <f t="shared" si="7"/>
        <v>0</v>
      </c>
      <c r="T25" s="17" t="str">
        <f t="shared" si="8"/>
        <v/>
      </c>
    </row>
    <row r="26" spans="2:20" ht="12.75">
      <c r="B26" s="1" t="str">
        <f>'Nov 9-15'!B28</f>
        <v>154 Magazine Street Unit 1</v>
      </c>
      <c r="C26" s="29" t="str">
        <f t="array" ref="C26">INDEX('Nov 16-22'!C:C,MATCH($B26,'Nov 16-22'!$B:$B,0))</f>
        <v>Y</v>
      </c>
      <c r="D26" s="29">
        <f t="array" ref="D26">INDEX('Nov 16-22'!D:D,MATCH($B26,'Nov 16-22'!$B:$B,0))</f>
        <v>19</v>
      </c>
      <c r="E26" s="65">
        <f t="shared" si="0"/>
        <v>35</v>
      </c>
      <c r="F26" s="66">
        <f t="shared" si="1"/>
        <v>9.4059405940594056E-3</v>
      </c>
      <c r="G26" s="65">
        <f t="array" ref="G26">INDEX('Nov 16-22'!E:E,MATCH($B26,'Nov 16-22'!$B:$B,0))</f>
        <v>7</v>
      </c>
      <c r="H26" s="65">
        <f t="array" ref="H26">INDEX('Nov 16-22'!F:F,MATCH($B26,'Nov 16-22'!$B:$B,0))</f>
        <v>4</v>
      </c>
      <c r="I26" s="65">
        <f t="array" ref="I26">INDEX('Nov 16-22'!G:G,MATCH($B26,'Nov 16-22'!$B:$B,0))</f>
        <v>0</v>
      </c>
      <c r="J26" s="65">
        <f t="array" ref="J26">INDEX('Nov 16-22'!H:H,MATCH($B26,'Nov 16-22'!$B:$B,0))</f>
        <v>0</v>
      </c>
      <c r="K26" s="65">
        <f t="array" ref="K26">INDEX('Nov 16-22'!I:I,MATCH($B26,'Nov 16-22'!$B:$B,0))</f>
        <v>0</v>
      </c>
      <c r="L26" s="65">
        <f t="array" ref="L26">INDEX('Nov 16-22'!J:J,MATCH($B26,'Nov 16-22'!$B:$B,0))</f>
        <v>0</v>
      </c>
      <c r="M26" s="17">
        <f t="shared" si="2"/>
        <v>0.36842105263157893</v>
      </c>
      <c r="N26" s="17">
        <f t="shared" si="3"/>
        <v>0</v>
      </c>
      <c r="O26" s="17">
        <f t="shared" si="4"/>
        <v>0</v>
      </c>
      <c r="P26" s="17">
        <f t="shared" si="5"/>
        <v>0</v>
      </c>
      <c r="Q26" s="17" t="str">
        <f t="shared" ref="Q26:R26" si="31">IFERROR(J26/I26,"")</f>
        <v/>
      </c>
      <c r="R26" s="17" t="str">
        <f t="shared" si="31"/>
        <v/>
      </c>
      <c r="S26" s="17">
        <f t="shared" si="7"/>
        <v>0</v>
      </c>
      <c r="T26" s="17" t="str">
        <f t="shared" si="8"/>
        <v/>
      </c>
    </row>
    <row r="27" spans="2:20" ht="12.75">
      <c r="B27" s="1" t="str">
        <f>'Nov 9-15'!B13</f>
        <v>110 Hamilton Street Unit 2</v>
      </c>
      <c r="C27" s="29" t="str">
        <f t="array" ref="C27">INDEX('Nov 16-22'!C:C,MATCH($B27,'Nov 16-22'!$B:$B,0))</f>
        <v>Y</v>
      </c>
      <c r="D27" s="29">
        <f t="array" ref="D27">INDEX('Nov 16-22'!D:D,MATCH($B27,'Nov 16-22'!$B:$B,0))</f>
        <v>73</v>
      </c>
      <c r="E27" s="65">
        <f t="shared" si="0"/>
        <v>6</v>
      </c>
      <c r="F27" s="66">
        <f t="shared" si="1"/>
        <v>3.6138613861386136E-2</v>
      </c>
      <c r="G27" s="65">
        <f t="array" ref="G27">INDEX('Nov 16-22'!E:E,MATCH($B27,'Nov 16-22'!$B:$B,0))</f>
        <v>13</v>
      </c>
      <c r="H27" s="65">
        <f t="array" ref="H27">INDEX('Nov 16-22'!F:F,MATCH($B27,'Nov 16-22'!$B:$B,0))</f>
        <v>1</v>
      </c>
      <c r="I27" s="65">
        <f t="array" ref="I27">INDEX('Nov 16-22'!G:G,MATCH($B27,'Nov 16-22'!$B:$B,0))</f>
        <v>4</v>
      </c>
      <c r="J27" s="65">
        <f t="array" ref="J27">INDEX('Nov 16-22'!H:H,MATCH($B27,'Nov 16-22'!$B:$B,0))</f>
        <v>0</v>
      </c>
      <c r="K27" s="65">
        <f t="array" ref="K27">INDEX('Nov 16-22'!I:I,MATCH($B27,'Nov 16-22'!$B:$B,0))</f>
        <v>0</v>
      </c>
      <c r="L27" s="65">
        <f t="array" ref="L27">INDEX('Nov 16-22'!J:J,MATCH($B27,'Nov 16-22'!$B:$B,0))</f>
        <v>0</v>
      </c>
      <c r="M27" s="17">
        <f t="shared" si="2"/>
        <v>0.17808219178082191</v>
      </c>
      <c r="N27" s="17">
        <f t="shared" si="3"/>
        <v>5.4794520547945202E-2</v>
      </c>
      <c r="O27" s="17">
        <f t="shared" si="4"/>
        <v>0.30769230769230771</v>
      </c>
      <c r="P27" s="17">
        <f t="shared" si="5"/>
        <v>0</v>
      </c>
      <c r="Q27" s="17">
        <f t="shared" ref="Q27:R27" si="32">IFERROR(J27/I27,"")</f>
        <v>0</v>
      </c>
      <c r="R27" s="17" t="str">
        <f t="shared" si="32"/>
        <v/>
      </c>
      <c r="S27" s="17">
        <f t="shared" si="7"/>
        <v>0</v>
      </c>
      <c r="T27" s="17" t="str">
        <f t="shared" si="8"/>
        <v/>
      </c>
    </row>
    <row r="28" spans="2:20" ht="12.75">
      <c r="B28" s="1" t="str">
        <f>'Nov 9-15'!B81</f>
        <v>383 Broadway Street Unit 41</v>
      </c>
      <c r="C28" s="29" t="str">
        <f t="array" ref="C28">INDEX('Nov 16-22'!C:C,MATCH($B28,'Nov 16-22'!$B:$B,0))</f>
        <v>Y</v>
      </c>
      <c r="D28" s="29">
        <f t="array" ref="D28">INDEX('Nov 16-22'!D:D,MATCH($B28,'Nov 16-22'!$B:$B,0))</f>
        <v>15</v>
      </c>
      <c r="E28" s="65">
        <f t="shared" si="0"/>
        <v>44</v>
      </c>
      <c r="F28" s="66">
        <f t="shared" si="1"/>
        <v>7.4257425742574254E-3</v>
      </c>
      <c r="G28" s="65">
        <f t="array" ref="G28">INDEX('Nov 16-22'!E:E,MATCH($B28,'Nov 16-22'!$B:$B,0))</f>
        <v>3</v>
      </c>
      <c r="H28" s="65">
        <f t="array" ref="H28">INDEX('Nov 16-22'!F:F,MATCH($B28,'Nov 16-22'!$B:$B,0))</f>
        <v>2</v>
      </c>
      <c r="I28" s="65">
        <f t="array" ref="I28">INDEX('Nov 16-22'!G:G,MATCH($B28,'Nov 16-22'!$B:$B,0))</f>
        <v>0</v>
      </c>
      <c r="J28" s="65">
        <f t="array" ref="J28">INDEX('Nov 16-22'!H:H,MATCH($B28,'Nov 16-22'!$B:$B,0))</f>
        <v>0</v>
      </c>
      <c r="K28" s="65">
        <f t="array" ref="K28">INDEX('Nov 16-22'!I:I,MATCH($B28,'Nov 16-22'!$B:$B,0))</f>
        <v>0</v>
      </c>
      <c r="L28" s="65">
        <f t="array" ref="L28">INDEX('Nov 16-22'!J:J,MATCH($B28,'Nov 16-22'!$B:$B,0))</f>
        <v>0</v>
      </c>
      <c r="M28" s="17">
        <f t="shared" si="2"/>
        <v>0.2</v>
      </c>
      <c r="N28" s="17">
        <f t="shared" si="3"/>
        <v>0</v>
      </c>
      <c r="O28" s="17">
        <f t="shared" si="4"/>
        <v>0</v>
      </c>
      <c r="P28" s="17">
        <f t="shared" si="5"/>
        <v>0</v>
      </c>
      <c r="Q28" s="17" t="str">
        <f t="shared" ref="Q28:R28" si="33">IFERROR(J28/I28,"")</f>
        <v/>
      </c>
      <c r="R28" s="17" t="str">
        <f t="shared" si="33"/>
        <v/>
      </c>
      <c r="S28" s="17">
        <f t="shared" si="7"/>
        <v>0</v>
      </c>
      <c r="T28" s="17" t="str">
        <f t="shared" si="8"/>
        <v/>
      </c>
    </row>
    <row r="29" spans="2:20" ht="12.75">
      <c r="B29" s="1" t="str">
        <f>'Nov 9-15'!B85</f>
        <v>42 Marcella Street Unit 1</v>
      </c>
      <c r="C29" s="29" t="str">
        <f t="array" ref="C29">INDEX('Nov 16-22'!C:C,MATCH($B29,'Nov 16-22'!$B:$B,0))</f>
        <v>Y</v>
      </c>
      <c r="D29" s="29">
        <f t="array" ref="D29">INDEX('Nov 16-22'!D:D,MATCH($B29,'Nov 16-22'!$B:$B,0))</f>
        <v>22</v>
      </c>
      <c r="E29" s="65">
        <f t="shared" si="0"/>
        <v>25</v>
      </c>
      <c r="F29" s="66">
        <f t="shared" si="1"/>
        <v>1.089108910891089E-2</v>
      </c>
      <c r="G29" s="65">
        <f t="array" ref="G29">INDEX('Nov 16-22'!E:E,MATCH($B29,'Nov 16-22'!$B:$B,0))</f>
        <v>5</v>
      </c>
      <c r="H29" s="65">
        <f t="array" ref="H29">INDEX('Nov 16-22'!F:F,MATCH($B29,'Nov 16-22'!$B:$B,0))</f>
        <v>2</v>
      </c>
      <c r="I29" s="65">
        <f t="array" ref="I29">INDEX('Nov 16-22'!G:G,MATCH($B29,'Nov 16-22'!$B:$B,0))</f>
        <v>1</v>
      </c>
      <c r="J29" s="65">
        <f t="array" ref="J29">INDEX('Nov 16-22'!H:H,MATCH($B29,'Nov 16-22'!$B:$B,0))</f>
        <v>0</v>
      </c>
      <c r="K29" s="65">
        <f t="array" ref="K29">INDEX('Nov 16-22'!I:I,MATCH($B29,'Nov 16-22'!$B:$B,0))</f>
        <v>0</v>
      </c>
      <c r="L29" s="65">
        <f t="array" ref="L29">INDEX('Nov 16-22'!J:J,MATCH($B29,'Nov 16-22'!$B:$B,0))</f>
        <v>0</v>
      </c>
      <c r="M29" s="17">
        <f t="shared" si="2"/>
        <v>0.22727272727272727</v>
      </c>
      <c r="N29" s="17">
        <f t="shared" si="3"/>
        <v>4.5454545454545456E-2</v>
      </c>
      <c r="O29" s="17">
        <f t="shared" si="4"/>
        <v>0.2</v>
      </c>
      <c r="P29" s="17">
        <f t="shared" si="5"/>
        <v>0</v>
      </c>
      <c r="Q29" s="17">
        <f t="shared" ref="Q29:R29" si="34">IFERROR(J29/I29,"")</f>
        <v>0</v>
      </c>
      <c r="R29" s="17" t="str">
        <f t="shared" si="34"/>
        <v/>
      </c>
      <c r="S29" s="17">
        <f t="shared" si="7"/>
        <v>0</v>
      </c>
      <c r="T29" s="17" t="str">
        <f t="shared" si="8"/>
        <v/>
      </c>
    </row>
    <row r="30" spans="2:20" ht="12.75">
      <c r="B30" s="1" t="str">
        <f>'Nov 9-15'!B48</f>
        <v>192 Third Street Unit 2</v>
      </c>
      <c r="C30" s="29" t="str">
        <f t="array" ref="C30">INDEX('Nov 16-22'!C:C,MATCH($B30,'Nov 16-22'!$B:$B,0))</f>
        <v>Y</v>
      </c>
      <c r="D30" s="29">
        <f t="array" ref="D30">INDEX('Nov 16-22'!D:D,MATCH($B30,'Nov 16-22'!$B:$B,0))</f>
        <v>33</v>
      </c>
      <c r="E30" s="65">
        <f t="shared" si="0"/>
        <v>17</v>
      </c>
      <c r="F30" s="66">
        <f t="shared" si="1"/>
        <v>1.6336633663366337E-2</v>
      </c>
      <c r="G30" s="65">
        <f t="array" ref="G30">INDEX('Nov 16-22'!E:E,MATCH($B30,'Nov 16-22'!$B:$B,0))</f>
        <v>11</v>
      </c>
      <c r="H30" s="65">
        <f t="array" ref="H30">INDEX('Nov 16-22'!F:F,MATCH($B30,'Nov 16-22'!$B:$B,0))</f>
        <v>2</v>
      </c>
      <c r="I30" s="65">
        <f t="array" ref="I30">INDEX('Nov 16-22'!G:G,MATCH($B30,'Nov 16-22'!$B:$B,0))</f>
        <v>2</v>
      </c>
      <c r="J30" s="65">
        <f t="array" ref="J30">INDEX('Nov 16-22'!H:H,MATCH($B30,'Nov 16-22'!$B:$B,0))</f>
        <v>0</v>
      </c>
      <c r="K30" s="65">
        <f t="array" ref="K30">INDEX('Nov 16-22'!I:I,MATCH($B30,'Nov 16-22'!$B:$B,0))</f>
        <v>1</v>
      </c>
      <c r="L30" s="65">
        <f t="array" ref="L30">INDEX('Nov 16-22'!J:J,MATCH($B30,'Nov 16-22'!$B:$B,0))</f>
        <v>1</v>
      </c>
      <c r="M30" s="17">
        <f t="shared" si="2"/>
        <v>0.33333333333333331</v>
      </c>
      <c r="N30" s="17">
        <f t="shared" si="3"/>
        <v>6.0606060606060608E-2</v>
      </c>
      <c r="O30" s="17">
        <f t="shared" si="4"/>
        <v>0.18181818181818182</v>
      </c>
      <c r="P30" s="17">
        <f t="shared" si="5"/>
        <v>0</v>
      </c>
      <c r="Q30" s="17">
        <f t="shared" ref="Q30:R30" si="35">IFERROR(J30/I30,"")</f>
        <v>0</v>
      </c>
      <c r="R30" s="17" t="str">
        <f t="shared" si="35"/>
        <v/>
      </c>
      <c r="S30" s="17">
        <f t="shared" si="7"/>
        <v>3.0303030303030304E-2</v>
      </c>
      <c r="T30" s="17">
        <f t="shared" si="8"/>
        <v>1</v>
      </c>
    </row>
    <row r="31" spans="2:20" ht="12.75">
      <c r="B31" s="1" t="str">
        <f>'Nov 9-15'!B29</f>
        <v>154 Magazine Street Unit 2</v>
      </c>
      <c r="C31" s="29" t="str">
        <f t="array" ref="C31">INDEX('Nov 16-22'!C:C,MATCH($B31,'Nov 16-22'!$B:$B,0))</f>
        <v>Y</v>
      </c>
      <c r="D31" s="29">
        <f t="array" ref="D31">INDEX('Nov 16-22'!D:D,MATCH($B31,'Nov 16-22'!$B:$B,0))</f>
        <v>81</v>
      </c>
      <c r="E31" s="65">
        <f t="shared" si="0"/>
        <v>3</v>
      </c>
      <c r="F31" s="66">
        <f t="shared" si="1"/>
        <v>4.00990099009901E-2</v>
      </c>
      <c r="G31" s="65">
        <f t="array" ref="G31">INDEX('Nov 16-22'!E:E,MATCH($B31,'Nov 16-22'!$B:$B,0))</f>
        <v>37</v>
      </c>
      <c r="H31" s="65">
        <f t="array" ref="H31">INDEX('Nov 16-22'!F:F,MATCH($B31,'Nov 16-22'!$B:$B,0))</f>
        <v>7</v>
      </c>
      <c r="I31" s="65">
        <f t="array" ref="I31">INDEX('Nov 16-22'!G:G,MATCH($B31,'Nov 16-22'!$B:$B,0))</f>
        <v>3</v>
      </c>
      <c r="J31" s="65">
        <f t="array" ref="J31">INDEX('Nov 16-22'!H:H,MATCH($B31,'Nov 16-22'!$B:$B,0))</f>
        <v>1</v>
      </c>
      <c r="K31" s="65">
        <f t="array" ref="K31">INDEX('Nov 16-22'!I:I,MATCH($B31,'Nov 16-22'!$B:$B,0))</f>
        <v>3</v>
      </c>
      <c r="L31" s="65">
        <f t="array" ref="L31">INDEX('Nov 16-22'!J:J,MATCH($B31,'Nov 16-22'!$B:$B,0))</f>
        <v>3</v>
      </c>
      <c r="M31" s="17">
        <f t="shared" si="2"/>
        <v>0.4567901234567901</v>
      </c>
      <c r="N31" s="17">
        <f t="shared" si="3"/>
        <v>3.7037037037037035E-2</v>
      </c>
      <c r="O31" s="17">
        <f t="shared" si="4"/>
        <v>8.1081081081081086E-2</v>
      </c>
      <c r="P31" s="17">
        <f t="shared" si="5"/>
        <v>1.2345679012345678E-2</v>
      </c>
      <c r="Q31" s="17">
        <f t="shared" ref="Q31:R31" si="36">IFERROR(J31/I31,"")</f>
        <v>0.33333333333333331</v>
      </c>
      <c r="R31" s="17">
        <f t="shared" si="36"/>
        <v>3</v>
      </c>
      <c r="S31" s="17">
        <f t="shared" si="7"/>
        <v>3.7037037037037035E-2</v>
      </c>
      <c r="T31" s="17">
        <f t="shared" si="8"/>
        <v>1</v>
      </c>
    </row>
    <row r="32" spans="2:20" ht="12.75">
      <c r="B32" s="1" t="str">
        <f>'Nov 9-15'!B34</f>
        <v>158 Magazine Street Unit 27</v>
      </c>
      <c r="C32" s="29" t="str">
        <f t="array" ref="C32">INDEX('Nov 16-22'!C:C,MATCH($B32,'Nov 16-22'!$B:$B,0))</f>
        <v>Y</v>
      </c>
      <c r="D32" s="29">
        <f t="array" ref="D32">INDEX('Nov 16-22'!D:D,MATCH($B32,'Nov 16-22'!$B:$B,0))</f>
        <v>20</v>
      </c>
      <c r="E32" s="65">
        <f t="shared" si="0"/>
        <v>33</v>
      </c>
      <c r="F32" s="66">
        <f t="shared" si="1"/>
        <v>9.9009900990099011E-3</v>
      </c>
      <c r="G32" s="65">
        <f t="array" ref="G32">INDEX('Nov 16-22'!E:E,MATCH($B32,'Nov 16-22'!$B:$B,0))</f>
        <v>1</v>
      </c>
      <c r="H32" s="65">
        <f t="array" ref="H32">INDEX('Nov 16-22'!F:F,MATCH($B32,'Nov 16-22'!$B:$B,0))</f>
        <v>1</v>
      </c>
      <c r="I32" s="65">
        <f t="array" ref="I32">INDEX('Nov 16-22'!G:G,MATCH($B32,'Nov 16-22'!$B:$B,0))</f>
        <v>1</v>
      </c>
      <c r="J32" s="65">
        <f t="array" ref="J32">INDEX('Nov 16-22'!H:H,MATCH($B32,'Nov 16-22'!$B:$B,0))</f>
        <v>0</v>
      </c>
      <c r="K32" s="65">
        <f t="array" ref="K32">INDEX('Nov 16-22'!I:I,MATCH($B32,'Nov 16-22'!$B:$B,0))</f>
        <v>0</v>
      </c>
      <c r="L32" s="65">
        <f t="array" ref="L32">INDEX('Nov 16-22'!J:J,MATCH($B32,'Nov 16-22'!$B:$B,0))</f>
        <v>0</v>
      </c>
      <c r="M32" s="17">
        <f t="shared" si="2"/>
        <v>0.05</v>
      </c>
      <c r="N32" s="17">
        <f t="shared" si="3"/>
        <v>0.05</v>
      </c>
      <c r="O32" s="17">
        <f t="shared" si="4"/>
        <v>1</v>
      </c>
      <c r="P32" s="17">
        <f t="shared" si="5"/>
        <v>0</v>
      </c>
      <c r="Q32" s="17">
        <f t="shared" ref="Q32:R32" si="37">IFERROR(J32/I32,"")</f>
        <v>0</v>
      </c>
      <c r="R32" s="17" t="str">
        <f t="shared" si="37"/>
        <v/>
      </c>
      <c r="S32" s="17">
        <f t="shared" si="7"/>
        <v>0</v>
      </c>
      <c r="T32" s="17" t="str">
        <f t="shared" si="8"/>
        <v/>
      </c>
    </row>
    <row r="33" spans="2:20" ht="12.75">
      <c r="B33" s="1" t="str">
        <f>'Nov 9-15'!B84</f>
        <v>40 Sudan Street Unit 3</v>
      </c>
      <c r="C33" s="29" t="str">
        <f t="array" ref="C33">INDEX('Nov 16-22'!C:C,MATCH($B33,'Nov 16-22'!$B:$B,0))</f>
        <v>Y</v>
      </c>
      <c r="D33" s="29">
        <f t="array" ref="D33">INDEX('Nov 16-22'!D:D,MATCH($B33,'Nov 16-22'!$B:$B,0))</f>
        <v>4</v>
      </c>
      <c r="E33" s="65">
        <f t="shared" si="0"/>
        <v>78</v>
      </c>
      <c r="F33" s="66">
        <f t="shared" si="1"/>
        <v>1.9801980198019802E-3</v>
      </c>
      <c r="G33" s="65">
        <f t="array" ref="G33">INDEX('Nov 16-22'!E:E,MATCH($B33,'Nov 16-22'!$B:$B,0))</f>
        <v>0</v>
      </c>
      <c r="H33" s="65">
        <f t="array" ref="H33">INDEX('Nov 16-22'!F:F,MATCH($B33,'Nov 16-22'!$B:$B,0))</f>
        <v>0</v>
      </c>
      <c r="I33" s="65">
        <f t="array" ref="I33">INDEX('Nov 16-22'!G:G,MATCH($B33,'Nov 16-22'!$B:$B,0))</f>
        <v>0</v>
      </c>
      <c r="J33" s="65">
        <f t="array" ref="J33">INDEX('Nov 16-22'!H:H,MATCH($B33,'Nov 16-22'!$B:$B,0))</f>
        <v>0</v>
      </c>
      <c r="K33" s="65">
        <f t="array" ref="K33">INDEX('Nov 16-22'!I:I,MATCH($B33,'Nov 16-22'!$B:$B,0))</f>
        <v>0</v>
      </c>
      <c r="L33" s="65">
        <f t="array" ref="L33">INDEX('Nov 16-22'!J:J,MATCH($B33,'Nov 16-22'!$B:$B,0))</f>
        <v>0</v>
      </c>
      <c r="M33" s="17">
        <f t="shared" si="2"/>
        <v>0</v>
      </c>
      <c r="N33" s="17">
        <f t="shared" si="3"/>
        <v>0</v>
      </c>
      <c r="O33" s="17" t="str">
        <f t="shared" si="4"/>
        <v/>
      </c>
      <c r="P33" s="17">
        <f t="shared" si="5"/>
        <v>0</v>
      </c>
      <c r="Q33" s="17" t="str">
        <f t="shared" ref="Q33:R33" si="38">IFERROR(J33/I33,"")</f>
        <v/>
      </c>
      <c r="R33" s="17" t="str">
        <f t="shared" si="38"/>
        <v/>
      </c>
      <c r="S33" s="17">
        <f t="shared" si="7"/>
        <v>0</v>
      </c>
      <c r="T33" s="17" t="str">
        <f t="shared" si="8"/>
        <v/>
      </c>
    </row>
    <row r="34" spans="2:20" ht="12.75">
      <c r="B34" s="1" t="str">
        <f>'Nov 9-15'!B110</f>
        <v>96 Sheridan Street Unit 3</v>
      </c>
      <c r="C34" s="29" t="str">
        <f t="array" ref="C34">INDEX('Nov 16-22'!C:C,MATCH($B34,'Nov 16-22'!$B:$B,0))</f>
        <v>Y</v>
      </c>
      <c r="D34" s="29">
        <f t="array" ref="D34">INDEX('Nov 16-22'!D:D,MATCH($B34,'Nov 16-22'!$B:$B,0))</f>
        <v>42</v>
      </c>
      <c r="E34" s="65">
        <f t="shared" si="0"/>
        <v>15</v>
      </c>
      <c r="F34" s="66">
        <f t="shared" si="1"/>
        <v>2.0792079207920793E-2</v>
      </c>
      <c r="G34" s="65">
        <f t="array" ref="G34">INDEX('Nov 16-22'!E:E,MATCH($B34,'Nov 16-22'!$B:$B,0))</f>
        <v>12</v>
      </c>
      <c r="H34" s="65">
        <f t="array" ref="H34">INDEX('Nov 16-22'!F:F,MATCH($B34,'Nov 16-22'!$B:$B,0))</f>
        <v>1</v>
      </c>
      <c r="I34" s="65">
        <f t="array" ref="I34">INDEX('Nov 16-22'!G:G,MATCH($B34,'Nov 16-22'!$B:$B,0))</f>
        <v>2</v>
      </c>
      <c r="J34" s="65">
        <f t="array" ref="J34">INDEX('Nov 16-22'!H:H,MATCH($B34,'Nov 16-22'!$B:$B,0))</f>
        <v>0</v>
      </c>
      <c r="K34" s="65">
        <f t="array" ref="K34">INDEX('Nov 16-22'!I:I,MATCH($B34,'Nov 16-22'!$B:$B,0))</f>
        <v>0</v>
      </c>
      <c r="L34" s="65">
        <f t="array" ref="L34">INDEX('Nov 16-22'!J:J,MATCH($B34,'Nov 16-22'!$B:$B,0))</f>
        <v>0</v>
      </c>
      <c r="M34" s="17">
        <f t="shared" si="2"/>
        <v>0.2857142857142857</v>
      </c>
      <c r="N34" s="17">
        <f t="shared" si="3"/>
        <v>4.7619047619047616E-2</v>
      </c>
      <c r="O34" s="17">
        <f t="shared" si="4"/>
        <v>0.16666666666666666</v>
      </c>
      <c r="P34" s="17">
        <f t="shared" si="5"/>
        <v>0</v>
      </c>
      <c r="Q34" s="17">
        <f t="shared" ref="Q34:R34" si="39">IFERROR(J34/I34,"")</f>
        <v>0</v>
      </c>
      <c r="R34" s="17" t="str">
        <f t="shared" si="39"/>
        <v/>
      </c>
      <c r="S34" s="17">
        <f t="shared" si="7"/>
        <v>0</v>
      </c>
      <c r="T34" s="17" t="str">
        <f t="shared" si="8"/>
        <v/>
      </c>
    </row>
    <row r="35" spans="2:20" ht="12.75">
      <c r="B35" s="1" t="str">
        <f>'Nov 9-15'!B109</f>
        <v>96 Hammond Street Unit 3</v>
      </c>
      <c r="C35" s="29" t="str">
        <f t="array" ref="C35">INDEX('Nov 16-22'!C:C,MATCH($B35,'Nov 16-22'!$B:$B,0))</f>
        <v>N</v>
      </c>
      <c r="D35" s="29">
        <f t="array" ref="D35">INDEX('Nov 16-22'!D:D,MATCH($B35,'Nov 16-22'!$B:$B,0))</f>
        <v>2</v>
      </c>
      <c r="E35" s="65">
        <f t="shared" si="0"/>
        <v>84</v>
      </c>
      <c r="F35" s="66">
        <f t="shared" si="1"/>
        <v>9.9009900990099011E-4</v>
      </c>
      <c r="G35" s="65">
        <f t="array" ref="G35">INDEX('Nov 16-22'!E:E,MATCH($B35,'Nov 16-22'!$B:$B,0))</f>
        <v>1</v>
      </c>
      <c r="H35" s="65">
        <f t="array" ref="H35">INDEX('Nov 16-22'!F:F,MATCH($B35,'Nov 16-22'!$B:$B,0))</f>
        <v>0</v>
      </c>
      <c r="I35" s="65">
        <f t="array" ref="I35">INDEX('Nov 16-22'!G:G,MATCH($B35,'Nov 16-22'!$B:$B,0))</f>
        <v>0</v>
      </c>
      <c r="J35" s="65">
        <f t="array" ref="J35">INDEX('Nov 16-22'!H:H,MATCH($B35,'Nov 16-22'!$B:$B,0))</f>
        <v>0</v>
      </c>
      <c r="K35" s="65">
        <f t="array" ref="K35">INDEX('Nov 16-22'!I:I,MATCH($B35,'Nov 16-22'!$B:$B,0))</f>
        <v>0</v>
      </c>
      <c r="L35" s="65">
        <f t="array" ref="L35">INDEX('Nov 16-22'!J:J,MATCH($B35,'Nov 16-22'!$B:$B,0))</f>
        <v>0</v>
      </c>
      <c r="M35" s="17">
        <f t="shared" si="2"/>
        <v>0.5</v>
      </c>
      <c r="N35" s="17">
        <f t="shared" si="3"/>
        <v>0</v>
      </c>
      <c r="O35" s="17">
        <f t="shared" si="4"/>
        <v>0</v>
      </c>
      <c r="P35" s="17">
        <f t="shared" si="5"/>
        <v>0</v>
      </c>
      <c r="Q35" s="17" t="str">
        <f t="shared" ref="Q35:R35" si="40">IFERROR(J35/I35,"")</f>
        <v/>
      </c>
      <c r="R35" s="17" t="str">
        <f t="shared" si="40"/>
        <v/>
      </c>
      <c r="S35" s="17">
        <f t="shared" si="7"/>
        <v>0</v>
      </c>
      <c r="T35" s="17" t="str">
        <f t="shared" si="8"/>
        <v/>
      </c>
    </row>
    <row r="36" spans="2:20" ht="12.75">
      <c r="B36" s="1" t="str">
        <f>'Nov 9-15'!B104</f>
        <v>83 Highland Street Unit 3</v>
      </c>
      <c r="C36" s="29" t="str">
        <f t="array" ref="C36">INDEX('Nov 16-22'!C:C,MATCH($B36,'Nov 16-22'!$B:$B,0))</f>
        <v>Y</v>
      </c>
      <c r="D36" s="29">
        <f t="array" ref="D36">INDEX('Nov 16-22'!D:D,MATCH($B36,'Nov 16-22'!$B:$B,0))</f>
        <v>14</v>
      </c>
      <c r="E36" s="65">
        <f t="shared" si="0"/>
        <v>46</v>
      </c>
      <c r="F36" s="66">
        <f t="shared" si="1"/>
        <v>6.9306930693069308E-3</v>
      </c>
      <c r="G36" s="65">
        <f t="array" ref="G36">INDEX('Nov 16-22'!E:E,MATCH($B36,'Nov 16-22'!$B:$B,0))</f>
        <v>2</v>
      </c>
      <c r="H36" s="65">
        <f t="array" ref="H36">INDEX('Nov 16-22'!F:F,MATCH($B36,'Nov 16-22'!$B:$B,0))</f>
        <v>1</v>
      </c>
      <c r="I36" s="65">
        <f t="array" ref="I36">INDEX('Nov 16-22'!G:G,MATCH($B36,'Nov 16-22'!$B:$B,0))</f>
        <v>0</v>
      </c>
      <c r="J36" s="65">
        <f t="array" ref="J36">INDEX('Nov 16-22'!H:H,MATCH($B36,'Nov 16-22'!$B:$B,0))</f>
        <v>0</v>
      </c>
      <c r="K36" s="65">
        <f t="array" ref="K36">INDEX('Nov 16-22'!I:I,MATCH($B36,'Nov 16-22'!$B:$B,0))</f>
        <v>0</v>
      </c>
      <c r="L36" s="65">
        <f t="array" ref="L36">INDEX('Nov 16-22'!J:J,MATCH($B36,'Nov 16-22'!$B:$B,0))</f>
        <v>0</v>
      </c>
      <c r="M36" s="17">
        <f t="shared" si="2"/>
        <v>0.14285714285714285</v>
      </c>
      <c r="N36" s="17">
        <f t="shared" si="3"/>
        <v>0</v>
      </c>
      <c r="O36" s="17">
        <f t="shared" si="4"/>
        <v>0</v>
      </c>
      <c r="P36" s="17">
        <f t="shared" si="5"/>
        <v>0</v>
      </c>
      <c r="Q36" s="17" t="str">
        <f t="shared" ref="Q36:R36" si="41">IFERROR(J36/I36,"")</f>
        <v/>
      </c>
      <c r="R36" s="17" t="str">
        <f t="shared" si="41"/>
        <v/>
      </c>
      <c r="S36" s="17">
        <f t="shared" si="7"/>
        <v>0</v>
      </c>
      <c r="T36" s="17" t="str">
        <f t="shared" si="8"/>
        <v/>
      </c>
    </row>
    <row r="37" spans="2:20" ht="12.75">
      <c r="B37" s="1" t="str">
        <f>'Nov 9-15'!B103</f>
        <v>83 Highland Street Unit 2</v>
      </c>
      <c r="C37" s="29" t="str">
        <f t="array" ref="C37">INDEX('Nov 16-22'!C:C,MATCH($B37,'Nov 16-22'!$B:$B,0))</f>
        <v>Y</v>
      </c>
      <c r="D37" s="29">
        <f t="array" ref="D37">INDEX('Nov 16-22'!D:D,MATCH($B37,'Nov 16-22'!$B:$B,0))</f>
        <v>21</v>
      </c>
      <c r="E37" s="65">
        <f t="shared" si="0"/>
        <v>29</v>
      </c>
      <c r="F37" s="66">
        <f t="shared" si="1"/>
        <v>1.0396039603960397E-2</v>
      </c>
      <c r="G37" s="65">
        <f t="array" ref="G37">INDEX('Nov 16-22'!E:E,MATCH($B37,'Nov 16-22'!$B:$B,0))</f>
        <v>12</v>
      </c>
      <c r="H37" s="65">
        <f t="array" ref="H37">INDEX('Nov 16-22'!F:F,MATCH($B37,'Nov 16-22'!$B:$B,0))</f>
        <v>0</v>
      </c>
      <c r="I37" s="65">
        <f t="array" ref="I37">INDEX('Nov 16-22'!G:G,MATCH($B37,'Nov 16-22'!$B:$B,0))</f>
        <v>0</v>
      </c>
      <c r="J37" s="65">
        <f t="array" ref="J37">INDEX('Nov 16-22'!H:H,MATCH($B37,'Nov 16-22'!$B:$B,0))</f>
        <v>0</v>
      </c>
      <c r="K37" s="65">
        <f t="array" ref="K37">INDEX('Nov 16-22'!I:I,MATCH($B37,'Nov 16-22'!$B:$B,0))</f>
        <v>0</v>
      </c>
      <c r="L37" s="65">
        <f t="array" ref="L37">INDEX('Nov 16-22'!J:J,MATCH($B37,'Nov 16-22'!$B:$B,0))</f>
        <v>0</v>
      </c>
      <c r="M37" s="17">
        <f t="shared" si="2"/>
        <v>0.5714285714285714</v>
      </c>
      <c r="N37" s="17">
        <f t="shared" si="3"/>
        <v>0</v>
      </c>
      <c r="O37" s="17">
        <f t="shared" si="4"/>
        <v>0</v>
      </c>
      <c r="P37" s="17">
        <f t="shared" si="5"/>
        <v>0</v>
      </c>
      <c r="Q37" s="17" t="str">
        <f t="shared" ref="Q37:R37" si="42">IFERROR(J37/I37,"")</f>
        <v/>
      </c>
      <c r="R37" s="17" t="str">
        <f t="shared" si="42"/>
        <v/>
      </c>
      <c r="S37" s="17">
        <f t="shared" si="7"/>
        <v>0</v>
      </c>
      <c r="T37" s="17" t="str">
        <f t="shared" si="8"/>
        <v/>
      </c>
    </row>
    <row r="38" spans="2:20" ht="12.75">
      <c r="B38" s="1" t="str">
        <f>'Nov 9-15'!B65</f>
        <v>267 Main Street Unit 4</v>
      </c>
      <c r="C38" s="29" t="str">
        <f t="array" ref="C38">INDEX('Nov 16-22'!C:C,MATCH($B38,'Nov 16-22'!$B:$B,0))</f>
        <v>Y</v>
      </c>
      <c r="D38" s="29">
        <f t="array" ref="D38">INDEX('Nov 16-22'!D:D,MATCH($B38,'Nov 16-22'!$B:$B,0))</f>
        <v>14</v>
      </c>
      <c r="E38" s="65">
        <f t="shared" si="0"/>
        <v>46</v>
      </c>
      <c r="F38" s="66">
        <f t="shared" si="1"/>
        <v>6.9306930693069308E-3</v>
      </c>
      <c r="G38" s="65">
        <f t="array" ref="G38">INDEX('Nov 16-22'!E:E,MATCH($B38,'Nov 16-22'!$B:$B,0))</f>
        <v>2</v>
      </c>
      <c r="H38" s="65">
        <f t="array" ref="H38">INDEX('Nov 16-22'!F:F,MATCH($B38,'Nov 16-22'!$B:$B,0))</f>
        <v>0</v>
      </c>
      <c r="I38" s="65">
        <f t="array" ref="I38">INDEX('Nov 16-22'!G:G,MATCH($B38,'Nov 16-22'!$B:$B,0))</f>
        <v>0</v>
      </c>
      <c r="J38" s="65">
        <f t="array" ref="J38">INDEX('Nov 16-22'!H:H,MATCH($B38,'Nov 16-22'!$B:$B,0))</f>
        <v>0</v>
      </c>
      <c r="K38" s="65">
        <f t="array" ref="K38">INDEX('Nov 16-22'!I:I,MATCH($B38,'Nov 16-22'!$B:$B,0))</f>
        <v>0</v>
      </c>
      <c r="L38" s="65">
        <f t="array" ref="L38">INDEX('Nov 16-22'!J:J,MATCH($B38,'Nov 16-22'!$B:$B,0))</f>
        <v>0</v>
      </c>
      <c r="M38" s="17">
        <f t="shared" si="2"/>
        <v>0.14285714285714285</v>
      </c>
      <c r="N38" s="17">
        <f t="shared" si="3"/>
        <v>0</v>
      </c>
      <c r="O38" s="17">
        <f t="shared" si="4"/>
        <v>0</v>
      </c>
      <c r="P38" s="17">
        <f t="shared" si="5"/>
        <v>0</v>
      </c>
      <c r="Q38" s="17" t="str">
        <f t="shared" ref="Q38:R38" si="43">IFERROR(J38/I38,"")</f>
        <v/>
      </c>
      <c r="R38" s="17" t="str">
        <f t="shared" si="43"/>
        <v/>
      </c>
      <c r="S38" s="17">
        <f t="shared" si="7"/>
        <v>0</v>
      </c>
      <c r="T38" s="17" t="str">
        <f t="shared" si="8"/>
        <v/>
      </c>
    </row>
    <row r="39" spans="2:20" ht="12.75">
      <c r="B39" s="1" t="str">
        <f>'Nov 9-15'!B66</f>
        <v>275 Dorchester Street</v>
      </c>
      <c r="C39" s="29" t="str">
        <f t="array" ref="C39">INDEX('Nov 16-22'!C:C,MATCH($B39,'Nov 16-22'!$B:$B,0))</f>
        <v>Y</v>
      </c>
      <c r="D39" s="29">
        <f t="array" ref="D39">INDEX('Nov 16-22'!D:D,MATCH($B39,'Nov 16-22'!$B:$B,0))</f>
        <v>4</v>
      </c>
      <c r="E39" s="65">
        <f t="shared" si="0"/>
        <v>78</v>
      </c>
      <c r="F39" s="66">
        <f t="shared" si="1"/>
        <v>1.9801980198019802E-3</v>
      </c>
      <c r="G39" s="65">
        <f t="array" ref="G39">INDEX('Nov 16-22'!E:E,MATCH($B39,'Nov 16-22'!$B:$B,0))</f>
        <v>1</v>
      </c>
      <c r="H39" s="65">
        <f t="array" ref="H39">INDEX('Nov 16-22'!F:F,MATCH($B39,'Nov 16-22'!$B:$B,0))</f>
        <v>0</v>
      </c>
      <c r="I39" s="65">
        <f t="array" ref="I39">INDEX('Nov 16-22'!G:G,MATCH($B39,'Nov 16-22'!$B:$B,0))</f>
        <v>0</v>
      </c>
      <c r="J39" s="65">
        <f t="array" ref="J39">INDEX('Nov 16-22'!H:H,MATCH($B39,'Nov 16-22'!$B:$B,0))</f>
        <v>0</v>
      </c>
      <c r="K39" s="65">
        <f t="array" ref="K39">INDEX('Nov 16-22'!I:I,MATCH($B39,'Nov 16-22'!$B:$B,0))</f>
        <v>0</v>
      </c>
      <c r="L39" s="65">
        <f t="array" ref="L39">INDEX('Nov 16-22'!J:J,MATCH($B39,'Nov 16-22'!$B:$B,0))</f>
        <v>0</v>
      </c>
      <c r="M39" s="17">
        <f t="shared" si="2"/>
        <v>0.25</v>
      </c>
      <c r="N39" s="17">
        <f t="shared" si="3"/>
        <v>0</v>
      </c>
      <c r="O39" s="17">
        <f t="shared" si="4"/>
        <v>0</v>
      </c>
      <c r="P39" s="17">
        <f t="shared" si="5"/>
        <v>0</v>
      </c>
      <c r="Q39" s="17" t="str">
        <f t="shared" ref="Q39:R39" si="44">IFERROR(J39/I39,"")</f>
        <v/>
      </c>
      <c r="R39" s="17" t="str">
        <f t="shared" si="44"/>
        <v/>
      </c>
      <c r="S39" s="17">
        <f t="shared" si="7"/>
        <v>0</v>
      </c>
      <c r="T39" s="17" t="str">
        <f t="shared" si="8"/>
        <v/>
      </c>
    </row>
    <row r="40" spans="2:20" ht="12.75">
      <c r="B40" s="1" t="str">
        <f>'Nov 9-15'!B16</f>
        <v>114 Thornton Street Unit 1</v>
      </c>
      <c r="C40" s="29" t="str">
        <f t="array" ref="C40">INDEX('Nov 16-22'!C:C,MATCH($B40,'Nov 16-22'!$B:$B,0))</f>
        <v>Y</v>
      </c>
      <c r="D40" s="29">
        <f t="array" ref="D40">INDEX('Nov 16-22'!D:D,MATCH($B40,'Nov 16-22'!$B:$B,0))</f>
        <v>18</v>
      </c>
      <c r="E40" s="65">
        <f t="shared" si="0"/>
        <v>39</v>
      </c>
      <c r="F40" s="66">
        <f t="shared" si="1"/>
        <v>8.9108910891089101E-3</v>
      </c>
      <c r="G40" s="65">
        <f t="array" ref="G40">INDEX('Nov 16-22'!E:E,MATCH($B40,'Nov 16-22'!$B:$B,0))</f>
        <v>11</v>
      </c>
      <c r="H40" s="65">
        <f t="array" ref="H40">INDEX('Nov 16-22'!F:F,MATCH($B40,'Nov 16-22'!$B:$B,0))</f>
        <v>0</v>
      </c>
      <c r="I40" s="65">
        <f t="array" ref="I40">INDEX('Nov 16-22'!G:G,MATCH($B40,'Nov 16-22'!$B:$B,0))</f>
        <v>0</v>
      </c>
      <c r="J40" s="65">
        <f t="array" ref="J40">INDEX('Nov 16-22'!H:H,MATCH($B40,'Nov 16-22'!$B:$B,0))</f>
        <v>0</v>
      </c>
      <c r="K40" s="65">
        <f t="array" ref="K40">INDEX('Nov 16-22'!I:I,MATCH($B40,'Nov 16-22'!$B:$B,0))</f>
        <v>0</v>
      </c>
      <c r="L40" s="65">
        <f t="array" ref="L40">INDEX('Nov 16-22'!J:J,MATCH($B40,'Nov 16-22'!$B:$B,0))</f>
        <v>0</v>
      </c>
      <c r="M40" s="17">
        <f t="shared" si="2"/>
        <v>0.61111111111111116</v>
      </c>
      <c r="N40" s="17">
        <f t="shared" si="3"/>
        <v>0</v>
      </c>
      <c r="O40" s="17">
        <f t="shared" si="4"/>
        <v>0</v>
      </c>
      <c r="P40" s="17">
        <f t="shared" si="5"/>
        <v>0</v>
      </c>
      <c r="Q40" s="17" t="str">
        <f t="shared" ref="Q40:R40" si="45">IFERROR(J40/I40,"")</f>
        <v/>
      </c>
      <c r="R40" s="17" t="str">
        <f t="shared" si="45"/>
        <v/>
      </c>
      <c r="S40" s="17">
        <f t="shared" si="7"/>
        <v>0</v>
      </c>
      <c r="T40" s="17" t="str">
        <f t="shared" si="8"/>
        <v/>
      </c>
    </row>
    <row r="41" spans="2:20" ht="12.75">
      <c r="B41" s="1" t="str">
        <f>'Nov 9-15'!B49</f>
        <v>2 Montfern Avenue Unit 1</v>
      </c>
      <c r="C41" s="29" t="str">
        <f t="array" ref="C41">INDEX('Nov 16-22'!C:C,MATCH($B41,'Nov 16-22'!$B:$B,0))</f>
        <v>Y</v>
      </c>
      <c r="D41" s="29">
        <f t="array" ref="D41">INDEX('Nov 16-22'!D:D,MATCH($B41,'Nov 16-22'!$B:$B,0))</f>
        <v>20</v>
      </c>
      <c r="E41" s="65">
        <f t="shared" si="0"/>
        <v>33</v>
      </c>
      <c r="F41" s="66">
        <f t="shared" si="1"/>
        <v>9.9009900990099011E-3</v>
      </c>
      <c r="G41" s="65">
        <f t="array" ref="G41">INDEX('Nov 16-22'!E:E,MATCH($B41,'Nov 16-22'!$B:$B,0))</f>
        <v>4</v>
      </c>
      <c r="H41" s="65">
        <f t="array" ref="H41">INDEX('Nov 16-22'!F:F,MATCH($B41,'Nov 16-22'!$B:$B,0))</f>
        <v>4</v>
      </c>
      <c r="I41" s="65">
        <f t="array" ref="I41">INDEX('Nov 16-22'!G:G,MATCH($B41,'Nov 16-22'!$B:$B,0))</f>
        <v>0</v>
      </c>
      <c r="J41" s="65">
        <f t="array" ref="J41">INDEX('Nov 16-22'!H:H,MATCH($B41,'Nov 16-22'!$B:$B,0))</f>
        <v>0</v>
      </c>
      <c r="K41" s="65">
        <f t="array" ref="K41">INDEX('Nov 16-22'!I:I,MATCH($B41,'Nov 16-22'!$B:$B,0))</f>
        <v>0</v>
      </c>
      <c r="L41" s="65">
        <f t="array" ref="L41">INDEX('Nov 16-22'!J:J,MATCH($B41,'Nov 16-22'!$B:$B,0))</f>
        <v>0</v>
      </c>
      <c r="M41" s="17">
        <f t="shared" si="2"/>
        <v>0.2</v>
      </c>
      <c r="N41" s="17">
        <f t="shared" si="3"/>
        <v>0</v>
      </c>
      <c r="O41" s="17">
        <f t="shared" si="4"/>
        <v>0</v>
      </c>
      <c r="P41" s="17">
        <f t="shared" si="5"/>
        <v>0</v>
      </c>
      <c r="Q41" s="17" t="str">
        <f t="shared" ref="Q41:R41" si="46">IFERROR(J41/I41,"")</f>
        <v/>
      </c>
      <c r="R41" s="17" t="str">
        <f t="shared" si="46"/>
        <v/>
      </c>
      <c r="S41" s="17">
        <f t="shared" si="7"/>
        <v>0</v>
      </c>
      <c r="T41" s="17" t="str">
        <f t="shared" si="8"/>
        <v/>
      </c>
    </row>
    <row r="42" spans="2:20" ht="12.75">
      <c r="B42" s="1" t="str">
        <f>'Nov 9-15'!B54</f>
        <v>208 Cedar Street Unit 2</v>
      </c>
      <c r="C42" s="29" t="str">
        <f t="array" ref="C42">INDEX('Nov 16-22'!C:C,MATCH($B42,'Nov 16-22'!$B:$B,0))</f>
        <v>N</v>
      </c>
      <c r="D42" s="29">
        <f t="array" ref="D42">INDEX('Nov 16-22'!D:D,MATCH($B42,'Nov 16-22'!$B:$B,0))</f>
        <v>0</v>
      </c>
      <c r="E42" s="65">
        <f t="shared" si="0"/>
        <v>92</v>
      </c>
      <c r="F42" s="66">
        <f t="shared" si="1"/>
        <v>0</v>
      </c>
      <c r="G42" s="65">
        <f t="array" ref="G42">INDEX('Nov 16-22'!E:E,MATCH($B42,'Nov 16-22'!$B:$B,0))</f>
        <v>0</v>
      </c>
      <c r="H42" s="65">
        <f t="array" ref="H42">INDEX('Nov 16-22'!F:F,MATCH($B42,'Nov 16-22'!$B:$B,0))</f>
        <v>0</v>
      </c>
      <c r="I42" s="65">
        <f t="array" ref="I42">INDEX('Nov 16-22'!G:G,MATCH($B42,'Nov 16-22'!$B:$B,0))</f>
        <v>0</v>
      </c>
      <c r="J42" s="65">
        <f t="array" ref="J42">INDEX('Nov 16-22'!H:H,MATCH($B42,'Nov 16-22'!$B:$B,0))</f>
        <v>0</v>
      </c>
      <c r="K42" s="65">
        <f t="array" ref="K42">INDEX('Nov 16-22'!I:I,MATCH($B42,'Nov 16-22'!$B:$B,0))</f>
        <v>0</v>
      </c>
      <c r="L42" s="65">
        <f t="array" ref="L42">INDEX('Nov 16-22'!J:J,MATCH($B42,'Nov 16-22'!$B:$B,0))</f>
        <v>0</v>
      </c>
      <c r="M42" s="17" t="str">
        <f t="shared" si="2"/>
        <v/>
      </c>
      <c r="N42" s="17" t="str">
        <f t="shared" si="3"/>
        <v/>
      </c>
      <c r="O42" s="17" t="str">
        <f t="shared" si="4"/>
        <v/>
      </c>
      <c r="P42" s="17" t="str">
        <f t="shared" si="5"/>
        <v/>
      </c>
      <c r="Q42" s="17" t="str">
        <f t="shared" ref="Q42:R42" si="47">IFERROR(J42/I42,"")</f>
        <v/>
      </c>
      <c r="R42" s="17" t="str">
        <f t="shared" si="47"/>
        <v/>
      </c>
      <c r="S42" s="17" t="str">
        <f t="shared" si="7"/>
        <v/>
      </c>
      <c r="T42" s="17" t="str">
        <f t="shared" si="8"/>
        <v/>
      </c>
    </row>
    <row r="43" spans="2:20" ht="12.75">
      <c r="B43" s="1" t="str">
        <f>'Nov 9-15'!B46</f>
        <v>192 Alleghany Street Unit 2</v>
      </c>
      <c r="C43" s="29" t="str">
        <f t="array" ref="C43">INDEX('Nov 16-22'!C:C,MATCH($B43,'Nov 16-22'!$B:$B,0))</f>
        <v>N</v>
      </c>
      <c r="D43" s="29">
        <f t="array" ref="D43">INDEX('Nov 16-22'!D:D,MATCH($B43,'Nov 16-22'!$B:$B,0))</f>
        <v>0</v>
      </c>
      <c r="E43" s="65">
        <f t="shared" si="0"/>
        <v>92</v>
      </c>
      <c r="F43" s="66">
        <f t="shared" si="1"/>
        <v>0</v>
      </c>
      <c r="G43" s="65">
        <f t="array" ref="G43">INDEX('Nov 16-22'!E:E,MATCH($B43,'Nov 16-22'!$B:$B,0))</f>
        <v>0</v>
      </c>
      <c r="H43" s="65">
        <f t="array" ref="H43">INDEX('Nov 16-22'!F:F,MATCH($B43,'Nov 16-22'!$B:$B,0))</f>
        <v>0</v>
      </c>
      <c r="I43" s="65">
        <f t="array" ref="I43">INDEX('Nov 16-22'!G:G,MATCH($B43,'Nov 16-22'!$B:$B,0))</f>
        <v>0</v>
      </c>
      <c r="J43" s="65">
        <f t="array" ref="J43">INDEX('Nov 16-22'!H:H,MATCH($B43,'Nov 16-22'!$B:$B,0))</f>
        <v>0</v>
      </c>
      <c r="K43" s="65">
        <f t="array" ref="K43">INDEX('Nov 16-22'!I:I,MATCH($B43,'Nov 16-22'!$B:$B,0))</f>
        <v>0</v>
      </c>
      <c r="L43" s="65">
        <f t="array" ref="L43">INDEX('Nov 16-22'!J:J,MATCH($B43,'Nov 16-22'!$B:$B,0))</f>
        <v>0</v>
      </c>
      <c r="M43" s="17" t="str">
        <f t="shared" si="2"/>
        <v/>
      </c>
      <c r="N43" s="17" t="str">
        <f t="shared" si="3"/>
        <v/>
      </c>
      <c r="O43" s="17" t="str">
        <f t="shared" si="4"/>
        <v/>
      </c>
      <c r="P43" s="17" t="str">
        <f t="shared" si="5"/>
        <v/>
      </c>
      <c r="Q43" s="17" t="str">
        <f t="shared" ref="Q43:R43" si="48">IFERROR(J43/I43,"")</f>
        <v/>
      </c>
      <c r="R43" s="17" t="str">
        <f t="shared" si="48"/>
        <v/>
      </c>
      <c r="S43" s="17" t="str">
        <f t="shared" si="7"/>
        <v/>
      </c>
      <c r="T43" s="17" t="str">
        <f t="shared" si="8"/>
        <v/>
      </c>
    </row>
    <row r="44" spans="2:20" ht="12.75">
      <c r="B44" s="1" t="str">
        <f>'Nov 9-15'!B24</f>
        <v>122 Central Street Unit 2</v>
      </c>
      <c r="C44" s="29" t="str">
        <f t="array" ref="C44">INDEX('Nov 16-22'!C:C,MATCH($B44,'Nov 16-22'!$B:$B,0))</f>
        <v>Y</v>
      </c>
      <c r="D44" s="29">
        <f t="array" ref="D44">INDEX('Nov 16-22'!D:D,MATCH($B44,'Nov 16-22'!$B:$B,0))</f>
        <v>8</v>
      </c>
      <c r="E44" s="65">
        <f t="shared" si="0"/>
        <v>66</v>
      </c>
      <c r="F44" s="66">
        <f t="shared" si="1"/>
        <v>3.9603960396039604E-3</v>
      </c>
      <c r="G44" s="65">
        <f t="array" ref="G44">INDEX('Nov 16-22'!E:E,MATCH($B44,'Nov 16-22'!$B:$B,0))</f>
        <v>0</v>
      </c>
      <c r="H44" s="65">
        <f t="array" ref="H44">INDEX('Nov 16-22'!F:F,MATCH($B44,'Nov 16-22'!$B:$B,0))</f>
        <v>0</v>
      </c>
      <c r="I44" s="65">
        <f t="array" ref="I44">INDEX('Nov 16-22'!G:G,MATCH($B44,'Nov 16-22'!$B:$B,0))</f>
        <v>0</v>
      </c>
      <c r="J44" s="65">
        <f t="array" ref="J44">INDEX('Nov 16-22'!H:H,MATCH($B44,'Nov 16-22'!$B:$B,0))</f>
        <v>0</v>
      </c>
      <c r="K44" s="65">
        <f t="array" ref="K44">INDEX('Nov 16-22'!I:I,MATCH($B44,'Nov 16-22'!$B:$B,0))</f>
        <v>0</v>
      </c>
      <c r="L44" s="65">
        <f t="array" ref="L44">INDEX('Nov 16-22'!J:J,MATCH($B44,'Nov 16-22'!$B:$B,0))</f>
        <v>0</v>
      </c>
      <c r="M44" s="17">
        <f t="shared" si="2"/>
        <v>0</v>
      </c>
      <c r="N44" s="17">
        <f t="shared" si="3"/>
        <v>0</v>
      </c>
      <c r="O44" s="17" t="str">
        <f t="shared" si="4"/>
        <v/>
      </c>
      <c r="P44" s="17">
        <f t="shared" si="5"/>
        <v>0</v>
      </c>
      <c r="Q44" s="17" t="str">
        <f t="shared" ref="Q44:R44" si="49">IFERROR(J44/I44,"")</f>
        <v/>
      </c>
      <c r="R44" s="17" t="str">
        <f t="shared" si="49"/>
        <v/>
      </c>
      <c r="S44" s="17">
        <f t="shared" si="7"/>
        <v>0</v>
      </c>
      <c r="T44" s="17" t="str">
        <f t="shared" si="8"/>
        <v/>
      </c>
    </row>
    <row r="45" spans="2:20" ht="12.75">
      <c r="B45" s="1" t="str">
        <f>'Nov 9-15'!B18</f>
        <v>116 Thornton Street Unit 3</v>
      </c>
      <c r="C45" s="29" t="str">
        <f t="array" ref="C45">INDEX('Nov 16-22'!C:C,MATCH($B45,'Nov 16-22'!$B:$B,0))</f>
        <v>Y</v>
      </c>
      <c r="D45" s="29">
        <f t="array" ref="D45">INDEX('Nov 16-22'!D:D,MATCH($B45,'Nov 16-22'!$B:$B,0))</f>
        <v>26</v>
      </c>
      <c r="E45" s="65">
        <f t="shared" si="0"/>
        <v>22</v>
      </c>
      <c r="F45" s="66">
        <f t="shared" si="1"/>
        <v>1.2871287128712871E-2</v>
      </c>
      <c r="G45" s="65">
        <f t="array" ref="G45">INDEX('Nov 16-22'!E:E,MATCH($B45,'Nov 16-22'!$B:$B,0))</f>
        <v>2</v>
      </c>
      <c r="H45" s="65">
        <f t="array" ref="H45">INDEX('Nov 16-22'!F:F,MATCH($B45,'Nov 16-22'!$B:$B,0))</f>
        <v>2</v>
      </c>
      <c r="I45" s="65">
        <f t="array" ref="I45">INDEX('Nov 16-22'!G:G,MATCH($B45,'Nov 16-22'!$B:$B,0))</f>
        <v>2</v>
      </c>
      <c r="J45" s="65">
        <f t="array" ref="J45">INDEX('Nov 16-22'!H:H,MATCH($B45,'Nov 16-22'!$B:$B,0))</f>
        <v>0</v>
      </c>
      <c r="K45" s="65">
        <f t="array" ref="K45">INDEX('Nov 16-22'!I:I,MATCH($B45,'Nov 16-22'!$B:$B,0))</f>
        <v>1</v>
      </c>
      <c r="L45" s="65">
        <f t="array" ref="L45">INDEX('Nov 16-22'!J:J,MATCH($B45,'Nov 16-22'!$B:$B,0))</f>
        <v>1</v>
      </c>
      <c r="M45" s="17">
        <f t="shared" si="2"/>
        <v>7.6923076923076927E-2</v>
      </c>
      <c r="N45" s="17">
        <f t="shared" si="3"/>
        <v>7.6923076923076927E-2</v>
      </c>
      <c r="O45" s="17">
        <f t="shared" si="4"/>
        <v>1</v>
      </c>
      <c r="P45" s="17">
        <f t="shared" si="5"/>
        <v>0</v>
      </c>
      <c r="Q45" s="17">
        <f t="shared" ref="Q45:R45" si="50">IFERROR(J45/I45,"")</f>
        <v>0</v>
      </c>
      <c r="R45" s="17" t="str">
        <f t="shared" si="50"/>
        <v/>
      </c>
      <c r="S45" s="17">
        <f t="shared" si="7"/>
        <v>3.8461538461538464E-2</v>
      </c>
      <c r="T45" s="17">
        <f t="shared" si="8"/>
        <v>1</v>
      </c>
    </row>
    <row r="46" spans="2:20" ht="12.75">
      <c r="B46" s="1" t="str">
        <f>'Nov 9-15'!B67</f>
        <v>31 Plymouth Street Unit 2</v>
      </c>
      <c r="C46" s="29" t="str">
        <f t="array" ref="C46">INDEX('Nov 16-22'!C:C,MATCH($B46,'Nov 16-22'!$B:$B,0))</f>
        <v>Y</v>
      </c>
      <c r="D46" s="29">
        <f t="array" ref="D46">INDEX('Nov 16-22'!D:D,MATCH($B46,'Nov 16-22'!$B:$B,0))</f>
        <v>33</v>
      </c>
      <c r="E46" s="65">
        <f t="shared" si="0"/>
        <v>17</v>
      </c>
      <c r="F46" s="66">
        <f t="shared" si="1"/>
        <v>1.6336633663366337E-2</v>
      </c>
      <c r="G46" s="65">
        <f t="array" ref="G46">INDEX('Nov 16-22'!E:E,MATCH($B46,'Nov 16-22'!$B:$B,0))</f>
        <v>12</v>
      </c>
      <c r="H46" s="65">
        <f t="array" ref="H46">INDEX('Nov 16-22'!F:F,MATCH($B46,'Nov 16-22'!$B:$B,0))</f>
        <v>2</v>
      </c>
      <c r="I46" s="65">
        <f t="array" ref="I46">INDEX('Nov 16-22'!G:G,MATCH($B46,'Nov 16-22'!$B:$B,0))</f>
        <v>5</v>
      </c>
      <c r="J46" s="65">
        <f t="array" ref="J46">INDEX('Nov 16-22'!H:H,MATCH($B46,'Nov 16-22'!$B:$B,0))</f>
        <v>0</v>
      </c>
      <c r="K46" s="65">
        <f t="array" ref="K46">INDEX('Nov 16-22'!I:I,MATCH($B46,'Nov 16-22'!$B:$B,0))</f>
        <v>0</v>
      </c>
      <c r="L46" s="65">
        <f t="array" ref="L46">INDEX('Nov 16-22'!J:J,MATCH($B46,'Nov 16-22'!$B:$B,0))</f>
        <v>0</v>
      </c>
      <c r="M46" s="17">
        <f t="shared" si="2"/>
        <v>0.36363636363636365</v>
      </c>
      <c r="N46" s="17">
        <f t="shared" si="3"/>
        <v>0.15151515151515152</v>
      </c>
      <c r="O46" s="17">
        <f t="shared" si="4"/>
        <v>0.41666666666666669</v>
      </c>
      <c r="P46" s="17">
        <f t="shared" si="5"/>
        <v>0</v>
      </c>
      <c r="Q46" s="17">
        <f t="shared" ref="Q46:R46" si="51">IFERROR(J46/I46,"")</f>
        <v>0</v>
      </c>
      <c r="R46" s="17" t="str">
        <f t="shared" si="51"/>
        <v/>
      </c>
      <c r="S46" s="17">
        <f t="shared" si="7"/>
        <v>0</v>
      </c>
      <c r="T46" s="17" t="str">
        <f t="shared" si="8"/>
        <v/>
      </c>
    </row>
    <row r="47" spans="2:20" ht="12.75">
      <c r="B47" s="1" t="str">
        <f>'Nov 9-15'!B35</f>
        <v>158 Magazine Street Unit 6</v>
      </c>
      <c r="C47" s="29" t="str">
        <f t="array" ref="C47">INDEX('Nov 16-22'!C:C,MATCH($B47,'Nov 16-22'!$B:$B,0))</f>
        <v>Y</v>
      </c>
      <c r="D47" s="29">
        <f t="array" ref="D47">INDEX('Nov 16-22'!D:D,MATCH($B47,'Nov 16-22'!$B:$B,0))</f>
        <v>6</v>
      </c>
      <c r="E47" s="65">
        <f t="shared" si="0"/>
        <v>71</v>
      </c>
      <c r="F47" s="66">
        <f t="shared" si="1"/>
        <v>2.9702970297029703E-3</v>
      </c>
      <c r="G47" s="65">
        <f t="array" ref="G47">INDEX('Nov 16-22'!E:E,MATCH($B47,'Nov 16-22'!$B:$B,0))</f>
        <v>1</v>
      </c>
      <c r="H47" s="65">
        <f t="array" ref="H47">INDEX('Nov 16-22'!F:F,MATCH($B47,'Nov 16-22'!$B:$B,0))</f>
        <v>1</v>
      </c>
      <c r="I47" s="65">
        <f t="array" ref="I47">INDEX('Nov 16-22'!G:G,MATCH($B47,'Nov 16-22'!$B:$B,0))</f>
        <v>1</v>
      </c>
      <c r="J47" s="65">
        <f t="array" ref="J47">INDEX('Nov 16-22'!H:H,MATCH($B47,'Nov 16-22'!$B:$B,0))</f>
        <v>0</v>
      </c>
      <c r="K47" s="65">
        <f t="array" ref="K47">INDEX('Nov 16-22'!I:I,MATCH($B47,'Nov 16-22'!$B:$B,0))</f>
        <v>0</v>
      </c>
      <c r="L47" s="65">
        <f t="array" ref="L47">INDEX('Nov 16-22'!J:J,MATCH($B47,'Nov 16-22'!$B:$B,0))</f>
        <v>0</v>
      </c>
      <c r="M47" s="17">
        <f t="shared" si="2"/>
        <v>0.16666666666666666</v>
      </c>
      <c r="N47" s="17">
        <f t="shared" si="3"/>
        <v>0.16666666666666666</v>
      </c>
      <c r="O47" s="17">
        <f t="shared" si="4"/>
        <v>1</v>
      </c>
      <c r="P47" s="17">
        <f t="shared" si="5"/>
        <v>0</v>
      </c>
      <c r="Q47" s="17">
        <f t="shared" ref="Q47:R47" si="52">IFERROR(J47/I47,"")</f>
        <v>0</v>
      </c>
      <c r="R47" s="17" t="str">
        <f t="shared" si="52"/>
        <v/>
      </c>
      <c r="S47" s="17">
        <f t="shared" si="7"/>
        <v>0</v>
      </c>
      <c r="T47" s="17" t="str">
        <f t="shared" si="8"/>
        <v/>
      </c>
    </row>
    <row r="48" spans="2:20" ht="12.75">
      <c r="B48" s="1" t="str">
        <f>'Nov 9-15'!B10</f>
        <v>108 Hyde Park Avenue Unit 2</v>
      </c>
      <c r="C48" s="29" t="str">
        <f t="array" ref="C48">INDEX('Nov 16-22'!C:C,MATCH($B48,'Nov 16-22'!$B:$B,0))</f>
        <v>Y</v>
      </c>
      <c r="D48" s="29">
        <f t="array" ref="D48">INDEX('Nov 16-22'!D:D,MATCH($B48,'Nov 16-22'!$B:$B,0))</f>
        <v>7</v>
      </c>
      <c r="E48" s="65">
        <f t="shared" si="0"/>
        <v>69</v>
      </c>
      <c r="F48" s="66">
        <f t="shared" si="1"/>
        <v>3.4653465346534654E-3</v>
      </c>
      <c r="G48" s="65">
        <f t="array" ref="G48">INDEX('Nov 16-22'!E:E,MATCH($B48,'Nov 16-22'!$B:$B,0))</f>
        <v>1</v>
      </c>
      <c r="H48" s="65">
        <f t="array" ref="H48">INDEX('Nov 16-22'!F:F,MATCH($B48,'Nov 16-22'!$B:$B,0))</f>
        <v>0</v>
      </c>
      <c r="I48" s="65">
        <f t="array" ref="I48">INDEX('Nov 16-22'!G:G,MATCH($B48,'Nov 16-22'!$B:$B,0))</f>
        <v>2</v>
      </c>
      <c r="J48" s="65">
        <f t="array" ref="J48">INDEX('Nov 16-22'!H:H,MATCH($B48,'Nov 16-22'!$B:$B,0))</f>
        <v>0</v>
      </c>
      <c r="K48" s="65">
        <f t="array" ref="K48">INDEX('Nov 16-22'!I:I,MATCH($B48,'Nov 16-22'!$B:$B,0))</f>
        <v>0</v>
      </c>
      <c r="L48" s="65">
        <f t="array" ref="L48">INDEX('Nov 16-22'!J:J,MATCH($B48,'Nov 16-22'!$B:$B,0))</f>
        <v>0</v>
      </c>
      <c r="M48" s="17">
        <f t="shared" si="2"/>
        <v>0.14285714285714285</v>
      </c>
      <c r="N48" s="17">
        <f t="shared" si="3"/>
        <v>0.2857142857142857</v>
      </c>
      <c r="O48" s="17">
        <f t="shared" si="4"/>
        <v>2</v>
      </c>
      <c r="P48" s="17">
        <f t="shared" si="5"/>
        <v>0</v>
      </c>
      <c r="Q48" s="17">
        <f t="shared" ref="Q48:R48" si="53">IFERROR(J48/I48,"")</f>
        <v>0</v>
      </c>
      <c r="R48" s="17" t="str">
        <f t="shared" si="53"/>
        <v/>
      </c>
      <c r="S48" s="17">
        <f t="shared" si="7"/>
        <v>0</v>
      </c>
      <c r="T48" s="17" t="str">
        <f t="shared" si="8"/>
        <v/>
      </c>
    </row>
    <row r="49" spans="2:20" ht="12.75">
      <c r="B49" s="1" t="str">
        <f>'Nov 9-15'!B41</f>
        <v>179 Massachusetts Avenue Unit 3</v>
      </c>
      <c r="C49" s="29" t="str">
        <f t="array" ref="C49">INDEX('Nov 16-22'!C:C,MATCH($B49,'Nov 16-22'!$B:$B,0))</f>
        <v>N</v>
      </c>
      <c r="D49" s="29">
        <f t="array" ref="D49">INDEX('Nov 16-22'!D:D,MATCH($B49,'Nov 16-22'!$B:$B,0))</f>
        <v>5</v>
      </c>
      <c r="E49" s="65">
        <f t="shared" si="0"/>
        <v>75</v>
      </c>
      <c r="F49" s="66">
        <f t="shared" si="1"/>
        <v>2.4752475247524753E-3</v>
      </c>
      <c r="G49" s="65">
        <f t="array" ref="G49">INDEX('Nov 16-22'!E:E,MATCH($B49,'Nov 16-22'!$B:$B,0))</f>
        <v>5</v>
      </c>
      <c r="H49" s="65">
        <f t="array" ref="H49">INDEX('Nov 16-22'!F:F,MATCH($B49,'Nov 16-22'!$B:$B,0))</f>
        <v>1</v>
      </c>
      <c r="I49" s="65">
        <f t="array" ref="I49">INDEX('Nov 16-22'!G:G,MATCH($B49,'Nov 16-22'!$B:$B,0))</f>
        <v>0</v>
      </c>
      <c r="J49" s="65">
        <f t="array" ref="J49">INDEX('Nov 16-22'!H:H,MATCH($B49,'Nov 16-22'!$B:$B,0))</f>
        <v>0</v>
      </c>
      <c r="K49" s="65">
        <f t="array" ref="K49">INDEX('Nov 16-22'!I:I,MATCH($B49,'Nov 16-22'!$B:$B,0))</f>
        <v>0</v>
      </c>
      <c r="L49" s="65">
        <f t="array" ref="L49">INDEX('Nov 16-22'!J:J,MATCH($B49,'Nov 16-22'!$B:$B,0))</f>
        <v>0</v>
      </c>
      <c r="M49" s="17">
        <f t="shared" si="2"/>
        <v>1</v>
      </c>
      <c r="N49" s="17">
        <f t="shared" si="3"/>
        <v>0</v>
      </c>
      <c r="O49" s="17">
        <f t="shared" si="4"/>
        <v>0</v>
      </c>
      <c r="P49" s="17">
        <f t="shared" si="5"/>
        <v>0</v>
      </c>
      <c r="Q49" s="17" t="str">
        <f t="shared" ref="Q49:R49" si="54">IFERROR(J49/I49,"")</f>
        <v/>
      </c>
      <c r="R49" s="17" t="str">
        <f t="shared" si="54"/>
        <v/>
      </c>
      <c r="S49" s="17">
        <f t="shared" si="7"/>
        <v>0</v>
      </c>
      <c r="T49" s="17" t="str">
        <f t="shared" si="8"/>
        <v/>
      </c>
    </row>
    <row r="50" spans="2:20" ht="12.75">
      <c r="B50" s="1" t="str">
        <f>'Nov 9-15'!B38</f>
        <v>17 Kenneson Road Unit 1</v>
      </c>
      <c r="C50" s="29" t="str">
        <f t="array" ref="C50">INDEX('Nov 16-22'!C:C,MATCH($B50,'Nov 16-22'!$B:$B,0))</f>
        <v>N</v>
      </c>
      <c r="D50" s="29">
        <f t="array" ref="D50">INDEX('Nov 16-22'!D:D,MATCH($B50,'Nov 16-22'!$B:$B,0))</f>
        <v>0</v>
      </c>
      <c r="E50" s="65">
        <f t="shared" si="0"/>
        <v>92</v>
      </c>
      <c r="F50" s="66">
        <f t="shared" si="1"/>
        <v>0</v>
      </c>
      <c r="G50" s="65">
        <f t="array" ref="G50">INDEX('Nov 16-22'!E:E,MATCH($B50,'Nov 16-22'!$B:$B,0))</f>
        <v>0</v>
      </c>
      <c r="H50" s="65">
        <f t="array" ref="H50">INDEX('Nov 16-22'!F:F,MATCH($B50,'Nov 16-22'!$B:$B,0))</f>
        <v>0</v>
      </c>
      <c r="I50" s="65">
        <f t="array" ref="I50">INDEX('Nov 16-22'!G:G,MATCH($B50,'Nov 16-22'!$B:$B,0))</f>
        <v>0</v>
      </c>
      <c r="J50" s="65">
        <f t="array" ref="J50">INDEX('Nov 16-22'!H:H,MATCH($B50,'Nov 16-22'!$B:$B,0))</f>
        <v>0</v>
      </c>
      <c r="K50" s="65">
        <f t="array" ref="K50">INDEX('Nov 16-22'!I:I,MATCH($B50,'Nov 16-22'!$B:$B,0))</f>
        <v>0</v>
      </c>
      <c r="L50" s="65">
        <f t="array" ref="L50">INDEX('Nov 16-22'!J:J,MATCH($B50,'Nov 16-22'!$B:$B,0))</f>
        <v>0</v>
      </c>
      <c r="M50" s="17" t="str">
        <f t="shared" si="2"/>
        <v/>
      </c>
      <c r="N50" s="17" t="str">
        <f t="shared" si="3"/>
        <v/>
      </c>
      <c r="O50" s="17" t="str">
        <f t="shared" si="4"/>
        <v/>
      </c>
      <c r="P50" s="17" t="str">
        <f t="shared" si="5"/>
        <v/>
      </c>
      <c r="Q50" s="17" t="str">
        <f t="shared" ref="Q50:R50" si="55">IFERROR(J50/I50,"")</f>
        <v/>
      </c>
      <c r="R50" s="17" t="str">
        <f t="shared" si="55"/>
        <v/>
      </c>
      <c r="S50" s="17" t="str">
        <f t="shared" si="7"/>
        <v/>
      </c>
      <c r="T50" s="17" t="str">
        <f t="shared" si="8"/>
        <v/>
      </c>
    </row>
    <row r="51" spans="2:20" ht="12.75">
      <c r="B51" s="1" t="str">
        <f>'Nov 9-15'!B47</f>
        <v>192 Third Street Unit 1</v>
      </c>
      <c r="C51" s="29" t="str">
        <f t="array" ref="C51">INDEX('Nov 16-22'!C:C,MATCH($B51,'Nov 16-22'!$B:$B,0))</f>
        <v>N</v>
      </c>
      <c r="D51" s="29">
        <f t="array" ref="D51">INDEX('Nov 16-22'!D:D,MATCH($B51,'Nov 16-22'!$B:$B,0))</f>
        <v>2</v>
      </c>
      <c r="E51" s="65">
        <f t="shared" si="0"/>
        <v>84</v>
      </c>
      <c r="F51" s="66">
        <f t="shared" si="1"/>
        <v>9.9009900990099011E-4</v>
      </c>
      <c r="G51" s="65">
        <f t="array" ref="G51">INDEX('Nov 16-22'!E:E,MATCH($B51,'Nov 16-22'!$B:$B,0))</f>
        <v>0</v>
      </c>
      <c r="H51" s="65">
        <f t="array" ref="H51">INDEX('Nov 16-22'!F:F,MATCH($B51,'Nov 16-22'!$B:$B,0))</f>
        <v>0</v>
      </c>
      <c r="I51" s="65">
        <f t="array" ref="I51">INDEX('Nov 16-22'!G:G,MATCH($B51,'Nov 16-22'!$B:$B,0))</f>
        <v>0</v>
      </c>
      <c r="J51" s="65">
        <f t="array" ref="J51">INDEX('Nov 16-22'!H:H,MATCH($B51,'Nov 16-22'!$B:$B,0))</f>
        <v>0</v>
      </c>
      <c r="K51" s="65">
        <f t="array" ref="K51">INDEX('Nov 16-22'!I:I,MATCH($B51,'Nov 16-22'!$B:$B,0))</f>
        <v>0</v>
      </c>
      <c r="L51" s="65">
        <f t="array" ref="L51">INDEX('Nov 16-22'!J:J,MATCH($B51,'Nov 16-22'!$B:$B,0))</f>
        <v>0</v>
      </c>
      <c r="M51" s="17">
        <f t="shared" si="2"/>
        <v>0</v>
      </c>
      <c r="N51" s="17">
        <f t="shared" si="3"/>
        <v>0</v>
      </c>
      <c r="O51" s="17" t="str">
        <f t="shared" si="4"/>
        <v/>
      </c>
      <c r="P51" s="17">
        <f t="shared" si="5"/>
        <v>0</v>
      </c>
      <c r="Q51" s="17" t="str">
        <f t="shared" ref="Q51:R51" si="56">IFERROR(J51/I51,"")</f>
        <v/>
      </c>
      <c r="R51" s="17" t="str">
        <f t="shared" si="56"/>
        <v/>
      </c>
      <c r="S51" s="17">
        <f t="shared" si="7"/>
        <v>0</v>
      </c>
      <c r="T51" s="17" t="str">
        <f t="shared" si="8"/>
        <v/>
      </c>
    </row>
    <row r="52" spans="2:20" ht="12.75">
      <c r="B52" s="1" t="str">
        <f>'Nov 9-15'!B42</f>
        <v>18 Mount Hood Road Unit 1</v>
      </c>
      <c r="C52" s="29" t="str">
        <f t="array" ref="C52">INDEX('Nov 16-22'!C:C,MATCH($B52,'Nov 16-22'!$B:$B,0))</f>
        <v>N</v>
      </c>
      <c r="D52" s="29">
        <f t="array" ref="D52">INDEX('Nov 16-22'!D:D,MATCH($B52,'Nov 16-22'!$B:$B,0))</f>
        <v>0</v>
      </c>
      <c r="E52" s="65">
        <f t="shared" si="0"/>
        <v>92</v>
      </c>
      <c r="F52" s="66">
        <f t="shared" si="1"/>
        <v>0</v>
      </c>
      <c r="G52" s="65">
        <f t="array" ref="G52">INDEX('Nov 16-22'!E:E,MATCH($B52,'Nov 16-22'!$B:$B,0))</f>
        <v>0</v>
      </c>
      <c r="H52" s="65">
        <f t="array" ref="H52">INDEX('Nov 16-22'!F:F,MATCH($B52,'Nov 16-22'!$B:$B,0))</f>
        <v>0</v>
      </c>
      <c r="I52" s="65">
        <f t="array" ref="I52">INDEX('Nov 16-22'!G:G,MATCH($B52,'Nov 16-22'!$B:$B,0))</f>
        <v>0</v>
      </c>
      <c r="J52" s="65">
        <f t="array" ref="J52">INDEX('Nov 16-22'!H:H,MATCH($B52,'Nov 16-22'!$B:$B,0))</f>
        <v>0</v>
      </c>
      <c r="K52" s="65">
        <f t="array" ref="K52">INDEX('Nov 16-22'!I:I,MATCH($B52,'Nov 16-22'!$B:$B,0))</f>
        <v>0</v>
      </c>
      <c r="L52" s="65">
        <f t="array" ref="L52">INDEX('Nov 16-22'!J:J,MATCH($B52,'Nov 16-22'!$B:$B,0))</f>
        <v>0</v>
      </c>
      <c r="M52" s="17" t="str">
        <f t="shared" si="2"/>
        <v/>
      </c>
      <c r="N52" s="17" t="str">
        <f t="shared" si="3"/>
        <v/>
      </c>
      <c r="O52" s="17" t="str">
        <f t="shared" si="4"/>
        <v/>
      </c>
      <c r="P52" s="17" t="str">
        <f t="shared" si="5"/>
        <v/>
      </c>
      <c r="Q52" s="17" t="str">
        <f t="shared" ref="Q52:R52" si="57">IFERROR(J52/I52,"")</f>
        <v/>
      </c>
      <c r="R52" s="17" t="str">
        <f t="shared" si="57"/>
        <v/>
      </c>
      <c r="S52" s="17" t="str">
        <f t="shared" si="7"/>
        <v/>
      </c>
      <c r="T52" s="17" t="str">
        <f t="shared" si="8"/>
        <v/>
      </c>
    </row>
    <row r="53" spans="2:20" ht="12.75">
      <c r="B53" s="1" t="str">
        <f>'Nov 9-15'!B68</f>
        <v>31 Plymouth Street Unit 3</v>
      </c>
      <c r="C53" s="29" t="str">
        <f t="array" ref="C53">INDEX('Nov 16-22'!C:C,MATCH($B53,'Nov 16-22'!$B:$B,0))</f>
        <v>Y</v>
      </c>
      <c r="D53" s="29">
        <f t="array" ref="D53">INDEX('Nov 16-22'!D:D,MATCH($B53,'Nov 16-22'!$B:$B,0))</f>
        <v>21</v>
      </c>
      <c r="E53" s="65">
        <f t="shared" si="0"/>
        <v>29</v>
      </c>
      <c r="F53" s="66">
        <f t="shared" si="1"/>
        <v>1.0396039603960397E-2</v>
      </c>
      <c r="G53" s="65">
        <f t="array" ref="G53">INDEX('Nov 16-22'!E:E,MATCH($B53,'Nov 16-22'!$B:$B,0))</f>
        <v>9</v>
      </c>
      <c r="H53" s="65">
        <f t="array" ref="H53">INDEX('Nov 16-22'!F:F,MATCH($B53,'Nov 16-22'!$B:$B,0))</f>
        <v>5</v>
      </c>
      <c r="I53" s="65">
        <f t="array" ref="I53">INDEX('Nov 16-22'!G:G,MATCH($B53,'Nov 16-22'!$B:$B,0))</f>
        <v>5</v>
      </c>
      <c r="J53" s="65">
        <f t="array" ref="J53">INDEX('Nov 16-22'!H:H,MATCH($B53,'Nov 16-22'!$B:$B,0))</f>
        <v>0</v>
      </c>
      <c r="K53" s="65">
        <f t="array" ref="K53">INDEX('Nov 16-22'!I:I,MATCH($B53,'Nov 16-22'!$B:$B,0))</f>
        <v>0</v>
      </c>
      <c r="L53" s="65">
        <f t="array" ref="L53">INDEX('Nov 16-22'!J:J,MATCH($B53,'Nov 16-22'!$B:$B,0))</f>
        <v>0</v>
      </c>
      <c r="M53" s="17">
        <f t="shared" si="2"/>
        <v>0.42857142857142855</v>
      </c>
      <c r="N53" s="17">
        <f t="shared" si="3"/>
        <v>0.23809523809523808</v>
      </c>
      <c r="O53" s="17">
        <f t="shared" si="4"/>
        <v>0.55555555555555558</v>
      </c>
      <c r="P53" s="17">
        <f t="shared" si="5"/>
        <v>0</v>
      </c>
      <c r="Q53" s="17">
        <f t="shared" ref="Q53:R53" si="58">IFERROR(J53/I53,"")</f>
        <v>0</v>
      </c>
      <c r="R53" s="17" t="str">
        <f t="shared" si="58"/>
        <v/>
      </c>
      <c r="S53" s="17">
        <f t="shared" si="7"/>
        <v>0</v>
      </c>
      <c r="T53" s="17" t="str">
        <f t="shared" si="8"/>
        <v/>
      </c>
    </row>
    <row r="54" spans="2:20" ht="12.75">
      <c r="B54" s="1" t="str">
        <f>'Nov 9-15'!B59</f>
        <v>231 Norfolk Street Unit 4</v>
      </c>
      <c r="C54" s="29" t="str">
        <f t="array" ref="C54">INDEX('Nov 16-22'!C:C,MATCH($B54,'Nov 16-22'!$B:$B,0))</f>
        <v>N</v>
      </c>
      <c r="D54" s="29">
        <f t="array" ref="D54">INDEX('Nov 16-22'!D:D,MATCH($B54,'Nov 16-22'!$B:$B,0))</f>
        <v>3</v>
      </c>
      <c r="E54" s="65">
        <f t="shared" si="0"/>
        <v>82</v>
      </c>
      <c r="F54" s="66">
        <f t="shared" si="1"/>
        <v>1.4851485148514852E-3</v>
      </c>
      <c r="G54" s="65">
        <f t="array" ref="G54">INDEX('Nov 16-22'!E:E,MATCH($B54,'Nov 16-22'!$B:$B,0))</f>
        <v>0</v>
      </c>
      <c r="H54" s="65">
        <f t="array" ref="H54">INDEX('Nov 16-22'!F:F,MATCH($B54,'Nov 16-22'!$B:$B,0))</f>
        <v>1</v>
      </c>
      <c r="I54" s="65">
        <f t="array" ref="I54">INDEX('Nov 16-22'!G:G,MATCH($B54,'Nov 16-22'!$B:$B,0))</f>
        <v>0</v>
      </c>
      <c r="J54" s="65">
        <f t="array" ref="J54">INDEX('Nov 16-22'!H:H,MATCH($B54,'Nov 16-22'!$B:$B,0))</f>
        <v>0</v>
      </c>
      <c r="K54" s="65">
        <f t="array" ref="K54">INDEX('Nov 16-22'!I:I,MATCH($B54,'Nov 16-22'!$B:$B,0))</f>
        <v>0</v>
      </c>
      <c r="L54" s="65">
        <f t="array" ref="L54">INDEX('Nov 16-22'!J:J,MATCH($B54,'Nov 16-22'!$B:$B,0))</f>
        <v>0</v>
      </c>
      <c r="M54" s="17">
        <f t="shared" si="2"/>
        <v>0</v>
      </c>
      <c r="N54" s="17">
        <f t="shared" si="3"/>
        <v>0</v>
      </c>
      <c r="O54" s="17" t="str">
        <f t="shared" si="4"/>
        <v/>
      </c>
      <c r="P54" s="17">
        <f t="shared" si="5"/>
        <v>0</v>
      </c>
      <c r="Q54" s="17" t="str">
        <f t="shared" ref="Q54:R54" si="59">IFERROR(J54/I54,"")</f>
        <v/>
      </c>
      <c r="R54" s="17" t="str">
        <f t="shared" si="59"/>
        <v/>
      </c>
      <c r="S54" s="17">
        <f t="shared" si="7"/>
        <v>0</v>
      </c>
      <c r="T54" s="17" t="str">
        <f t="shared" si="8"/>
        <v/>
      </c>
    </row>
    <row r="55" spans="2:20" ht="12.75">
      <c r="B55" s="1" t="str">
        <f>'Nov 9-15'!B99</f>
        <v>8 7th Street</v>
      </c>
      <c r="C55" s="29" t="str">
        <f t="array" ref="C55">INDEX('Nov 16-22'!C:C,MATCH($B55,'Nov 16-22'!$B:$B,0))</f>
        <v>Y</v>
      </c>
      <c r="D55" s="29">
        <f t="array" ref="D55">INDEX('Nov 16-22'!D:D,MATCH($B55,'Nov 16-22'!$B:$B,0))</f>
        <v>14</v>
      </c>
      <c r="E55" s="65">
        <f t="shared" si="0"/>
        <v>46</v>
      </c>
      <c r="F55" s="66">
        <f t="shared" si="1"/>
        <v>6.9306930693069308E-3</v>
      </c>
      <c r="G55" s="65">
        <f t="array" ref="G55">INDEX('Nov 16-22'!E:E,MATCH($B55,'Nov 16-22'!$B:$B,0))</f>
        <v>3</v>
      </c>
      <c r="H55" s="65">
        <f t="array" ref="H55">INDEX('Nov 16-22'!F:F,MATCH($B55,'Nov 16-22'!$B:$B,0))</f>
        <v>1</v>
      </c>
      <c r="I55" s="65">
        <f t="array" ref="I55">INDEX('Nov 16-22'!G:G,MATCH($B55,'Nov 16-22'!$B:$B,0))</f>
        <v>0</v>
      </c>
      <c r="J55" s="65">
        <f t="array" ref="J55">INDEX('Nov 16-22'!H:H,MATCH($B55,'Nov 16-22'!$B:$B,0))</f>
        <v>0</v>
      </c>
      <c r="K55" s="65">
        <f t="array" ref="K55">INDEX('Nov 16-22'!I:I,MATCH($B55,'Nov 16-22'!$B:$B,0))</f>
        <v>0</v>
      </c>
      <c r="L55" s="65">
        <f t="array" ref="L55">INDEX('Nov 16-22'!J:J,MATCH($B55,'Nov 16-22'!$B:$B,0))</f>
        <v>0</v>
      </c>
      <c r="M55" s="17">
        <f t="shared" si="2"/>
        <v>0.21428571428571427</v>
      </c>
      <c r="N55" s="17">
        <f t="shared" si="3"/>
        <v>0</v>
      </c>
      <c r="O55" s="17">
        <f t="shared" si="4"/>
        <v>0</v>
      </c>
      <c r="P55" s="17">
        <f t="shared" si="5"/>
        <v>0</v>
      </c>
      <c r="Q55" s="17" t="str">
        <f t="shared" ref="Q55:R55" si="60">IFERROR(J55/I55,"")</f>
        <v/>
      </c>
      <c r="R55" s="17" t="str">
        <f t="shared" si="60"/>
        <v/>
      </c>
      <c r="S55" s="17">
        <f t="shared" si="7"/>
        <v>0</v>
      </c>
      <c r="T55" s="17" t="str">
        <f t="shared" si="8"/>
        <v/>
      </c>
    </row>
    <row r="56" spans="2:20" ht="12.75">
      <c r="B56" s="1" t="str">
        <f>'Nov 9-15'!B69</f>
        <v>31 South Street Unit 1</v>
      </c>
      <c r="C56" s="29" t="str">
        <f t="array" ref="C56">INDEX('Nov 16-22'!C:C,MATCH($B56,'Nov 16-22'!$B:$B,0))</f>
        <v>Y</v>
      </c>
      <c r="D56" s="29">
        <f t="array" ref="D56">INDEX('Nov 16-22'!D:D,MATCH($B56,'Nov 16-22'!$B:$B,0))</f>
        <v>42</v>
      </c>
      <c r="E56" s="65">
        <f t="shared" si="0"/>
        <v>15</v>
      </c>
      <c r="F56" s="66">
        <f t="shared" si="1"/>
        <v>2.0792079207920793E-2</v>
      </c>
      <c r="G56" s="65">
        <f t="array" ref="G56">INDEX('Nov 16-22'!E:E,MATCH($B56,'Nov 16-22'!$B:$B,0))</f>
        <v>23</v>
      </c>
      <c r="H56" s="65">
        <f t="array" ref="H56">INDEX('Nov 16-22'!F:F,MATCH($B56,'Nov 16-22'!$B:$B,0))</f>
        <v>0</v>
      </c>
      <c r="I56" s="65">
        <f t="array" ref="I56">INDEX('Nov 16-22'!G:G,MATCH($B56,'Nov 16-22'!$B:$B,0))</f>
        <v>0</v>
      </c>
      <c r="J56" s="65">
        <f t="array" ref="J56">INDEX('Nov 16-22'!H:H,MATCH($B56,'Nov 16-22'!$B:$B,0))</f>
        <v>0</v>
      </c>
      <c r="K56" s="65">
        <f t="array" ref="K56">INDEX('Nov 16-22'!I:I,MATCH($B56,'Nov 16-22'!$B:$B,0))</f>
        <v>0</v>
      </c>
      <c r="L56" s="65">
        <f t="array" ref="L56">INDEX('Nov 16-22'!J:J,MATCH($B56,'Nov 16-22'!$B:$B,0))</f>
        <v>1</v>
      </c>
      <c r="M56" s="17">
        <f t="shared" si="2"/>
        <v>0.54761904761904767</v>
      </c>
      <c r="N56" s="17">
        <f t="shared" si="3"/>
        <v>0</v>
      </c>
      <c r="O56" s="17">
        <f t="shared" si="4"/>
        <v>0</v>
      </c>
      <c r="P56" s="17">
        <f t="shared" si="5"/>
        <v>0</v>
      </c>
      <c r="Q56" s="17" t="str">
        <f t="shared" ref="Q56:R56" si="61">IFERROR(J56/I56,"")</f>
        <v/>
      </c>
      <c r="R56" s="17" t="str">
        <f t="shared" si="61"/>
        <v/>
      </c>
      <c r="S56" s="17">
        <f t="shared" si="7"/>
        <v>2.3809523809523808E-2</v>
      </c>
      <c r="T56" s="17" t="str">
        <f t="shared" si="8"/>
        <v/>
      </c>
    </row>
    <row r="57" spans="2:20" ht="12.75">
      <c r="B57" s="1" t="str">
        <f>'Nov 9-15'!B21</f>
        <v>12 Stoneholm Street Unit 610</v>
      </c>
      <c r="C57" s="29" t="str">
        <f t="array" ref="C57">INDEX('Nov 16-22'!C:C,MATCH($B57,'Nov 16-22'!$B:$B,0))</f>
        <v>N</v>
      </c>
      <c r="D57" s="29">
        <f t="array" ref="D57">INDEX('Nov 16-22'!D:D,MATCH($B57,'Nov 16-22'!$B:$B,0))</f>
        <v>0</v>
      </c>
      <c r="E57" s="65">
        <f t="shared" si="0"/>
        <v>92</v>
      </c>
      <c r="F57" s="66">
        <f t="shared" si="1"/>
        <v>0</v>
      </c>
      <c r="G57" s="65">
        <f t="array" ref="G57">INDEX('Nov 16-22'!E:E,MATCH($B57,'Nov 16-22'!$B:$B,0))</f>
        <v>0</v>
      </c>
      <c r="H57" s="65">
        <f t="array" ref="H57">INDEX('Nov 16-22'!F:F,MATCH($B57,'Nov 16-22'!$B:$B,0))</f>
        <v>0</v>
      </c>
      <c r="I57" s="65">
        <f t="array" ref="I57">INDEX('Nov 16-22'!G:G,MATCH($B57,'Nov 16-22'!$B:$B,0))</f>
        <v>0</v>
      </c>
      <c r="J57" s="65">
        <f t="array" ref="J57">INDEX('Nov 16-22'!H:H,MATCH($B57,'Nov 16-22'!$B:$B,0))</f>
        <v>0</v>
      </c>
      <c r="K57" s="65">
        <f t="array" ref="K57">INDEX('Nov 16-22'!I:I,MATCH($B57,'Nov 16-22'!$B:$B,0))</f>
        <v>0</v>
      </c>
      <c r="L57" s="65">
        <f t="array" ref="L57">INDEX('Nov 16-22'!J:J,MATCH($B57,'Nov 16-22'!$B:$B,0))</f>
        <v>0</v>
      </c>
      <c r="M57" s="17" t="str">
        <f t="shared" si="2"/>
        <v/>
      </c>
      <c r="N57" s="17" t="str">
        <f t="shared" si="3"/>
        <v/>
      </c>
      <c r="O57" s="17" t="str">
        <f t="shared" si="4"/>
        <v/>
      </c>
      <c r="P57" s="17" t="str">
        <f t="shared" si="5"/>
        <v/>
      </c>
      <c r="Q57" s="17" t="str">
        <f t="shared" ref="Q57:R57" si="62">IFERROR(J57/I57,"")</f>
        <v/>
      </c>
      <c r="R57" s="17" t="str">
        <f t="shared" si="62"/>
        <v/>
      </c>
      <c r="S57" s="17" t="str">
        <f t="shared" si="7"/>
        <v/>
      </c>
      <c r="T57" s="17" t="str">
        <f t="shared" si="8"/>
        <v/>
      </c>
    </row>
    <row r="58" spans="2:20" ht="12.75">
      <c r="B58" s="1" t="str">
        <f>'Nov 9-15'!B95</f>
        <v>6 7th Street</v>
      </c>
      <c r="C58" s="29" t="str">
        <f t="array" ref="C58">INDEX('Nov 16-22'!C:C,MATCH($B58,'Nov 16-22'!$B:$B,0))</f>
        <v>N</v>
      </c>
      <c r="D58" s="29">
        <f t="array" ref="D58">INDEX('Nov 16-22'!D:D,MATCH($B58,'Nov 16-22'!$B:$B,0))</f>
        <v>0</v>
      </c>
      <c r="E58" s="65">
        <f t="shared" si="0"/>
        <v>92</v>
      </c>
      <c r="F58" s="66">
        <f t="shared" si="1"/>
        <v>0</v>
      </c>
      <c r="G58" s="65">
        <f t="array" ref="G58">INDEX('Nov 16-22'!E:E,MATCH($B58,'Nov 16-22'!$B:$B,0))</f>
        <v>0</v>
      </c>
      <c r="H58" s="65">
        <f t="array" ref="H58">INDEX('Nov 16-22'!F:F,MATCH($B58,'Nov 16-22'!$B:$B,0))</f>
        <v>0</v>
      </c>
      <c r="I58" s="65">
        <f t="array" ref="I58">INDEX('Nov 16-22'!G:G,MATCH($B58,'Nov 16-22'!$B:$B,0))</f>
        <v>0</v>
      </c>
      <c r="J58" s="65">
        <f t="array" ref="J58">INDEX('Nov 16-22'!H:H,MATCH($B58,'Nov 16-22'!$B:$B,0))</f>
        <v>0</v>
      </c>
      <c r="K58" s="65">
        <f t="array" ref="K58">INDEX('Nov 16-22'!I:I,MATCH($B58,'Nov 16-22'!$B:$B,0))</f>
        <v>0</v>
      </c>
      <c r="L58" s="65">
        <f t="array" ref="L58">INDEX('Nov 16-22'!J:J,MATCH($B58,'Nov 16-22'!$B:$B,0))</f>
        <v>0</v>
      </c>
      <c r="M58" s="17" t="str">
        <f t="shared" si="2"/>
        <v/>
      </c>
      <c r="N58" s="17" t="str">
        <f t="shared" si="3"/>
        <v/>
      </c>
      <c r="O58" s="17" t="str">
        <f t="shared" si="4"/>
        <v/>
      </c>
      <c r="P58" s="17" t="str">
        <f t="shared" si="5"/>
        <v/>
      </c>
      <c r="Q58" s="17" t="str">
        <f t="shared" ref="Q58:R58" si="63">IFERROR(J58/I58,"")</f>
        <v/>
      </c>
      <c r="R58" s="17" t="str">
        <f t="shared" si="63"/>
        <v/>
      </c>
      <c r="S58" s="17" t="str">
        <f t="shared" si="7"/>
        <v/>
      </c>
      <c r="T58" s="17" t="str">
        <f t="shared" si="8"/>
        <v/>
      </c>
    </row>
    <row r="59" spans="2:20" ht="12.75">
      <c r="B59" s="1" t="str">
        <f>'Nov 9-15'!B56</f>
        <v>23 Granite Street Unit 3</v>
      </c>
      <c r="C59" s="29" t="str">
        <f t="array" ref="C59">INDEX('Nov 16-22'!C:C,MATCH($B59,'Nov 16-22'!$B:$B,0))</f>
        <v>N</v>
      </c>
      <c r="D59" s="29">
        <f t="array" ref="D59">INDEX('Nov 16-22'!D:D,MATCH($B59,'Nov 16-22'!$B:$B,0))</f>
        <v>5</v>
      </c>
      <c r="E59" s="65">
        <f t="shared" si="0"/>
        <v>75</v>
      </c>
      <c r="F59" s="66">
        <f t="shared" si="1"/>
        <v>2.4752475247524753E-3</v>
      </c>
      <c r="G59" s="65">
        <f t="array" ref="G59">INDEX('Nov 16-22'!E:E,MATCH($B59,'Nov 16-22'!$B:$B,0))</f>
        <v>0</v>
      </c>
      <c r="H59" s="65">
        <f t="array" ref="H59">INDEX('Nov 16-22'!F:F,MATCH($B59,'Nov 16-22'!$B:$B,0))</f>
        <v>0</v>
      </c>
      <c r="I59" s="65">
        <f t="array" ref="I59">INDEX('Nov 16-22'!G:G,MATCH($B59,'Nov 16-22'!$B:$B,0))</f>
        <v>0</v>
      </c>
      <c r="J59" s="65">
        <f t="array" ref="J59">INDEX('Nov 16-22'!H:H,MATCH($B59,'Nov 16-22'!$B:$B,0))</f>
        <v>0</v>
      </c>
      <c r="K59" s="65">
        <f t="array" ref="K59">INDEX('Nov 16-22'!I:I,MATCH($B59,'Nov 16-22'!$B:$B,0))</f>
        <v>0</v>
      </c>
      <c r="L59" s="65">
        <f t="array" ref="L59">INDEX('Nov 16-22'!J:J,MATCH($B59,'Nov 16-22'!$B:$B,0))</f>
        <v>0</v>
      </c>
      <c r="M59" s="17">
        <f t="shared" si="2"/>
        <v>0</v>
      </c>
      <c r="N59" s="17">
        <f t="shared" si="3"/>
        <v>0</v>
      </c>
      <c r="O59" s="17" t="str">
        <f t="shared" si="4"/>
        <v/>
      </c>
      <c r="P59" s="17">
        <f t="shared" si="5"/>
        <v>0</v>
      </c>
      <c r="Q59" s="17" t="str">
        <f t="shared" ref="Q59:R59" si="64">IFERROR(J59/I59,"")</f>
        <v/>
      </c>
      <c r="R59" s="17" t="str">
        <f t="shared" si="64"/>
        <v/>
      </c>
      <c r="S59" s="17">
        <f t="shared" si="7"/>
        <v>0</v>
      </c>
      <c r="T59" s="17" t="str">
        <f t="shared" si="8"/>
        <v/>
      </c>
    </row>
    <row r="60" spans="2:20" ht="12.75">
      <c r="B60" s="1" t="str">
        <f>'Nov 9-15'!B30</f>
        <v>1578 Beacon Street Unit 5</v>
      </c>
      <c r="C60" s="29" t="str">
        <f t="array" ref="C60">INDEX('Nov 16-22'!C:C,MATCH($B60,'Nov 16-22'!$B:$B,0))</f>
        <v>Y</v>
      </c>
      <c r="D60" s="29">
        <f t="array" ref="D60">INDEX('Nov 16-22'!D:D,MATCH($B60,'Nov 16-22'!$B:$B,0))</f>
        <v>4</v>
      </c>
      <c r="E60" s="65">
        <f t="shared" si="0"/>
        <v>78</v>
      </c>
      <c r="F60" s="66">
        <f t="shared" si="1"/>
        <v>1.9801980198019802E-3</v>
      </c>
      <c r="G60" s="65">
        <f t="array" ref="G60">INDEX('Nov 16-22'!E:E,MATCH($B60,'Nov 16-22'!$B:$B,0))</f>
        <v>0</v>
      </c>
      <c r="H60" s="65">
        <f t="array" ref="H60">INDEX('Nov 16-22'!F:F,MATCH($B60,'Nov 16-22'!$B:$B,0))</f>
        <v>1</v>
      </c>
      <c r="I60" s="65">
        <f t="array" ref="I60">INDEX('Nov 16-22'!G:G,MATCH($B60,'Nov 16-22'!$B:$B,0))</f>
        <v>0</v>
      </c>
      <c r="J60" s="65">
        <f t="array" ref="J60">INDEX('Nov 16-22'!H:H,MATCH($B60,'Nov 16-22'!$B:$B,0))</f>
        <v>0</v>
      </c>
      <c r="K60" s="65">
        <f t="array" ref="K60">INDEX('Nov 16-22'!I:I,MATCH($B60,'Nov 16-22'!$B:$B,0))</f>
        <v>0</v>
      </c>
      <c r="L60" s="65">
        <f t="array" ref="L60">INDEX('Nov 16-22'!J:J,MATCH($B60,'Nov 16-22'!$B:$B,0))</f>
        <v>0</v>
      </c>
      <c r="M60" s="17">
        <f t="shared" si="2"/>
        <v>0</v>
      </c>
      <c r="N60" s="17">
        <f t="shared" si="3"/>
        <v>0</v>
      </c>
      <c r="O60" s="17" t="str">
        <f t="shared" si="4"/>
        <v/>
      </c>
      <c r="P60" s="17">
        <f t="shared" si="5"/>
        <v>0</v>
      </c>
      <c r="Q60" s="17" t="str">
        <f t="shared" ref="Q60:R60" si="65">IFERROR(J60/I60,"")</f>
        <v/>
      </c>
      <c r="R60" s="17" t="str">
        <f t="shared" si="65"/>
        <v/>
      </c>
      <c r="S60" s="17">
        <f t="shared" si="7"/>
        <v>0</v>
      </c>
      <c r="T60" s="17" t="str">
        <f t="shared" si="8"/>
        <v/>
      </c>
    </row>
    <row r="61" spans="2:20" ht="12.75">
      <c r="B61" s="1" t="str">
        <f>'Nov 9-15'!B70</f>
        <v>322.5 Western Avenue Unit 2</v>
      </c>
      <c r="C61" s="29" t="str">
        <f t="array" ref="C61">INDEX('Nov 16-22'!C:C,MATCH($B61,'Nov 16-22'!$B:$B,0))</f>
        <v>Y</v>
      </c>
      <c r="D61" s="29">
        <f t="array" ref="D61">INDEX('Nov 16-22'!D:D,MATCH($B61,'Nov 16-22'!$B:$B,0))</f>
        <v>78</v>
      </c>
      <c r="E61" s="65">
        <f t="shared" si="0"/>
        <v>4</v>
      </c>
      <c r="F61" s="66">
        <f t="shared" si="1"/>
        <v>3.8613861386138613E-2</v>
      </c>
      <c r="G61" s="65">
        <f t="array" ref="G61">INDEX('Nov 16-22'!E:E,MATCH($B61,'Nov 16-22'!$B:$B,0))</f>
        <v>21</v>
      </c>
      <c r="H61" s="65">
        <f t="array" ref="H61">INDEX('Nov 16-22'!F:F,MATCH($B61,'Nov 16-22'!$B:$B,0))</f>
        <v>1</v>
      </c>
      <c r="I61" s="65">
        <f t="array" ref="I61">INDEX('Nov 16-22'!G:G,MATCH($B61,'Nov 16-22'!$B:$B,0))</f>
        <v>2</v>
      </c>
      <c r="J61" s="65">
        <f t="array" ref="J61">INDEX('Nov 16-22'!H:H,MATCH($B61,'Nov 16-22'!$B:$B,0))</f>
        <v>0</v>
      </c>
      <c r="K61" s="65">
        <f t="array" ref="K61">INDEX('Nov 16-22'!I:I,MATCH($B61,'Nov 16-22'!$B:$B,0))</f>
        <v>0</v>
      </c>
      <c r="L61" s="65">
        <f t="array" ref="L61">INDEX('Nov 16-22'!J:J,MATCH($B61,'Nov 16-22'!$B:$B,0))</f>
        <v>0</v>
      </c>
      <c r="M61" s="17">
        <f t="shared" si="2"/>
        <v>0.26923076923076922</v>
      </c>
      <c r="N61" s="17">
        <f t="shared" si="3"/>
        <v>2.564102564102564E-2</v>
      </c>
      <c r="O61" s="17">
        <f t="shared" si="4"/>
        <v>9.5238095238095233E-2</v>
      </c>
      <c r="P61" s="17">
        <f t="shared" si="5"/>
        <v>0</v>
      </c>
      <c r="Q61" s="17">
        <f t="shared" ref="Q61:R61" si="66">IFERROR(J61/I61,"")</f>
        <v>0</v>
      </c>
      <c r="R61" s="17" t="str">
        <f t="shared" si="66"/>
        <v/>
      </c>
      <c r="S61" s="17">
        <f t="shared" si="7"/>
        <v>0</v>
      </c>
      <c r="T61" s="17" t="str">
        <f t="shared" si="8"/>
        <v/>
      </c>
    </row>
    <row r="62" spans="2:20" ht="12.75">
      <c r="B62" s="1" t="str">
        <f>'Nov 9-15'!B36</f>
        <v>158 Magazine Street Unit 7</v>
      </c>
      <c r="C62" s="29" t="str">
        <f t="array" ref="C62">INDEX('Nov 16-22'!C:C,MATCH($B62,'Nov 16-22'!$B:$B,0))</f>
        <v>Y</v>
      </c>
      <c r="D62" s="29">
        <f t="array" ref="D62">INDEX('Nov 16-22'!D:D,MATCH($B62,'Nov 16-22'!$B:$B,0))</f>
        <v>53</v>
      </c>
      <c r="E62" s="65">
        <f t="shared" si="0"/>
        <v>10</v>
      </c>
      <c r="F62" s="66">
        <f t="shared" si="1"/>
        <v>2.6237623762376237E-2</v>
      </c>
      <c r="G62" s="65">
        <f t="array" ref="G62">INDEX('Nov 16-22'!E:E,MATCH($B62,'Nov 16-22'!$B:$B,0))</f>
        <v>13</v>
      </c>
      <c r="H62" s="65">
        <f t="array" ref="H62">INDEX('Nov 16-22'!F:F,MATCH($B62,'Nov 16-22'!$B:$B,0))</f>
        <v>4</v>
      </c>
      <c r="I62" s="65">
        <f t="array" ref="I62">INDEX('Nov 16-22'!G:G,MATCH($B62,'Nov 16-22'!$B:$B,0))</f>
        <v>2</v>
      </c>
      <c r="J62" s="65">
        <f t="array" ref="J62">INDEX('Nov 16-22'!H:H,MATCH($B62,'Nov 16-22'!$B:$B,0))</f>
        <v>1</v>
      </c>
      <c r="K62" s="65">
        <f t="array" ref="K62">INDEX('Nov 16-22'!I:I,MATCH($B62,'Nov 16-22'!$B:$B,0))</f>
        <v>0</v>
      </c>
      <c r="L62" s="65">
        <f t="array" ref="L62">INDEX('Nov 16-22'!J:J,MATCH($B62,'Nov 16-22'!$B:$B,0))</f>
        <v>0</v>
      </c>
      <c r="M62" s="17">
        <f t="shared" si="2"/>
        <v>0.24528301886792453</v>
      </c>
      <c r="N62" s="17">
        <f t="shared" si="3"/>
        <v>3.7735849056603772E-2</v>
      </c>
      <c r="O62" s="17">
        <f t="shared" si="4"/>
        <v>0.15384615384615385</v>
      </c>
      <c r="P62" s="17">
        <f t="shared" si="5"/>
        <v>1.8867924528301886E-2</v>
      </c>
      <c r="Q62" s="17">
        <f t="shared" ref="Q62:R62" si="67">IFERROR(J62/I62,"")</f>
        <v>0.5</v>
      </c>
      <c r="R62" s="17">
        <f t="shared" si="67"/>
        <v>0</v>
      </c>
      <c r="S62" s="17">
        <f t="shared" si="7"/>
        <v>0</v>
      </c>
      <c r="T62" s="17" t="str">
        <f t="shared" si="8"/>
        <v/>
      </c>
    </row>
    <row r="63" spans="2:20" ht="12.75">
      <c r="B63" s="1" t="str">
        <f>'Nov 9-15'!B71</f>
        <v>33 Merriam Street Unit 2</v>
      </c>
      <c r="C63" s="29" t="str">
        <f t="array" ref="C63">INDEX('Nov 16-22'!C:C,MATCH($B63,'Nov 16-22'!$B:$B,0))</f>
        <v>Y</v>
      </c>
      <c r="D63" s="29">
        <f t="array" ref="D63">INDEX('Nov 16-22'!D:D,MATCH($B63,'Nov 16-22'!$B:$B,0))</f>
        <v>48</v>
      </c>
      <c r="E63" s="65">
        <f t="shared" si="0"/>
        <v>12</v>
      </c>
      <c r="F63" s="66">
        <f t="shared" si="1"/>
        <v>2.3762376237623763E-2</v>
      </c>
      <c r="G63" s="65">
        <f t="array" ref="G63">INDEX('Nov 16-22'!E:E,MATCH($B63,'Nov 16-22'!$B:$B,0))</f>
        <v>13</v>
      </c>
      <c r="H63" s="65">
        <f t="array" ref="H63">INDEX('Nov 16-22'!F:F,MATCH($B63,'Nov 16-22'!$B:$B,0))</f>
        <v>2</v>
      </c>
      <c r="I63" s="65">
        <f t="array" ref="I63">INDEX('Nov 16-22'!G:G,MATCH($B63,'Nov 16-22'!$B:$B,0))</f>
        <v>0</v>
      </c>
      <c r="J63" s="65">
        <f t="array" ref="J63">INDEX('Nov 16-22'!H:H,MATCH($B63,'Nov 16-22'!$B:$B,0))</f>
        <v>0</v>
      </c>
      <c r="K63" s="65">
        <f t="array" ref="K63">INDEX('Nov 16-22'!I:I,MATCH($B63,'Nov 16-22'!$B:$B,0))</f>
        <v>0</v>
      </c>
      <c r="L63" s="65">
        <f t="array" ref="L63">INDEX('Nov 16-22'!J:J,MATCH($B63,'Nov 16-22'!$B:$B,0))</f>
        <v>0</v>
      </c>
      <c r="M63" s="17">
        <f t="shared" si="2"/>
        <v>0.27083333333333331</v>
      </c>
      <c r="N63" s="17">
        <f t="shared" si="3"/>
        <v>0</v>
      </c>
      <c r="O63" s="17">
        <f t="shared" si="4"/>
        <v>0</v>
      </c>
      <c r="P63" s="17">
        <f t="shared" si="5"/>
        <v>0</v>
      </c>
      <c r="Q63" s="17" t="str">
        <f t="shared" ref="Q63:R63" si="68">IFERROR(J63/I63,"")</f>
        <v/>
      </c>
      <c r="R63" s="17" t="str">
        <f t="shared" si="68"/>
        <v/>
      </c>
      <c r="S63" s="17">
        <f t="shared" si="7"/>
        <v>0</v>
      </c>
      <c r="T63" s="17" t="str">
        <f t="shared" si="8"/>
        <v/>
      </c>
    </row>
    <row r="64" spans="2:20" ht="12.75">
      <c r="B64" s="1" t="str">
        <f>'Nov 9-15'!B72</f>
        <v>34 Cherokee Street Unit 3</v>
      </c>
      <c r="C64" s="29" t="str">
        <f t="array" ref="C64">INDEX('Nov 16-22'!C:C,MATCH($B64,'Nov 16-22'!$B:$B,0))</f>
        <v>Y</v>
      </c>
      <c r="D64" s="29">
        <f t="array" ref="D64">INDEX('Nov 16-22'!D:D,MATCH($B64,'Nov 16-22'!$B:$B,0))</f>
        <v>48</v>
      </c>
      <c r="E64" s="65">
        <f t="shared" si="0"/>
        <v>12</v>
      </c>
      <c r="F64" s="66">
        <f t="shared" si="1"/>
        <v>2.3762376237623763E-2</v>
      </c>
      <c r="G64" s="65">
        <f t="array" ref="G64">INDEX('Nov 16-22'!E:E,MATCH($B64,'Nov 16-22'!$B:$B,0))</f>
        <v>16</v>
      </c>
      <c r="H64" s="65">
        <f t="array" ref="H64">INDEX('Nov 16-22'!F:F,MATCH($B64,'Nov 16-22'!$B:$B,0))</f>
        <v>0</v>
      </c>
      <c r="I64" s="65">
        <f t="array" ref="I64">INDEX('Nov 16-22'!G:G,MATCH($B64,'Nov 16-22'!$B:$B,0))</f>
        <v>6</v>
      </c>
      <c r="J64" s="65">
        <f t="array" ref="J64">INDEX('Nov 16-22'!H:H,MATCH($B64,'Nov 16-22'!$B:$B,0))</f>
        <v>0</v>
      </c>
      <c r="K64" s="65">
        <f t="array" ref="K64">INDEX('Nov 16-22'!I:I,MATCH($B64,'Nov 16-22'!$B:$B,0))</f>
        <v>0</v>
      </c>
      <c r="L64" s="65">
        <f t="array" ref="L64">INDEX('Nov 16-22'!J:J,MATCH($B64,'Nov 16-22'!$B:$B,0))</f>
        <v>0</v>
      </c>
      <c r="M64" s="17">
        <f t="shared" si="2"/>
        <v>0.33333333333333331</v>
      </c>
      <c r="N64" s="17">
        <f t="shared" si="3"/>
        <v>0.125</v>
      </c>
      <c r="O64" s="17">
        <f t="shared" si="4"/>
        <v>0.375</v>
      </c>
      <c r="P64" s="17">
        <f t="shared" si="5"/>
        <v>0</v>
      </c>
      <c r="Q64" s="17">
        <f t="shared" ref="Q64:R64" si="69">IFERROR(J64/I64,"")</f>
        <v>0</v>
      </c>
      <c r="R64" s="17" t="str">
        <f t="shared" si="69"/>
        <v/>
      </c>
      <c r="S64" s="17">
        <f t="shared" si="7"/>
        <v>0</v>
      </c>
      <c r="T64" s="17" t="str">
        <f t="shared" si="8"/>
        <v/>
      </c>
    </row>
    <row r="65" spans="2:20" ht="12.75">
      <c r="B65" s="1" t="str">
        <f>'Nov 9-15'!B8</f>
        <v>106 Hyde Park Avenue Unit 3</v>
      </c>
      <c r="C65" s="29" t="str">
        <f t="array" ref="C65">INDEX('Nov 16-22'!C:C,MATCH($B65,'Nov 16-22'!$B:$B,0))</f>
        <v>Y</v>
      </c>
      <c r="D65" s="29">
        <f t="array" ref="D65">INDEX('Nov 16-22'!D:D,MATCH($B65,'Nov 16-22'!$B:$B,0))</f>
        <v>15</v>
      </c>
      <c r="E65" s="65">
        <f t="shared" si="0"/>
        <v>44</v>
      </c>
      <c r="F65" s="66">
        <f t="shared" si="1"/>
        <v>7.4257425742574254E-3</v>
      </c>
      <c r="G65" s="65">
        <f t="array" ref="G65">INDEX('Nov 16-22'!E:E,MATCH($B65,'Nov 16-22'!$B:$B,0))</f>
        <v>7</v>
      </c>
      <c r="H65" s="65">
        <f t="array" ref="H65">INDEX('Nov 16-22'!F:F,MATCH($B65,'Nov 16-22'!$B:$B,0))</f>
        <v>1</v>
      </c>
      <c r="I65" s="65">
        <f t="array" ref="I65">INDEX('Nov 16-22'!G:G,MATCH($B65,'Nov 16-22'!$B:$B,0))</f>
        <v>2</v>
      </c>
      <c r="J65" s="65">
        <f t="array" ref="J65">INDEX('Nov 16-22'!H:H,MATCH($B65,'Nov 16-22'!$B:$B,0))</f>
        <v>0</v>
      </c>
      <c r="K65" s="65">
        <f t="array" ref="K65">INDEX('Nov 16-22'!I:I,MATCH($B65,'Nov 16-22'!$B:$B,0))</f>
        <v>0</v>
      </c>
      <c r="L65" s="65">
        <f t="array" ref="L65">INDEX('Nov 16-22'!J:J,MATCH($B65,'Nov 16-22'!$B:$B,0))</f>
        <v>0</v>
      </c>
      <c r="M65" s="17">
        <f t="shared" si="2"/>
        <v>0.46666666666666667</v>
      </c>
      <c r="N65" s="17">
        <f t="shared" si="3"/>
        <v>0.13333333333333333</v>
      </c>
      <c r="O65" s="17">
        <f t="shared" si="4"/>
        <v>0.2857142857142857</v>
      </c>
      <c r="P65" s="17">
        <f t="shared" si="5"/>
        <v>0</v>
      </c>
      <c r="Q65" s="17">
        <f t="shared" ref="Q65:R65" si="70">IFERROR(J65/I65,"")</f>
        <v>0</v>
      </c>
      <c r="R65" s="17" t="str">
        <f t="shared" si="70"/>
        <v/>
      </c>
      <c r="S65" s="17">
        <f t="shared" si="7"/>
        <v>0</v>
      </c>
      <c r="T65" s="17" t="str">
        <f t="shared" si="8"/>
        <v/>
      </c>
    </row>
    <row r="66" spans="2:20" ht="12.75">
      <c r="B66" s="1" t="str">
        <f>'Nov 9-15'!B73</f>
        <v>34 Circuit Street Unit 3</v>
      </c>
      <c r="C66" s="29" t="str">
        <f t="array" ref="C66">INDEX('Nov 16-22'!C:C,MATCH($B66,'Nov 16-22'!$B:$B,0))</f>
        <v>Y</v>
      </c>
      <c r="D66" s="29">
        <f t="array" ref="D66">INDEX('Nov 16-22'!D:D,MATCH($B66,'Nov 16-22'!$B:$B,0))</f>
        <v>11</v>
      </c>
      <c r="E66" s="65">
        <f t="shared" si="0"/>
        <v>57</v>
      </c>
      <c r="F66" s="66">
        <f t="shared" si="1"/>
        <v>5.4455445544554452E-3</v>
      </c>
      <c r="G66" s="65">
        <f t="array" ref="G66">INDEX('Nov 16-22'!E:E,MATCH($B66,'Nov 16-22'!$B:$B,0))</f>
        <v>4</v>
      </c>
      <c r="H66" s="65">
        <f t="array" ref="H66">INDEX('Nov 16-22'!F:F,MATCH($B66,'Nov 16-22'!$B:$B,0))</f>
        <v>0</v>
      </c>
      <c r="I66" s="65">
        <f t="array" ref="I66">INDEX('Nov 16-22'!G:G,MATCH($B66,'Nov 16-22'!$B:$B,0))</f>
        <v>0</v>
      </c>
      <c r="J66" s="65">
        <f t="array" ref="J66">INDEX('Nov 16-22'!H:H,MATCH($B66,'Nov 16-22'!$B:$B,0))</f>
        <v>0</v>
      </c>
      <c r="K66" s="65">
        <f t="array" ref="K66">INDEX('Nov 16-22'!I:I,MATCH($B66,'Nov 16-22'!$B:$B,0))</f>
        <v>0</v>
      </c>
      <c r="L66" s="65">
        <f t="array" ref="L66">INDEX('Nov 16-22'!J:J,MATCH($B66,'Nov 16-22'!$B:$B,0))</f>
        <v>0</v>
      </c>
      <c r="M66" s="17">
        <f t="shared" si="2"/>
        <v>0.36363636363636365</v>
      </c>
      <c r="N66" s="17">
        <f t="shared" si="3"/>
        <v>0</v>
      </c>
      <c r="O66" s="17">
        <f t="shared" si="4"/>
        <v>0</v>
      </c>
      <c r="P66" s="17">
        <f t="shared" si="5"/>
        <v>0</v>
      </c>
      <c r="Q66" s="17" t="str">
        <f t="shared" ref="Q66:R66" si="71">IFERROR(J66/I66,"")</f>
        <v/>
      </c>
      <c r="R66" s="17" t="str">
        <f t="shared" si="71"/>
        <v/>
      </c>
      <c r="S66" s="17">
        <f t="shared" si="7"/>
        <v>0</v>
      </c>
      <c r="T66" s="17" t="str">
        <f t="shared" si="8"/>
        <v/>
      </c>
    </row>
    <row r="67" spans="2:20" ht="12.75">
      <c r="B67" s="1" t="str">
        <f>'Nov 9-15'!B89</f>
        <v>49 Paulina Street Unit 2</v>
      </c>
      <c r="C67" s="29" t="str">
        <f t="array" ref="C67">INDEX('Nov 16-22'!C:C,MATCH($B67,'Nov 16-22'!$B:$B,0))</f>
        <v>N</v>
      </c>
      <c r="D67" s="29">
        <f t="array" ref="D67">INDEX('Nov 16-22'!D:D,MATCH($B67,'Nov 16-22'!$B:$B,0))</f>
        <v>0</v>
      </c>
      <c r="E67" s="65">
        <f t="shared" si="0"/>
        <v>92</v>
      </c>
      <c r="F67" s="66">
        <f t="shared" si="1"/>
        <v>0</v>
      </c>
      <c r="G67" s="65">
        <f t="array" ref="G67">INDEX('Nov 16-22'!E:E,MATCH($B67,'Nov 16-22'!$B:$B,0))</f>
        <v>0</v>
      </c>
      <c r="H67" s="65">
        <f t="array" ref="H67">INDEX('Nov 16-22'!F:F,MATCH($B67,'Nov 16-22'!$B:$B,0))</f>
        <v>0</v>
      </c>
      <c r="I67" s="65">
        <f t="array" ref="I67">INDEX('Nov 16-22'!G:G,MATCH($B67,'Nov 16-22'!$B:$B,0))</f>
        <v>0</v>
      </c>
      <c r="J67" s="65">
        <f t="array" ref="J67">INDEX('Nov 16-22'!H:H,MATCH($B67,'Nov 16-22'!$B:$B,0))</f>
        <v>0</v>
      </c>
      <c r="K67" s="65">
        <f t="array" ref="K67">INDEX('Nov 16-22'!I:I,MATCH($B67,'Nov 16-22'!$B:$B,0))</f>
        <v>0</v>
      </c>
      <c r="L67" s="65">
        <f t="array" ref="L67">INDEX('Nov 16-22'!J:J,MATCH($B67,'Nov 16-22'!$B:$B,0))</f>
        <v>0</v>
      </c>
      <c r="M67" s="17" t="str">
        <f t="shared" si="2"/>
        <v/>
      </c>
      <c r="N67" s="17" t="str">
        <f t="shared" si="3"/>
        <v/>
      </c>
      <c r="O67" s="17" t="str">
        <f t="shared" si="4"/>
        <v/>
      </c>
      <c r="P67" s="17" t="str">
        <f t="shared" si="5"/>
        <v/>
      </c>
      <c r="Q67" s="17" t="str">
        <f t="shared" ref="Q67:R67" si="72">IFERROR(J67/I67,"")</f>
        <v/>
      </c>
      <c r="R67" s="17" t="str">
        <f t="shared" si="72"/>
        <v/>
      </c>
      <c r="S67" s="17" t="str">
        <f t="shared" si="7"/>
        <v/>
      </c>
      <c r="T67" s="17" t="str">
        <f t="shared" si="8"/>
        <v/>
      </c>
    </row>
    <row r="68" spans="2:20" ht="12.75">
      <c r="B68" s="1" t="str">
        <f>'Nov 9-15'!B98</f>
        <v>76 King Street Unit 2</v>
      </c>
      <c r="C68" s="29" t="str">
        <f t="array" ref="C68">INDEX('Nov 16-22'!C:C,MATCH($B68,'Nov 16-22'!$B:$B,0))</f>
        <v>N</v>
      </c>
      <c r="D68" s="29">
        <f t="array" ref="D68">INDEX('Nov 16-22'!D:D,MATCH($B68,'Nov 16-22'!$B:$B,0))</f>
        <v>0</v>
      </c>
      <c r="E68" s="65">
        <f t="shared" si="0"/>
        <v>92</v>
      </c>
      <c r="F68" s="66">
        <f t="shared" si="1"/>
        <v>0</v>
      </c>
      <c r="G68" s="65">
        <f t="array" ref="G68">INDEX('Nov 16-22'!E:E,MATCH($B68,'Nov 16-22'!$B:$B,0))</f>
        <v>0</v>
      </c>
      <c r="H68" s="65">
        <f t="array" ref="H68">INDEX('Nov 16-22'!F:F,MATCH($B68,'Nov 16-22'!$B:$B,0))</f>
        <v>0</v>
      </c>
      <c r="I68" s="65">
        <f t="array" ref="I68">INDEX('Nov 16-22'!G:G,MATCH($B68,'Nov 16-22'!$B:$B,0))</f>
        <v>0</v>
      </c>
      <c r="J68" s="65">
        <f t="array" ref="J68">INDEX('Nov 16-22'!H:H,MATCH($B68,'Nov 16-22'!$B:$B,0))</f>
        <v>0</v>
      </c>
      <c r="K68" s="65">
        <f t="array" ref="K68">INDEX('Nov 16-22'!I:I,MATCH($B68,'Nov 16-22'!$B:$B,0))</f>
        <v>0</v>
      </c>
      <c r="L68" s="65">
        <f t="array" ref="L68">INDEX('Nov 16-22'!J:J,MATCH($B68,'Nov 16-22'!$B:$B,0))</f>
        <v>0</v>
      </c>
      <c r="M68" s="17" t="str">
        <f t="shared" si="2"/>
        <v/>
      </c>
      <c r="N68" s="17" t="str">
        <f t="shared" si="3"/>
        <v/>
      </c>
      <c r="O68" s="17" t="str">
        <f t="shared" si="4"/>
        <v/>
      </c>
      <c r="P68" s="17" t="str">
        <f t="shared" si="5"/>
        <v/>
      </c>
      <c r="Q68" s="17" t="str">
        <f t="shared" ref="Q68:R68" si="73">IFERROR(J68/I68,"")</f>
        <v/>
      </c>
      <c r="R68" s="17" t="str">
        <f t="shared" si="73"/>
        <v/>
      </c>
      <c r="S68" s="17" t="str">
        <f t="shared" si="7"/>
        <v/>
      </c>
      <c r="T68" s="17" t="str">
        <f t="shared" si="8"/>
        <v/>
      </c>
    </row>
    <row r="69" spans="2:20" ht="12.75">
      <c r="B69" s="1" t="str">
        <f>'Nov 9-15'!B14</f>
        <v>110 Hamilton Street Unit 3</v>
      </c>
      <c r="C69" s="29" t="str">
        <f t="array" ref="C69">INDEX('Nov 16-22'!C:C,MATCH($B69,'Nov 16-22'!$B:$B,0))</f>
        <v>N</v>
      </c>
      <c r="D69" s="29">
        <f t="array" ref="D69">INDEX('Nov 16-22'!D:D,MATCH($B69,'Nov 16-22'!$B:$B,0))</f>
        <v>2</v>
      </c>
      <c r="E69" s="65">
        <f t="shared" si="0"/>
        <v>84</v>
      </c>
      <c r="F69" s="66">
        <f t="shared" si="1"/>
        <v>9.9009900990099011E-4</v>
      </c>
      <c r="G69" s="65">
        <f t="array" ref="G69">INDEX('Nov 16-22'!E:E,MATCH($B69,'Nov 16-22'!$B:$B,0))</f>
        <v>0</v>
      </c>
      <c r="H69" s="65">
        <f t="array" ref="H69">INDEX('Nov 16-22'!F:F,MATCH($B69,'Nov 16-22'!$B:$B,0))</f>
        <v>0</v>
      </c>
      <c r="I69" s="65">
        <f t="array" ref="I69">INDEX('Nov 16-22'!G:G,MATCH($B69,'Nov 16-22'!$B:$B,0))</f>
        <v>0</v>
      </c>
      <c r="J69" s="65">
        <f t="array" ref="J69">INDEX('Nov 16-22'!H:H,MATCH($B69,'Nov 16-22'!$B:$B,0))</f>
        <v>0</v>
      </c>
      <c r="K69" s="65">
        <f t="array" ref="K69">INDEX('Nov 16-22'!I:I,MATCH($B69,'Nov 16-22'!$B:$B,0))</f>
        <v>0</v>
      </c>
      <c r="L69" s="65">
        <f t="array" ref="L69">INDEX('Nov 16-22'!J:J,MATCH($B69,'Nov 16-22'!$B:$B,0))</f>
        <v>0</v>
      </c>
      <c r="M69" s="17">
        <f t="shared" si="2"/>
        <v>0</v>
      </c>
      <c r="N69" s="17">
        <f t="shared" si="3"/>
        <v>0</v>
      </c>
      <c r="O69" s="17" t="str">
        <f t="shared" si="4"/>
        <v/>
      </c>
      <c r="P69" s="17">
        <f t="shared" si="5"/>
        <v>0</v>
      </c>
      <c r="Q69" s="17" t="str">
        <f t="shared" ref="Q69:R69" si="74">IFERROR(J69/I69,"")</f>
        <v/>
      </c>
      <c r="R69" s="17" t="str">
        <f t="shared" si="74"/>
        <v/>
      </c>
      <c r="S69" s="17">
        <f t="shared" si="7"/>
        <v>0</v>
      </c>
      <c r="T69" s="17" t="str">
        <f t="shared" si="8"/>
        <v/>
      </c>
    </row>
    <row r="70" spans="2:20" ht="12.75">
      <c r="B70" s="1" t="str">
        <f>'Nov 9-15'!B4</f>
        <v>1008 Tremont Street Unit 3</v>
      </c>
      <c r="C70" s="29" t="str">
        <f t="array" ref="C70">INDEX('Nov 16-22'!C:C,MATCH($B70,'Nov 16-22'!$B:$B,0))</f>
        <v>Y</v>
      </c>
      <c r="D70" s="29">
        <f t="array" ref="D70">INDEX('Nov 16-22'!D:D,MATCH($B70,'Nov 16-22'!$B:$B,0))</f>
        <v>13</v>
      </c>
      <c r="E70" s="65">
        <f t="shared" si="0"/>
        <v>50</v>
      </c>
      <c r="F70" s="66">
        <f t="shared" si="1"/>
        <v>6.4356435643564353E-3</v>
      </c>
      <c r="G70" s="65">
        <f t="array" ref="G70">INDEX('Nov 16-22'!E:E,MATCH($B70,'Nov 16-22'!$B:$B,0))</f>
        <v>1</v>
      </c>
      <c r="H70" s="65">
        <f t="array" ref="H70">INDEX('Nov 16-22'!F:F,MATCH($B70,'Nov 16-22'!$B:$B,0))</f>
        <v>0</v>
      </c>
      <c r="I70" s="65">
        <f t="array" ref="I70">INDEX('Nov 16-22'!G:G,MATCH($B70,'Nov 16-22'!$B:$B,0))</f>
        <v>0</v>
      </c>
      <c r="J70" s="65">
        <f t="array" ref="J70">INDEX('Nov 16-22'!H:H,MATCH($B70,'Nov 16-22'!$B:$B,0))</f>
        <v>0</v>
      </c>
      <c r="K70" s="65">
        <f t="array" ref="K70">INDEX('Nov 16-22'!I:I,MATCH($B70,'Nov 16-22'!$B:$B,0))</f>
        <v>0</v>
      </c>
      <c r="L70" s="65">
        <f t="array" ref="L70">INDEX('Nov 16-22'!J:J,MATCH($B70,'Nov 16-22'!$B:$B,0))</f>
        <v>0</v>
      </c>
      <c r="M70" s="17">
        <f t="shared" si="2"/>
        <v>7.6923076923076927E-2</v>
      </c>
      <c r="N70" s="17">
        <f t="shared" si="3"/>
        <v>0</v>
      </c>
      <c r="O70" s="17">
        <f t="shared" si="4"/>
        <v>0</v>
      </c>
      <c r="P70" s="17">
        <f t="shared" si="5"/>
        <v>0</v>
      </c>
      <c r="Q70" s="17" t="str">
        <f t="shared" ref="Q70:R70" si="75">IFERROR(J70/I70,"")</f>
        <v/>
      </c>
      <c r="R70" s="17" t="str">
        <f t="shared" si="75"/>
        <v/>
      </c>
      <c r="S70" s="17">
        <f t="shared" si="7"/>
        <v>0</v>
      </c>
      <c r="T70" s="17" t="str">
        <f t="shared" si="8"/>
        <v/>
      </c>
    </row>
    <row r="71" spans="2:20" ht="12.75">
      <c r="B71" s="1" t="str">
        <f>'Nov 9-15'!B87</f>
        <v>45 Crescent Avenue Unit 3</v>
      </c>
      <c r="C71" s="29" t="str">
        <f t="array" ref="C71">INDEX('Nov 16-22'!C:C,MATCH($B71,'Nov 16-22'!$B:$B,0))</f>
        <v>Y</v>
      </c>
      <c r="D71" s="29">
        <f t="array" ref="D71">INDEX('Nov 16-22'!D:D,MATCH($B71,'Nov 16-22'!$B:$B,0))</f>
        <v>16</v>
      </c>
      <c r="E71" s="65">
        <f t="shared" si="0"/>
        <v>42</v>
      </c>
      <c r="F71" s="66">
        <f t="shared" si="1"/>
        <v>7.9207920792079209E-3</v>
      </c>
      <c r="G71" s="65">
        <f t="array" ref="G71">INDEX('Nov 16-22'!E:E,MATCH($B71,'Nov 16-22'!$B:$B,0))</f>
        <v>0</v>
      </c>
      <c r="H71" s="65">
        <f t="array" ref="H71">INDEX('Nov 16-22'!F:F,MATCH($B71,'Nov 16-22'!$B:$B,0))</f>
        <v>1</v>
      </c>
      <c r="I71" s="65">
        <f t="array" ref="I71">INDEX('Nov 16-22'!G:G,MATCH($B71,'Nov 16-22'!$B:$B,0))</f>
        <v>1</v>
      </c>
      <c r="J71" s="65">
        <f t="array" ref="J71">INDEX('Nov 16-22'!H:H,MATCH($B71,'Nov 16-22'!$B:$B,0))</f>
        <v>0</v>
      </c>
      <c r="K71" s="65">
        <f t="array" ref="K71">INDEX('Nov 16-22'!I:I,MATCH($B71,'Nov 16-22'!$B:$B,0))</f>
        <v>0</v>
      </c>
      <c r="L71" s="65">
        <f t="array" ref="L71">INDEX('Nov 16-22'!J:J,MATCH($B71,'Nov 16-22'!$B:$B,0))</f>
        <v>0</v>
      </c>
      <c r="M71" s="17">
        <f t="shared" si="2"/>
        <v>0</v>
      </c>
      <c r="N71" s="17">
        <f t="shared" si="3"/>
        <v>6.25E-2</v>
      </c>
      <c r="O71" s="17" t="str">
        <f t="shared" si="4"/>
        <v/>
      </c>
      <c r="P71" s="17">
        <f t="shared" si="5"/>
        <v>0</v>
      </c>
      <c r="Q71" s="17">
        <f t="shared" ref="Q71:R71" si="76">IFERROR(J71/I71,"")</f>
        <v>0</v>
      </c>
      <c r="R71" s="17" t="str">
        <f t="shared" si="76"/>
        <v/>
      </c>
      <c r="S71" s="17">
        <f t="shared" si="7"/>
        <v>0</v>
      </c>
      <c r="T71" s="17" t="str">
        <f t="shared" si="8"/>
        <v/>
      </c>
    </row>
    <row r="72" spans="2:20" ht="12.75">
      <c r="B72" s="1" t="str">
        <f>'Nov 9-15'!B11</f>
        <v>108 Hyde Park Avenue Unit 3</v>
      </c>
      <c r="C72" s="29" t="str">
        <f t="array" ref="C72">INDEX('Nov 16-22'!C:C,MATCH($B72,'Nov 16-22'!$B:$B,0))</f>
        <v>Y</v>
      </c>
      <c r="D72" s="29">
        <f t="array" ref="D72">INDEX('Nov 16-22'!D:D,MATCH($B72,'Nov 16-22'!$B:$B,0))</f>
        <v>2</v>
      </c>
      <c r="E72" s="65">
        <f t="shared" si="0"/>
        <v>84</v>
      </c>
      <c r="F72" s="66">
        <f t="shared" si="1"/>
        <v>9.9009900990099011E-4</v>
      </c>
      <c r="G72" s="65">
        <f t="array" ref="G72">INDEX('Nov 16-22'!E:E,MATCH($B72,'Nov 16-22'!$B:$B,0))</f>
        <v>0</v>
      </c>
      <c r="H72" s="65">
        <f t="array" ref="H72">INDEX('Nov 16-22'!F:F,MATCH($B72,'Nov 16-22'!$B:$B,0))</f>
        <v>0</v>
      </c>
      <c r="I72" s="65">
        <f t="array" ref="I72">INDEX('Nov 16-22'!G:G,MATCH($B72,'Nov 16-22'!$B:$B,0))</f>
        <v>2</v>
      </c>
      <c r="J72" s="65">
        <f t="array" ref="J72">INDEX('Nov 16-22'!H:H,MATCH($B72,'Nov 16-22'!$B:$B,0))</f>
        <v>0</v>
      </c>
      <c r="K72" s="65">
        <f t="array" ref="K72">INDEX('Nov 16-22'!I:I,MATCH($B72,'Nov 16-22'!$B:$B,0))</f>
        <v>0</v>
      </c>
      <c r="L72" s="65">
        <f t="array" ref="L72">INDEX('Nov 16-22'!J:J,MATCH($B72,'Nov 16-22'!$B:$B,0))</f>
        <v>0</v>
      </c>
      <c r="M72" s="17">
        <f t="shared" si="2"/>
        <v>0</v>
      </c>
      <c r="N72" s="17">
        <f t="shared" si="3"/>
        <v>1</v>
      </c>
      <c r="O72" s="17" t="str">
        <f t="shared" si="4"/>
        <v/>
      </c>
      <c r="P72" s="17">
        <f t="shared" si="5"/>
        <v>0</v>
      </c>
      <c r="Q72" s="17">
        <f t="shared" ref="Q72:R72" si="77">IFERROR(J72/I72,"")</f>
        <v>0</v>
      </c>
      <c r="R72" s="17" t="str">
        <f t="shared" si="77"/>
        <v/>
      </c>
      <c r="S72" s="17">
        <f t="shared" si="7"/>
        <v>0</v>
      </c>
      <c r="T72" s="17" t="str">
        <f t="shared" si="8"/>
        <v/>
      </c>
    </row>
    <row r="73" spans="2:20" ht="12.75">
      <c r="B73" s="1" t="str">
        <f>'Nov 9-15'!B93</f>
        <v>5 Mark Street Unit 2</v>
      </c>
      <c r="C73" s="29" t="str">
        <f t="array" ref="C73">INDEX('Nov 16-22'!C:C,MATCH($B73,'Nov 16-22'!$B:$B,0))</f>
        <v>Y</v>
      </c>
      <c r="D73" s="29">
        <f t="array" ref="D73">INDEX('Nov 16-22'!D:D,MATCH($B73,'Nov 16-22'!$B:$B,0))</f>
        <v>113</v>
      </c>
      <c r="E73" s="65">
        <f t="shared" si="0"/>
        <v>1</v>
      </c>
      <c r="F73" s="66">
        <f t="shared" si="1"/>
        <v>5.5940594059405942E-2</v>
      </c>
      <c r="G73" s="65">
        <f t="array" ref="G73">INDEX('Nov 16-22'!E:E,MATCH($B73,'Nov 16-22'!$B:$B,0))</f>
        <v>21</v>
      </c>
      <c r="H73" s="65">
        <f t="array" ref="H73">INDEX('Nov 16-22'!F:F,MATCH($B73,'Nov 16-22'!$B:$B,0))</f>
        <v>3</v>
      </c>
      <c r="I73" s="65">
        <f t="array" ref="I73">INDEX('Nov 16-22'!G:G,MATCH($B73,'Nov 16-22'!$B:$B,0))</f>
        <v>1</v>
      </c>
      <c r="J73" s="65">
        <f t="array" ref="J73">INDEX('Nov 16-22'!H:H,MATCH($B73,'Nov 16-22'!$B:$B,0))</f>
        <v>0</v>
      </c>
      <c r="K73" s="65">
        <f t="array" ref="K73">INDEX('Nov 16-22'!I:I,MATCH($B73,'Nov 16-22'!$B:$B,0))</f>
        <v>0</v>
      </c>
      <c r="L73" s="65">
        <f t="array" ref="L73">INDEX('Nov 16-22'!J:J,MATCH($B73,'Nov 16-22'!$B:$B,0))</f>
        <v>0</v>
      </c>
      <c r="M73" s="17">
        <f t="shared" si="2"/>
        <v>0.18584070796460178</v>
      </c>
      <c r="N73" s="17">
        <f t="shared" si="3"/>
        <v>8.8495575221238937E-3</v>
      </c>
      <c r="O73" s="17">
        <f t="shared" si="4"/>
        <v>4.7619047619047616E-2</v>
      </c>
      <c r="P73" s="17">
        <f t="shared" si="5"/>
        <v>0</v>
      </c>
      <c r="Q73" s="17">
        <f t="shared" ref="Q73:R73" si="78">IFERROR(J73/I73,"")</f>
        <v>0</v>
      </c>
      <c r="R73" s="17" t="str">
        <f t="shared" si="78"/>
        <v/>
      </c>
      <c r="S73" s="17">
        <f t="shared" si="7"/>
        <v>0</v>
      </c>
      <c r="T73" s="17" t="str">
        <f t="shared" si="8"/>
        <v/>
      </c>
    </row>
    <row r="74" spans="2:20" ht="12.75">
      <c r="B74" s="1" t="str">
        <f>'Nov 9-15'!B39</f>
        <v>174 W 8th Street Unit 2</v>
      </c>
      <c r="C74" s="29" t="str">
        <f t="array" ref="C74">INDEX('Nov 16-22'!C:C,MATCH($B74,'Nov 16-22'!$B:$B,0))</f>
        <v>N</v>
      </c>
      <c r="D74" s="29">
        <f t="array" ref="D74">INDEX('Nov 16-22'!D:D,MATCH($B74,'Nov 16-22'!$B:$B,0))</f>
        <v>2</v>
      </c>
      <c r="E74" s="65">
        <f t="shared" si="0"/>
        <v>84</v>
      </c>
      <c r="F74" s="66">
        <f t="shared" si="1"/>
        <v>9.9009900990099011E-4</v>
      </c>
      <c r="G74" s="65">
        <f t="array" ref="G74">INDEX('Nov 16-22'!E:E,MATCH($B74,'Nov 16-22'!$B:$B,0))</f>
        <v>2</v>
      </c>
      <c r="H74" s="65">
        <f t="array" ref="H74">INDEX('Nov 16-22'!F:F,MATCH($B74,'Nov 16-22'!$B:$B,0))</f>
        <v>0</v>
      </c>
      <c r="I74" s="65">
        <f t="array" ref="I74">INDEX('Nov 16-22'!G:G,MATCH($B74,'Nov 16-22'!$B:$B,0))</f>
        <v>0</v>
      </c>
      <c r="J74" s="65">
        <f t="array" ref="J74">INDEX('Nov 16-22'!H:H,MATCH($B74,'Nov 16-22'!$B:$B,0))</f>
        <v>0</v>
      </c>
      <c r="K74" s="65">
        <f t="array" ref="K74">INDEX('Nov 16-22'!I:I,MATCH($B74,'Nov 16-22'!$B:$B,0))</f>
        <v>0</v>
      </c>
      <c r="L74" s="65">
        <f t="array" ref="L74">INDEX('Nov 16-22'!J:J,MATCH($B74,'Nov 16-22'!$B:$B,0))</f>
        <v>0</v>
      </c>
      <c r="M74" s="17">
        <f t="shared" si="2"/>
        <v>1</v>
      </c>
      <c r="N74" s="17">
        <f t="shared" si="3"/>
        <v>0</v>
      </c>
      <c r="O74" s="17">
        <f t="shared" si="4"/>
        <v>0</v>
      </c>
      <c r="P74" s="17">
        <f t="shared" si="5"/>
        <v>0</v>
      </c>
      <c r="Q74" s="17" t="str">
        <f t="shared" ref="Q74:R74" si="79">IFERROR(J74/I74,"")</f>
        <v/>
      </c>
      <c r="R74" s="17" t="str">
        <f t="shared" si="79"/>
        <v/>
      </c>
      <c r="S74" s="17">
        <f t="shared" si="7"/>
        <v>0</v>
      </c>
      <c r="T74" s="17" t="str">
        <f t="shared" si="8"/>
        <v/>
      </c>
    </row>
    <row r="75" spans="2:20" ht="12.75">
      <c r="B75" s="1" t="str">
        <f>'Nov 9-15'!B26</f>
        <v>146 Hillside Street Unit 1</v>
      </c>
      <c r="C75" s="29" t="str">
        <f t="array" ref="C75">INDEX('Nov 16-22'!C:C,MATCH($B75,'Nov 16-22'!$B:$B,0))</f>
        <v>Y</v>
      </c>
      <c r="D75" s="29">
        <f t="array" ref="D75">INDEX('Nov 16-22'!D:D,MATCH($B75,'Nov 16-22'!$B:$B,0))</f>
        <v>12</v>
      </c>
      <c r="E75" s="65">
        <f t="shared" si="0"/>
        <v>55</v>
      </c>
      <c r="F75" s="66">
        <f t="shared" si="1"/>
        <v>5.9405940594059407E-3</v>
      </c>
      <c r="G75" s="65">
        <f t="array" ref="G75">INDEX('Nov 16-22'!E:E,MATCH($B75,'Nov 16-22'!$B:$B,0))</f>
        <v>4</v>
      </c>
      <c r="H75" s="65">
        <f t="array" ref="H75">INDEX('Nov 16-22'!F:F,MATCH($B75,'Nov 16-22'!$B:$B,0))</f>
        <v>1</v>
      </c>
      <c r="I75" s="65">
        <f t="array" ref="I75">INDEX('Nov 16-22'!G:G,MATCH($B75,'Nov 16-22'!$B:$B,0))</f>
        <v>0</v>
      </c>
      <c r="J75" s="65">
        <f t="array" ref="J75">INDEX('Nov 16-22'!H:H,MATCH($B75,'Nov 16-22'!$B:$B,0))</f>
        <v>0</v>
      </c>
      <c r="K75" s="65">
        <f t="array" ref="K75">INDEX('Nov 16-22'!I:I,MATCH($B75,'Nov 16-22'!$B:$B,0))</f>
        <v>0</v>
      </c>
      <c r="L75" s="65">
        <f t="array" ref="L75">INDEX('Nov 16-22'!J:J,MATCH($B75,'Nov 16-22'!$B:$B,0))</f>
        <v>1</v>
      </c>
      <c r="M75" s="17">
        <f t="shared" si="2"/>
        <v>0.33333333333333331</v>
      </c>
      <c r="N75" s="17">
        <f t="shared" si="3"/>
        <v>0</v>
      </c>
      <c r="O75" s="17">
        <f t="shared" si="4"/>
        <v>0</v>
      </c>
      <c r="P75" s="17">
        <f t="shared" si="5"/>
        <v>0</v>
      </c>
      <c r="Q75" s="17" t="str">
        <f t="shared" ref="Q75:R75" si="80">IFERROR(J75/I75,"")</f>
        <v/>
      </c>
      <c r="R75" s="17" t="str">
        <f t="shared" si="80"/>
        <v/>
      </c>
      <c r="S75" s="17">
        <f t="shared" si="7"/>
        <v>8.3333333333333329E-2</v>
      </c>
      <c r="T75" s="17" t="str">
        <f t="shared" si="8"/>
        <v/>
      </c>
    </row>
    <row r="76" spans="2:20" ht="12.75">
      <c r="B76" s="1" t="str">
        <f>'Nov 9-15'!B5</f>
        <v>1008 Tremont Street Unit 6</v>
      </c>
      <c r="C76" s="29" t="str">
        <f t="array" ref="C76">INDEX('Nov 16-22'!C:C,MATCH($B76,'Nov 16-22'!$B:$B,0))</f>
        <v>N</v>
      </c>
      <c r="D76" s="29">
        <f t="array" ref="D76">INDEX('Nov 16-22'!D:D,MATCH($B76,'Nov 16-22'!$B:$B,0))</f>
        <v>0</v>
      </c>
      <c r="E76" s="65">
        <f t="shared" si="0"/>
        <v>92</v>
      </c>
      <c r="F76" s="66">
        <f t="shared" si="1"/>
        <v>0</v>
      </c>
      <c r="G76" s="65">
        <f t="array" ref="G76">INDEX('Nov 16-22'!E:E,MATCH($B76,'Nov 16-22'!$B:$B,0))</f>
        <v>0</v>
      </c>
      <c r="H76" s="65">
        <f t="array" ref="H76">INDEX('Nov 16-22'!F:F,MATCH($B76,'Nov 16-22'!$B:$B,0))</f>
        <v>0</v>
      </c>
      <c r="I76" s="65">
        <f t="array" ref="I76">INDEX('Nov 16-22'!G:G,MATCH($B76,'Nov 16-22'!$B:$B,0))</f>
        <v>0</v>
      </c>
      <c r="J76" s="65">
        <f t="array" ref="J76">INDEX('Nov 16-22'!H:H,MATCH($B76,'Nov 16-22'!$B:$B,0))</f>
        <v>0</v>
      </c>
      <c r="K76" s="65">
        <f t="array" ref="K76">INDEX('Nov 16-22'!I:I,MATCH($B76,'Nov 16-22'!$B:$B,0))</f>
        <v>0</v>
      </c>
      <c r="L76" s="65">
        <f t="array" ref="L76">INDEX('Nov 16-22'!J:J,MATCH($B76,'Nov 16-22'!$B:$B,0))</f>
        <v>0</v>
      </c>
      <c r="M76" s="17" t="str">
        <f t="shared" si="2"/>
        <v/>
      </c>
      <c r="N76" s="17" t="str">
        <f t="shared" si="3"/>
        <v/>
      </c>
      <c r="O76" s="17" t="str">
        <f t="shared" si="4"/>
        <v/>
      </c>
      <c r="P76" s="17" t="str">
        <f t="shared" si="5"/>
        <v/>
      </c>
      <c r="Q76" s="17" t="str">
        <f t="shared" ref="Q76:R76" si="81">IFERROR(J76/I76,"")</f>
        <v/>
      </c>
      <c r="R76" s="17" t="str">
        <f t="shared" si="81"/>
        <v/>
      </c>
      <c r="S76" s="17" t="str">
        <f t="shared" si="7"/>
        <v/>
      </c>
      <c r="T76" s="17" t="str">
        <f t="shared" si="8"/>
        <v/>
      </c>
    </row>
    <row r="77" spans="2:20" ht="12.75">
      <c r="B77" s="1" t="str">
        <f>'Nov 9-15'!B6</f>
        <v>101 Heath Street Unit 1</v>
      </c>
      <c r="C77" s="29" t="str">
        <f t="array" ref="C77">INDEX('Nov 16-22'!C:C,MATCH($B77,'Nov 16-22'!$B:$B,0))</f>
        <v>N</v>
      </c>
      <c r="D77" s="29">
        <f t="array" ref="D77">INDEX('Nov 16-22'!D:D,MATCH($B77,'Nov 16-22'!$B:$B,0))</f>
        <v>5</v>
      </c>
      <c r="E77" s="65">
        <f t="shared" si="0"/>
        <v>75</v>
      </c>
      <c r="F77" s="66">
        <f t="shared" si="1"/>
        <v>2.4752475247524753E-3</v>
      </c>
      <c r="G77" s="65">
        <f t="array" ref="G77">INDEX('Nov 16-22'!E:E,MATCH($B77,'Nov 16-22'!$B:$B,0))</f>
        <v>5</v>
      </c>
      <c r="H77" s="65">
        <f t="array" ref="H77">INDEX('Nov 16-22'!F:F,MATCH($B77,'Nov 16-22'!$B:$B,0))</f>
        <v>0</v>
      </c>
      <c r="I77" s="65">
        <f t="array" ref="I77">INDEX('Nov 16-22'!G:G,MATCH($B77,'Nov 16-22'!$B:$B,0))</f>
        <v>0</v>
      </c>
      <c r="J77" s="65">
        <f t="array" ref="J77">INDEX('Nov 16-22'!H:H,MATCH($B77,'Nov 16-22'!$B:$B,0))</f>
        <v>0</v>
      </c>
      <c r="K77" s="65">
        <f t="array" ref="K77">INDEX('Nov 16-22'!I:I,MATCH($B77,'Nov 16-22'!$B:$B,0))</f>
        <v>0</v>
      </c>
      <c r="L77" s="65">
        <f t="array" ref="L77">INDEX('Nov 16-22'!J:J,MATCH($B77,'Nov 16-22'!$B:$B,0))</f>
        <v>0</v>
      </c>
      <c r="M77" s="17">
        <f t="shared" si="2"/>
        <v>1</v>
      </c>
      <c r="N77" s="17">
        <f t="shared" si="3"/>
        <v>0</v>
      </c>
      <c r="O77" s="17">
        <f t="shared" si="4"/>
        <v>0</v>
      </c>
      <c r="P77" s="17">
        <f t="shared" si="5"/>
        <v>0</v>
      </c>
      <c r="Q77" s="17" t="str">
        <f t="shared" ref="Q77:R77" si="82">IFERROR(J77/I77,"")</f>
        <v/>
      </c>
      <c r="R77" s="17" t="str">
        <f t="shared" si="82"/>
        <v/>
      </c>
      <c r="S77" s="17">
        <f t="shared" si="7"/>
        <v>0</v>
      </c>
      <c r="T77" s="17" t="str">
        <f t="shared" si="8"/>
        <v/>
      </c>
    </row>
    <row r="78" spans="2:20" ht="12.75">
      <c r="B78" s="1" t="str">
        <f>'Nov 9-15'!B102</f>
        <v>8 Hardwick Terrace Unit 1</v>
      </c>
      <c r="C78" s="29" t="str">
        <f t="array" ref="C78">INDEX('Nov 16-22'!C:C,MATCH($B78,'Nov 16-22'!$B:$B,0))</f>
        <v>N</v>
      </c>
      <c r="D78" s="29">
        <f t="array" ref="D78">INDEX('Nov 16-22'!D:D,MATCH($B78,'Nov 16-22'!$B:$B,0))</f>
        <v>0</v>
      </c>
      <c r="E78" s="65">
        <f t="shared" si="0"/>
        <v>92</v>
      </c>
      <c r="F78" s="66">
        <f t="shared" si="1"/>
        <v>0</v>
      </c>
      <c r="G78" s="65">
        <f t="array" ref="G78">INDEX('Nov 16-22'!E:E,MATCH($B78,'Nov 16-22'!$B:$B,0))</f>
        <v>0</v>
      </c>
      <c r="H78" s="65">
        <f t="array" ref="H78">INDEX('Nov 16-22'!F:F,MATCH($B78,'Nov 16-22'!$B:$B,0))</f>
        <v>0</v>
      </c>
      <c r="I78" s="65">
        <f t="array" ref="I78">INDEX('Nov 16-22'!G:G,MATCH($B78,'Nov 16-22'!$B:$B,0))</f>
        <v>0</v>
      </c>
      <c r="J78" s="65">
        <f t="array" ref="J78">INDEX('Nov 16-22'!H:H,MATCH($B78,'Nov 16-22'!$B:$B,0))</f>
        <v>0</v>
      </c>
      <c r="K78" s="65">
        <f t="array" ref="K78">INDEX('Nov 16-22'!I:I,MATCH($B78,'Nov 16-22'!$B:$B,0))</f>
        <v>0</v>
      </c>
      <c r="L78" s="65">
        <f t="array" ref="L78">INDEX('Nov 16-22'!J:J,MATCH($B78,'Nov 16-22'!$B:$B,0))</f>
        <v>0</v>
      </c>
      <c r="M78" s="17" t="str">
        <f t="shared" si="2"/>
        <v/>
      </c>
      <c r="N78" s="17" t="str">
        <f t="shared" si="3"/>
        <v/>
      </c>
      <c r="O78" s="17" t="str">
        <f t="shared" si="4"/>
        <v/>
      </c>
      <c r="P78" s="17" t="str">
        <f t="shared" si="5"/>
        <v/>
      </c>
      <c r="Q78" s="17" t="str">
        <f t="shared" ref="Q78:R78" si="83">IFERROR(J78/I78,"")</f>
        <v/>
      </c>
      <c r="R78" s="17" t="str">
        <f t="shared" si="83"/>
        <v/>
      </c>
      <c r="S78" s="17" t="str">
        <f t="shared" si="7"/>
        <v/>
      </c>
      <c r="T78" s="17" t="str">
        <f t="shared" si="8"/>
        <v/>
      </c>
    </row>
    <row r="79" spans="2:20" ht="12.75">
      <c r="B79" s="1" t="str">
        <f>'Nov 9-15'!B105</f>
        <v>848 Huntington Avenue Unit 2</v>
      </c>
      <c r="C79" s="29" t="str">
        <f t="array" ref="C79">INDEX('Nov 16-22'!C:C,MATCH($B79,'Nov 16-22'!$B:$B,0))</f>
        <v>Y</v>
      </c>
      <c r="D79" s="29">
        <f t="array" ref="D79">INDEX('Nov 16-22'!D:D,MATCH($B79,'Nov 16-22'!$B:$B,0))</f>
        <v>58</v>
      </c>
      <c r="E79" s="65">
        <f t="shared" si="0"/>
        <v>8</v>
      </c>
      <c r="F79" s="66">
        <f t="shared" si="1"/>
        <v>2.8712871287128714E-2</v>
      </c>
      <c r="G79" s="65">
        <f t="array" ref="G79">INDEX('Nov 16-22'!E:E,MATCH($B79,'Nov 16-22'!$B:$B,0))</f>
        <v>10</v>
      </c>
      <c r="H79" s="65">
        <f t="array" ref="H79">INDEX('Nov 16-22'!F:F,MATCH($B79,'Nov 16-22'!$B:$B,0))</f>
        <v>3</v>
      </c>
      <c r="I79" s="65">
        <f t="array" ref="I79">INDEX('Nov 16-22'!G:G,MATCH($B79,'Nov 16-22'!$B:$B,0))</f>
        <v>3</v>
      </c>
      <c r="J79" s="65">
        <f t="array" ref="J79">INDEX('Nov 16-22'!H:H,MATCH($B79,'Nov 16-22'!$B:$B,0))</f>
        <v>0</v>
      </c>
      <c r="K79" s="65">
        <f t="array" ref="K79">INDEX('Nov 16-22'!I:I,MATCH($B79,'Nov 16-22'!$B:$B,0))</f>
        <v>0</v>
      </c>
      <c r="L79" s="65">
        <f t="array" ref="L79">INDEX('Nov 16-22'!J:J,MATCH($B79,'Nov 16-22'!$B:$B,0))</f>
        <v>0</v>
      </c>
      <c r="M79" s="17">
        <f t="shared" si="2"/>
        <v>0.17241379310344829</v>
      </c>
      <c r="N79" s="17">
        <f t="shared" si="3"/>
        <v>5.1724137931034482E-2</v>
      </c>
      <c r="O79" s="17">
        <f t="shared" si="4"/>
        <v>0.3</v>
      </c>
      <c r="P79" s="17">
        <f t="shared" si="5"/>
        <v>0</v>
      </c>
      <c r="Q79" s="17">
        <f t="shared" ref="Q79:R79" si="84">IFERROR(J79/I79,"")</f>
        <v>0</v>
      </c>
      <c r="R79" s="17" t="str">
        <f t="shared" si="84"/>
        <v/>
      </c>
      <c r="S79" s="17">
        <f t="shared" si="7"/>
        <v>0</v>
      </c>
      <c r="T79" s="17" t="str">
        <f t="shared" si="8"/>
        <v/>
      </c>
    </row>
    <row r="80" spans="2:20" ht="12.75">
      <c r="B80" s="1" t="str">
        <f>'Nov 9-15'!B92</f>
        <v>5 Mark Street Unit 1</v>
      </c>
      <c r="C80" s="29" t="str">
        <f t="array" ref="C80">INDEX('Nov 16-22'!C:C,MATCH($B80,'Nov 16-22'!$B:$B,0))</f>
        <v>Y</v>
      </c>
      <c r="D80" s="29">
        <f t="array" ref="D80">INDEX('Nov 16-22'!D:D,MATCH($B80,'Nov 16-22'!$B:$B,0))</f>
        <v>19</v>
      </c>
      <c r="E80" s="65">
        <f t="shared" si="0"/>
        <v>35</v>
      </c>
      <c r="F80" s="66">
        <f t="shared" si="1"/>
        <v>9.4059405940594056E-3</v>
      </c>
      <c r="G80" s="65">
        <f t="array" ref="G80">INDEX('Nov 16-22'!E:E,MATCH($B80,'Nov 16-22'!$B:$B,0))</f>
        <v>2</v>
      </c>
      <c r="H80" s="65">
        <f t="array" ref="H80">INDEX('Nov 16-22'!F:F,MATCH($B80,'Nov 16-22'!$B:$B,0))</f>
        <v>5</v>
      </c>
      <c r="I80" s="65">
        <f t="array" ref="I80">INDEX('Nov 16-22'!G:G,MATCH($B80,'Nov 16-22'!$B:$B,0))</f>
        <v>1</v>
      </c>
      <c r="J80" s="65">
        <f t="array" ref="J80">INDEX('Nov 16-22'!H:H,MATCH($B80,'Nov 16-22'!$B:$B,0))</f>
        <v>0</v>
      </c>
      <c r="K80" s="65">
        <f t="array" ref="K80">INDEX('Nov 16-22'!I:I,MATCH($B80,'Nov 16-22'!$B:$B,0))</f>
        <v>0</v>
      </c>
      <c r="L80" s="65">
        <f t="array" ref="L80">INDEX('Nov 16-22'!J:J,MATCH($B80,'Nov 16-22'!$B:$B,0))</f>
        <v>0</v>
      </c>
      <c r="M80" s="17">
        <f t="shared" si="2"/>
        <v>0.10526315789473684</v>
      </c>
      <c r="N80" s="17">
        <f t="shared" si="3"/>
        <v>5.2631578947368418E-2</v>
      </c>
      <c r="O80" s="17">
        <f t="shared" si="4"/>
        <v>0.5</v>
      </c>
      <c r="P80" s="17">
        <f t="shared" si="5"/>
        <v>0</v>
      </c>
      <c r="Q80" s="17">
        <f t="shared" ref="Q80:R80" si="85">IFERROR(J80/I80,"")</f>
        <v>0</v>
      </c>
      <c r="R80" s="17" t="str">
        <f t="shared" si="85"/>
        <v/>
      </c>
      <c r="S80" s="17">
        <f t="shared" si="7"/>
        <v>0</v>
      </c>
      <c r="T80" s="17" t="str">
        <f t="shared" si="8"/>
        <v/>
      </c>
    </row>
    <row r="81" spans="2:20" ht="12.75">
      <c r="B81" s="1" t="str">
        <f>'Nov 9-15'!B91</f>
        <v>5 Condor Street Unit 3</v>
      </c>
      <c r="C81" s="29" t="str">
        <f t="array" ref="C81">INDEX('Nov 16-22'!C:C,MATCH($B81,'Nov 16-22'!$B:$B,0))</f>
        <v>N</v>
      </c>
      <c r="D81" s="29">
        <f t="array" ref="D81">INDEX('Nov 16-22'!D:D,MATCH($B81,'Nov 16-22'!$B:$B,0))</f>
        <v>0</v>
      </c>
      <c r="E81" s="65">
        <f t="shared" si="0"/>
        <v>92</v>
      </c>
      <c r="F81" s="66">
        <f t="shared" si="1"/>
        <v>0</v>
      </c>
      <c r="G81" s="65">
        <f t="array" ref="G81">INDEX('Nov 16-22'!E:E,MATCH($B81,'Nov 16-22'!$B:$B,0))</f>
        <v>0</v>
      </c>
      <c r="H81" s="65">
        <f t="array" ref="H81">INDEX('Nov 16-22'!F:F,MATCH($B81,'Nov 16-22'!$B:$B,0))</f>
        <v>0</v>
      </c>
      <c r="I81" s="65">
        <f t="array" ref="I81">INDEX('Nov 16-22'!G:G,MATCH($B81,'Nov 16-22'!$B:$B,0))</f>
        <v>0</v>
      </c>
      <c r="J81" s="65">
        <f t="array" ref="J81">INDEX('Nov 16-22'!H:H,MATCH($B81,'Nov 16-22'!$B:$B,0))</f>
        <v>0</v>
      </c>
      <c r="K81" s="65">
        <f t="array" ref="K81">INDEX('Nov 16-22'!I:I,MATCH($B81,'Nov 16-22'!$B:$B,0))</f>
        <v>0</v>
      </c>
      <c r="L81" s="65">
        <f t="array" ref="L81">INDEX('Nov 16-22'!J:J,MATCH($B81,'Nov 16-22'!$B:$B,0))</f>
        <v>0</v>
      </c>
      <c r="M81" s="17" t="str">
        <f t="shared" si="2"/>
        <v/>
      </c>
      <c r="N81" s="17" t="str">
        <f t="shared" si="3"/>
        <v/>
      </c>
      <c r="O81" s="17" t="str">
        <f t="shared" si="4"/>
        <v/>
      </c>
      <c r="P81" s="17" t="str">
        <f t="shared" si="5"/>
        <v/>
      </c>
      <c r="Q81" s="17" t="str">
        <f t="shared" ref="Q81:R81" si="86">IFERROR(J81/I81,"")</f>
        <v/>
      </c>
      <c r="R81" s="17" t="str">
        <f t="shared" si="86"/>
        <v/>
      </c>
      <c r="S81" s="17" t="str">
        <f t="shared" si="7"/>
        <v/>
      </c>
      <c r="T81" s="17" t="str">
        <f t="shared" si="8"/>
        <v/>
      </c>
    </row>
    <row r="82" spans="2:20" ht="12.75">
      <c r="B82" s="1" t="str">
        <f>'Nov 9-15'!B25</f>
        <v>1410 Columbia Road Unit 5B</v>
      </c>
      <c r="C82" s="29" t="str">
        <f t="array" ref="C82">INDEX('Nov 16-22'!C:C,MATCH($B82,'Nov 16-22'!$B:$B,0))</f>
        <v>Y</v>
      </c>
      <c r="D82" s="29">
        <f t="array" ref="D82">INDEX('Nov 16-22'!D:D,MATCH($B82,'Nov 16-22'!$B:$B,0))</f>
        <v>11</v>
      </c>
      <c r="E82" s="65">
        <f t="shared" si="0"/>
        <v>57</v>
      </c>
      <c r="F82" s="66">
        <f t="shared" si="1"/>
        <v>5.4455445544554452E-3</v>
      </c>
      <c r="G82" s="65">
        <f t="array" ref="G82">INDEX('Nov 16-22'!E:E,MATCH($B82,'Nov 16-22'!$B:$B,0))</f>
        <v>1</v>
      </c>
      <c r="H82" s="65">
        <f t="array" ref="H82">INDEX('Nov 16-22'!F:F,MATCH($B82,'Nov 16-22'!$B:$B,0))</f>
        <v>0</v>
      </c>
      <c r="I82" s="65">
        <f t="array" ref="I82">INDEX('Nov 16-22'!G:G,MATCH($B82,'Nov 16-22'!$B:$B,0))</f>
        <v>0</v>
      </c>
      <c r="J82" s="65">
        <f t="array" ref="J82">INDEX('Nov 16-22'!H:H,MATCH($B82,'Nov 16-22'!$B:$B,0))</f>
        <v>0</v>
      </c>
      <c r="K82" s="65">
        <f t="array" ref="K82">INDEX('Nov 16-22'!I:I,MATCH($B82,'Nov 16-22'!$B:$B,0))</f>
        <v>0</v>
      </c>
      <c r="L82" s="65">
        <f t="array" ref="L82">INDEX('Nov 16-22'!J:J,MATCH($B82,'Nov 16-22'!$B:$B,0))</f>
        <v>0</v>
      </c>
      <c r="M82" s="17">
        <f t="shared" si="2"/>
        <v>9.0909090909090912E-2</v>
      </c>
      <c r="N82" s="17">
        <f t="shared" si="3"/>
        <v>0</v>
      </c>
      <c r="O82" s="17">
        <f t="shared" si="4"/>
        <v>0</v>
      </c>
      <c r="P82" s="17">
        <f t="shared" si="5"/>
        <v>0</v>
      </c>
      <c r="Q82" s="17" t="str">
        <f t="shared" ref="Q82:R82" si="87">IFERROR(J82/I82,"")</f>
        <v/>
      </c>
      <c r="R82" s="17" t="str">
        <f t="shared" si="87"/>
        <v/>
      </c>
      <c r="S82" s="17">
        <f t="shared" si="7"/>
        <v>0</v>
      </c>
      <c r="T82" s="17" t="str">
        <f t="shared" si="8"/>
        <v/>
      </c>
    </row>
    <row r="83" spans="2:20" ht="12.75">
      <c r="B83" s="1" t="str">
        <f>'Nov 9-15'!B60</f>
        <v>24 Ashford Street Unit 2</v>
      </c>
      <c r="C83" s="29" t="str">
        <f t="array" ref="C83">INDEX('Nov 16-22'!C:C,MATCH($B83,'Nov 16-22'!$B:$B,0))</f>
        <v>N</v>
      </c>
      <c r="D83" s="29">
        <f t="array" ref="D83">INDEX('Nov 16-22'!D:D,MATCH($B83,'Nov 16-22'!$B:$B,0))</f>
        <v>16</v>
      </c>
      <c r="E83" s="65">
        <f t="shared" si="0"/>
        <v>42</v>
      </c>
      <c r="F83" s="66">
        <f t="shared" si="1"/>
        <v>7.9207920792079209E-3</v>
      </c>
      <c r="G83" s="65">
        <f t="array" ref="G83">INDEX('Nov 16-22'!E:E,MATCH($B83,'Nov 16-22'!$B:$B,0))</f>
        <v>3</v>
      </c>
      <c r="H83" s="65">
        <f t="array" ref="H83">INDEX('Nov 16-22'!F:F,MATCH($B83,'Nov 16-22'!$B:$B,0))</f>
        <v>0</v>
      </c>
      <c r="I83" s="65">
        <f t="array" ref="I83">INDEX('Nov 16-22'!G:G,MATCH($B83,'Nov 16-22'!$B:$B,0))</f>
        <v>0</v>
      </c>
      <c r="J83" s="65">
        <f t="array" ref="J83">INDEX('Nov 16-22'!H:H,MATCH($B83,'Nov 16-22'!$B:$B,0))</f>
        <v>0</v>
      </c>
      <c r="K83" s="65">
        <f t="array" ref="K83">INDEX('Nov 16-22'!I:I,MATCH($B83,'Nov 16-22'!$B:$B,0))</f>
        <v>0</v>
      </c>
      <c r="L83" s="65">
        <f t="array" ref="L83">INDEX('Nov 16-22'!J:J,MATCH($B83,'Nov 16-22'!$B:$B,0))</f>
        <v>0</v>
      </c>
      <c r="M83" s="17">
        <f t="shared" si="2"/>
        <v>0.1875</v>
      </c>
      <c r="N83" s="17">
        <f t="shared" si="3"/>
        <v>0</v>
      </c>
      <c r="O83" s="17">
        <f t="shared" si="4"/>
        <v>0</v>
      </c>
      <c r="P83" s="17">
        <f t="shared" si="5"/>
        <v>0</v>
      </c>
      <c r="Q83" s="17" t="str">
        <f t="shared" ref="Q83:R83" si="88">IFERROR(J83/I83,"")</f>
        <v/>
      </c>
      <c r="R83" s="17" t="str">
        <f t="shared" si="88"/>
        <v/>
      </c>
      <c r="S83" s="17">
        <f t="shared" si="7"/>
        <v>0</v>
      </c>
      <c r="T83" s="17" t="str">
        <f t="shared" si="8"/>
        <v/>
      </c>
    </row>
    <row r="84" spans="2:20" ht="12.75">
      <c r="B84" s="1" t="str">
        <f>'Nov 9-15'!B52</f>
        <v>20 Reedsdale Street</v>
      </c>
      <c r="C84" s="29" t="str">
        <f t="array" ref="C84">INDEX('Nov 16-22'!C:C,MATCH($B84,'Nov 16-22'!$B:$B,0))</f>
        <v>Y</v>
      </c>
      <c r="D84" s="29">
        <f t="array" ref="D84">INDEX('Nov 16-22'!D:D,MATCH($B84,'Nov 16-22'!$B:$B,0))</f>
        <v>13</v>
      </c>
      <c r="E84" s="65">
        <f t="shared" si="0"/>
        <v>50</v>
      </c>
      <c r="F84" s="66">
        <f t="shared" si="1"/>
        <v>6.4356435643564353E-3</v>
      </c>
      <c r="G84" s="65">
        <f t="array" ref="G84">INDEX('Nov 16-22'!E:E,MATCH($B84,'Nov 16-22'!$B:$B,0))</f>
        <v>7</v>
      </c>
      <c r="H84" s="65">
        <f t="array" ref="H84">INDEX('Nov 16-22'!F:F,MATCH($B84,'Nov 16-22'!$B:$B,0))</f>
        <v>0</v>
      </c>
      <c r="I84" s="65">
        <f t="array" ref="I84">INDEX('Nov 16-22'!G:G,MATCH($B84,'Nov 16-22'!$B:$B,0))</f>
        <v>0</v>
      </c>
      <c r="J84" s="65">
        <f t="array" ref="J84">INDEX('Nov 16-22'!H:H,MATCH($B84,'Nov 16-22'!$B:$B,0))</f>
        <v>0</v>
      </c>
      <c r="K84" s="65">
        <f t="array" ref="K84">INDEX('Nov 16-22'!I:I,MATCH($B84,'Nov 16-22'!$B:$B,0))</f>
        <v>0</v>
      </c>
      <c r="L84" s="65">
        <f t="array" ref="L84">INDEX('Nov 16-22'!J:J,MATCH($B84,'Nov 16-22'!$B:$B,0))</f>
        <v>0</v>
      </c>
      <c r="M84" s="17">
        <f t="shared" si="2"/>
        <v>0.53846153846153844</v>
      </c>
      <c r="N84" s="17">
        <f t="shared" si="3"/>
        <v>0</v>
      </c>
      <c r="O84" s="17">
        <f t="shared" si="4"/>
        <v>0</v>
      </c>
      <c r="P84" s="17">
        <f t="shared" si="5"/>
        <v>0</v>
      </c>
      <c r="Q84" s="17" t="str">
        <f t="shared" ref="Q84:R84" si="89">IFERROR(J84/I84,"")</f>
        <v/>
      </c>
      <c r="R84" s="17" t="str">
        <f t="shared" si="89"/>
        <v/>
      </c>
      <c r="S84" s="17">
        <f t="shared" si="7"/>
        <v>0</v>
      </c>
      <c r="T84" s="17" t="str">
        <f t="shared" si="8"/>
        <v/>
      </c>
    </row>
    <row r="85" spans="2:20" ht="12.75">
      <c r="B85" s="1" t="str">
        <f>'Nov 9-15'!B101</f>
        <v>8 Elko Street Unit 6</v>
      </c>
      <c r="C85" s="29" t="str">
        <f t="array" ref="C85">INDEX('Nov 16-22'!C:C,MATCH($B85,'Nov 16-22'!$B:$B,0))</f>
        <v>N</v>
      </c>
      <c r="D85" s="29">
        <f t="array" ref="D85">INDEX('Nov 16-22'!D:D,MATCH($B85,'Nov 16-22'!$B:$B,0))</f>
        <v>0</v>
      </c>
      <c r="E85" s="65">
        <f t="shared" si="0"/>
        <v>92</v>
      </c>
      <c r="F85" s="66">
        <f t="shared" si="1"/>
        <v>0</v>
      </c>
      <c r="G85" s="65">
        <f t="array" ref="G85">INDEX('Nov 16-22'!E:E,MATCH($B85,'Nov 16-22'!$B:$B,0))</f>
        <v>0</v>
      </c>
      <c r="H85" s="65">
        <f t="array" ref="H85">INDEX('Nov 16-22'!F:F,MATCH($B85,'Nov 16-22'!$B:$B,0))</f>
        <v>0</v>
      </c>
      <c r="I85" s="65">
        <f t="array" ref="I85">INDEX('Nov 16-22'!G:G,MATCH($B85,'Nov 16-22'!$B:$B,0))</f>
        <v>0</v>
      </c>
      <c r="J85" s="65">
        <f t="array" ref="J85">INDEX('Nov 16-22'!H:H,MATCH($B85,'Nov 16-22'!$B:$B,0))</f>
        <v>0</v>
      </c>
      <c r="K85" s="65">
        <f t="array" ref="K85">INDEX('Nov 16-22'!I:I,MATCH($B85,'Nov 16-22'!$B:$B,0))</f>
        <v>0</v>
      </c>
      <c r="L85" s="65">
        <f t="array" ref="L85">INDEX('Nov 16-22'!J:J,MATCH($B85,'Nov 16-22'!$B:$B,0))</f>
        <v>0</v>
      </c>
      <c r="M85" s="17" t="str">
        <f t="shared" si="2"/>
        <v/>
      </c>
      <c r="N85" s="17" t="str">
        <f t="shared" si="3"/>
        <v/>
      </c>
      <c r="O85" s="17" t="str">
        <f t="shared" si="4"/>
        <v/>
      </c>
      <c r="P85" s="17" t="str">
        <f t="shared" si="5"/>
        <v/>
      </c>
      <c r="Q85" s="17" t="str">
        <f t="shared" ref="Q85:R85" si="90">IFERROR(J85/I85,"")</f>
        <v/>
      </c>
      <c r="R85" s="17" t="str">
        <f t="shared" si="90"/>
        <v/>
      </c>
      <c r="S85" s="17" t="str">
        <f t="shared" si="7"/>
        <v/>
      </c>
      <c r="T85" s="17" t="str">
        <f t="shared" si="8"/>
        <v/>
      </c>
    </row>
    <row r="86" spans="2:20" ht="12.75">
      <c r="B86" s="1" t="str">
        <f>'Nov 9-15'!B43</f>
        <v>18 Mount Hood Road Unit 2</v>
      </c>
      <c r="C86" s="29" t="str">
        <f t="array" ref="C86">INDEX('Nov 16-22'!C:C,MATCH($B86,'Nov 16-22'!$B:$B,0))</f>
        <v>N</v>
      </c>
      <c r="D86" s="29">
        <f t="array" ref="D86">INDEX('Nov 16-22'!D:D,MATCH($B86,'Nov 16-22'!$B:$B,0))</f>
        <v>6</v>
      </c>
      <c r="E86" s="65">
        <f t="shared" si="0"/>
        <v>71</v>
      </c>
      <c r="F86" s="66">
        <f t="shared" si="1"/>
        <v>2.9702970297029703E-3</v>
      </c>
      <c r="G86" s="65">
        <f t="array" ref="G86">INDEX('Nov 16-22'!E:E,MATCH($B86,'Nov 16-22'!$B:$B,0))</f>
        <v>6</v>
      </c>
      <c r="H86" s="65">
        <f t="array" ref="H86">INDEX('Nov 16-22'!F:F,MATCH($B86,'Nov 16-22'!$B:$B,0))</f>
        <v>0</v>
      </c>
      <c r="I86" s="65">
        <f t="array" ref="I86">INDEX('Nov 16-22'!G:G,MATCH($B86,'Nov 16-22'!$B:$B,0))</f>
        <v>0</v>
      </c>
      <c r="J86" s="65">
        <f t="array" ref="J86">INDEX('Nov 16-22'!H:H,MATCH($B86,'Nov 16-22'!$B:$B,0))</f>
        <v>0</v>
      </c>
      <c r="K86" s="65">
        <f t="array" ref="K86">INDEX('Nov 16-22'!I:I,MATCH($B86,'Nov 16-22'!$B:$B,0))</f>
        <v>0</v>
      </c>
      <c r="L86" s="65">
        <f t="array" ref="L86">INDEX('Nov 16-22'!J:J,MATCH($B86,'Nov 16-22'!$B:$B,0))</f>
        <v>0</v>
      </c>
      <c r="M86" s="17">
        <f t="shared" si="2"/>
        <v>1</v>
      </c>
      <c r="N86" s="17">
        <f t="shared" si="3"/>
        <v>0</v>
      </c>
      <c r="O86" s="17">
        <f t="shared" si="4"/>
        <v>0</v>
      </c>
      <c r="P86" s="17">
        <f t="shared" si="5"/>
        <v>0</v>
      </c>
      <c r="Q86" s="17" t="str">
        <f t="shared" ref="Q86:R86" si="91">IFERROR(J86/I86,"")</f>
        <v/>
      </c>
      <c r="R86" s="17" t="str">
        <f t="shared" si="91"/>
        <v/>
      </c>
      <c r="S86" s="17">
        <f t="shared" si="7"/>
        <v>0</v>
      </c>
      <c r="T86" s="17" t="str">
        <f t="shared" si="8"/>
        <v/>
      </c>
    </row>
    <row r="87" spans="2:20" ht="12.75">
      <c r="B87" s="1" t="str">
        <f>'Nov 9-15'!B97</f>
        <v>7 Grant Street Unit 2</v>
      </c>
      <c r="C87" s="29" t="str">
        <f t="array" ref="C87">INDEX('Nov 16-22'!C:C,MATCH($B87,'Nov 16-22'!$B:$B,0))</f>
        <v>Y</v>
      </c>
      <c r="D87" s="29">
        <f t="array" ref="D87">INDEX('Nov 16-22'!D:D,MATCH($B87,'Nov 16-22'!$B:$B,0))</f>
        <v>12</v>
      </c>
      <c r="E87" s="65">
        <f t="shared" si="0"/>
        <v>55</v>
      </c>
      <c r="F87" s="66">
        <f t="shared" si="1"/>
        <v>5.9405940594059407E-3</v>
      </c>
      <c r="G87" s="65">
        <f t="array" ref="G87">INDEX('Nov 16-22'!E:E,MATCH($B87,'Nov 16-22'!$B:$B,0))</f>
        <v>4</v>
      </c>
      <c r="H87" s="65">
        <f t="array" ref="H87">INDEX('Nov 16-22'!F:F,MATCH($B87,'Nov 16-22'!$B:$B,0))</f>
        <v>0</v>
      </c>
      <c r="I87" s="65">
        <f t="array" ref="I87">INDEX('Nov 16-22'!G:G,MATCH($B87,'Nov 16-22'!$B:$B,0))</f>
        <v>0</v>
      </c>
      <c r="J87" s="65">
        <f t="array" ref="J87">INDEX('Nov 16-22'!H:H,MATCH($B87,'Nov 16-22'!$B:$B,0))</f>
        <v>0</v>
      </c>
      <c r="K87" s="65">
        <f t="array" ref="K87">INDEX('Nov 16-22'!I:I,MATCH($B87,'Nov 16-22'!$B:$B,0))</f>
        <v>0</v>
      </c>
      <c r="L87" s="65">
        <f t="array" ref="L87">INDEX('Nov 16-22'!J:J,MATCH($B87,'Nov 16-22'!$B:$B,0))</f>
        <v>0</v>
      </c>
      <c r="M87" s="17">
        <f t="shared" si="2"/>
        <v>0.33333333333333331</v>
      </c>
      <c r="N87" s="17">
        <f t="shared" si="3"/>
        <v>0</v>
      </c>
      <c r="O87" s="17">
        <f t="shared" si="4"/>
        <v>0</v>
      </c>
      <c r="P87" s="17">
        <f t="shared" si="5"/>
        <v>0</v>
      </c>
      <c r="Q87" s="17" t="str">
        <f t="shared" ref="Q87:R87" si="92">IFERROR(J87/I87,"")</f>
        <v/>
      </c>
      <c r="R87" s="17" t="str">
        <f t="shared" si="92"/>
        <v/>
      </c>
      <c r="S87" s="17">
        <f t="shared" si="7"/>
        <v>0</v>
      </c>
      <c r="T87" s="17" t="str">
        <f t="shared" si="8"/>
        <v/>
      </c>
    </row>
    <row r="88" spans="2:20" ht="12.75">
      <c r="B88" s="1" t="str">
        <f>'Nov 9-15'!B31</f>
        <v>1578 Beacon Street Unit 7</v>
      </c>
      <c r="C88" s="29" t="str">
        <f t="array" ref="C88">INDEX('Nov 16-22'!C:C,MATCH($B88,'Nov 16-22'!$B:$B,0))</f>
        <v>Y</v>
      </c>
      <c r="D88" s="29">
        <f t="array" ref="D88">INDEX('Nov 16-22'!D:D,MATCH($B88,'Nov 16-22'!$B:$B,0))</f>
        <v>31</v>
      </c>
      <c r="E88" s="65">
        <f t="shared" si="0"/>
        <v>19</v>
      </c>
      <c r="F88" s="66">
        <f t="shared" si="1"/>
        <v>1.5346534653465346E-2</v>
      </c>
      <c r="G88" s="65">
        <f t="array" ref="G88">INDEX('Nov 16-22'!E:E,MATCH($B88,'Nov 16-22'!$B:$B,0))</f>
        <v>3</v>
      </c>
      <c r="H88" s="65">
        <f t="array" ref="H88">INDEX('Nov 16-22'!F:F,MATCH($B88,'Nov 16-22'!$B:$B,0))</f>
        <v>2</v>
      </c>
      <c r="I88" s="65">
        <f t="array" ref="I88">INDEX('Nov 16-22'!G:G,MATCH($B88,'Nov 16-22'!$B:$B,0))</f>
        <v>2</v>
      </c>
      <c r="J88" s="65">
        <f t="array" ref="J88">INDEX('Nov 16-22'!H:H,MATCH($B88,'Nov 16-22'!$B:$B,0))</f>
        <v>0</v>
      </c>
      <c r="K88" s="65">
        <f t="array" ref="K88">INDEX('Nov 16-22'!I:I,MATCH($B88,'Nov 16-22'!$B:$B,0))</f>
        <v>0</v>
      </c>
      <c r="L88" s="65">
        <f t="array" ref="L88">INDEX('Nov 16-22'!J:J,MATCH($B88,'Nov 16-22'!$B:$B,0))</f>
        <v>0</v>
      </c>
      <c r="M88" s="17">
        <f t="shared" si="2"/>
        <v>9.6774193548387094E-2</v>
      </c>
      <c r="N88" s="17">
        <f t="shared" si="3"/>
        <v>6.4516129032258063E-2</v>
      </c>
      <c r="O88" s="17">
        <f t="shared" si="4"/>
        <v>0.66666666666666663</v>
      </c>
      <c r="P88" s="17">
        <f t="shared" si="5"/>
        <v>0</v>
      </c>
      <c r="Q88" s="17">
        <f t="shared" ref="Q88:R88" si="93">IFERROR(J88/I88,"")</f>
        <v>0</v>
      </c>
      <c r="R88" s="17" t="str">
        <f t="shared" si="93"/>
        <v/>
      </c>
      <c r="S88" s="17">
        <f t="shared" si="7"/>
        <v>0</v>
      </c>
      <c r="T88" s="17" t="str">
        <f t="shared" si="8"/>
        <v/>
      </c>
    </row>
    <row r="89" spans="2:20" ht="12.75">
      <c r="B89" s="1" t="str">
        <f>'Nov 9-15'!B74</f>
        <v>348 E 8th Street Unit 1</v>
      </c>
      <c r="C89" s="29" t="str">
        <f t="array" ref="C89">INDEX('Nov 16-22'!C:C,MATCH($B89,'Nov 16-22'!$B:$B,0))</f>
        <v>Y</v>
      </c>
      <c r="D89" s="29">
        <f t="array" ref="D89">INDEX('Nov 16-22'!D:D,MATCH($B89,'Nov 16-22'!$B:$B,0))</f>
        <v>3</v>
      </c>
      <c r="E89" s="65">
        <f t="shared" si="0"/>
        <v>82</v>
      </c>
      <c r="F89" s="66">
        <f t="shared" si="1"/>
        <v>1.4851485148514852E-3</v>
      </c>
      <c r="G89" s="65">
        <f t="array" ref="G89">INDEX('Nov 16-22'!E:E,MATCH($B89,'Nov 16-22'!$B:$B,0))</f>
        <v>0</v>
      </c>
      <c r="H89" s="65">
        <f t="array" ref="H89">INDEX('Nov 16-22'!F:F,MATCH($B89,'Nov 16-22'!$B:$B,0))</f>
        <v>0</v>
      </c>
      <c r="I89" s="65">
        <f t="array" ref="I89">INDEX('Nov 16-22'!G:G,MATCH($B89,'Nov 16-22'!$B:$B,0))</f>
        <v>0</v>
      </c>
      <c r="J89" s="65">
        <f t="array" ref="J89">INDEX('Nov 16-22'!H:H,MATCH($B89,'Nov 16-22'!$B:$B,0))</f>
        <v>0</v>
      </c>
      <c r="K89" s="65">
        <f t="array" ref="K89">INDEX('Nov 16-22'!I:I,MATCH($B89,'Nov 16-22'!$B:$B,0))</f>
        <v>0</v>
      </c>
      <c r="L89" s="65">
        <f t="array" ref="L89">INDEX('Nov 16-22'!J:J,MATCH($B89,'Nov 16-22'!$B:$B,0))</f>
        <v>0</v>
      </c>
      <c r="M89" s="17">
        <f t="shared" si="2"/>
        <v>0</v>
      </c>
      <c r="N89" s="17">
        <f t="shared" si="3"/>
        <v>0</v>
      </c>
      <c r="O89" s="17" t="str">
        <f t="shared" si="4"/>
        <v/>
      </c>
      <c r="P89" s="17">
        <f t="shared" si="5"/>
        <v>0</v>
      </c>
      <c r="Q89" s="17" t="str">
        <f t="shared" ref="Q89:R89" si="94">IFERROR(J89/I89,"")</f>
        <v/>
      </c>
      <c r="R89" s="17" t="str">
        <f t="shared" si="94"/>
        <v/>
      </c>
      <c r="S89" s="17">
        <f t="shared" si="7"/>
        <v>0</v>
      </c>
      <c r="T89" s="17" t="str">
        <f t="shared" si="8"/>
        <v/>
      </c>
    </row>
    <row r="90" spans="2:20" ht="12.75">
      <c r="B90" s="1" t="str">
        <f>'Nov 9-15'!B50</f>
        <v>2 Montfern Avenue Unit 2</v>
      </c>
      <c r="C90" s="29" t="str">
        <f t="array" ref="C90">INDEX('Nov 16-22'!C:C,MATCH($B90,'Nov 16-22'!$B:$B,0))</f>
        <v>Y</v>
      </c>
      <c r="D90" s="29">
        <f t="array" ref="D90">INDEX('Nov 16-22'!D:D,MATCH($B90,'Nov 16-22'!$B:$B,0))</f>
        <v>22</v>
      </c>
      <c r="E90" s="65">
        <f t="shared" si="0"/>
        <v>25</v>
      </c>
      <c r="F90" s="66">
        <f t="shared" si="1"/>
        <v>1.089108910891089E-2</v>
      </c>
      <c r="G90" s="65">
        <f t="array" ref="G90">INDEX('Nov 16-22'!E:E,MATCH($B90,'Nov 16-22'!$B:$B,0))</f>
        <v>6</v>
      </c>
      <c r="H90" s="65">
        <f t="array" ref="H90">INDEX('Nov 16-22'!F:F,MATCH($B90,'Nov 16-22'!$B:$B,0))</f>
        <v>2</v>
      </c>
      <c r="I90" s="65">
        <f t="array" ref="I90">INDEX('Nov 16-22'!G:G,MATCH($B90,'Nov 16-22'!$B:$B,0))</f>
        <v>0</v>
      </c>
      <c r="J90" s="65">
        <f t="array" ref="J90">INDEX('Nov 16-22'!H:H,MATCH($B90,'Nov 16-22'!$B:$B,0))</f>
        <v>0</v>
      </c>
      <c r="K90" s="65">
        <f t="array" ref="K90">INDEX('Nov 16-22'!I:I,MATCH($B90,'Nov 16-22'!$B:$B,0))</f>
        <v>0</v>
      </c>
      <c r="L90" s="65">
        <f t="array" ref="L90">INDEX('Nov 16-22'!J:J,MATCH($B90,'Nov 16-22'!$B:$B,0))</f>
        <v>0</v>
      </c>
      <c r="M90" s="17">
        <f t="shared" si="2"/>
        <v>0.27272727272727271</v>
      </c>
      <c r="N90" s="17">
        <f t="shared" si="3"/>
        <v>0</v>
      </c>
      <c r="O90" s="17">
        <f t="shared" si="4"/>
        <v>0</v>
      </c>
      <c r="P90" s="17">
        <f t="shared" si="5"/>
        <v>0</v>
      </c>
      <c r="Q90" s="17" t="str">
        <f t="shared" ref="Q90:R90" si="95">IFERROR(J90/I90,"")</f>
        <v/>
      </c>
      <c r="R90" s="17" t="str">
        <f t="shared" si="95"/>
        <v/>
      </c>
      <c r="S90" s="17">
        <f t="shared" si="7"/>
        <v>0</v>
      </c>
      <c r="T90" s="17" t="str">
        <f t="shared" si="8"/>
        <v/>
      </c>
    </row>
    <row r="91" spans="2:20" ht="12.75">
      <c r="B91" s="1" t="str">
        <f>'Nov 9-15'!B75</f>
        <v>35 South Street Unit 7</v>
      </c>
      <c r="C91" s="29" t="str">
        <f t="array" ref="C91">INDEX('Nov 16-22'!C:C,MATCH($B91,'Nov 16-22'!$B:$B,0))</f>
        <v>Y</v>
      </c>
      <c r="D91" s="29">
        <f t="array" ref="D91">INDEX('Nov 16-22'!D:D,MATCH($B91,'Nov 16-22'!$B:$B,0))</f>
        <v>4</v>
      </c>
      <c r="E91" s="65">
        <f t="shared" si="0"/>
        <v>78</v>
      </c>
      <c r="F91" s="66">
        <f t="shared" si="1"/>
        <v>1.9801980198019802E-3</v>
      </c>
      <c r="G91" s="65">
        <f t="array" ref="G91">INDEX('Nov 16-22'!E:E,MATCH($B91,'Nov 16-22'!$B:$B,0))</f>
        <v>0</v>
      </c>
      <c r="H91" s="65">
        <f t="array" ref="H91">INDEX('Nov 16-22'!F:F,MATCH($B91,'Nov 16-22'!$B:$B,0))</f>
        <v>0</v>
      </c>
      <c r="I91" s="65">
        <f t="array" ref="I91">INDEX('Nov 16-22'!G:G,MATCH($B91,'Nov 16-22'!$B:$B,0))</f>
        <v>0</v>
      </c>
      <c r="J91" s="65">
        <f t="array" ref="J91">INDEX('Nov 16-22'!H:H,MATCH($B91,'Nov 16-22'!$B:$B,0))</f>
        <v>0</v>
      </c>
      <c r="K91" s="65">
        <f t="array" ref="K91">INDEX('Nov 16-22'!I:I,MATCH($B91,'Nov 16-22'!$B:$B,0))</f>
        <v>0</v>
      </c>
      <c r="L91" s="65">
        <f t="array" ref="L91">INDEX('Nov 16-22'!J:J,MATCH($B91,'Nov 16-22'!$B:$B,0))</f>
        <v>0</v>
      </c>
      <c r="M91" s="17">
        <f t="shared" si="2"/>
        <v>0</v>
      </c>
      <c r="N91" s="17">
        <f t="shared" si="3"/>
        <v>0</v>
      </c>
      <c r="O91" s="17" t="str">
        <f t="shared" si="4"/>
        <v/>
      </c>
      <c r="P91" s="17">
        <f t="shared" si="5"/>
        <v>0</v>
      </c>
      <c r="Q91" s="17" t="str">
        <f t="shared" ref="Q91:R91" si="96">IFERROR(J91/I91,"")</f>
        <v/>
      </c>
      <c r="R91" s="17" t="str">
        <f t="shared" si="96"/>
        <v/>
      </c>
      <c r="S91" s="17">
        <f t="shared" si="7"/>
        <v>0</v>
      </c>
      <c r="T91" s="17" t="str">
        <f t="shared" si="8"/>
        <v/>
      </c>
    </row>
    <row r="92" spans="2:20" ht="12.75">
      <c r="B92" s="1" t="str">
        <f>'Nov 9-15'!B111</f>
        <v>99 Marion Street Unit 3</v>
      </c>
      <c r="C92" s="29" t="str">
        <f t="array" ref="C92">INDEX('Nov 16-22'!C:C,MATCH($B92,'Nov 16-22'!$B:$B,0))</f>
        <v>Y</v>
      </c>
      <c r="D92" s="29">
        <f t="array" ref="D92">INDEX('Nov 16-22'!D:D,MATCH($B92,'Nov 16-22'!$B:$B,0))</f>
        <v>10</v>
      </c>
      <c r="E92" s="65">
        <f t="shared" si="0"/>
        <v>60</v>
      </c>
      <c r="F92" s="66">
        <f t="shared" si="1"/>
        <v>4.9504950495049506E-3</v>
      </c>
      <c r="G92" s="65">
        <f t="array" ref="G92">INDEX('Nov 16-22'!E:E,MATCH($B92,'Nov 16-22'!$B:$B,0))</f>
        <v>0</v>
      </c>
      <c r="H92" s="65">
        <f t="array" ref="H92">INDEX('Nov 16-22'!F:F,MATCH($B92,'Nov 16-22'!$B:$B,0))</f>
        <v>0</v>
      </c>
      <c r="I92" s="65">
        <f t="array" ref="I92">INDEX('Nov 16-22'!G:G,MATCH($B92,'Nov 16-22'!$B:$B,0))</f>
        <v>0</v>
      </c>
      <c r="J92" s="65">
        <f t="array" ref="J92">INDEX('Nov 16-22'!H:H,MATCH($B92,'Nov 16-22'!$B:$B,0))</f>
        <v>0</v>
      </c>
      <c r="K92" s="65">
        <f t="array" ref="K92">INDEX('Nov 16-22'!I:I,MATCH($B92,'Nov 16-22'!$B:$B,0))</f>
        <v>0</v>
      </c>
      <c r="L92" s="65">
        <f t="array" ref="L92">INDEX('Nov 16-22'!J:J,MATCH($B92,'Nov 16-22'!$B:$B,0))</f>
        <v>0</v>
      </c>
      <c r="M92" s="17">
        <f t="shared" si="2"/>
        <v>0</v>
      </c>
      <c r="N92" s="17">
        <f t="shared" si="3"/>
        <v>0</v>
      </c>
      <c r="O92" s="17" t="str">
        <f t="shared" si="4"/>
        <v/>
      </c>
      <c r="P92" s="17">
        <f t="shared" si="5"/>
        <v>0</v>
      </c>
      <c r="Q92" s="17" t="str">
        <f t="shared" ref="Q92:R92" si="97">IFERROR(J92/I92,"")</f>
        <v/>
      </c>
      <c r="R92" s="17" t="str">
        <f t="shared" si="97"/>
        <v/>
      </c>
      <c r="S92" s="17">
        <f t="shared" si="7"/>
        <v>0</v>
      </c>
      <c r="T92" s="17" t="str">
        <f t="shared" si="8"/>
        <v/>
      </c>
    </row>
    <row r="93" spans="2:20" ht="12.75">
      <c r="B93" s="1" t="str">
        <f>'Nov 9-15'!B83</f>
        <v>4 Litchfield Street Unit 2</v>
      </c>
      <c r="C93" s="29" t="str">
        <f t="array" ref="C93">INDEX('Nov 16-22'!C:C,MATCH($B93,'Nov 16-22'!$B:$B,0))</f>
        <v>N</v>
      </c>
      <c r="D93" s="29">
        <f t="array" ref="D93">INDEX('Nov 16-22'!D:D,MATCH($B93,'Nov 16-22'!$B:$B,0))</f>
        <v>0</v>
      </c>
      <c r="E93" s="65">
        <f t="shared" si="0"/>
        <v>92</v>
      </c>
      <c r="F93" s="66">
        <f t="shared" si="1"/>
        <v>0</v>
      </c>
      <c r="G93" s="65">
        <f t="array" ref="G93">INDEX('Nov 16-22'!E:E,MATCH($B93,'Nov 16-22'!$B:$B,0))</f>
        <v>0</v>
      </c>
      <c r="H93" s="65">
        <f t="array" ref="H93">INDEX('Nov 16-22'!F:F,MATCH($B93,'Nov 16-22'!$B:$B,0))</f>
        <v>0</v>
      </c>
      <c r="I93" s="65">
        <f t="array" ref="I93">INDEX('Nov 16-22'!G:G,MATCH($B93,'Nov 16-22'!$B:$B,0))</f>
        <v>0</v>
      </c>
      <c r="J93" s="65">
        <f t="array" ref="J93">INDEX('Nov 16-22'!H:H,MATCH($B93,'Nov 16-22'!$B:$B,0))</f>
        <v>0</v>
      </c>
      <c r="K93" s="65">
        <f t="array" ref="K93">INDEX('Nov 16-22'!I:I,MATCH($B93,'Nov 16-22'!$B:$B,0))</f>
        <v>0</v>
      </c>
      <c r="L93" s="65">
        <f t="array" ref="L93">INDEX('Nov 16-22'!J:J,MATCH($B93,'Nov 16-22'!$B:$B,0))</f>
        <v>0</v>
      </c>
      <c r="M93" s="17" t="str">
        <f t="shared" si="2"/>
        <v/>
      </c>
      <c r="N93" s="17" t="str">
        <f t="shared" si="3"/>
        <v/>
      </c>
      <c r="O93" s="17" t="str">
        <f t="shared" si="4"/>
        <v/>
      </c>
      <c r="P93" s="17" t="str">
        <f t="shared" si="5"/>
        <v/>
      </c>
      <c r="Q93" s="17" t="str">
        <f t="shared" ref="Q93:R93" si="98">IFERROR(J93/I93,"")</f>
        <v/>
      </c>
      <c r="R93" s="17" t="str">
        <f t="shared" si="98"/>
        <v/>
      </c>
      <c r="S93" s="17" t="str">
        <f t="shared" si="7"/>
        <v/>
      </c>
      <c r="T93" s="17" t="str">
        <f t="shared" si="8"/>
        <v/>
      </c>
    </row>
    <row r="94" spans="2:20" ht="12.75">
      <c r="B94" s="1" t="str">
        <f>'Nov 9-15'!B3</f>
        <v>10 7th Street</v>
      </c>
      <c r="C94" s="29" t="str">
        <f t="array" ref="C94">INDEX('Nov 16-22'!C:C,MATCH($B94,'Nov 16-22'!$B:$B,0))</f>
        <v>Y</v>
      </c>
      <c r="D94" s="29">
        <f t="array" ref="D94">INDEX('Nov 16-22'!D:D,MATCH($B94,'Nov 16-22'!$B:$B,0))</f>
        <v>17</v>
      </c>
      <c r="E94" s="65">
        <f t="shared" si="0"/>
        <v>40</v>
      </c>
      <c r="F94" s="66">
        <f t="shared" si="1"/>
        <v>8.4158415841584164E-3</v>
      </c>
      <c r="G94" s="65">
        <f t="array" ref="G94">INDEX('Nov 16-22'!E:E,MATCH($B94,'Nov 16-22'!$B:$B,0))</f>
        <v>11</v>
      </c>
      <c r="H94" s="65">
        <f t="array" ref="H94">INDEX('Nov 16-22'!F:F,MATCH($B94,'Nov 16-22'!$B:$B,0))</f>
        <v>1</v>
      </c>
      <c r="I94" s="65">
        <f t="array" ref="I94">INDEX('Nov 16-22'!G:G,MATCH($B94,'Nov 16-22'!$B:$B,0))</f>
        <v>0</v>
      </c>
      <c r="J94" s="65">
        <f t="array" ref="J94">INDEX('Nov 16-22'!H:H,MATCH($B94,'Nov 16-22'!$B:$B,0))</f>
        <v>0</v>
      </c>
      <c r="K94" s="65">
        <f t="array" ref="K94">INDEX('Nov 16-22'!I:I,MATCH($B94,'Nov 16-22'!$B:$B,0))</f>
        <v>0</v>
      </c>
      <c r="L94" s="65">
        <f t="array" ref="L94">INDEX('Nov 16-22'!J:J,MATCH($B94,'Nov 16-22'!$B:$B,0))</f>
        <v>0</v>
      </c>
      <c r="M94" s="17">
        <f t="shared" si="2"/>
        <v>0.6470588235294118</v>
      </c>
      <c r="N94" s="17">
        <f t="shared" si="3"/>
        <v>0</v>
      </c>
      <c r="O94" s="17">
        <f t="shared" si="4"/>
        <v>0</v>
      </c>
      <c r="P94" s="17">
        <f t="shared" si="5"/>
        <v>0</v>
      </c>
      <c r="Q94" s="17" t="str">
        <f t="shared" ref="Q94:R94" si="99">IFERROR(J94/I94,"")</f>
        <v/>
      </c>
      <c r="R94" s="17" t="str">
        <f t="shared" si="99"/>
        <v/>
      </c>
      <c r="S94" s="17">
        <f t="shared" si="7"/>
        <v>0</v>
      </c>
      <c r="T94" s="17" t="str">
        <f t="shared" si="8"/>
        <v/>
      </c>
    </row>
    <row r="95" spans="2:20" ht="12.75">
      <c r="B95" s="1" t="str">
        <f>'Nov 9-15'!B76</f>
        <v>357 Windsor Street Unit 2</v>
      </c>
      <c r="C95" s="29" t="str">
        <f t="array" ref="C95">INDEX('Nov 16-22'!C:C,MATCH($B95,'Nov 16-22'!$B:$B,0))</f>
        <v>Y</v>
      </c>
      <c r="D95" s="29">
        <f t="array" ref="D95">INDEX('Nov 16-22'!D:D,MATCH($B95,'Nov 16-22'!$B:$B,0))</f>
        <v>104</v>
      </c>
      <c r="E95" s="65">
        <f t="shared" si="0"/>
        <v>2</v>
      </c>
      <c r="F95" s="66">
        <f t="shared" si="1"/>
        <v>5.1485148514851482E-2</v>
      </c>
      <c r="G95" s="65">
        <f t="array" ref="G95">INDEX('Nov 16-22'!E:E,MATCH($B95,'Nov 16-22'!$B:$B,0))</f>
        <v>26</v>
      </c>
      <c r="H95" s="65">
        <f t="array" ref="H95">INDEX('Nov 16-22'!F:F,MATCH($B95,'Nov 16-22'!$B:$B,0))</f>
        <v>2</v>
      </c>
      <c r="I95" s="65">
        <f t="array" ref="I95">INDEX('Nov 16-22'!G:G,MATCH($B95,'Nov 16-22'!$B:$B,0))</f>
        <v>4</v>
      </c>
      <c r="J95" s="65">
        <f t="array" ref="J95">INDEX('Nov 16-22'!H:H,MATCH($B95,'Nov 16-22'!$B:$B,0))</f>
        <v>0</v>
      </c>
      <c r="K95" s="65">
        <f t="array" ref="K95">INDEX('Nov 16-22'!I:I,MATCH($B95,'Nov 16-22'!$B:$B,0))</f>
        <v>0</v>
      </c>
      <c r="L95" s="65">
        <f t="array" ref="L95">INDEX('Nov 16-22'!J:J,MATCH($B95,'Nov 16-22'!$B:$B,0))</f>
        <v>0</v>
      </c>
      <c r="M95" s="17">
        <f t="shared" si="2"/>
        <v>0.25</v>
      </c>
      <c r="N95" s="17">
        <f t="shared" si="3"/>
        <v>3.8461538461538464E-2</v>
      </c>
      <c r="O95" s="17">
        <f t="shared" si="4"/>
        <v>0.15384615384615385</v>
      </c>
      <c r="P95" s="17">
        <f t="shared" si="5"/>
        <v>0</v>
      </c>
      <c r="Q95" s="17">
        <f t="shared" ref="Q95:R95" si="100">IFERROR(J95/I95,"")</f>
        <v>0</v>
      </c>
      <c r="R95" s="17" t="str">
        <f t="shared" si="100"/>
        <v/>
      </c>
      <c r="S95" s="17">
        <f t="shared" si="7"/>
        <v>0</v>
      </c>
      <c r="T95" s="17" t="str">
        <f t="shared" si="8"/>
        <v/>
      </c>
    </row>
    <row r="96" spans="2:20" ht="12.75">
      <c r="B96" s="1" t="str">
        <f>'Nov 9-15'!B77</f>
        <v>376 Prospect Street Unit 2</v>
      </c>
      <c r="C96" s="29" t="str">
        <f t="array" ref="C96">INDEX('Nov 16-22'!C:C,MATCH($B96,'Nov 16-22'!$B:$B,0))</f>
        <v>Y</v>
      </c>
      <c r="D96" s="29">
        <f t="array" ref="D96">INDEX('Nov 16-22'!D:D,MATCH($B96,'Nov 16-22'!$B:$B,0))</f>
        <v>71</v>
      </c>
      <c r="E96" s="65">
        <f t="shared" si="0"/>
        <v>7</v>
      </c>
      <c r="F96" s="66">
        <f t="shared" si="1"/>
        <v>3.5148514851485152E-2</v>
      </c>
      <c r="G96" s="65">
        <f t="array" ref="G96">INDEX('Nov 16-22'!E:E,MATCH($B96,'Nov 16-22'!$B:$B,0))</f>
        <v>28</v>
      </c>
      <c r="H96" s="65">
        <f t="array" ref="H96">INDEX('Nov 16-22'!F:F,MATCH($B96,'Nov 16-22'!$B:$B,0))</f>
        <v>5</v>
      </c>
      <c r="I96" s="65">
        <f t="array" ref="I96">INDEX('Nov 16-22'!G:G,MATCH($B96,'Nov 16-22'!$B:$B,0))</f>
        <v>1</v>
      </c>
      <c r="J96" s="65">
        <f t="array" ref="J96">INDEX('Nov 16-22'!H:H,MATCH($B96,'Nov 16-22'!$B:$B,0))</f>
        <v>0</v>
      </c>
      <c r="K96" s="65">
        <f t="array" ref="K96">INDEX('Nov 16-22'!I:I,MATCH($B96,'Nov 16-22'!$B:$B,0))</f>
        <v>0</v>
      </c>
      <c r="L96" s="65">
        <f t="array" ref="L96">INDEX('Nov 16-22'!J:J,MATCH($B96,'Nov 16-22'!$B:$B,0))</f>
        <v>0</v>
      </c>
      <c r="M96" s="17">
        <f t="shared" si="2"/>
        <v>0.39436619718309857</v>
      </c>
      <c r="N96" s="17">
        <f t="shared" si="3"/>
        <v>1.4084507042253521E-2</v>
      </c>
      <c r="O96" s="17">
        <f t="shared" si="4"/>
        <v>3.5714285714285712E-2</v>
      </c>
      <c r="P96" s="17">
        <f t="shared" si="5"/>
        <v>0</v>
      </c>
      <c r="Q96" s="17">
        <f t="shared" ref="Q96:R96" si="101">IFERROR(J96/I96,"")</f>
        <v>0</v>
      </c>
      <c r="R96" s="17" t="str">
        <f t="shared" si="101"/>
        <v/>
      </c>
      <c r="S96" s="17">
        <f t="shared" si="7"/>
        <v>0</v>
      </c>
      <c r="T96" s="17" t="str">
        <f t="shared" si="8"/>
        <v/>
      </c>
    </row>
    <row r="97" spans="1:37" ht="12.75">
      <c r="B97" s="1" t="str">
        <f>'Nov 9-15'!B40</f>
        <v>179 Massachusetts Avenue Unit 2</v>
      </c>
      <c r="C97" s="29" t="str">
        <f t="array" ref="C97">INDEX('Nov 16-22'!C:C,MATCH($B97,'Nov 16-22'!$B:$B,0))</f>
        <v>Y</v>
      </c>
      <c r="D97" s="29">
        <f t="array" ref="D97">INDEX('Nov 16-22'!D:D,MATCH($B97,'Nov 16-22'!$B:$B,0))</f>
        <v>26</v>
      </c>
      <c r="E97" s="65">
        <f t="shared" si="0"/>
        <v>22</v>
      </c>
      <c r="F97" s="66">
        <f t="shared" si="1"/>
        <v>1.2871287128712871E-2</v>
      </c>
      <c r="G97" s="65">
        <f t="array" ref="G97">INDEX('Nov 16-22'!E:E,MATCH($B97,'Nov 16-22'!$B:$B,0))</f>
        <v>7</v>
      </c>
      <c r="H97" s="65">
        <f t="array" ref="H97">INDEX('Nov 16-22'!F:F,MATCH($B97,'Nov 16-22'!$B:$B,0))</f>
        <v>1</v>
      </c>
      <c r="I97" s="65">
        <f t="array" ref="I97">INDEX('Nov 16-22'!G:G,MATCH($B97,'Nov 16-22'!$B:$B,0))</f>
        <v>0</v>
      </c>
      <c r="J97" s="65">
        <f t="array" ref="J97">INDEX('Nov 16-22'!H:H,MATCH($B97,'Nov 16-22'!$B:$B,0))</f>
        <v>0</v>
      </c>
      <c r="K97" s="65">
        <f t="array" ref="K97">INDEX('Nov 16-22'!I:I,MATCH($B97,'Nov 16-22'!$B:$B,0))</f>
        <v>0</v>
      </c>
      <c r="L97" s="65">
        <f t="array" ref="L97">INDEX('Nov 16-22'!J:J,MATCH($B97,'Nov 16-22'!$B:$B,0))</f>
        <v>0</v>
      </c>
      <c r="M97" s="17">
        <f t="shared" si="2"/>
        <v>0.26923076923076922</v>
      </c>
      <c r="N97" s="17">
        <f t="shared" si="3"/>
        <v>0</v>
      </c>
      <c r="O97" s="17">
        <f t="shared" si="4"/>
        <v>0</v>
      </c>
      <c r="P97" s="17">
        <f t="shared" si="5"/>
        <v>0</v>
      </c>
      <c r="Q97" s="17" t="str">
        <f t="shared" ref="Q97:R97" si="102">IFERROR(J97/I97,"")</f>
        <v/>
      </c>
      <c r="R97" s="17" t="str">
        <f t="shared" si="102"/>
        <v/>
      </c>
      <c r="S97" s="17">
        <f t="shared" si="7"/>
        <v>0</v>
      </c>
      <c r="T97" s="17" t="str">
        <f t="shared" si="8"/>
        <v/>
      </c>
    </row>
    <row r="98" spans="1:37" ht="12.75">
      <c r="B98" s="1" t="str">
        <f>'Nov 9-15'!B78</f>
        <v>379 Broadway Street Unit 43</v>
      </c>
      <c r="C98" s="22" t="str">
        <f t="array" ref="C98">INDEX('Nov 16-22'!C:C,MATCH($B98,'Nov 16-22'!$B:$B,0))</f>
        <v>Y</v>
      </c>
      <c r="D98" s="29">
        <f t="array" ref="D98">INDEX('Nov 16-22'!D:D,MATCH($B98,'Nov 16-22'!$B:$B,0))</f>
        <v>10</v>
      </c>
      <c r="E98" s="65">
        <f t="shared" si="0"/>
        <v>60</v>
      </c>
      <c r="F98" s="66">
        <f t="shared" si="1"/>
        <v>4.9504950495049506E-3</v>
      </c>
      <c r="G98" s="65">
        <f t="array" ref="G98">INDEX('Nov 16-22'!E:E,MATCH($B98,'Nov 16-22'!$B:$B,0))</f>
        <v>1</v>
      </c>
      <c r="H98" s="65">
        <f t="array" ref="H98">INDEX('Nov 16-22'!F:F,MATCH($B98,'Nov 16-22'!$B:$B,0))</f>
        <v>0</v>
      </c>
      <c r="I98" s="65">
        <f t="array" ref="I98">INDEX('Nov 16-22'!G:G,MATCH($B98,'Nov 16-22'!$B:$B,0))</f>
        <v>0</v>
      </c>
      <c r="J98" s="65">
        <f t="array" ref="J98">INDEX('Nov 16-22'!H:H,MATCH($B98,'Nov 16-22'!$B:$B,0))</f>
        <v>0</v>
      </c>
      <c r="K98" s="65">
        <f t="array" ref="K98">INDEX('Nov 16-22'!I:I,MATCH($B98,'Nov 16-22'!$B:$B,0))</f>
        <v>0</v>
      </c>
      <c r="L98" s="65">
        <f t="array" ref="L98">INDEX('Nov 16-22'!J:J,MATCH($B98,'Nov 16-22'!$B:$B,0))</f>
        <v>0</v>
      </c>
      <c r="M98" s="17">
        <f t="shared" si="2"/>
        <v>0.1</v>
      </c>
      <c r="N98" s="17">
        <f t="shared" si="3"/>
        <v>0</v>
      </c>
      <c r="O98" s="17">
        <f t="shared" si="4"/>
        <v>0</v>
      </c>
      <c r="P98" s="17">
        <f t="shared" si="5"/>
        <v>0</v>
      </c>
      <c r="Q98" s="17" t="str">
        <f t="shared" ref="Q98:R98" si="103">IFERROR(J98/I98,"")</f>
        <v/>
      </c>
      <c r="R98" s="17" t="str">
        <f t="shared" si="103"/>
        <v/>
      </c>
      <c r="S98" s="17">
        <f t="shared" si="7"/>
        <v>0</v>
      </c>
      <c r="T98" s="17" t="str">
        <f t="shared" si="8"/>
        <v/>
      </c>
    </row>
    <row r="99" spans="1:37" ht="12.75">
      <c r="B99" s="1" t="str">
        <f>'Nov 9-15'!B44</f>
        <v>19 Mercer Street Unit 1</v>
      </c>
      <c r="C99" s="29" t="str">
        <f t="array" ref="C99">INDEX('Nov 16-22'!C:C,MATCH($B99,'Nov 16-22'!$B:$B,0))</f>
        <v>Y</v>
      </c>
      <c r="D99" s="29">
        <f t="array" ref="D99">INDEX('Nov 16-22'!D:D,MATCH($B99,'Nov 16-22'!$B:$B,0))</f>
        <v>7</v>
      </c>
      <c r="E99" s="65">
        <f t="shared" si="0"/>
        <v>69</v>
      </c>
      <c r="F99" s="66">
        <f t="shared" si="1"/>
        <v>3.4653465346534654E-3</v>
      </c>
      <c r="G99" s="65">
        <f t="array" ref="G99">INDEX('Nov 16-22'!E:E,MATCH($B99,'Nov 16-22'!$B:$B,0))</f>
        <v>1</v>
      </c>
      <c r="H99" s="65">
        <f t="array" ref="H99">INDEX('Nov 16-22'!F:F,MATCH($B99,'Nov 16-22'!$B:$B,0))</f>
        <v>0</v>
      </c>
      <c r="I99" s="65">
        <f t="array" ref="I99">INDEX('Nov 16-22'!G:G,MATCH($B99,'Nov 16-22'!$B:$B,0))</f>
        <v>0</v>
      </c>
      <c r="J99" s="65">
        <f t="array" ref="J99">INDEX('Nov 16-22'!H:H,MATCH($B99,'Nov 16-22'!$B:$B,0))</f>
        <v>0</v>
      </c>
      <c r="K99" s="65">
        <f t="array" ref="K99">INDEX('Nov 16-22'!I:I,MATCH($B99,'Nov 16-22'!$B:$B,0))</f>
        <v>0</v>
      </c>
      <c r="L99" s="65">
        <f t="array" ref="L99">INDEX('Nov 16-22'!J:J,MATCH($B99,'Nov 16-22'!$B:$B,0))</f>
        <v>0</v>
      </c>
      <c r="M99" s="17">
        <f t="shared" si="2"/>
        <v>0.14285714285714285</v>
      </c>
      <c r="N99" s="17">
        <f t="shared" si="3"/>
        <v>0</v>
      </c>
      <c r="O99" s="17">
        <f t="shared" si="4"/>
        <v>0</v>
      </c>
      <c r="P99" s="17">
        <f t="shared" si="5"/>
        <v>0</v>
      </c>
      <c r="Q99" s="17" t="str">
        <f t="shared" ref="Q99:R99" si="104">IFERROR(J99/I99,"")</f>
        <v/>
      </c>
      <c r="R99" s="17" t="str">
        <f t="shared" si="104"/>
        <v/>
      </c>
      <c r="S99" s="17">
        <f t="shared" si="7"/>
        <v>0</v>
      </c>
      <c r="T99" s="17" t="str">
        <f t="shared" si="8"/>
        <v/>
      </c>
    </row>
    <row r="100" spans="1:37" ht="12.75">
      <c r="B100" s="1" t="str">
        <f>'Nov 9-15'!B23</f>
        <v>12 Verndale Street Unit 2</v>
      </c>
      <c r="C100" s="29" t="str">
        <f t="array" ref="C100">INDEX('Nov 16-22'!C:C,MATCH($B100,'Nov 16-22'!$B:$B,0))</f>
        <v>Y</v>
      </c>
      <c r="D100" s="29">
        <f t="array" ref="D100">INDEX('Nov 16-22'!D:D,MATCH($B100,'Nov 16-22'!$B:$B,0))</f>
        <v>21</v>
      </c>
      <c r="E100" s="65">
        <f t="shared" si="0"/>
        <v>29</v>
      </c>
      <c r="F100" s="66">
        <f t="shared" si="1"/>
        <v>1.0396039603960397E-2</v>
      </c>
      <c r="G100" s="65">
        <f t="array" ref="G100">INDEX('Nov 16-22'!E:E,MATCH($B100,'Nov 16-22'!$B:$B,0))</f>
        <v>11</v>
      </c>
      <c r="H100" s="65">
        <f t="array" ref="H100">INDEX('Nov 16-22'!F:F,MATCH($B100,'Nov 16-22'!$B:$B,0))</f>
        <v>0</v>
      </c>
      <c r="I100" s="65">
        <f t="array" ref="I100">INDEX('Nov 16-22'!G:G,MATCH($B100,'Nov 16-22'!$B:$B,0))</f>
        <v>4</v>
      </c>
      <c r="J100" s="65">
        <f t="array" ref="J100">INDEX('Nov 16-22'!H:H,MATCH($B100,'Nov 16-22'!$B:$B,0))</f>
        <v>0</v>
      </c>
      <c r="K100" s="65">
        <f t="array" ref="K100">INDEX('Nov 16-22'!I:I,MATCH($B100,'Nov 16-22'!$B:$B,0))</f>
        <v>2</v>
      </c>
      <c r="L100" s="65">
        <f t="array" ref="L100">INDEX('Nov 16-22'!J:J,MATCH($B100,'Nov 16-22'!$B:$B,0))</f>
        <v>0</v>
      </c>
      <c r="M100" s="17">
        <f t="shared" si="2"/>
        <v>0.52380952380952384</v>
      </c>
      <c r="N100" s="17">
        <f t="shared" si="3"/>
        <v>0.19047619047619047</v>
      </c>
      <c r="O100" s="17">
        <f t="shared" si="4"/>
        <v>0.36363636363636365</v>
      </c>
      <c r="P100" s="17">
        <f t="shared" si="5"/>
        <v>0</v>
      </c>
      <c r="Q100" s="17">
        <f t="shared" ref="Q100:R100" si="105">IFERROR(J100/I100,"")</f>
        <v>0</v>
      </c>
      <c r="R100" s="17" t="str">
        <f t="shared" si="105"/>
        <v/>
      </c>
      <c r="S100" s="17">
        <f t="shared" si="7"/>
        <v>0</v>
      </c>
      <c r="T100" s="17">
        <f t="shared" si="8"/>
        <v>0</v>
      </c>
    </row>
    <row r="101" spans="1:37" ht="12.75">
      <c r="B101" s="1" t="str">
        <f>'Nov 9-15'!B79</f>
        <v>379 Broadway Street Unit 7</v>
      </c>
      <c r="C101" s="29" t="str">
        <f t="array" ref="C101">INDEX('Nov 16-22'!C:C,MATCH($B101,'Nov 16-22'!$B:$B,0))</f>
        <v>Y</v>
      </c>
      <c r="D101" s="29">
        <f t="array" ref="D101">INDEX('Nov 16-22'!D:D,MATCH($B101,'Nov 16-22'!$B:$B,0))</f>
        <v>8</v>
      </c>
      <c r="E101" s="65">
        <f t="shared" si="0"/>
        <v>66</v>
      </c>
      <c r="F101" s="66">
        <f t="shared" si="1"/>
        <v>3.9603960396039604E-3</v>
      </c>
      <c r="G101" s="65">
        <f t="array" ref="G101">INDEX('Nov 16-22'!E:E,MATCH($B101,'Nov 16-22'!$B:$B,0))</f>
        <v>1</v>
      </c>
      <c r="H101" s="65">
        <f t="array" ref="H101">INDEX('Nov 16-22'!F:F,MATCH($B101,'Nov 16-22'!$B:$B,0))</f>
        <v>0</v>
      </c>
      <c r="I101" s="65">
        <f t="array" ref="I101">INDEX('Nov 16-22'!G:G,MATCH($B101,'Nov 16-22'!$B:$B,0))</f>
        <v>0</v>
      </c>
      <c r="J101" s="65">
        <f t="array" ref="J101">INDEX('Nov 16-22'!H:H,MATCH($B101,'Nov 16-22'!$B:$B,0))</f>
        <v>0</v>
      </c>
      <c r="K101" s="65">
        <f t="array" ref="K101">INDEX('Nov 16-22'!I:I,MATCH($B101,'Nov 16-22'!$B:$B,0))</f>
        <v>0</v>
      </c>
      <c r="L101" s="65">
        <f t="array" ref="L101">INDEX('Nov 16-22'!J:J,MATCH($B101,'Nov 16-22'!$B:$B,0))</f>
        <v>0</v>
      </c>
      <c r="M101" s="17">
        <f t="shared" si="2"/>
        <v>0.125</v>
      </c>
      <c r="N101" s="17">
        <f t="shared" si="3"/>
        <v>0</v>
      </c>
      <c r="O101" s="17">
        <f t="shared" si="4"/>
        <v>0</v>
      </c>
      <c r="P101" s="17">
        <f t="shared" si="5"/>
        <v>0</v>
      </c>
      <c r="Q101" s="17" t="str">
        <f t="shared" ref="Q101:R101" si="106">IFERROR(J101/I101,"")</f>
        <v/>
      </c>
      <c r="R101" s="17" t="str">
        <f t="shared" si="106"/>
        <v/>
      </c>
      <c r="S101" s="17">
        <f t="shared" si="7"/>
        <v>0</v>
      </c>
      <c r="T101" s="17" t="str">
        <f t="shared" si="8"/>
        <v/>
      </c>
    </row>
    <row r="102" spans="1:37" ht="12.75">
      <c r="B102" s="1" t="str">
        <f>'Nov 9-15'!B80</f>
        <v>38 Day Street Unit 42</v>
      </c>
      <c r="C102" s="29" t="str">
        <f t="array" ref="C102">INDEX('Nov 16-22'!C:C,MATCH($B102,'Nov 16-22'!$B:$B,0))</f>
        <v>Y</v>
      </c>
      <c r="D102" s="29">
        <f t="array" ref="D102">INDEX('Nov 16-22'!D:D,MATCH($B102,'Nov 16-22'!$B:$B,0))</f>
        <v>19</v>
      </c>
      <c r="E102" s="65">
        <f t="shared" si="0"/>
        <v>35</v>
      </c>
      <c r="F102" s="66">
        <f t="shared" si="1"/>
        <v>9.4059405940594056E-3</v>
      </c>
      <c r="G102" s="65">
        <f t="array" ref="G102">INDEX('Nov 16-22'!E:E,MATCH($B102,'Nov 16-22'!$B:$B,0))</f>
        <v>5</v>
      </c>
      <c r="H102" s="65">
        <f t="array" ref="H102">INDEX('Nov 16-22'!F:F,MATCH($B102,'Nov 16-22'!$B:$B,0))</f>
        <v>1</v>
      </c>
      <c r="I102" s="65">
        <f t="array" ref="I102">INDEX('Nov 16-22'!G:G,MATCH($B102,'Nov 16-22'!$B:$B,0))</f>
        <v>2</v>
      </c>
      <c r="J102" s="65">
        <f t="array" ref="J102">INDEX('Nov 16-22'!H:H,MATCH($B102,'Nov 16-22'!$B:$B,0))</f>
        <v>0</v>
      </c>
      <c r="K102" s="65">
        <f t="array" ref="K102">INDEX('Nov 16-22'!I:I,MATCH($B102,'Nov 16-22'!$B:$B,0))</f>
        <v>0</v>
      </c>
      <c r="L102" s="65">
        <f t="array" ref="L102">INDEX('Nov 16-22'!J:J,MATCH($B102,'Nov 16-22'!$B:$B,0))</f>
        <v>0</v>
      </c>
      <c r="M102" s="17">
        <f t="shared" si="2"/>
        <v>0.26315789473684209</v>
      </c>
      <c r="N102" s="17">
        <f t="shared" si="3"/>
        <v>0.10526315789473684</v>
      </c>
      <c r="O102" s="17">
        <f t="shared" si="4"/>
        <v>0.4</v>
      </c>
      <c r="P102" s="17">
        <f t="shared" si="5"/>
        <v>0</v>
      </c>
      <c r="Q102" s="17">
        <f t="shared" ref="Q102:R102" si="107">IFERROR(J102/I102,"")</f>
        <v>0</v>
      </c>
      <c r="R102" s="17" t="str">
        <f t="shared" si="107"/>
        <v/>
      </c>
      <c r="S102" s="17">
        <f t="shared" si="7"/>
        <v>0</v>
      </c>
      <c r="T102" s="17" t="str">
        <f t="shared" si="8"/>
        <v/>
      </c>
    </row>
    <row r="103" spans="1:37" ht="12.75">
      <c r="B103" s="1" t="str">
        <f>'Nov 9-15'!B96</f>
        <v>64 Sudan Street Unit 3</v>
      </c>
      <c r="C103" s="29" t="str">
        <f t="array" ref="C103">INDEX('Nov 16-22'!C:C,MATCH($B103,'Nov 16-22'!$B:$B,0))</f>
        <v>N</v>
      </c>
      <c r="D103" s="29">
        <f t="array" ref="D103">INDEX('Nov 16-22'!D:D,MATCH($B103,'Nov 16-22'!$B:$B,0))</f>
        <v>0</v>
      </c>
      <c r="E103" s="65">
        <f t="shared" si="0"/>
        <v>92</v>
      </c>
      <c r="F103" s="66">
        <f t="shared" si="1"/>
        <v>0</v>
      </c>
      <c r="G103" s="65">
        <f t="array" ref="G103">INDEX('Nov 16-22'!E:E,MATCH($B103,'Nov 16-22'!$B:$B,0))</f>
        <v>0</v>
      </c>
      <c r="H103" s="65">
        <f t="array" ref="H103">INDEX('Nov 16-22'!F:F,MATCH($B103,'Nov 16-22'!$B:$B,0))</f>
        <v>1</v>
      </c>
      <c r="I103" s="65">
        <f t="array" ref="I103">INDEX('Nov 16-22'!G:G,MATCH($B103,'Nov 16-22'!$B:$B,0))</f>
        <v>0</v>
      </c>
      <c r="J103" s="65">
        <f t="array" ref="J103">INDEX('Nov 16-22'!H:H,MATCH($B103,'Nov 16-22'!$B:$B,0))</f>
        <v>0</v>
      </c>
      <c r="K103" s="65">
        <f t="array" ref="K103">INDEX('Nov 16-22'!I:I,MATCH($B103,'Nov 16-22'!$B:$B,0))</f>
        <v>0</v>
      </c>
      <c r="L103" s="65">
        <f t="array" ref="L103">INDEX('Nov 16-22'!J:J,MATCH($B103,'Nov 16-22'!$B:$B,0))</f>
        <v>0</v>
      </c>
      <c r="M103" s="17" t="str">
        <f t="shared" si="2"/>
        <v/>
      </c>
      <c r="N103" s="17" t="str">
        <f t="shared" si="3"/>
        <v/>
      </c>
      <c r="O103" s="17" t="str">
        <f t="shared" si="4"/>
        <v/>
      </c>
      <c r="P103" s="17" t="str">
        <f t="shared" si="5"/>
        <v/>
      </c>
      <c r="Q103" s="17" t="str">
        <f t="shared" ref="Q103:R103" si="108">IFERROR(J103/I103,"")</f>
        <v/>
      </c>
      <c r="R103" s="17" t="str">
        <f t="shared" si="108"/>
        <v/>
      </c>
      <c r="S103" s="17" t="str">
        <f t="shared" si="7"/>
        <v/>
      </c>
      <c r="T103" s="17" t="str">
        <f t="shared" si="8"/>
        <v/>
      </c>
    </row>
    <row r="104" spans="1:37" ht="12.75">
      <c r="B104" s="1" t="str">
        <f>'Nov 9-15'!B100</f>
        <v>8 Elko Street Unit 5</v>
      </c>
      <c r="C104" s="29" t="str">
        <f t="array" ref="C104">INDEX('Nov 16-22'!C:C,MATCH($B104,'Nov 16-22'!$B:$B,0))</f>
        <v>Y</v>
      </c>
      <c r="D104" s="29">
        <f t="array" ref="D104">INDEX('Nov 16-22'!D:D,MATCH($B104,'Nov 16-22'!$B:$B,0))</f>
        <v>1</v>
      </c>
      <c r="E104" s="65">
        <f t="shared" si="0"/>
        <v>91</v>
      </c>
      <c r="F104" s="66">
        <f t="shared" si="1"/>
        <v>4.9504950495049506E-4</v>
      </c>
      <c r="G104" s="65">
        <f t="array" ref="G104">INDEX('Nov 16-22'!E:E,MATCH($B104,'Nov 16-22'!$B:$B,0))</f>
        <v>0</v>
      </c>
      <c r="H104" s="65">
        <f t="array" ref="H104">INDEX('Nov 16-22'!F:F,MATCH($B104,'Nov 16-22'!$B:$B,0))</f>
        <v>1</v>
      </c>
      <c r="I104" s="65">
        <f t="array" ref="I104">INDEX('Nov 16-22'!G:G,MATCH($B104,'Nov 16-22'!$B:$B,0))</f>
        <v>2</v>
      </c>
      <c r="J104" s="65">
        <f t="array" ref="J104">INDEX('Nov 16-22'!H:H,MATCH($B104,'Nov 16-22'!$B:$B,0))</f>
        <v>0</v>
      </c>
      <c r="K104" s="65">
        <f t="array" ref="K104">INDEX('Nov 16-22'!I:I,MATCH($B104,'Nov 16-22'!$B:$B,0))</f>
        <v>0</v>
      </c>
      <c r="L104" s="65">
        <f t="array" ref="L104">INDEX('Nov 16-22'!J:J,MATCH($B104,'Nov 16-22'!$B:$B,0))</f>
        <v>0</v>
      </c>
      <c r="M104" s="17">
        <f t="shared" si="2"/>
        <v>0</v>
      </c>
      <c r="N104" s="17">
        <f t="shared" si="3"/>
        <v>2</v>
      </c>
      <c r="O104" s="17" t="str">
        <f t="shared" si="4"/>
        <v/>
      </c>
      <c r="P104" s="17">
        <f t="shared" si="5"/>
        <v>0</v>
      </c>
      <c r="Q104" s="17">
        <f t="shared" ref="Q104:R104" si="109">IFERROR(J104/I104,"")</f>
        <v>0</v>
      </c>
      <c r="R104" s="17" t="str">
        <f t="shared" si="109"/>
        <v/>
      </c>
      <c r="S104" s="17">
        <f t="shared" si="7"/>
        <v>0</v>
      </c>
      <c r="T104" s="17" t="str">
        <f t="shared" si="8"/>
        <v/>
      </c>
    </row>
    <row r="105" spans="1:37" ht="12.75">
      <c r="B105" s="1" t="str">
        <f>'Nov 9-15'!B9</f>
        <v>108 Central Street Unit 3L</v>
      </c>
      <c r="C105" s="29" t="str">
        <f t="array" ref="C105">INDEX('Nov 16-22'!C:C,MATCH($B105,'Nov 16-22'!$B:$B,0))</f>
        <v>Y</v>
      </c>
      <c r="D105" s="29">
        <f t="array" ref="D105">INDEX('Nov 16-22'!D:D,MATCH($B105,'Nov 16-22'!$B:$B,0))</f>
        <v>13</v>
      </c>
      <c r="E105" s="65">
        <f t="shared" si="0"/>
        <v>50</v>
      </c>
      <c r="F105" s="66">
        <f t="shared" si="1"/>
        <v>6.4356435643564353E-3</v>
      </c>
      <c r="G105" s="65">
        <f t="array" ref="G105">INDEX('Nov 16-22'!E:E,MATCH($B105,'Nov 16-22'!$B:$B,0))</f>
        <v>6</v>
      </c>
      <c r="H105" s="65">
        <f t="array" ref="H105">INDEX('Nov 16-22'!F:F,MATCH($B105,'Nov 16-22'!$B:$B,0))</f>
        <v>0</v>
      </c>
      <c r="I105" s="65">
        <f t="array" ref="I105">INDEX('Nov 16-22'!G:G,MATCH($B105,'Nov 16-22'!$B:$B,0))</f>
        <v>0</v>
      </c>
      <c r="J105" s="65">
        <f t="array" ref="J105">INDEX('Nov 16-22'!H:H,MATCH($B105,'Nov 16-22'!$B:$B,0))</f>
        <v>0</v>
      </c>
      <c r="K105" s="65">
        <f t="array" ref="K105">INDEX('Nov 16-22'!I:I,MATCH($B105,'Nov 16-22'!$B:$B,0))</f>
        <v>0</v>
      </c>
      <c r="L105" s="65">
        <f t="array" ref="L105">INDEX('Nov 16-22'!J:J,MATCH($B105,'Nov 16-22'!$B:$B,0))</f>
        <v>0</v>
      </c>
      <c r="M105" s="17">
        <f t="shared" si="2"/>
        <v>0.46153846153846156</v>
      </c>
      <c r="N105" s="17">
        <f t="shared" si="3"/>
        <v>0</v>
      </c>
      <c r="O105" s="17">
        <f t="shared" si="4"/>
        <v>0</v>
      </c>
      <c r="P105" s="17">
        <f t="shared" si="5"/>
        <v>0</v>
      </c>
      <c r="Q105" s="17" t="str">
        <f t="shared" ref="Q105:R105" si="110">IFERROR(J105/I105,"")</f>
        <v/>
      </c>
      <c r="R105" s="17" t="str">
        <f t="shared" si="110"/>
        <v/>
      </c>
      <c r="S105" s="17">
        <f t="shared" si="7"/>
        <v>0</v>
      </c>
      <c r="T105" s="17" t="str">
        <f t="shared" si="8"/>
        <v/>
      </c>
    </row>
    <row r="106" spans="1:37" ht="12.75">
      <c r="B106" s="1" t="str">
        <f>'Nov 9-15'!B45</f>
        <v>19 Wallingford Road Unit 1</v>
      </c>
      <c r="C106" s="29" t="str">
        <f t="array" ref="C106">INDEX('Nov 16-22'!C:C,MATCH($B106,'Nov 16-22'!$B:$B,0))</f>
        <v>Y</v>
      </c>
      <c r="D106" s="29">
        <f t="array" ref="D106">INDEX('Nov 16-22'!D:D,MATCH($B106,'Nov 16-22'!$B:$B,0))</f>
        <v>28</v>
      </c>
      <c r="E106" s="65">
        <f t="shared" si="0"/>
        <v>21</v>
      </c>
      <c r="F106" s="66">
        <f t="shared" si="1"/>
        <v>1.3861386138613862E-2</v>
      </c>
      <c r="G106" s="65">
        <f t="array" ref="G106">INDEX('Nov 16-22'!E:E,MATCH($B106,'Nov 16-22'!$B:$B,0))</f>
        <v>20</v>
      </c>
      <c r="H106" s="65">
        <f t="array" ref="H106">INDEX('Nov 16-22'!F:F,MATCH($B106,'Nov 16-22'!$B:$B,0))</f>
        <v>1</v>
      </c>
      <c r="I106" s="65">
        <f t="array" ref="I106">INDEX('Nov 16-22'!G:G,MATCH($B106,'Nov 16-22'!$B:$B,0))</f>
        <v>0</v>
      </c>
      <c r="J106" s="65">
        <f t="array" ref="J106">INDEX('Nov 16-22'!H:H,MATCH($B106,'Nov 16-22'!$B:$B,0))</f>
        <v>0</v>
      </c>
      <c r="K106" s="65">
        <f t="array" ref="K106">INDEX('Nov 16-22'!I:I,MATCH($B106,'Nov 16-22'!$B:$B,0))</f>
        <v>0</v>
      </c>
      <c r="L106" s="65">
        <f t="array" ref="L106">INDEX('Nov 16-22'!J:J,MATCH($B106,'Nov 16-22'!$B:$B,0))</f>
        <v>0</v>
      </c>
      <c r="M106" s="17">
        <f t="shared" si="2"/>
        <v>0.7142857142857143</v>
      </c>
      <c r="N106" s="17">
        <f t="shared" si="3"/>
        <v>0</v>
      </c>
      <c r="O106" s="17">
        <f t="shared" si="4"/>
        <v>0</v>
      </c>
      <c r="P106" s="17">
        <f t="shared" si="5"/>
        <v>0</v>
      </c>
      <c r="Q106" s="17" t="str">
        <f t="shared" ref="Q106:R106" si="111">IFERROR(J106/I106,"")</f>
        <v/>
      </c>
      <c r="R106" s="17" t="str">
        <f t="shared" si="111"/>
        <v/>
      </c>
      <c r="S106" s="17">
        <f t="shared" si="7"/>
        <v>0</v>
      </c>
      <c r="T106" s="17" t="str">
        <f t="shared" si="8"/>
        <v/>
      </c>
    </row>
    <row r="107" spans="1:37" ht="12.75">
      <c r="B107" s="1" t="str">
        <f>'Nov 9-15'!B57</f>
        <v>23 Rogers Avenue Unit 1</v>
      </c>
      <c r="C107" s="29" t="str">
        <f t="array" ref="C107">INDEX('Nov 16-22'!C:C,MATCH($B107,'Nov 16-22'!$B:$B,0))</f>
        <v>Y</v>
      </c>
      <c r="D107" s="29">
        <f t="array" ref="D107">INDEX('Nov 16-22'!D:D,MATCH($B107,'Nov 16-22'!$B:$B,0))</f>
        <v>13</v>
      </c>
      <c r="E107" s="65">
        <f t="shared" si="0"/>
        <v>50</v>
      </c>
      <c r="F107" s="66">
        <f t="shared" si="1"/>
        <v>6.4356435643564353E-3</v>
      </c>
      <c r="G107" s="65">
        <f t="array" ref="G107">INDEX('Nov 16-22'!E:E,MATCH($B107,'Nov 16-22'!$B:$B,0))</f>
        <v>3</v>
      </c>
      <c r="H107" s="65">
        <f t="array" ref="H107">INDEX('Nov 16-22'!F:F,MATCH($B107,'Nov 16-22'!$B:$B,0))</f>
        <v>0</v>
      </c>
      <c r="I107" s="65">
        <f t="array" ref="I107">INDEX('Nov 16-22'!G:G,MATCH($B107,'Nov 16-22'!$B:$B,0))</f>
        <v>0</v>
      </c>
      <c r="J107" s="65">
        <f t="array" ref="J107">INDEX('Nov 16-22'!H:H,MATCH($B107,'Nov 16-22'!$B:$B,0))</f>
        <v>0</v>
      </c>
      <c r="K107" s="65">
        <f t="array" ref="K107">INDEX('Nov 16-22'!I:I,MATCH($B107,'Nov 16-22'!$B:$B,0))</f>
        <v>0</v>
      </c>
      <c r="L107" s="65">
        <f t="array" ref="L107">INDEX('Nov 16-22'!J:J,MATCH($B107,'Nov 16-22'!$B:$B,0))</f>
        <v>0</v>
      </c>
      <c r="M107" s="17">
        <f t="shared" si="2"/>
        <v>0.23076923076923078</v>
      </c>
      <c r="N107" s="17">
        <f t="shared" si="3"/>
        <v>0</v>
      </c>
      <c r="O107" s="17">
        <f t="shared" si="4"/>
        <v>0</v>
      </c>
      <c r="P107" s="17">
        <f t="shared" si="5"/>
        <v>0</v>
      </c>
      <c r="Q107" s="17" t="str">
        <f t="shared" ref="Q107:R107" si="112">IFERROR(J107/I107,"")</f>
        <v/>
      </c>
      <c r="R107" s="17" t="str">
        <f t="shared" si="112"/>
        <v/>
      </c>
      <c r="S107" s="17">
        <f t="shared" si="7"/>
        <v>0</v>
      </c>
      <c r="T107" s="17" t="str">
        <f t="shared" si="8"/>
        <v/>
      </c>
    </row>
    <row r="108" spans="1:37" ht="12.75">
      <c r="B108" s="1" t="str">
        <f>'Nov 9-15'!B22</f>
        <v>12 Verndale Street Unit 1</v>
      </c>
      <c r="C108" s="29" t="str">
        <f t="array" ref="C108">INDEX('Nov 16-22'!C:C,MATCH($B108,'Nov 16-22'!$B:$B,0))</f>
        <v>Y</v>
      </c>
      <c r="D108" s="29">
        <f t="array" ref="D108">INDEX('Nov 16-22'!D:D,MATCH($B108,'Nov 16-22'!$B:$B,0))</f>
        <v>22</v>
      </c>
      <c r="E108" s="65">
        <f t="shared" si="0"/>
        <v>25</v>
      </c>
      <c r="F108" s="66">
        <f t="shared" si="1"/>
        <v>1.089108910891089E-2</v>
      </c>
      <c r="G108" s="65">
        <f t="array" ref="G108">INDEX('Nov 16-22'!E:E,MATCH($B108,'Nov 16-22'!$B:$B,0))</f>
        <v>1</v>
      </c>
      <c r="H108" s="65">
        <f t="array" ref="H108">INDEX('Nov 16-22'!F:F,MATCH($B108,'Nov 16-22'!$B:$B,0))</f>
        <v>0</v>
      </c>
      <c r="I108" s="65">
        <f t="array" ref="I108">INDEX('Nov 16-22'!G:G,MATCH($B108,'Nov 16-22'!$B:$B,0))</f>
        <v>4</v>
      </c>
      <c r="J108" s="65">
        <f t="array" ref="J108">INDEX('Nov 16-22'!H:H,MATCH($B108,'Nov 16-22'!$B:$B,0))</f>
        <v>0</v>
      </c>
      <c r="K108" s="65">
        <f t="array" ref="K108">INDEX('Nov 16-22'!I:I,MATCH($B108,'Nov 16-22'!$B:$B,0))</f>
        <v>1</v>
      </c>
      <c r="L108" s="65">
        <f t="array" ref="L108">INDEX('Nov 16-22'!J:J,MATCH($B108,'Nov 16-22'!$B:$B,0))</f>
        <v>0</v>
      </c>
      <c r="M108" s="17">
        <f t="shared" si="2"/>
        <v>4.5454545454545456E-2</v>
      </c>
      <c r="N108" s="17">
        <f t="shared" si="3"/>
        <v>0.18181818181818182</v>
      </c>
      <c r="O108" s="17">
        <f t="shared" si="4"/>
        <v>4</v>
      </c>
      <c r="P108" s="17">
        <f t="shared" si="5"/>
        <v>0</v>
      </c>
      <c r="Q108" s="17">
        <f t="shared" ref="Q108:R108" si="113">IFERROR(J108/I108,"")</f>
        <v>0</v>
      </c>
      <c r="R108" s="17" t="str">
        <f t="shared" si="113"/>
        <v/>
      </c>
      <c r="S108" s="17">
        <f t="shared" si="7"/>
        <v>0</v>
      </c>
      <c r="T108" s="17">
        <f t="shared" si="8"/>
        <v>0</v>
      </c>
    </row>
    <row r="109" spans="1:37" ht="12.75">
      <c r="B109" s="1" t="str">
        <f>'Nov 9-15'!B53</f>
        <v>20 Sudan Street Unit 1</v>
      </c>
      <c r="C109" s="29" t="str">
        <f t="array" ref="C109">INDEX('Nov 16-22'!C:C,MATCH($B109,'Nov 16-22'!$B:$B,0))</f>
        <v>Y</v>
      </c>
      <c r="D109" s="29">
        <f t="array" ref="D109">INDEX('Nov 16-22'!D:D,MATCH($B109,'Nov 16-22'!$B:$B,0))</f>
        <v>2</v>
      </c>
      <c r="E109" s="65">
        <f t="shared" si="0"/>
        <v>84</v>
      </c>
      <c r="F109" s="66">
        <f t="shared" si="1"/>
        <v>9.9009900990099011E-4</v>
      </c>
      <c r="G109" s="65">
        <f t="array" ref="G109">INDEX('Nov 16-22'!E:E,MATCH($B109,'Nov 16-22'!$B:$B,0))</f>
        <v>0</v>
      </c>
      <c r="H109" s="65">
        <f t="array" ref="H109">INDEX('Nov 16-22'!F:F,MATCH($B109,'Nov 16-22'!$B:$B,0))</f>
        <v>0</v>
      </c>
      <c r="I109" s="65">
        <f t="array" ref="I109">INDEX('Nov 16-22'!G:G,MATCH($B109,'Nov 16-22'!$B:$B,0))</f>
        <v>0</v>
      </c>
      <c r="J109" s="65">
        <f t="array" ref="J109">INDEX('Nov 16-22'!H:H,MATCH($B109,'Nov 16-22'!$B:$B,0))</f>
        <v>0</v>
      </c>
      <c r="K109" s="65">
        <f t="array" ref="K109">INDEX('Nov 16-22'!I:I,MATCH($B109,'Nov 16-22'!$B:$B,0))</f>
        <v>0</v>
      </c>
      <c r="L109" s="65">
        <f t="array" ref="L109">INDEX('Nov 16-22'!J:J,MATCH($B109,'Nov 16-22'!$B:$B,0))</f>
        <v>0</v>
      </c>
      <c r="M109" s="17">
        <f t="shared" si="2"/>
        <v>0</v>
      </c>
      <c r="N109" s="17">
        <f t="shared" si="3"/>
        <v>0</v>
      </c>
      <c r="O109" s="17" t="str">
        <f t="shared" si="4"/>
        <v/>
      </c>
      <c r="P109" s="17">
        <f t="shared" si="5"/>
        <v>0</v>
      </c>
      <c r="Q109" s="17" t="str">
        <f t="shared" ref="Q109:R109" si="114">IFERROR(J109/I109,"")</f>
        <v/>
      </c>
      <c r="R109" s="17" t="str">
        <f t="shared" si="114"/>
        <v/>
      </c>
      <c r="S109" s="17">
        <f t="shared" si="7"/>
        <v>0</v>
      </c>
      <c r="T109" s="17" t="str">
        <f t="shared" si="8"/>
        <v/>
      </c>
    </row>
    <row r="110" spans="1:37" ht="12.75">
      <c r="B110" s="1" t="str">
        <f>'Nov 9-15'!B88</f>
        <v>49 Boylston Street Unit 1</v>
      </c>
      <c r="C110" s="29" t="str">
        <f t="array" ref="C110">INDEX('Nov 16-22'!C:C,MATCH($B110,'Nov 16-22'!$B:$B,0))</f>
        <v>Y</v>
      </c>
      <c r="D110" s="29">
        <f t="array" ref="D110">INDEX('Nov 16-22'!D:D,MATCH($B110,'Nov 16-22'!$B:$B,0))</f>
        <v>14</v>
      </c>
      <c r="E110" s="65">
        <f t="shared" si="0"/>
        <v>46</v>
      </c>
      <c r="F110" s="66">
        <f t="shared" si="1"/>
        <v>6.9306930693069308E-3</v>
      </c>
      <c r="G110" s="65">
        <f t="array" ref="G110">INDEX('Nov 16-22'!E:E,MATCH($B110,'Nov 16-22'!$B:$B,0))</f>
        <v>2</v>
      </c>
      <c r="H110" s="65">
        <f t="array" ref="H110">INDEX('Nov 16-22'!F:F,MATCH($B110,'Nov 16-22'!$B:$B,0))</f>
        <v>0</v>
      </c>
      <c r="I110" s="65">
        <f t="array" ref="I110">INDEX('Nov 16-22'!G:G,MATCH($B110,'Nov 16-22'!$B:$B,0))</f>
        <v>1</v>
      </c>
      <c r="J110" s="65">
        <f t="array" ref="J110">INDEX('Nov 16-22'!H:H,MATCH($B110,'Nov 16-22'!$B:$B,0))</f>
        <v>0</v>
      </c>
      <c r="K110" s="65">
        <f t="array" ref="K110">INDEX('Nov 16-22'!I:I,MATCH($B110,'Nov 16-22'!$B:$B,0))</f>
        <v>0</v>
      </c>
      <c r="L110" s="65">
        <f t="array" ref="L110">INDEX('Nov 16-22'!J:J,MATCH($B110,'Nov 16-22'!$B:$B,0))</f>
        <v>0</v>
      </c>
      <c r="M110" s="17">
        <f t="shared" si="2"/>
        <v>0.14285714285714285</v>
      </c>
      <c r="N110" s="17">
        <f t="shared" si="3"/>
        <v>7.1428571428571425E-2</v>
      </c>
      <c r="O110" s="17">
        <f t="shared" si="4"/>
        <v>0.5</v>
      </c>
      <c r="P110" s="17">
        <f t="shared" si="5"/>
        <v>0</v>
      </c>
      <c r="Q110" s="17">
        <f t="shared" ref="Q110:R110" si="115">IFERROR(J110/I110,"")</f>
        <v>0</v>
      </c>
      <c r="R110" s="17" t="str">
        <f t="shared" si="115"/>
        <v/>
      </c>
      <c r="S110" s="17">
        <f t="shared" si="7"/>
        <v>0</v>
      </c>
      <c r="T110" s="17" t="str">
        <f t="shared" si="8"/>
        <v/>
      </c>
    </row>
    <row r="111" spans="1:37" ht="12.75">
      <c r="B111" s="1" t="str">
        <f>'Nov 9-15'!B51</f>
        <v>2 Montfern Avenue Unit 3</v>
      </c>
      <c r="C111" s="29" t="str">
        <f t="array" ref="C111">INDEX('Nov 16-22'!C:C,MATCH($B111,'Nov 16-22'!$B:$B,0))</f>
        <v>Y</v>
      </c>
      <c r="D111" s="29">
        <f t="array" ref="D111">INDEX('Nov 16-22'!D:D,MATCH($B111,'Nov 16-22'!$B:$B,0))</f>
        <v>13</v>
      </c>
      <c r="E111" s="65">
        <f t="shared" si="0"/>
        <v>50</v>
      </c>
      <c r="F111" s="66">
        <f t="shared" si="1"/>
        <v>6.4356435643564353E-3</v>
      </c>
      <c r="G111" s="65">
        <f t="array" ref="G111">INDEX('Nov 16-22'!E:E,MATCH($B111,'Nov 16-22'!$B:$B,0))</f>
        <v>2</v>
      </c>
      <c r="H111" s="65">
        <f t="array" ref="H111">INDEX('Nov 16-22'!F:F,MATCH($B111,'Nov 16-22'!$B:$B,0))</f>
        <v>1</v>
      </c>
      <c r="I111" s="65">
        <f t="array" ref="I111">INDEX('Nov 16-22'!G:G,MATCH($B111,'Nov 16-22'!$B:$B,0))</f>
        <v>0</v>
      </c>
      <c r="J111" s="65">
        <f t="array" ref="J111">INDEX('Nov 16-22'!H:H,MATCH($B111,'Nov 16-22'!$B:$B,0))</f>
        <v>0</v>
      </c>
      <c r="K111" s="65">
        <f t="array" ref="K111">INDEX('Nov 16-22'!I:I,MATCH($B111,'Nov 16-22'!$B:$B,0))</f>
        <v>0</v>
      </c>
      <c r="L111" s="65">
        <f t="array" ref="L111">INDEX('Nov 16-22'!J:J,MATCH($B111,'Nov 16-22'!$B:$B,0))</f>
        <v>0</v>
      </c>
      <c r="M111" s="17">
        <f t="shared" si="2"/>
        <v>0.15384615384615385</v>
      </c>
      <c r="N111" s="17">
        <f t="shared" si="3"/>
        <v>0</v>
      </c>
      <c r="O111" s="17">
        <f t="shared" si="4"/>
        <v>0</v>
      </c>
      <c r="P111" s="17">
        <f t="shared" si="5"/>
        <v>0</v>
      </c>
      <c r="Q111" s="17" t="str">
        <f t="shared" ref="Q111:R111" si="116">IFERROR(J111/I111,"")</f>
        <v/>
      </c>
      <c r="R111" s="17" t="str">
        <f t="shared" si="116"/>
        <v/>
      </c>
      <c r="S111" s="17">
        <f t="shared" si="7"/>
        <v>0</v>
      </c>
      <c r="T111" s="17" t="str">
        <f t="shared" si="8"/>
        <v/>
      </c>
    </row>
    <row r="112" spans="1:37" ht="27.75" customHeight="1">
      <c r="A112" s="67"/>
      <c r="B112" s="68" t="str">
        <f>'Nov 9-15'!B113</f>
        <v>TOTAL</v>
      </c>
      <c r="C112" s="68"/>
      <c r="D112" s="68">
        <f>SUM(D3:D111)</f>
        <v>2020</v>
      </c>
      <c r="E112" s="69"/>
      <c r="F112" s="69">
        <f>D112/D112</f>
        <v>1</v>
      </c>
      <c r="G112" s="69"/>
      <c r="H112" s="69"/>
      <c r="I112" s="69"/>
      <c r="J112" s="71"/>
      <c r="K112" s="71"/>
      <c r="L112" s="71"/>
      <c r="M112" s="71">
        <f>IFERROR('Nov 16-22'!E113/'Nov 16-22'!D113," ")</f>
        <v>0.29752475247524751</v>
      </c>
      <c r="N112" s="71">
        <f>IFERROR('Nov 16-22'!G113/'Nov 16-22'!D113," ")</f>
        <v>4.1089108910891091E-2</v>
      </c>
      <c r="O112" s="71">
        <f>IFERROR('Nov 16-22'!G113/'Nov 16-22'!E113," ")</f>
        <v>0.13810316139767054</v>
      </c>
      <c r="P112" s="71">
        <f>IFERROR('Nov 16-22'!H113/'Nov 16-22'!D113," ")</f>
        <v>1.4851485148514852E-3</v>
      </c>
      <c r="Q112" s="71">
        <f>IFERROR('Nov 16-22'!H113/'Nov 16-22'!G113," ")</f>
        <v>3.614457831325301E-2</v>
      </c>
      <c r="R112" s="71">
        <f>IFERROR('Nov 16-22'!I113/'Nov 16-22'!H113," ")</f>
        <v>3.6666666666666665</v>
      </c>
      <c r="S112" s="71">
        <f>IFERROR('Nov 16-22'!J113/'Nov 16-22'!D113," ")</f>
        <v>7.4257425742574254E-3</v>
      </c>
      <c r="T112" s="71">
        <f>IFERROR('Nov 16-22'!J113/'Nov 16-22'!I113," ")</f>
        <v>1.3636363636363635</v>
      </c>
      <c r="U112" s="46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</row>
    <row r="113" spans="2:9" ht="12.75">
      <c r="B113" s="1">
        <f>'Nov 9-15'!B114</f>
        <v>0</v>
      </c>
      <c r="C113" s="21" t="s">
        <v>176</v>
      </c>
      <c r="D113" s="72">
        <f ca="1">IFERROR(__xludf.DUMMYFUNCTION("AVERAGE(FILTER($D$3:$D$111,$C$3:$C$111=""Y""))"),24.3456790123456)</f>
        <v>24.345679012345599</v>
      </c>
      <c r="E113" s="17"/>
      <c r="F113" s="17"/>
      <c r="G113" s="17"/>
      <c r="H113" s="17"/>
      <c r="I113" s="17"/>
    </row>
    <row r="114" spans="2:9" ht="12.75">
      <c r="C114" s="21" t="s">
        <v>177</v>
      </c>
      <c r="D114" s="1">
        <f ca="1">IFERROR(__xludf.DUMMYFUNCTION("median(FILTER($D$3:$D$111,$C$3:$C$111=""Y""))"),17)</f>
        <v>17</v>
      </c>
      <c r="E114" s="17"/>
      <c r="F114" s="17"/>
      <c r="G114" s="17"/>
      <c r="H114" s="17"/>
      <c r="I114" s="17"/>
    </row>
    <row r="115" spans="2:9" ht="12.75">
      <c r="E115" s="17"/>
      <c r="F115" s="17"/>
      <c r="G115" s="17"/>
      <c r="H115" s="17"/>
      <c r="I115" s="17"/>
    </row>
    <row r="116" spans="2:9" ht="12.75">
      <c r="E116" s="17"/>
      <c r="F116" s="17"/>
      <c r="G116" s="17"/>
      <c r="H116" s="17"/>
      <c r="I116" s="17"/>
    </row>
    <row r="117" spans="2:9" ht="12.75">
      <c r="E117" s="17"/>
      <c r="F117" s="17"/>
      <c r="G117" s="17"/>
      <c r="H117" s="17"/>
      <c r="I117" s="17"/>
    </row>
    <row r="118" spans="2:9" ht="12.75">
      <c r="E118" s="17"/>
      <c r="F118" s="17"/>
      <c r="G118" s="17"/>
      <c r="H118" s="17"/>
      <c r="I118" s="17"/>
    </row>
    <row r="119" spans="2:9" ht="12.75">
      <c r="E119" s="17"/>
      <c r="F119" s="17"/>
      <c r="G119" s="17"/>
      <c r="H119" s="17"/>
      <c r="I119" s="17"/>
    </row>
    <row r="120" spans="2:9" ht="12.75">
      <c r="E120" s="17"/>
      <c r="F120" s="17"/>
      <c r="G120" s="17"/>
      <c r="H120" s="17"/>
      <c r="I120" s="17"/>
    </row>
    <row r="121" spans="2:9" ht="12.75">
      <c r="E121" s="17"/>
      <c r="F121" s="17"/>
      <c r="G121" s="17"/>
      <c r="H121" s="17"/>
      <c r="I121" s="17"/>
    </row>
    <row r="122" spans="2:9" ht="12.75">
      <c r="E122" s="17"/>
      <c r="F122" s="17"/>
      <c r="G122" s="17"/>
      <c r="H122" s="17"/>
      <c r="I122" s="17"/>
    </row>
    <row r="123" spans="2:9" ht="12.75">
      <c r="E123" s="17"/>
      <c r="F123" s="17"/>
      <c r="G123" s="17"/>
      <c r="H123" s="17"/>
      <c r="I123" s="17"/>
    </row>
    <row r="124" spans="2:9" ht="12.75">
      <c r="E124" s="17"/>
      <c r="F124" s="17"/>
      <c r="G124" s="17"/>
      <c r="H124" s="17"/>
      <c r="I124" s="17"/>
    </row>
    <row r="125" spans="2:9" ht="12.75">
      <c r="E125" s="17"/>
      <c r="F125" s="17"/>
      <c r="G125" s="17"/>
      <c r="H125" s="17"/>
      <c r="I125" s="17"/>
    </row>
  </sheetData>
  <autoFilter ref="B2:T111" xr:uid="{00000000-0009-0000-0000-000010000000}">
    <sortState xmlns:xlrd2="http://schemas.microsoft.com/office/spreadsheetml/2017/richdata2" ref="B2:T111">
      <sortCondition ref="B2:B111"/>
      <sortCondition descending="1" ref="N2:N111"/>
      <sortCondition ref="D2:D111"/>
    </sortState>
  </autoFilter>
  <conditionalFormatting sqref="B2:P111">
    <cfRule type="expression" dxfId="5" priority="1">
      <formula>$C2="N"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2:AD12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.75" customHeight="1"/>
  <cols>
    <col min="1" max="1" width="5.53125" customWidth="1"/>
    <col min="2" max="2" width="30" customWidth="1"/>
    <col min="9" max="9" width="16.265625" customWidth="1"/>
  </cols>
  <sheetData>
    <row r="2" spans="1:30" ht="27.75" customHeight="1">
      <c r="A2" s="67"/>
      <c r="B2" s="74" t="str">
        <f>'Nov 9-15'!B2</f>
        <v>UNIT</v>
      </c>
      <c r="C2" s="74" t="str">
        <f>'Nov 9-15'!C2</f>
        <v>Availbility</v>
      </c>
      <c r="D2" s="74" t="str">
        <f>'Nov 9-15'!D2</f>
        <v>Unique Pageviews</v>
      </c>
      <c r="E2" s="75" t="s">
        <v>166</v>
      </c>
      <c r="F2" s="75" t="s">
        <v>168</v>
      </c>
      <c r="G2" s="75" t="s">
        <v>169</v>
      </c>
      <c r="H2" s="75" t="s">
        <v>170</v>
      </c>
      <c r="I2" s="75" t="s">
        <v>171</v>
      </c>
      <c r="J2" s="75" t="s">
        <v>172</v>
      </c>
      <c r="K2" s="75" t="s">
        <v>173</v>
      </c>
      <c r="L2" s="75" t="s">
        <v>174</v>
      </c>
      <c r="M2" s="75" t="s">
        <v>175</v>
      </c>
      <c r="N2" s="46" t="s">
        <v>178</v>
      </c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</row>
    <row r="3" spans="1:30" ht="12.75">
      <c r="B3" s="1" t="str">
        <f>'Nov 9-15'!B3</f>
        <v>10 7th Street</v>
      </c>
      <c r="C3" s="29" t="str">
        <f>'Nov 9-15'!C3</f>
        <v>Y</v>
      </c>
      <c r="D3" s="29">
        <f>'Nov 9-15'!D3</f>
        <v>34</v>
      </c>
      <c r="E3" s="66">
        <f t="shared" ref="E3:E111" si="0">D3/$D$113</f>
        <v>1.4196242171189978E-2</v>
      </c>
      <c r="F3" s="17">
        <f>IFERROR('Nov 9-15'!E3/'Nov 9-15'!D3," ")</f>
        <v>0.23529411764705882</v>
      </c>
      <c r="G3" s="17">
        <f>IFERROR('Nov 9-15'!F3/'Nov 9-15'!D3," ")</f>
        <v>2.9411764705882353E-2</v>
      </c>
      <c r="H3" s="17">
        <f>IFERROR('Nov 9-15'!F3/'Nov 9-15'!E3," ")</f>
        <v>0.125</v>
      </c>
      <c r="I3" s="17">
        <f>IFERROR('Nov 9-15'!G3/'Nov 9-15'!D3," ")</f>
        <v>5.8823529411764705E-2</v>
      </c>
      <c r="J3" s="17">
        <f>IFERROR('Nov 9-15'!G3/'Nov 9-15'!F3," ")</f>
        <v>2</v>
      </c>
      <c r="K3" s="17">
        <f>IFERROR('Nov 9-15'!H3/'Nov 9-15'!G3," ")</f>
        <v>1</v>
      </c>
      <c r="L3" s="17">
        <f>IFERROR('Nov 9-15'!I3/'Nov 9-15'!D3," ")</f>
        <v>5.8823529411764705E-2</v>
      </c>
      <c r="M3" s="17">
        <f>IFERROR('Nov 9-15'!I3/'Nov 9-15'!H3," ")</f>
        <v>1</v>
      </c>
    </row>
    <row r="4" spans="1:30" ht="12.75">
      <c r="B4" s="1" t="str">
        <f>'Nov 9-15'!B4</f>
        <v>1008 Tremont Street Unit 3</v>
      </c>
      <c r="C4" s="29" t="str">
        <f>'Nov 9-15'!C4</f>
        <v>Y</v>
      </c>
      <c r="D4" s="29">
        <f>'Nov 9-15'!D4</f>
        <v>13</v>
      </c>
      <c r="E4" s="66">
        <f t="shared" si="0"/>
        <v>5.4279749478079332E-3</v>
      </c>
      <c r="F4" s="17">
        <f>IFERROR('Nov 9-15'!E4/'Nov 9-15'!D4," ")</f>
        <v>0.15384615384615385</v>
      </c>
      <c r="G4" s="17">
        <f>IFERROR('Nov 9-15'!F4/'Nov 9-15'!D4," ")</f>
        <v>7.6923076923076927E-2</v>
      </c>
      <c r="H4" s="17">
        <f>IFERROR('Nov 9-15'!F4/'Nov 9-15'!E4," ")</f>
        <v>0.5</v>
      </c>
      <c r="I4" s="17">
        <f>IFERROR('Nov 9-15'!G4/'Nov 9-15'!D4," ")</f>
        <v>0</v>
      </c>
      <c r="J4" s="17">
        <f>IFERROR('Nov 9-15'!G4/'Nov 9-15'!F4," ")</f>
        <v>0</v>
      </c>
      <c r="K4" s="17" t="str">
        <f>IFERROR('Nov 9-15'!H4/'Nov 9-15'!G4," ")</f>
        <v xml:space="preserve"> </v>
      </c>
      <c r="L4" s="17">
        <f>IFERROR('Nov 9-15'!I4/'Nov 9-15'!D4," ")</f>
        <v>0</v>
      </c>
      <c r="M4" s="17" t="str">
        <f>IFERROR('Nov 9-15'!I4/'Nov 9-15'!H4," ")</f>
        <v xml:space="preserve"> </v>
      </c>
    </row>
    <row r="5" spans="1:30" ht="12.75">
      <c r="B5" s="1" t="str">
        <f>'Nov 9-15'!B5</f>
        <v>1008 Tremont Street Unit 6</v>
      </c>
      <c r="C5" s="29" t="str">
        <f>'Nov 9-15'!C5</f>
        <v>N</v>
      </c>
      <c r="D5" s="29">
        <f>'Nov 9-15'!D5</f>
        <v>0</v>
      </c>
      <c r="E5" s="66">
        <f t="shared" si="0"/>
        <v>0</v>
      </c>
      <c r="F5" s="17" t="str">
        <f>IFERROR('Nov 9-15'!E5/'Nov 9-15'!D5," ")</f>
        <v xml:space="preserve"> </v>
      </c>
      <c r="G5" s="17" t="str">
        <f>IFERROR('Nov 9-15'!F5/'Nov 9-15'!D5," ")</f>
        <v xml:space="preserve"> </v>
      </c>
      <c r="H5" s="17" t="str">
        <f>IFERROR('Nov 9-15'!F5/'Nov 9-15'!E5," ")</f>
        <v xml:space="preserve"> </v>
      </c>
      <c r="I5" s="17" t="str">
        <f>IFERROR('Nov 9-15'!G5/'Nov 9-15'!D5," ")</f>
        <v xml:space="preserve"> </v>
      </c>
      <c r="J5" s="17" t="str">
        <f>IFERROR('Nov 9-15'!G5/'Nov 9-15'!F5," ")</f>
        <v xml:space="preserve"> </v>
      </c>
      <c r="K5" s="17" t="str">
        <f>IFERROR('Nov 9-15'!H5/'Nov 9-15'!G5," ")</f>
        <v xml:space="preserve"> </v>
      </c>
      <c r="L5" s="17" t="str">
        <f>IFERROR('Nov 9-15'!I5/'Nov 9-15'!D5," ")</f>
        <v xml:space="preserve"> </v>
      </c>
      <c r="M5" s="17" t="str">
        <f>IFERROR('Nov 9-15'!I5/'Nov 9-15'!H5," ")</f>
        <v xml:space="preserve"> </v>
      </c>
    </row>
    <row r="6" spans="1:30" ht="12.75">
      <c r="B6" s="1" t="str">
        <f>'Nov 9-15'!B6</f>
        <v>101 Heath Street Unit 1</v>
      </c>
      <c r="C6" s="29" t="str">
        <f>'Nov 9-15'!C6</f>
        <v>N</v>
      </c>
      <c r="D6" s="29">
        <f>'Nov 9-15'!D6</f>
        <v>0</v>
      </c>
      <c r="E6" s="66">
        <f t="shared" si="0"/>
        <v>0</v>
      </c>
      <c r="F6" s="17" t="str">
        <f>IFERROR('Nov 9-15'!E6/'Nov 9-15'!D6," ")</f>
        <v xml:space="preserve"> </v>
      </c>
      <c r="G6" s="17" t="str">
        <f>IFERROR('Nov 9-15'!F6/'Nov 9-15'!D6," ")</f>
        <v xml:space="preserve"> </v>
      </c>
      <c r="H6" s="17" t="str">
        <f>IFERROR('Nov 9-15'!F6/'Nov 9-15'!E6," ")</f>
        <v xml:space="preserve"> </v>
      </c>
      <c r="I6" s="17" t="str">
        <f>IFERROR('Nov 9-15'!G6/'Nov 9-15'!D6," ")</f>
        <v xml:space="preserve"> </v>
      </c>
      <c r="J6" s="17" t="str">
        <f>IFERROR('Nov 9-15'!G6/'Nov 9-15'!F6," ")</f>
        <v xml:space="preserve"> </v>
      </c>
      <c r="K6" s="17" t="str">
        <f>IFERROR('Nov 9-15'!H6/'Nov 9-15'!G6," ")</f>
        <v xml:space="preserve"> </v>
      </c>
      <c r="L6" s="17" t="str">
        <f>IFERROR('Nov 9-15'!I6/'Nov 9-15'!D6," ")</f>
        <v xml:space="preserve"> </v>
      </c>
      <c r="M6" s="17" t="str">
        <f>IFERROR('Nov 9-15'!I6/'Nov 9-15'!H6," ")</f>
        <v xml:space="preserve"> </v>
      </c>
    </row>
    <row r="7" spans="1:30" ht="12.75">
      <c r="B7" s="1" t="str">
        <f>'Nov 9-15'!B7</f>
        <v>106 Hyde Park Avenue Unit 2</v>
      </c>
      <c r="C7" s="29" t="str">
        <f>'Nov 9-15'!C7</f>
        <v>Y</v>
      </c>
      <c r="D7" s="29">
        <f>'Nov 9-15'!D7</f>
        <v>13</v>
      </c>
      <c r="E7" s="66">
        <f t="shared" si="0"/>
        <v>5.4279749478079332E-3</v>
      </c>
      <c r="F7" s="17">
        <f>IFERROR('Nov 9-15'!E7/'Nov 9-15'!D7," ")</f>
        <v>7.6923076923076927E-2</v>
      </c>
      <c r="G7" s="17">
        <f>IFERROR('Nov 9-15'!F7/'Nov 9-15'!D7," ")</f>
        <v>7.6923076923076927E-2</v>
      </c>
      <c r="H7" s="17">
        <f>IFERROR('Nov 9-15'!F7/'Nov 9-15'!E7," ")</f>
        <v>1</v>
      </c>
      <c r="I7" s="17">
        <f>IFERROR('Nov 9-15'!G7/'Nov 9-15'!D7," ")</f>
        <v>0</v>
      </c>
      <c r="J7" s="17">
        <f>IFERROR('Nov 9-15'!G7/'Nov 9-15'!F7," ")</f>
        <v>0</v>
      </c>
      <c r="K7" s="17" t="str">
        <f>IFERROR('Nov 9-15'!H7/'Nov 9-15'!G7," ")</f>
        <v xml:space="preserve"> </v>
      </c>
      <c r="L7" s="17">
        <f>IFERROR('Nov 9-15'!I7/'Nov 9-15'!D7," ")</f>
        <v>0</v>
      </c>
      <c r="M7" s="17" t="str">
        <f>IFERROR('Nov 9-15'!I7/'Nov 9-15'!H7," ")</f>
        <v xml:space="preserve"> </v>
      </c>
    </row>
    <row r="8" spans="1:30" ht="12.75">
      <c r="B8" s="1" t="str">
        <f>'Nov 9-15'!B8</f>
        <v>106 Hyde Park Avenue Unit 3</v>
      </c>
      <c r="C8" s="29" t="str">
        <f>'Nov 9-15'!C8</f>
        <v>Y</v>
      </c>
      <c r="D8" s="29">
        <f>'Nov 9-15'!D8</f>
        <v>30</v>
      </c>
      <c r="E8" s="66">
        <f t="shared" si="0"/>
        <v>1.2526096033402923E-2</v>
      </c>
      <c r="F8" s="17">
        <f>IFERROR('Nov 9-15'!E8/'Nov 9-15'!D8," ")</f>
        <v>0.46666666666666667</v>
      </c>
      <c r="G8" s="17">
        <f>IFERROR('Nov 9-15'!F8/'Nov 9-15'!D8," ")</f>
        <v>3.3333333333333333E-2</v>
      </c>
      <c r="H8" s="17">
        <f>IFERROR('Nov 9-15'!F8/'Nov 9-15'!E8," ")</f>
        <v>7.1428571428571425E-2</v>
      </c>
      <c r="I8" s="17">
        <f>IFERROR('Nov 9-15'!G8/'Nov 9-15'!D8," ")</f>
        <v>0</v>
      </c>
      <c r="J8" s="17">
        <f>IFERROR('Nov 9-15'!G8/'Nov 9-15'!F8," ")</f>
        <v>0</v>
      </c>
      <c r="K8" s="17" t="str">
        <f>IFERROR('Nov 9-15'!H8/'Nov 9-15'!G8," ")</f>
        <v xml:space="preserve"> </v>
      </c>
      <c r="L8" s="17">
        <f>IFERROR('Nov 9-15'!I8/'Nov 9-15'!D8," ")</f>
        <v>0</v>
      </c>
      <c r="M8" s="17" t="str">
        <f>IFERROR('Nov 9-15'!I8/'Nov 9-15'!H8," ")</f>
        <v xml:space="preserve"> </v>
      </c>
    </row>
    <row r="9" spans="1:30" ht="12.75">
      <c r="B9" s="1" t="str">
        <f>'Nov 9-15'!B9</f>
        <v>108 Central Street Unit 3L</v>
      </c>
      <c r="C9" s="29" t="str">
        <f>'Nov 9-15'!C9</f>
        <v>Y</v>
      </c>
      <c r="D9" s="29">
        <f>'Nov 9-15'!D9</f>
        <v>15</v>
      </c>
      <c r="E9" s="66">
        <f t="shared" si="0"/>
        <v>6.2630480167014616E-3</v>
      </c>
      <c r="F9" s="17">
        <f>IFERROR('Nov 9-15'!E9/'Nov 9-15'!D9," ")</f>
        <v>0.26666666666666666</v>
      </c>
      <c r="G9" s="17">
        <f>IFERROR('Nov 9-15'!F9/'Nov 9-15'!D9," ")</f>
        <v>0</v>
      </c>
      <c r="H9" s="17">
        <f>IFERROR('Nov 9-15'!F9/'Nov 9-15'!E9," ")</f>
        <v>0</v>
      </c>
      <c r="I9" s="17">
        <f>IFERROR('Nov 9-15'!G9/'Nov 9-15'!D9," ")</f>
        <v>0</v>
      </c>
      <c r="J9" s="17" t="str">
        <f>IFERROR('Nov 9-15'!G9/'Nov 9-15'!F9," ")</f>
        <v xml:space="preserve"> </v>
      </c>
      <c r="K9" s="17" t="str">
        <f>IFERROR('Nov 9-15'!H9/'Nov 9-15'!G9," ")</f>
        <v xml:space="preserve"> </v>
      </c>
      <c r="L9" s="17">
        <f>IFERROR('Nov 9-15'!I9/'Nov 9-15'!D9," ")</f>
        <v>0</v>
      </c>
      <c r="M9" s="17" t="str">
        <f>IFERROR('Nov 9-15'!I9/'Nov 9-15'!H9," ")</f>
        <v xml:space="preserve"> </v>
      </c>
    </row>
    <row r="10" spans="1:30" ht="12.75">
      <c r="B10" s="1" t="str">
        <f>'Nov 9-15'!B10</f>
        <v>108 Hyde Park Avenue Unit 2</v>
      </c>
      <c r="C10" s="29" t="str">
        <f>'Nov 9-15'!C10</f>
        <v>Y</v>
      </c>
      <c r="D10" s="29">
        <f>'Nov 9-15'!D10</f>
        <v>16</v>
      </c>
      <c r="E10" s="66">
        <f t="shared" si="0"/>
        <v>6.6805845511482258E-3</v>
      </c>
      <c r="F10" s="17">
        <f>IFERROR('Nov 9-15'!E10/'Nov 9-15'!D10," ")</f>
        <v>0.125</v>
      </c>
      <c r="G10" s="17">
        <f>IFERROR('Nov 9-15'!F10/'Nov 9-15'!D10," ")</f>
        <v>6.25E-2</v>
      </c>
      <c r="H10" s="17">
        <f>IFERROR('Nov 9-15'!F10/'Nov 9-15'!E10," ")</f>
        <v>0.5</v>
      </c>
      <c r="I10" s="17">
        <f>IFERROR('Nov 9-15'!G10/'Nov 9-15'!D10," ")</f>
        <v>0</v>
      </c>
      <c r="J10" s="17">
        <f>IFERROR('Nov 9-15'!G10/'Nov 9-15'!F10," ")</f>
        <v>0</v>
      </c>
      <c r="K10" s="17" t="str">
        <f>IFERROR('Nov 9-15'!H10/'Nov 9-15'!G10," ")</f>
        <v xml:space="preserve"> </v>
      </c>
      <c r="L10" s="17">
        <f>IFERROR('Nov 9-15'!I10/'Nov 9-15'!D10," ")</f>
        <v>0</v>
      </c>
      <c r="M10" s="17" t="str">
        <f>IFERROR('Nov 9-15'!I10/'Nov 9-15'!H10," ")</f>
        <v xml:space="preserve"> </v>
      </c>
    </row>
    <row r="11" spans="1:30" ht="12.75">
      <c r="B11" s="1" t="str">
        <f>'Nov 9-15'!B11</f>
        <v>108 Hyde Park Avenue Unit 3</v>
      </c>
      <c r="C11" s="29" t="str">
        <f>'Nov 9-15'!C11</f>
        <v>Y</v>
      </c>
      <c r="D11" s="29">
        <f>'Nov 9-15'!D11</f>
        <v>2</v>
      </c>
      <c r="E11" s="66">
        <f t="shared" si="0"/>
        <v>8.3507306889352823E-4</v>
      </c>
      <c r="F11" s="17">
        <f>IFERROR('Nov 9-15'!E11/'Nov 9-15'!D11," ")</f>
        <v>0</v>
      </c>
      <c r="G11" s="17">
        <f>IFERROR('Nov 9-15'!F11/'Nov 9-15'!D11," ")</f>
        <v>0</v>
      </c>
      <c r="H11" s="17" t="str">
        <f>IFERROR('Nov 9-15'!F11/'Nov 9-15'!E11," ")</f>
        <v xml:space="preserve"> </v>
      </c>
      <c r="I11" s="17">
        <f>IFERROR('Nov 9-15'!G11/'Nov 9-15'!D11," ")</f>
        <v>0</v>
      </c>
      <c r="J11" s="17" t="str">
        <f>IFERROR('Nov 9-15'!G11/'Nov 9-15'!F11," ")</f>
        <v xml:space="preserve"> </v>
      </c>
      <c r="K11" s="17" t="str">
        <f>IFERROR('Nov 9-15'!H11/'Nov 9-15'!G11," ")</f>
        <v xml:space="preserve"> </v>
      </c>
      <c r="L11" s="17">
        <f>IFERROR('Nov 9-15'!I11/'Nov 9-15'!D11," ")</f>
        <v>0</v>
      </c>
      <c r="M11" s="17" t="str">
        <f>IFERROR('Nov 9-15'!I11/'Nov 9-15'!H11," ")</f>
        <v xml:space="preserve"> </v>
      </c>
    </row>
    <row r="12" spans="1:30" ht="12.75">
      <c r="B12" s="1" t="str">
        <f>'Nov 9-15'!B12</f>
        <v>1099 Cambridge Street Unit 1</v>
      </c>
      <c r="C12" s="29" t="str">
        <f>'Nov 9-15'!C12</f>
        <v>Y</v>
      </c>
      <c r="D12" s="29">
        <f>'Nov 9-15'!D12</f>
        <v>56</v>
      </c>
      <c r="E12" s="66">
        <f t="shared" si="0"/>
        <v>2.338204592901879E-2</v>
      </c>
      <c r="F12" s="17">
        <f>IFERROR('Nov 9-15'!E12/'Nov 9-15'!D12," ")</f>
        <v>0.2857142857142857</v>
      </c>
      <c r="G12" s="17">
        <f>IFERROR('Nov 9-15'!F12/'Nov 9-15'!D12," ")</f>
        <v>0</v>
      </c>
      <c r="H12" s="17">
        <f>IFERROR('Nov 9-15'!F12/'Nov 9-15'!E12," ")</f>
        <v>0</v>
      </c>
      <c r="I12" s="17">
        <f>IFERROR('Nov 9-15'!G12/'Nov 9-15'!D12," ")</f>
        <v>0</v>
      </c>
      <c r="J12" s="17" t="str">
        <f>IFERROR('Nov 9-15'!G12/'Nov 9-15'!F12," ")</f>
        <v xml:space="preserve"> </v>
      </c>
      <c r="K12" s="17" t="str">
        <f>IFERROR('Nov 9-15'!H12/'Nov 9-15'!G12," ")</f>
        <v xml:space="preserve"> </v>
      </c>
      <c r="L12" s="17">
        <f>IFERROR('Nov 9-15'!I12/'Nov 9-15'!D12," ")</f>
        <v>0</v>
      </c>
      <c r="M12" s="17" t="str">
        <f>IFERROR('Nov 9-15'!I12/'Nov 9-15'!H12," ")</f>
        <v xml:space="preserve"> </v>
      </c>
    </row>
    <row r="13" spans="1:30" ht="12.75">
      <c r="B13" s="1" t="str">
        <f>'Nov 9-15'!B13</f>
        <v>110 Hamilton Street Unit 2</v>
      </c>
      <c r="C13" s="29" t="str">
        <f>'Nov 9-15'!C13</f>
        <v>Y</v>
      </c>
      <c r="D13" s="29">
        <f>'Nov 9-15'!D13</f>
        <v>72</v>
      </c>
      <c r="E13" s="66">
        <f t="shared" si="0"/>
        <v>3.0062630480167014E-2</v>
      </c>
      <c r="F13" s="17">
        <f>IFERROR('Nov 9-15'!E13/'Nov 9-15'!D13," ")</f>
        <v>0.2638888888888889</v>
      </c>
      <c r="G13" s="17">
        <f>IFERROR('Nov 9-15'!F13/'Nov 9-15'!D13," ")</f>
        <v>4.1666666666666664E-2</v>
      </c>
      <c r="H13" s="17">
        <f>IFERROR('Nov 9-15'!F13/'Nov 9-15'!E13," ")</f>
        <v>0.15789473684210525</v>
      </c>
      <c r="I13" s="17">
        <f>IFERROR('Nov 9-15'!G13/'Nov 9-15'!D13," ")</f>
        <v>0</v>
      </c>
      <c r="J13" s="17">
        <f>IFERROR('Nov 9-15'!G13/'Nov 9-15'!F13," ")</f>
        <v>0</v>
      </c>
      <c r="K13" s="17" t="str">
        <f>IFERROR('Nov 9-15'!H13/'Nov 9-15'!G13," ")</f>
        <v xml:space="preserve"> </v>
      </c>
      <c r="L13" s="17">
        <f>IFERROR('Nov 9-15'!I13/'Nov 9-15'!D13," ")</f>
        <v>0</v>
      </c>
      <c r="M13" s="17" t="str">
        <f>IFERROR('Nov 9-15'!I13/'Nov 9-15'!H13," ")</f>
        <v xml:space="preserve"> </v>
      </c>
    </row>
    <row r="14" spans="1:30" ht="12.75">
      <c r="B14" s="1" t="str">
        <f>'Nov 9-15'!B14</f>
        <v>110 Hamilton Street Unit 3</v>
      </c>
      <c r="C14" s="29" t="str">
        <f>'Nov 9-15'!C14</f>
        <v>N</v>
      </c>
      <c r="D14" s="29">
        <f>'Nov 9-15'!D14</f>
        <v>0</v>
      </c>
      <c r="E14" s="66">
        <f t="shared" si="0"/>
        <v>0</v>
      </c>
      <c r="F14" s="17" t="str">
        <f>IFERROR('Nov 9-15'!E14/'Nov 9-15'!D14," ")</f>
        <v xml:space="preserve"> </v>
      </c>
      <c r="G14" s="17" t="str">
        <f>IFERROR('Nov 9-15'!F14/'Nov 9-15'!D14," ")</f>
        <v xml:space="preserve"> </v>
      </c>
      <c r="H14" s="17" t="str">
        <f>IFERROR('Nov 9-15'!F14/'Nov 9-15'!E14," ")</f>
        <v xml:space="preserve"> </v>
      </c>
      <c r="I14" s="17" t="str">
        <f>IFERROR('Nov 9-15'!G14/'Nov 9-15'!D14," ")</f>
        <v xml:space="preserve"> </v>
      </c>
      <c r="J14" s="17" t="str">
        <f>IFERROR('Nov 9-15'!G14/'Nov 9-15'!F14," ")</f>
        <v xml:space="preserve"> </v>
      </c>
      <c r="K14" s="17" t="str">
        <f>IFERROR('Nov 9-15'!H14/'Nov 9-15'!G14," ")</f>
        <v xml:space="preserve"> </v>
      </c>
      <c r="L14" s="17" t="str">
        <f>IFERROR('Nov 9-15'!I14/'Nov 9-15'!D14," ")</f>
        <v xml:space="preserve"> </v>
      </c>
      <c r="M14" s="17" t="str">
        <f>IFERROR('Nov 9-15'!I14/'Nov 9-15'!H14," ")</f>
        <v xml:space="preserve"> </v>
      </c>
    </row>
    <row r="15" spans="1:30" ht="12.75">
      <c r="B15" s="1" t="str">
        <f>'Nov 9-15'!B15</f>
        <v>1111 Boylston Street Unit 26</v>
      </c>
      <c r="C15" s="29" t="str">
        <f>'Nov 9-15'!C15</f>
        <v>Y</v>
      </c>
      <c r="D15" s="29">
        <f>'Nov 9-15'!D15</f>
        <v>40</v>
      </c>
      <c r="E15" s="66">
        <f t="shared" si="0"/>
        <v>1.6701461377870562E-2</v>
      </c>
      <c r="F15" s="17">
        <f>IFERROR('Nov 9-15'!E15/'Nov 9-15'!D15," ")</f>
        <v>0.22500000000000001</v>
      </c>
      <c r="G15" s="17">
        <f>IFERROR('Nov 9-15'!F15/'Nov 9-15'!D15," ")</f>
        <v>0</v>
      </c>
      <c r="H15" s="17">
        <f>IFERROR('Nov 9-15'!F15/'Nov 9-15'!E15," ")</f>
        <v>0</v>
      </c>
      <c r="I15" s="17">
        <f>IFERROR('Nov 9-15'!G15/'Nov 9-15'!D15," ")</f>
        <v>0</v>
      </c>
      <c r="J15" s="17" t="str">
        <f>IFERROR('Nov 9-15'!G15/'Nov 9-15'!F15," ")</f>
        <v xml:space="preserve"> </v>
      </c>
      <c r="K15" s="17" t="str">
        <f>IFERROR('Nov 9-15'!H15/'Nov 9-15'!G15," ")</f>
        <v xml:space="preserve"> </v>
      </c>
      <c r="L15" s="17">
        <f>IFERROR('Nov 9-15'!I15/'Nov 9-15'!D15," ")</f>
        <v>0</v>
      </c>
      <c r="M15" s="17" t="str">
        <f>IFERROR('Nov 9-15'!I15/'Nov 9-15'!H15," ")</f>
        <v xml:space="preserve"> </v>
      </c>
    </row>
    <row r="16" spans="1:30" ht="12.75">
      <c r="B16" s="1" t="str">
        <f>'Nov 9-15'!B16</f>
        <v>114 Thornton Street Unit 1</v>
      </c>
      <c r="C16" s="29" t="str">
        <f>'Nov 9-15'!C16</f>
        <v>Y</v>
      </c>
      <c r="D16" s="29">
        <f>'Nov 9-15'!D16</f>
        <v>22</v>
      </c>
      <c r="E16" s="66">
        <f t="shared" si="0"/>
        <v>9.1858037578288095E-3</v>
      </c>
      <c r="F16" s="17">
        <f>IFERROR('Nov 9-15'!E16/'Nov 9-15'!D16," ")</f>
        <v>0.63636363636363635</v>
      </c>
      <c r="G16" s="17">
        <f>IFERROR('Nov 9-15'!F16/'Nov 9-15'!D16," ")</f>
        <v>0</v>
      </c>
      <c r="H16" s="17">
        <f>IFERROR('Nov 9-15'!F16/'Nov 9-15'!E16," ")</f>
        <v>0</v>
      </c>
      <c r="I16" s="17">
        <f>IFERROR('Nov 9-15'!G16/'Nov 9-15'!D16," ")</f>
        <v>0</v>
      </c>
      <c r="J16" s="17" t="str">
        <f>IFERROR('Nov 9-15'!G16/'Nov 9-15'!F16," ")</f>
        <v xml:space="preserve"> </v>
      </c>
      <c r="K16" s="17" t="str">
        <f>IFERROR('Nov 9-15'!H16/'Nov 9-15'!G16," ")</f>
        <v xml:space="preserve"> </v>
      </c>
      <c r="L16" s="17">
        <f>IFERROR('Nov 9-15'!I16/'Nov 9-15'!D16," ")</f>
        <v>0</v>
      </c>
      <c r="M16" s="17" t="str">
        <f>IFERROR('Nov 9-15'!I16/'Nov 9-15'!H16," ")</f>
        <v xml:space="preserve"> </v>
      </c>
    </row>
    <row r="17" spans="2:13" ht="12.75">
      <c r="B17" s="1" t="str">
        <f>'Nov 9-15'!B17</f>
        <v>116 Thornton Street Unit 2</v>
      </c>
      <c r="C17" s="29" t="str">
        <f>'Nov 9-15'!C17</f>
        <v>Y</v>
      </c>
      <c r="D17" s="29">
        <f>'Nov 9-15'!D17</f>
        <v>26</v>
      </c>
      <c r="E17" s="66">
        <f t="shared" si="0"/>
        <v>1.0855949895615866E-2</v>
      </c>
      <c r="F17" s="17">
        <f>IFERROR('Nov 9-15'!E17/'Nov 9-15'!D17," ")</f>
        <v>0</v>
      </c>
      <c r="G17" s="17">
        <f>IFERROR('Nov 9-15'!F17/'Nov 9-15'!D17," ")</f>
        <v>0</v>
      </c>
      <c r="H17" s="17" t="str">
        <f>IFERROR('Nov 9-15'!F17/'Nov 9-15'!E17," ")</f>
        <v xml:space="preserve"> </v>
      </c>
      <c r="I17" s="17">
        <f>IFERROR('Nov 9-15'!G17/'Nov 9-15'!D17," ")</f>
        <v>0</v>
      </c>
      <c r="J17" s="17" t="str">
        <f>IFERROR('Nov 9-15'!G17/'Nov 9-15'!F17," ")</f>
        <v xml:space="preserve"> </v>
      </c>
      <c r="K17" s="17" t="str">
        <f>IFERROR('Nov 9-15'!H17/'Nov 9-15'!G17," ")</f>
        <v xml:space="preserve"> </v>
      </c>
      <c r="L17" s="17">
        <f>IFERROR('Nov 9-15'!I17/'Nov 9-15'!D17," ")</f>
        <v>0</v>
      </c>
      <c r="M17" s="17" t="str">
        <f>IFERROR('Nov 9-15'!I17/'Nov 9-15'!H17," ")</f>
        <v xml:space="preserve"> </v>
      </c>
    </row>
    <row r="18" spans="2:13" ht="12.75">
      <c r="B18" s="1" t="str">
        <f>'Nov 9-15'!B18</f>
        <v>116 Thornton Street Unit 3</v>
      </c>
      <c r="C18" s="29" t="str">
        <f>'Nov 9-15'!C18</f>
        <v>Y</v>
      </c>
      <c r="D18" s="29">
        <f>'Nov 9-15'!D18</f>
        <v>30</v>
      </c>
      <c r="E18" s="66">
        <f t="shared" si="0"/>
        <v>1.2526096033402923E-2</v>
      </c>
      <c r="F18" s="17">
        <f>IFERROR('Nov 9-15'!E18/'Nov 9-15'!D18," ")</f>
        <v>6.6666666666666666E-2</v>
      </c>
      <c r="G18" s="17">
        <f>IFERROR('Nov 9-15'!F18/'Nov 9-15'!D18," ")</f>
        <v>0</v>
      </c>
      <c r="H18" s="17">
        <f>IFERROR('Nov 9-15'!F18/'Nov 9-15'!E18," ")</f>
        <v>0</v>
      </c>
      <c r="I18" s="17">
        <f>IFERROR('Nov 9-15'!G18/'Nov 9-15'!D18," ")</f>
        <v>0</v>
      </c>
      <c r="J18" s="17" t="str">
        <f>IFERROR('Nov 9-15'!G18/'Nov 9-15'!F18," ")</f>
        <v xml:space="preserve"> </v>
      </c>
      <c r="K18" s="17" t="str">
        <f>IFERROR('Nov 9-15'!H18/'Nov 9-15'!G18," ")</f>
        <v xml:space="preserve"> </v>
      </c>
      <c r="L18" s="17">
        <f>IFERROR('Nov 9-15'!I18/'Nov 9-15'!D18," ")</f>
        <v>0</v>
      </c>
      <c r="M18" s="17" t="str">
        <f>IFERROR('Nov 9-15'!I18/'Nov 9-15'!H18," ")</f>
        <v xml:space="preserve"> </v>
      </c>
    </row>
    <row r="19" spans="2:13" ht="12.75">
      <c r="B19" s="1" t="str">
        <f>'Nov 9-15'!B19</f>
        <v>12 7th Street</v>
      </c>
      <c r="C19" s="29" t="str">
        <f>'Nov 9-15'!C19</f>
        <v>N</v>
      </c>
      <c r="D19" s="29">
        <f>'Nov 9-15'!D19</f>
        <v>0</v>
      </c>
      <c r="E19" s="66">
        <f t="shared" si="0"/>
        <v>0</v>
      </c>
      <c r="F19" s="17" t="str">
        <f>IFERROR('Nov 9-15'!E19/'Nov 9-15'!D19," ")</f>
        <v xml:space="preserve"> </v>
      </c>
      <c r="G19" s="17" t="str">
        <f>IFERROR('Nov 9-15'!F19/'Nov 9-15'!D19," ")</f>
        <v xml:space="preserve"> </v>
      </c>
      <c r="H19" s="17" t="str">
        <f>IFERROR('Nov 9-15'!F19/'Nov 9-15'!E19," ")</f>
        <v xml:space="preserve"> </v>
      </c>
      <c r="I19" s="17" t="str">
        <f>IFERROR('Nov 9-15'!G19/'Nov 9-15'!D19," ")</f>
        <v xml:space="preserve"> </v>
      </c>
      <c r="J19" s="17" t="str">
        <f>IFERROR('Nov 9-15'!G19/'Nov 9-15'!F19," ")</f>
        <v xml:space="preserve"> </v>
      </c>
      <c r="K19" s="17" t="str">
        <f>IFERROR('Nov 9-15'!H19/'Nov 9-15'!G19," ")</f>
        <v xml:space="preserve"> </v>
      </c>
      <c r="L19" s="17" t="str">
        <f>IFERROR('Nov 9-15'!I19/'Nov 9-15'!D19," ")</f>
        <v xml:space="preserve"> </v>
      </c>
      <c r="M19" s="17" t="str">
        <f>IFERROR('Nov 9-15'!I19/'Nov 9-15'!H19," ")</f>
        <v xml:space="preserve"> </v>
      </c>
    </row>
    <row r="20" spans="2:13" ht="12.75">
      <c r="B20" s="1" t="str">
        <f>'Nov 9-15'!B20</f>
        <v>12 Estrella Street Unit 2</v>
      </c>
      <c r="C20" s="29" t="str">
        <f>'Nov 9-15'!C20</f>
        <v>Y</v>
      </c>
      <c r="D20" s="29">
        <f>'Nov 9-15'!D20</f>
        <v>43</v>
      </c>
      <c r="E20" s="66">
        <f t="shared" si="0"/>
        <v>1.7954070981210855E-2</v>
      </c>
      <c r="F20" s="17">
        <f>IFERROR('Nov 9-15'!E20/'Nov 9-15'!D20," ")</f>
        <v>9.3023255813953487E-2</v>
      </c>
      <c r="G20" s="17">
        <f>IFERROR('Nov 9-15'!F20/'Nov 9-15'!D20," ")</f>
        <v>2.3255813953488372E-2</v>
      </c>
      <c r="H20" s="17">
        <f>IFERROR('Nov 9-15'!F20/'Nov 9-15'!E20," ")</f>
        <v>0.25</v>
      </c>
      <c r="I20" s="17">
        <f>IFERROR('Nov 9-15'!G20/'Nov 9-15'!D20," ")</f>
        <v>0</v>
      </c>
      <c r="J20" s="17">
        <f>IFERROR('Nov 9-15'!G20/'Nov 9-15'!F20," ")</f>
        <v>0</v>
      </c>
      <c r="K20" s="17" t="str">
        <f>IFERROR('Nov 9-15'!H20/'Nov 9-15'!G20," ")</f>
        <v xml:space="preserve"> </v>
      </c>
      <c r="L20" s="17">
        <f>IFERROR('Nov 9-15'!I20/'Nov 9-15'!D20," ")</f>
        <v>0</v>
      </c>
      <c r="M20" s="17" t="str">
        <f>IFERROR('Nov 9-15'!I20/'Nov 9-15'!H20," ")</f>
        <v xml:space="preserve"> </v>
      </c>
    </row>
    <row r="21" spans="2:13" ht="12.75">
      <c r="B21" s="1" t="str">
        <f>'Nov 9-15'!B21</f>
        <v>12 Stoneholm Street Unit 610</v>
      </c>
      <c r="C21" s="29" t="str">
        <f>'Nov 9-15'!C21</f>
        <v>N</v>
      </c>
      <c r="D21" s="29">
        <f>'Nov 9-15'!D21</f>
        <v>1</v>
      </c>
      <c r="E21" s="66">
        <f t="shared" si="0"/>
        <v>4.1753653444676412E-4</v>
      </c>
      <c r="F21" s="17">
        <f>IFERROR('Nov 9-15'!E21/'Nov 9-15'!D21," ")</f>
        <v>1</v>
      </c>
      <c r="G21" s="17">
        <f>IFERROR('Nov 9-15'!F21/'Nov 9-15'!D21," ")</f>
        <v>0</v>
      </c>
      <c r="H21" s="17">
        <f>IFERROR('Nov 9-15'!F21/'Nov 9-15'!E21," ")</f>
        <v>0</v>
      </c>
      <c r="I21" s="17">
        <f>IFERROR('Nov 9-15'!G21/'Nov 9-15'!D21," ")</f>
        <v>0</v>
      </c>
      <c r="J21" s="17" t="str">
        <f>IFERROR('Nov 9-15'!G21/'Nov 9-15'!F21," ")</f>
        <v xml:space="preserve"> </v>
      </c>
      <c r="K21" s="17" t="str">
        <f>IFERROR('Nov 9-15'!H21/'Nov 9-15'!G21," ")</f>
        <v xml:space="preserve"> </v>
      </c>
      <c r="L21" s="17">
        <f>IFERROR('Nov 9-15'!I21/'Nov 9-15'!D21," ")</f>
        <v>0</v>
      </c>
      <c r="M21" s="17" t="str">
        <f>IFERROR('Nov 9-15'!I21/'Nov 9-15'!H21," ")</f>
        <v xml:space="preserve"> </v>
      </c>
    </row>
    <row r="22" spans="2:13" ht="12.75">
      <c r="B22" s="1" t="str">
        <f>'Nov 9-15'!B22</f>
        <v>12 Verndale Street Unit 1</v>
      </c>
      <c r="C22" s="29" t="str">
        <f>'Nov 9-15'!C22</f>
        <v>Y</v>
      </c>
      <c r="D22" s="29">
        <f>'Nov 9-15'!D22</f>
        <v>27</v>
      </c>
      <c r="E22" s="66">
        <f t="shared" si="0"/>
        <v>1.1273486430062631E-2</v>
      </c>
      <c r="F22" s="17">
        <f>IFERROR('Nov 9-15'!E22/'Nov 9-15'!D22," ")</f>
        <v>0.1111111111111111</v>
      </c>
      <c r="G22" s="17">
        <f>IFERROR('Nov 9-15'!F22/'Nov 9-15'!D22," ")</f>
        <v>0</v>
      </c>
      <c r="H22" s="17">
        <f>IFERROR('Nov 9-15'!F22/'Nov 9-15'!E22," ")</f>
        <v>0</v>
      </c>
      <c r="I22" s="17">
        <f>IFERROR('Nov 9-15'!G22/'Nov 9-15'!D22," ")</f>
        <v>3.7037037037037035E-2</v>
      </c>
      <c r="J22" s="17" t="str">
        <f>IFERROR('Nov 9-15'!G22/'Nov 9-15'!F22," ")</f>
        <v xml:space="preserve"> </v>
      </c>
      <c r="K22" s="17">
        <f>IFERROR('Nov 9-15'!H22/'Nov 9-15'!G22," ")</f>
        <v>0</v>
      </c>
      <c r="L22" s="17">
        <f>IFERROR('Nov 9-15'!I22/'Nov 9-15'!D22," ")</f>
        <v>0</v>
      </c>
      <c r="M22" s="17" t="str">
        <f>IFERROR('Nov 9-15'!I22/'Nov 9-15'!H22," ")</f>
        <v xml:space="preserve"> </v>
      </c>
    </row>
    <row r="23" spans="2:13" ht="12.75">
      <c r="B23" s="1" t="str">
        <f>'Nov 9-15'!B23</f>
        <v>12 Verndale Street Unit 2</v>
      </c>
      <c r="C23" s="29" t="str">
        <f>'Nov 9-15'!C23</f>
        <v>Y</v>
      </c>
      <c r="D23" s="29">
        <f>'Nov 9-15'!D23</f>
        <v>12</v>
      </c>
      <c r="E23" s="66">
        <f t="shared" si="0"/>
        <v>5.0104384133611689E-3</v>
      </c>
      <c r="F23" s="17">
        <f>IFERROR('Nov 9-15'!E23/'Nov 9-15'!D23," ")</f>
        <v>8.3333333333333329E-2</v>
      </c>
      <c r="G23" s="17">
        <f>IFERROR('Nov 9-15'!F23/'Nov 9-15'!D23," ")</f>
        <v>0</v>
      </c>
      <c r="H23" s="17">
        <f>IFERROR('Nov 9-15'!F23/'Nov 9-15'!E23," ")</f>
        <v>0</v>
      </c>
      <c r="I23" s="17">
        <f>IFERROR('Nov 9-15'!G23/'Nov 9-15'!D23," ")</f>
        <v>0</v>
      </c>
      <c r="J23" s="17" t="str">
        <f>IFERROR('Nov 9-15'!G23/'Nov 9-15'!F23," ")</f>
        <v xml:space="preserve"> </v>
      </c>
      <c r="K23" s="17" t="str">
        <f>IFERROR('Nov 9-15'!H23/'Nov 9-15'!G23," ")</f>
        <v xml:space="preserve"> </v>
      </c>
      <c r="L23" s="17">
        <f>IFERROR('Nov 9-15'!I23/'Nov 9-15'!D23," ")</f>
        <v>0</v>
      </c>
      <c r="M23" s="17" t="str">
        <f>IFERROR('Nov 9-15'!I23/'Nov 9-15'!H23," ")</f>
        <v xml:space="preserve"> </v>
      </c>
    </row>
    <row r="24" spans="2:13" ht="12.75">
      <c r="B24" s="1" t="str">
        <f>'Nov 9-15'!B24</f>
        <v>122 Central Street Unit 2</v>
      </c>
      <c r="C24" s="29" t="str">
        <f>'Nov 9-15'!C24</f>
        <v>Y</v>
      </c>
      <c r="D24" s="29">
        <f>'Nov 9-15'!D24</f>
        <v>13</v>
      </c>
      <c r="E24" s="66">
        <f t="shared" si="0"/>
        <v>5.4279749478079332E-3</v>
      </c>
      <c r="F24" s="17">
        <f>IFERROR('Nov 9-15'!E24/'Nov 9-15'!D24," ")</f>
        <v>7.6923076923076927E-2</v>
      </c>
      <c r="G24" s="17">
        <f>IFERROR('Nov 9-15'!F24/'Nov 9-15'!D24," ")</f>
        <v>0</v>
      </c>
      <c r="H24" s="17">
        <f>IFERROR('Nov 9-15'!F24/'Nov 9-15'!E24," ")</f>
        <v>0</v>
      </c>
      <c r="I24" s="17">
        <f>IFERROR('Nov 9-15'!G24/'Nov 9-15'!D24," ")</f>
        <v>0</v>
      </c>
      <c r="J24" s="17" t="str">
        <f>IFERROR('Nov 9-15'!G24/'Nov 9-15'!F24," ")</f>
        <v xml:space="preserve"> </v>
      </c>
      <c r="K24" s="17" t="str">
        <f>IFERROR('Nov 9-15'!H24/'Nov 9-15'!G24," ")</f>
        <v xml:space="preserve"> </v>
      </c>
      <c r="L24" s="17">
        <f>IFERROR('Nov 9-15'!I24/'Nov 9-15'!D24," ")</f>
        <v>0</v>
      </c>
      <c r="M24" s="17" t="str">
        <f>IFERROR('Nov 9-15'!I24/'Nov 9-15'!H24," ")</f>
        <v xml:space="preserve"> </v>
      </c>
    </row>
    <row r="25" spans="2:13" ht="12.75">
      <c r="B25" s="1" t="str">
        <f>'Nov 9-15'!B25</f>
        <v>1410 Columbia Road Unit 5B</v>
      </c>
      <c r="C25" s="29" t="str">
        <f>'Nov 9-15'!C25</f>
        <v>Y</v>
      </c>
      <c r="D25" s="29">
        <f>'Nov 9-15'!D25</f>
        <v>9</v>
      </c>
      <c r="E25" s="66">
        <f t="shared" si="0"/>
        <v>3.7578288100208767E-3</v>
      </c>
      <c r="F25" s="17">
        <f>IFERROR('Nov 9-15'!E25/'Nov 9-15'!D25," ")</f>
        <v>0</v>
      </c>
      <c r="G25" s="17">
        <f>IFERROR('Nov 9-15'!F25/'Nov 9-15'!D25," ")</f>
        <v>0</v>
      </c>
      <c r="H25" s="17" t="str">
        <f>IFERROR('Nov 9-15'!F25/'Nov 9-15'!E25," ")</f>
        <v xml:space="preserve"> </v>
      </c>
      <c r="I25" s="17">
        <f>IFERROR('Nov 9-15'!G25/'Nov 9-15'!D25," ")</f>
        <v>0</v>
      </c>
      <c r="J25" s="17" t="str">
        <f>IFERROR('Nov 9-15'!G25/'Nov 9-15'!F25," ")</f>
        <v xml:space="preserve"> </v>
      </c>
      <c r="K25" s="17" t="str">
        <f>IFERROR('Nov 9-15'!H25/'Nov 9-15'!G25," ")</f>
        <v xml:space="preserve"> </v>
      </c>
      <c r="L25" s="17">
        <f>IFERROR('Nov 9-15'!I25/'Nov 9-15'!D25," ")</f>
        <v>0</v>
      </c>
      <c r="M25" s="17" t="str">
        <f>IFERROR('Nov 9-15'!I25/'Nov 9-15'!H25," ")</f>
        <v xml:space="preserve"> </v>
      </c>
    </row>
    <row r="26" spans="2:13" ht="12.75">
      <c r="B26" s="1" t="str">
        <f>'Nov 9-15'!B26</f>
        <v>146 Hillside Street Unit 1</v>
      </c>
      <c r="C26" s="29" t="str">
        <f>'Nov 9-15'!C26</f>
        <v>Y</v>
      </c>
      <c r="D26" s="29">
        <f>'Nov 9-15'!D26</f>
        <v>15</v>
      </c>
      <c r="E26" s="66">
        <f t="shared" si="0"/>
        <v>6.2630480167014616E-3</v>
      </c>
      <c r="F26" s="17">
        <f>IFERROR('Nov 9-15'!E26/'Nov 9-15'!D26," ")</f>
        <v>0.4</v>
      </c>
      <c r="G26" s="17">
        <f>IFERROR('Nov 9-15'!F26/'Nov 9-15'!D26," ")</f>
        <v>0</v>
      </c>
      <c r="H26" s="17">
        <f>IFERROR('Nov 9-15'!F26/'Nov 9-15'!E26," ")</f>
        <v>0</v>
      </c>
      <c r="I26" s="17">
        <f>IFERROR('Nov 9-15'!G26/'Nov 9-15'!D26," ")</f>
        <v>0</v>
      </c>
      <c r="J26" s="17" t="str">
        <f>IFERROR('Nov 9-15'!G26/'Nov 9-15'!F26," ")</f>
        <v xml:space="preserve"> </v>
      </c>
      <c r="K26" s="17" t="str">
        <f>IFERROR('Nov 9-15'!H26/'Nov 9-15'!G26," ")</f>
        <v xml:space="preserve"> </v>
      </c>
      <c r="L26" s="17">
        <f>IFERROR('Nov 9-15'!I26/'Nov 9-15'!D26," ")</f>
        <v>0</v>
      </c>
      <c r="M26" s="17" t="str">
        <f>IFERROR('Nov 9-15'!I26/'Nov 9-15'!H26," ")</f>
        <v xml:space="preserve"> </v>
      </c>
    </row>
    <row r="27" spans="2:13" ht="12.75">
      <c r="B27" s="1" t="str">
        <f>'Nov 9-15'!B27</f>
        <v>147 Columbia Street Unit 3R</v>
      </c>
      <c r="C27" s="29" t="str">
        <f>'Nov 9-15'!C27</f>
        <v>Y</v>
      </c>
      <c r="D27" s="29">
        <f>'Nov 9-15'!D27</f>
        <v>34</v>
      </c>
      <c r="E27" s="66">
        <f t="shared" si="0"/>
        <v>1.4196242171189978E-2</v>
      </c>
      <c r="F27" s="17">
        <f>IFERROR('Nov 9-15'!E27/'Nov 9-15'!D27," ")</f>
        <v>0.14705882352941177</v>
      </c>
      <c r="G27" s="17">
        <f>IFERROR('Nov 9-15'!F27/'Nov 9-15'!D27," ")</f>
        <v>0</v>
      </c>
      <c r="H27" s="17">
        <f>IFERROR('Nov 9-15'!F27/'Nov 9-15'!E27," ")</f>
        <v>0</v>
      </c>
      <c r="I27" s="17">
        <f>IFERROR('Nov 9-15'!G27/'Nov 9-15'!D27," ")</f>
        <v>0</v>
      </c>
      <c r="J27" s="17" t="str">
        <f>IFERROR('Nov 9-15'!G27/'Nov 9-15'!F27," ")</f>
        <v xml:space="preserve"> </v>
      </c>
      <c r="K27" s="17" t="str">
        <f>IFERROR('Nov 9-15'!H27/'Nov 9-15'!G27," ")</f>
        <v xml:space="preserve"> </v>
      </c>
      <c r="L27" s="17">
        <f>IFERROR('Nov 9-15'!I27/'Nov 9-15'!D27," ")</f>
        <v>0</v>
      </c>
      <c r="M27" s="17">
        <f>IFERROR('Nov 9-15'!I27/'Nov 9-15'!H27," ")</f>
        <v>0</v>
      </c>
    </row>
    <row r="28" spans="2:13" ht="12.75">
      <c r="B28" s="1" t="str">
        <f>'Nov 9-15'!B28</f>
        <v>154 Magazine Street Unit 1</v>
      </c>
      <c r="C28" s="29" t="str">
        <f>'Nov 9-15'!C28</f>
        <v>Y</v>
      </c>
      <c r="D28" s="29">
        <f>'Nov 9-15'!D28</f>
        <v>43</v>
      </c>
      <c r="E28" s="66">
        <f t="shared" si="0"/>
        <v>1.7954070981210855E-2</v>
      </c>
      <c r="F28" s="17">
        <f>IFERROR('Nov 9-15'!E28/'Nov 9-15'!D28," ")</f>
        <v>0.62790697674418605</v>
      </c>
      <c r="G28" s="17">
        <f>IFERROR('Nov 9-15'!F28/'Nov 9-15'!D28," ")</f>
        <v>2.3255813953488372E-2</v>
      </c>
      <c r="H28" s="17">
        <f>IFERROR('Nov 9-15'!F28/'Nov 9-15'!E28," ")</f>
        <v>3.7037037037037035E-2</v>
      </c>
      <c r="I28" s="17">
        <f>IFERROR('Nov 9-15'!G28/'Nov 9-15'!D28," ")</f>
        <v>0</v>
      </c>
      <c r="J28" s="17">
        <f>IFERROR('Nov 9-15'!G28/'Nov 9-15'!F28," ")</f>
        <v>0</v>
      </c>
      <c r="K28" s="17" t="str">
        <f>IFERROR('Nov 9-15'!H28/'Nov 9-15'!G28," ")</f>
        <v xml:space="preserve"> </v>
      </c>
      <c r="L28" s="17">
        <f>IFERROR('Nov 9-15'!I28/'Nov 9-15'!D28," ")</f>
        <v>0.13953488372093023</v>
      </c>
      <c r="M28" s="17" t="str">
        <f>IFERROR('Nov 9-15'!I28/'Nov 9-15'!H28," ")</f>
        <v xml:space="preserve"> </v>
      </c>
    </row>
    <row r="29" spans="2:13" ht="12.75">
      <c r="B29" s="1" t="str">
        <f>'Nov 9-15'!B29</f>
        <v>154 Magazine Street Unit 2</v>
      </c>
      <c r="C29" s="29" t="str">
        <f>'Nov 9-15'!C29</f>
        <v>Y</v>
      </c>
      <c r="D29" s="29">
        <f>'Nov 9-15'!D29</f>
        <v>113</v>
      </c>
      <c r="E29" s="66">
        <f t="shared" si="0"/>
        <v>4.718162839248434E-2</v>
      </c>
      <c r="F29" s="17">
        <f>IFERROR('Nov 9-15'!E29/'Nov 9-15'!D29," ")</f>
        <v>0.48672566371681414</v>
      </c>
      <c r="G29" s="17">
        <f>IFERROR('Nov 9-15'!F29/'Nov 9-15'!D29," ")</f>
        <v>8.8495575221238937E-3</v>
      </c>
      <c r="H29" s="17">
        <f>IFERROR('Nov 9-15'!F29/'Nov 9-15'!E29," ")</f>
        <v>1.8181818181818181E-2</v>
      </c>
      <c r="I29" s="17">
        <f>IFERROR('Nov 9-15'!G29/'Nov 9-15'!D29," ")</f>
        <v>0</v>
      </c>
      <c r="J29" s="17">
        <f>IFERROR('Nov 9-15'!G29/'Nov 9-15'!F29," ")</f>
        <v>0</v>
      </c>
      <c r="K29" s="17" t="str">
        <f>IFERROR('Nov 9-15'!H29/'Nov 9-15'!G29," ")</f>
        <v xml:space="preserve"> </v>
      </c>
      <c r="L29" s="17">
        <f>IFERROR('Nov 9-15'!I29/'Nov 9-15'!D29," ")</f>
        <v>0</v>
      </c>
      <c r="M29" s="17" t="str">
        <f>IFERROR('Nov 9-15'!I29/'Nov 9-15'!H29," ")</f>
        <v xml:space="preserve"> </v>
      </c>
    </row>
    <row r="30" spans="2:13" ht="12.75">
      <c r="B30" s="1" t="str">
        <f>'Nov 9-15'!B30</f>
        <v>1578 Beacon Street Unit 5</v>
      </c>
      <c r="C30" s="29" t="str">
        <f>'Nov 9-15'!C30</f>
        <v>Y</v>
      </c>
      <c r="D30" s="29">
        <f>'Nov 9-15'!D30</f>
        <v>6</v>
      </c>
      <c r="E30" s="66">
        <f t="shared" si="0"/>
        <v>2.5052192066805845E-3</v>
      </c>
      <c r="F30" s="17">
        <f>IFERROR('Nov 9-15'!E30/'Nov 9-15'!D30," ")</f>
        <v>0</v>
      </c>
      <c r="G30" s="17">
        <f>IFERROR('Nov 9-15'!F30/'Nov 9-15'!D30," ")</f>
        <v>0</v>
      </c>
      <c r="H30" s="17" t="str">
        <f>IFERROR('Nov 9-15'!F30/'Nov 9-15'!E30," ")</f>
        <v xml:space="preserve"> </v>
      </c>
      <c r="I30" s="17">
        <f>IFERROR('Nov 9-15'!G30/'Nov 9-15'!D30," ")</f>
        <v>0</v>
      </c>
      <c r="J30" s="17" t="str">
        <f>IFERROR('Nov 9-15'!G30/'Nov 9-15'!F30," ")</f>
        <v xml:space="preserve"> </v>
      </c>
      <c r="K30" s="17" t="str">
        <f>IFERROR('Nov 9-15'!H30/'Nov 9-15'!G30," ")</f>
        <v xml:space="preserve"> </v>
      </c>
      <c r="L30" s="17">
        <f>IFERROR('Nov 9-15'!I30/'Nov 9-15'!D30," ")</f>
        <v>0</v>
      </c>
      <c r="M30" s="17" t="str">
        <f>IFERROR('Nov 9-15'!I30/'Nov 9-15'!H30," ")</f>
        <v xml:space="preserve"> </v>
      </c>
    </row>
    <row r="31" spans="2:13" ht="12.75">
      <c r="B31" s="1" t="str">
        <f>'Nov 9-15'!B31</f>
        <v>1578 Beacon Street Unit 7</v>
      </c>
      <c r="C31" s="29" t="str">
        <f>'Nov 9-15'!C31</f>
        <v>Y</v>
      </c>
      <c r="D31" s="29">
        <f>'Nov 9-15'!D31</f>
        <v>15</v>
      </c>
      <c r="E31" s="66">
        <f t="shared" si="0"/>
        <v>6.2630480167014616E-3</v>
      </c>
      <c r="F31" s="17">
        <f>IFERROR('Nov 9-15'!E31/'Nov 9-15'!D31," ")</f>
        <v>0.13333333333333333</v>
      </c>
      <c r="G31" s="17">
        <f>IFERROR('Nov 9-15'!F31/'Nov 9-15'!D31," ")</f>
        <v>0</v>
      </c>
      <c r="H31" s="17">
        <f>IFERROR('Nov 9-15'!F31/'Nov 9-15'!E31," ")</f>
        <v>0</v>
      </c>
      <c r="I31" s="17">
        <f>IFERROR('Nov 9-15'!G31/'Nov 9-15'!D31," ")</f>
        <v>0</v>
      </c>
      <c r="J31" s="17" t="str">
        <f>IFERROR('Nov 9-15'!G31/'Nov 9-15'!F31," ")</f>
        <v xml:space="preserve"> </v>
      </c>
      <c r="K31" s="17" t="str">
        <f>IFERROR('Nov 9-15'!H31/'Nov 9-15'!G31," ")</f>
        <v xml:space="preserve"> </v>
      </c>
      <c r="L31" s="17">
        <f>IFERROR('Nov 9-15'!I31/'Nov 9-15'!D31," ")</f>
        <v>0</v>
      </c>
      <c r="M31" s="17" t="str">
        <f>IFERROR('Nov 9-15'!I31/'Nov 9-15'!H31," ")</f>
        <v xml:space="preserve"> </v>
      </c>
    </row>
    <row r="32" spans="2:13" ht="12.75">
      <c r="B32" s="1" t="str">
        <f>'Nov 9-15'!B32</f>
        <v>1578 Beacon Street Unit 8</v>
      </c>
      <c r="C32" s="29" t="str">
        <f>'Nov 9-15'!C32</f>
        <v>Y</v>
      </c>
      <c r="D32" s="29">
        <f>'Nov 9-15'!D32</f>
        <v>11</v>
      </c>
      <c r="E32" s="66">
        <f t="shared" si="0"/>
        <v>4.5929018789144047E-3</v>
      </c>
      <c r="F32" s="17">
        <f>IFERROR('Nov 9-15'!E32/'Nov 9-15'!D32," ")</f>
        <v>0.18181818181818182</v>
      </c>
      <c r="G32" s="17">
        <f>IFERROR('Nov 9-15'!F32/'Nov 9-15'!D32," ")</f>
        <v>0</v>
      </c>
      <c r="H32" s="17">
        <f>IFERROR('Nov 9-15'!F32/'Nov 9-15'!E32," ")</f>
        <v>0</v>
      </c>
      <c r="I32" s="17">
        <f>IFERROR('Nov 9-15'!G32/'Nov 9-15'!D32," ")</f>
        <v>0</v>
      </c>
      <c r="J32" s="17" t="str">
        <f>IFERROR('Nov 9-15'!G32/'Nov 9-15'!F32," ")</f>
        <v xml:space="preserve"> </v>
      </c>
      <c r="K32" s="17" t="str">
        <f>IFERROR('Nov 9-15'!H32/'Nov 9-15'!G32," ")</f>
        <v xml:space="preserve"> </v>
      </c>
      <c r="L32" s="17">
        <f>IFERROR('Nov 9-15'!I32/'Nov 9-15'!D32," ")</f>
        <v>0</v>
      </c>
      <c r="M32" s="17" t="str">
        <f>IFERROR('Nov 9-15'!I32/'Nov 9-15'!H32," ")</f>
        <v xml:space="preserve"> </v>
      </c>
    </row>
    <row r="33" spans="2:13" ht="12.75">
      <c r="B33" s="1" t="str">
        <f>'Nov 9-15'!B33</f>
        <v>158 Boston Street Unit 2</v>
      </c>
      <c r="C33" s="29" t="str">
        <f>'Nov 9-15'!C33</f>
        <v>Y</v>
      </c>
      <c r="D33" s="29">
        <f>'Nov 9-15'!D33</f>
        <v>137</v>
      </c>
      <c r="E33" s="66">
        <f t="shared" si="0"/>
        <v>5.7202505219206681E-2</v>
      </c>
      <c r="F33" s="17">
        <f>IFERROR('Nov 9-15'!E33/'Nov 9-15'!D33," ")</f>
        <v>0.29927007299270075</v>
      </c>
      <c r="G33" s="17">
        <f>IFERROR('Nov 9-15'!F33/'Nov 9-15'!D33," ")</f>
        <v>1.4598540145985401E-2</v>
      </c>
      <c r="H33" s="17">
        <f>IFERROR('Nov 9-15'!F33/'Nov 9-15'!E33," ")</f>
        <v>4.878048780487805E-2</v>
      </c>
      <c r="I33" s="17">
        <f>IFERROR('Nov 9-15'!G33/'Nov 9-15'!D33," ")</f>
        <v>7.2992700729927005E-3</v>
      </c>
      <c r="J33" s="17">
        <f>IFERROR('Nov 9-15'!G33/'Nov 9-15'!F33," ")</f>
        <v>0.5</v>
      </c>
      <c r="K33" s="17">
        <f>IFERROR('Nov 9-15'!H33/'Nov 9-15'!G33," ")</f>
        <v>0</v>
      </c>
      <c r="L33" s="17">
        <f>IFERROR('Nov 9-15'!I33/'Nov 9-15'!D33," ")</f>
        <v>0</v>
      </c>
      <c r="M33" s="17" t="str">
        <f>IFERROR('Nov 9-15'!I33/'Nov 9-15'!H33," ")</f>
        <v xml:space="preserve"> </v>
      </c>
    </row>
    <row r="34" spans="2:13" ht="12.75">
      <c r="B34" s="1" t="str">
        <f>'Nov 9-15'!B34</f>
        <v>158 Magazine Street Unit 27</v>
      </c>
      <c r="C34" s="29" t="str">
        <f>'Nov 9-15'!C34</f>
        <v>Y</v>
      </c>
      <c r="D34" s="29">
        <f>'Nov 9-15'!D34</f>
        <v>12</v>
      </c>
      <c r="E34" s="66">
        <f t="shared" si="0"/>
        <v>5.0104384133611689E-3</v>
      </c>
      <c r="F34" s="17">
        <f>IFERROR('Nov 9-15'!E34/'Nov 9-15'!D34," ")</f>
        <v>8.3333333333333329E-2</v>
      </c>
      <c r="G34" s="17">
        <f>IFERROR('Nov 9-15'!F34/'Nov 9-15'!D34," ")</f>
        <v>8.3333333333333329E-2</v>
      </c>
      <c r="H34" s="17">
        <f>IFERROR('Nov 9-15'!F34/'Nov 9-15'!E34," ")</f>
        <v>1</v>
      </c>
      <c r="I34" s="17">
        <f>IFERROR('Nov 9-15'!G34/'Nov 9-15'!D34," ")</f>
        <v>0</v>
      </c>
      <c r="J34" s="17">
        <f>IFERROR('Nov 9-15'!G34/'Nov 9-15'!F34," ")</f>
        <v>0</v>
      </c>
      <c r="K34" s="17" t="str">
        <f>IFERROR('Nov 9-15'!H34/'Nov 9-15'!G34," ")</f>
        <v xml:space="preserve"> </v>
      </c>
      <c r="L34" s="17">
        <f>IFERROR('Nov 9-15'!I34/'Nov 9-15'!D34," ")</f>
        <v>0</v>
      </c>
      <c r="M34" s="17" t="str">
        <f>IFERROR('Nov 9-15'!I34/'Nov 9-15'!H34," ")</f>
        <v xml:space="preserve"> </v>
      </c>
    </row>
    <row r="35" spans="2:13" ht="12.75">
      <c r="B35" s="1" t="str">
        <f>'Nov 9-15'!B35</f>
        <v>158 Magazine Street Unit 6</v>
      </c>
      <c r="C35" s="29" t="str">
        <f>'Nov 9-15'!C35</f>
        <v>Y</v>
      </c>
      <c r="D35" s="29">
        <f>'Nov 9-15'!D35</f>
        <v>13</v>
      </c>
      <c r="E35" s="66">
        <f t="shared" si="0"/>
        <v>5.4279749478079332E-3</v>
      </c>
      <c r="F35" s="17">
        <f>IFERROR('Nov 9-15'!E35/'Nov 9-15'!D35," ")</f>
        <v>0</v>
      </c>
      <c r="G35" s="17">
        <f>IFERROR('Nov 9-15'!F35/'Nov 9-15'!D35," ")</f>
        <v>7.6923076923076927E-2</v>
      </c>
      <c r="H35" s="17" t="str">
        <f>IFERROR('Nov 9-15'!F35/'Nov 9-15'!E35," ")</f>
        <v xml:space="preserve"> </v>
      </c>
      <c r="I35" s="17">
        <f>IFERROR('Nov 9-15'!G35/'Nov 9-15'!D35," ")</f>
        <v>0</v>
      </c>
      <c r="J35" s="17">
        <f>IFERROR('Nov 9-15'!G35/'Nov 9-15'!F35," ")</f>
        <v>0</v>
      </c>
      <c r="K35" s="17" t="str">
        <f>IFERROR('Nov 9-15'!H35/'Nov 9-15'!G35," ")</f>
        <v xml:space="preserve"> </v>
      </c>
      <c r="L35" s="17">
        <f>IFERROR('Nov 9-15'!I35/'Nov 9-15'!D35," ")</f>
        <v>0</v>
      </c>
      <c r="M35" s="17" t="str">
        <f>IFERROR('Nov 9-15'!I35/'Nov 9-15'!H35," ")</f>
        <v xml:space="preserve"> </v>
      </c>
    </row>
    <row r="36" spans="2:13" ht="12.75">
      <c r="B36" s="1" t="str">
        <f>'Nov 9-15'!B36</f>
        <v>158 Magazine Street Unit 7</v>
      </c>
      <c r="C36" s="29" t="str">
        <f>'Nov 9-15'!C36</f>
        <v>Y</v>
      </c>
      <c r="D36" s="29">
        <f>'Nov 9-15'!D36</f>
        <v>19</v>
      </c>
      <c r="E36" s="66">
        <f t="shared" si="0"/>
        <v>7.9331941544885185E-3</v>
      </c>
      <c r="F36" s="17">
        <f>IFERROR('Nov 9-15'!E36/'Nov 9-15'!D36," ")</f>
        <v>0.26315789473684209</v>
      </c>
      <c r="G36" s="17">
        <f>IFERROR('Nov 9-15'!F36/'Nov 9-15'!D36," ")</f>
        <v>5.2631578947368418E-2</v>
      </c>
      <c r="H36" s="17">
        <f>IFERROR('Nov 9-15'!F36/'Nov 9-15'!E36," ")</f>
        <v>0.2</v>
      </c>
      <c r="I36" s="17">
        <f>IFERROR('Nov 9-15'!G36/'Nov 9-15'!D36," ")</f>
        <v>0</v>
      </c>
      <c r="J36" s="17">
        <f>IFERROR('Nov 9-15'!G36/'Nov 9-15'!F36," ")</f>
        <v>0</v>
      </c>
      <c r="K36" s="17" t="str">
        <f>IFERROR('Nov 9-15'!H36/'Nov 9-15'!G36," ")</f>
        <v xml:space="preserve"> </v>
      </c>
      <c r="L36" s="17">
        <f>IFERROR('Nov 9-15'!I36/'Nov 9-15'!D36," ")</f>
        <v>0</v>
      </c>
      <c r="M36" s="17" t="str">
        <f>IFERROR('Nov 9-15'!I36/'Nov 9-15'!H36," ")</f>
        <v xml:space="preserve"> </v>
      </c>
    </row>
    <row r="37" spans="2:13" ht="12.75">
      <c r="B37" s="1" t="str">
        <f>'Nov 9-15'!B37</f>
        <v>16A Forest Street Unit 33</v>
      </c>
      <c r="C37" s="29" t="str">
        <f>'Nov 9-15'!C37</f>
        <v>Y</v>
      </c>
      <c r="D37" s="29">
        <f>'Nov 9-15'!D37</f>
        <v>20</v>
      </c>
      <c r="E37" s="66">
        <f t="shared" si="0"/>
        <v>8.350730688935281E-3</v>
      </c>
      <c r="F37" s="17">
        <f>IFERROR('Nov 9-15'!E37/'Nov 9-15'!D37," ")</f>
        <v>0.35</v>
      </c>
      <c r="G37" s="17">
        <f>IFERROR('Nov 9-15'!F37/'Nov 9-15'!D37," ")</f>
        <v>0.1</v>
      </c>
      <c r="H37" s="17">
        <f>IFERROR('Nov 9-15'!F37/'Nov 9-15'!E37," ")</f>
        <v>0.2857142857142857</v>
      </c>
      <c r="I37" s="17">
        <f>IFERROR('Nov 9-15'!G37/'Nov 9-15'!D37," ")</f>
        <v>0</v>
      </c>
      <c r="J37" s="17">
        <f>IFERROR('Nov 9-15'!G37/'Nov 9-15'!F37," ")</f>
        <v>0</v>
      </c>
      <c r="K37" s="17" t="str">
        <f>IFERROR('Nov 9-15'!H37/'Nov 9-15'!G37," ")</f>
        <v xml:space="preserve"> </v>
      </c>
      <c r="L37" s="17">
        <f>IFERROR('Nov 9-15'!I37/'Nov 9-15'!D37," ")</f>
        <v>0</v>
      </c>
      <c r="M37" s="17" t="str">
        <f>IFERROR('Nov 9-15'!I37/'Nov 9-15'!H37," ")</f>
        <v xml:space="preserve"> </v>
      </c>
    </row>
    <row r="38" spans="2:13" ht="12.75">
      <c r="B38" s="1" t="str">
        <f>'Nov 9-15'!B38</f>
        <v>17 Kenneson Road Unit 1</v>
      </c>
      <c r="C38" s="29" t="str">
        <f>'Nov 9-15'!C38</f>
        <v>N</v>
      </c>
      <c r="D38" s="29">
        <f>'Nov 9-15'!D38</f>
        <v>0</v>
      </c>
      <c r="E38" s="66">
        <f t="shared" si="0"/>
        <v>0</v>
      </c>
      <c r="F38" s="17" t="str">
        <f>IFERROR('Nov 9-15'!E38/'Nov 9-15'!D38," ")</f>
        <v xml:space="preserve"> </v>
      </c>
      <c r="G38" s="17" t="str">
        <f>IFERROR('Nov 9-15'!F38/'Nov 9-15'!D38," ")</f>
        <v xml:space="preserve"> </v>
      </c>
      <c r="H38" s="17" t="str">
        <f>IFERROR('Nov 9-15'!F38/'Nov 9-15'!E38," ")</f>
        <v xml:space="preserve"> </v>
      </c>
      <c r="I38" s="17" t="str">
        <f>IFERROR('Nov 9-15'!G38/'Nov 9-15'!D38," ")</f>
        <v xml:space="preserve"> </v>
      </c>
      <c r="J38" s="17" t="str">
        <f>IFERROR('Nov 9-15'!G38/'Nov 9-15'!F38," ")</f>
        <v xml:space="preserve"> </v>
      </c>
      <c r="K38" s="17" t="str">
        <f>IFERROR('Nov 9-15'!H38/'Nov 9-15'!G38," ")</f>
        <v xml:space="preserve"> </v>
      </c>
      <c r="L38" s="17" t="str">
        <f>IFERROR('Nov 9-15'!I38/'Nov 9-15'!D38," ")</f>
        <v xml:space="preserve"> </v>
      </c>
      <c r="M38" s="17" t="str">
        <f>IFERROR('Nov 9-15'!I38/'Nov 9-15'!H38," ")</f>
        <v xml:space="preserve"> </v>
      </c>
    </row>
    <row r="39" spans="2:13" ht="12.75">
      <c r="B39" s="1" t="str">
        <f>'Nov 9-15'!B39</f>
        <v>174 W 8th Street Unit 2</v>
      </c>
      <c r="C39" s="29" t="str">
        <f>'Nov 9-15'!C39</f>
        <v>N</v>
      </c>
      <c r="D39" s="29">
        <f>'Nov 9-15'!D39</f>
        <v>0</v>
      </c>
      <c r="E39" s="66">
        <f t="shared" si="0"/>
        <v>0</v>
      </c>
      <c r="F39" s="17" t="str">
        <f>IFERROR('Nov 9-15'!E39/'Nov 9-15'!D39," ")</f>
        <v xml:space="preserve"> </v>
      </c>
      <c r="G39" s="17" t="str">
        <f>IFERROR('Nov 9-15'!F39/'Nov 9-15'!D39," ")</f>
        <v xml:space="preserve"> </v>
      </c>
      <c r="H39" s="17" t="str">
        <f>IFERROR('Nov 9-15'!F39/'Nov 9-15'!E39," ")</f>
        <v xml:space="preserve"> </v>
      </c>
      <c r="I39" s="17" t="str">
        <f>IFERROR('Nov 9-15'!G39/'Nov 9-15'!D39," ")</f>
        <v xml:space="preserve"> </v>
      </c>
      <c r="J39" s="17" t="str">
        <f>IFERROR('Nov 9-15'!G39/'Nov 9-15'!F39," ")</f>
        <v xml:space="preserve"> </v>
      </c>
      <c r="K39" s="17" t="str">
        <f>IFERROR('Nov 9-15'!H39/'Nov 9-15'!G39," ")</f>
        <v xml:space="preserve"> </v>
      </c>
      <c r="L39" s="17" t="str">
        <f>IFERROR('Nov 9-15'!I39/'Nov 9-15'!D39," ")</f>
        <v xml:space="preserve"> </v>
      </c>
      <c r="M39" s="17" t="str">
        <f>IFERROR('Nov 9-15'!I39/'Nov 9-15'!H39," ")</f>
        <v xml:space="preserve"> </v>
      </c>
    </row>
    <row r="40" spans="2:13" ht="12.75">
      <c r="B40" s="1" t="str">
        <f>'Nov 9-15'!B40</f>
        <v>179 Massachusetts Avenue Unit 2</v>
      </c>
      <c r="C40" s="29" t="str">
        <f>'Nov 9-15'!C40</f>
        <v>Y</v>
      </c>
      <c r="D40" s="29">
        <f>'Nov 9-15'!D40</f>
        <v>29</v>
      </c>
      <c r="E40" s="66">
        <f t="shared" si="0"/>
        <v>1.2108559498956159E-2</v>
      </c>
      <c r="F40" s="17">
        <f>IFERROR('Nov 9-15'!E40/'Nov 9-15'!D40," ")</f>
        <v>0.51724137931034486</v>
      </c>
      <c r="G40" s="17">
        <f>IFERROR('Nov 9-15'!F40/'Nov 9-15'!D40," ")</f>
        <v>0</v>
      </c>
      <c r="H40" s="17">
        <f>IFERROR('Nov 9-15'!F40/'Nov 9-15'!E40," ")</f>
        <v>0</v>
      </c>
      <c r="I40" s="17">
        <f>IFERROR('Nov 9-15'!G40/'Nov 9-15'!D40," ")</f>
        <v>0</v>
      </c>
      <c r="J40" s="17" t="str">
        <f>IFERROR('Nov 9-15'!G40/'Nov 9-15'!F40," ")</f>
        <v xml:space="preserve"> </v>
      </c>
      <c r="K40" s="17" t="str">
        <f>IFERROR('Nov 9-15'!H40/'Nov 9-15'!G40," ")</f>
        <v xml:space="preserve"> </v>
      </c>
      <c r="L40" s="17">
        <f>IFERROR('Nov 9-15'!I40/'Nov 9-15'!D40," ")</f>
        <v>0</v>
      </c>
      <c r="M40" s="17" t="str">
        <f>IFERROR('Nov 9-15'!I40/'Nov 9-15'!H40," ")</f>
        <v xml:space="preserve"> </v>
      </c>
    </row>
    <row r="41" spans="2:13" ht="12.75">
      <c r="B41" s="1" t="str">
        <f>'Nov 9-15'!B41</f>
        <v>179 Massachusetts Avenue Unit 3</v>
      </c>
      <c r="C41" s="29" t="str">
        <f>'Nov 9-15'!C41</f>
        <v>N</v>
      </c>
      <c r="D41" s="29">
        <f>'Nov 9-15'!D41</f>
        <v>6</v>
      </c>
      <c r="E41" s="66">
        <f t="shared" si="0"/>
        <v>2.5052192066805845E-3</v>
      </c>
      <c r="F41" s="17">
        <f>IFERROR('Nov 9-15'!E41/'Nov 9-15'!D41," ")</f>
        <v>1</v>
      </c>
      <c r="G41" s="17">
        <f>IFERROR('Nov 9-15'!F41/'Nov 9-15'!D41," ")</f>
        <v>0</v>
      </c>
      <c r="H41" s="17">
        <f>IFERROR('Nov 9-15'!F41/'Nov 9-15'!E41," ")</f>
        <v>0</v>
      </c>
      <c r="I41" s="17">
        <f>IFERROR('Nov 9-15'!G41/'Nov 9-15'!D41," ")</f>
        <v>0</v>
      </c>
      <c r="J41" s="17" t="str">
        <f>IFERROR('Nov 9-15'!G41/'Nov 9-15'!F41," ")</f>
        <v xml:space="preserve"> </v>
      </c>
      <c r="K41" s="17" t="str">
        <f>IFERROR('Nov 9-15'!H41/'Nov 9-15'!G41," ")</f>
        <v xml:space="preserve"> </v>
      </c>
      <c r="L41" s="17">
        <f>IFERROR('Nov 9-15'!I41/'Nov 9-15'!D41," ")</f>
        <v>0</v>
      </c>
      <c r="M41" s="17" t="str">
        <f>IFERROR('Nov 9-15'!I41/'Nov 9-15'!H41," ")</f>
        <v xml:space="preserve"> </v>
      </c>
    </row>
    <row r="42" spans="2:13" ht="12.75">
      <c r="B42" s="1" t="str">
        <f>'Nov 9-15'!B42</f>
        <v>18 Mount Hood Road Unit 1</v>
      </c>
      <c r="C42" s="29" t="str">
        <f>'Nov 9-15'!C42</f>
        <v>Y</v>
      </c>
      <c r="D42" s="29">
        <f>'Nov 9-15'!D42</f>
        <v>2</v>
      </c>
      <c r="E42" s="66">
        <f t="shared" si="0"/>
        <v>8.3507306889352823E-4</v>
      </c>
      <c r="F42" s="17">
        <f>IFERROR('Nov 9-15'!E42/'Nov 9-15'!D42," ")</f>
        <v>0</v>
      </c>
      <c r="G42" s="17">
        <f>IFERROR('Nov 9-15'!F42/'Nov 9-15'!D42," ")</f>
        <v>0</v>
      </c>
      <c r="H42" s="17" t="str">
        <f>IFERROR('Nov 9-15'!F42/'Nov 9-15'!E42," ")</f>
        <v xml:space="preserve"> </v>
      </c>
      <c r="I42" s="17">
        <f>IFERROR('Nov 9-15'!G42/'Nov 9-15'!D42," ")</f>
        <v>0.5</v>
      </c>
      <c r="J42" s="17" t="str">
        <f>IFERROR('Nov 9-15'!G42/'Nov 9-15'!F42," ")</f>
        <v xml:space="preserve"> </v>
      </c>
      <c r="K42" s="17">
        <f>IFERROR('Nov 9-15'!H42/'Nov 9-15'!G42," ")</f>
        <v>1</v>
      </c>
      <c r="L42" s="17">
        <f>IFERROR('Nov 9-15'!I42/'Nov 9-15'!D42," ")</f>
        <v>0.5</v>
      </c>
      <c r="M42" s="17">
        <f>IFERROR('Nov 9-15'!I42/'Nov 9-15'!H42," ")</f>
        <v>1</v>
      </c>
    </row>
    <row r="43" spans="2:13" ht="12.75">
      <c r="B43" s="1" t="str">
        <f>'Nov 9-15'!B43</f>
        <v>18 Mount Hood Road Unit 2</v>
      </c>
      <c r="C43" s="29" t="str">
        <f>'Nov 9-15'!C43</f>
        <v>N</v>
      </c>
      <c r="D43" s="29">
        <f>'Nov 9-15'!D43</f>
        <v>7</v>
      </c>
      <c r="E43" s="66">
        <f t="shared" si="0"/>
        <v>2.9227557411273487E-3</v>
      </c>
      <c r="F43" s="17">
        <f>IFERROR('Nov 9-15'!E43/'Nov 9-15'!D43," ")</f>
        <v>1</v>
      </c>
      <c r="G43" s="17">
        <f>IFERROR('Nov 9-15'!F43/'Nov 9-15'!D43," ")</f>
        <v>0</v>
      </c>
      <c r="H43" s="17">
        <f>IFERROR('Nov 9-15'!F43/'Nov 9-15'!E43," ")</f>
        <v>0</v>
      </c>
      <c r="I43" s="17">
        <f>IFERROR('Nov 9-15'!G43/'Nov 9-15'!D43," ")</f>
        <v>0</v>
      </c>
      <c r="J43" s="17" t="str">
        <f>IFERROR('Nov 9-15'!G43/'Nov 9-15'!F43," ")</f>
        <v xml:space="preserve"> </v>
      </c>
      <c r="K43" s="17" t="str">
        <f>IFERROR('Nov 9-15'!H43/'Nov 9-15'!G43," ")</f>
        <v xml:space="preserve"> </v>
      </c>
      <c r="L43" s="17">
        <f>IFERROR('Nov 9-15'!I43/'Nov 9-15'!D43," ")</f>
        <v>0</v>
      </c>
      <c r="M43" s="17" t="str">
        <f>IFERROR('Nov 9-15'!I43/'Nov 9-15'!H43," ")</f>
        <v xml:space="preserve"> </v>
      </c>
    </row>
    <row r="44" spans="2:13" ht="12.75">
      <c r="B44" s="1" t="str">
        <f>'Nov 9-15'!B44</f>
        <v>19 Mercer Street Unit 1</v>
      </c>
      <c r="C44" s="29" t="str">
        <f>'Nov 9-15'!C44</f>
        <v>Y</v>
      </c>
      <c r="D44" s="29">
        <f>'Nov 9-15'!D44</f>
        <v>17</v>
      </c>
      <c r="E44" s="66">
        <f t="shared" si="0"/>
        <v>7.0981210855949892E-3</v>
      </c>
      <c r="F44" s="17">
        <f>IFERROR('Nov 9-15'!E44/'Nov 9-15'!D44," ")</f>
        <v>0.23529411764705882</v>
      </c>
      <c r="G44" s="17">
        <f>IFERROR('Nov 9-15'!F44/'Nov 9-15'!D44," ")</f>
        <v>0</v>
      </c>
      <c r="H44" s="17">
        <f>IFERROR('Nov 9-15'!F44/'Nov 9-15'!E44," ")</f>
        <v>0</v>
      </c>
      <c r="I44" s="17">
        <f>IFERROR('Nov 9-15'!G44/'Nov 9-15'!D44," ")</f>
        <v>0</v>
      </c>
      <c r="J44" s="17" t="str">
        <f>IFERROR('Nov 9-15'!G44/'Nov 9-15'!F44," ")</f>
        <v xml:space="preserve"> </v>
      </c>
      <c r="K44" s="17" t="str">
        <f>IFERROR('Nov 9-15'!H44/'Nov 9-15'!G44," ")</f>
        <v xml:space="preserve"> </v>
      </c>
      <c r="L44" s="17">
        <f>IFERROR('Nov 9-15'!I44/'Nov 9-15'!D44," ")</f>
        <v>0</v>
      </c>
      <c r="M44" s="17" t="str">
        <f>IFERROR('Nov 9-15'!I44/'Nov 9-15'!H44," ")</f>
        <v xml:space="preserve"> </v>
      </c>
    </row>
    <row r="45" spans="2:13" ht="12.75">
      <c r="B45" s="1" t="str">
        <f>'Nov 9-15'!B45</f>
        <v>19 Wallingford Road Unit 1</v>
      </c>
      <c r="C45" s="29" t="str">
        <f>'Nov 9-15'!C45</f>
        <v>Y</v>
      </c>
      <c r="D45" s="29">
        <f>'Nov 9-15'!D45</f>
        <v>27</v>
      </c>
      <c r="E45" s="66">
        <f t="shared" si="0"/>
        <v>1.1273486430062631E-2</v>
      </c>
      <c r="F45" s="17">
        <f>IFERROR('Nov 9-15'!E45/'Nov 9-15'!D45," ")</f>
        <v>0.33333333333333331</v>
      </c>
      <c r="G45" s="17">
        <f>IFERROR('Nov 9-15'!F45/'Nov 9-15'!D45," ")</f>
        <v>0</v>
      </c>
      <c r="H45" s="17">
        <f>IFERROR('Nov 9-15'!F45/'Nov 9-15'!E45," ")</f>
        <v>0</v>
      </c>
      <c r="I45" s="17">
        <f>IFERROR('Nov 9-15'!G45/'Nov 9-15'!D45," ")</f>
        <v>0</v>
      </c>
      <c r="J45" s="17" t="str">
        <f>IFERROR('Nov 9-15'!G45/'Nov 9-15'!F45," ")</f>
        <v xml:space="preserve"> </v>
      </c>
      <c r="K45" s="17" t="str">
        <f>IFERROR('Nov 9-15'!H45/'Nov 9-15'!G45," ")</f>
        <v xml:space="preserve"> </v>
      </c>
      <c r="L45" s="17">
        <f>IFERROR('Nov 9-15'!I45/'Nov 9-15'!D45," ")</f>
        <v>0</v>
      </c>
      <c r="M45" s="17" t="str">
        <f>IFERROR('Nov 9-15'!I45/'Nov 9-15'!H45," ")</f>
        <v xml:space="preserve"> </v>
      </c>
    </row>
    <row r="46" spans="2:13" ht="12.75">
      <c r="B46" s="1" t="str">
        <f>'Nov 9-15'!B46</f>
        <v>192 Alleghany Street Unit 2</v>
      </c>
      <c r="C46" s="29" t="str">
        <f>'Nov 9-15'!C46</f>
        <v>N</v>
      </c>
      <c r="D46" s="29">
        <f>'Nov 9-15'!D46</f>
        <v>0</v>
      </c>
      <c r="E46" s="66">
        <f t="shared" si="0"/>
        <v>0</v>
      </c>
      <c r="F46" s="17" t="str">
        <f>IFERROR('Nov 9-15'!E46/'Nov 9-15'!D46," ")</f>
        <v xml:space="preserve"> </v>
      </c>
      <c r="G46" s="17" t="str">
        <f>IFERROR('Nov 9-15'!F46/'Nov 9-15'!D46," ")</f>
        <v xml:space="preserve"> </v>
      </c>
      <c r="H46" s="17" t="str">
        <f>IFERROR('Nov 9-15'!F46/'Nov 9-15'!E46," ")</f>
        <v xml:space="preserve"> </v>
      </c>
      <c r="I46" s="17" t="str">
        <f>IFERROR('Nov 9-15'!G46/'Nov 9-15'!D46," ")</f>
        <v xml:space="preserve"> </v>
      </c>
      <c r="J46" s="17" t="str">
        <f>IFERROR('Nov 9-15'!G46/'Nov 9-15'!F46," ")</f>
        <v xml:space="preserve"> </v>
      </c>
      <c r="K46" s="17" t="str">
        <f>IFERROR('Nov 9-15'!H46/'Nov 9-15'!G46," ")</f>
        <v xml:space="preserve"> </v>
      </c>
      <c r="L46" s="17" t="str">
        <f>IFERROR('Nov 9-15'!I46/'Nov 9-15'!D46," ")</f>
        <v xml:space="preserve"> </v>
      </c>
      <c r="M46" s="17" t="str">
        <f>IFERROR('Nov 9-15'!I46/'Nov 9-15'!H46," ")</f>
        <v xml:space="preserve"> </v>
      </c>
    </row>
    <row r="47" spans="2:13" ht="12.75">
      <c r="B47" s="1" t="str">
        <f>'Nov 9-15'!B47</f>
        <v>192 Third Street Unit 1</v>
      </c>
      <c r="C47" s="29" t="str">
        <f>'Nov 9-15'!C47</f>
        <v>N</v>
      </c>
      <c r="D47" s="29">
        <f>'Nov 9-15'!D47</f>
        <v>11</v>
      </c>
      <c r="E47" s="66">
        <f t="shared" si="0"/>
        <v>4.5929018789144047E-3</v>
      </c>
      <c r="F47" s="17">
        <f>IFERROR('Nov 9-15'!E47/'Nov 9-15'!D47," ")</f>
        <v>9.0909090909090912E-2</v>
      </c>
      <c r="G47" s="17">
        <f>IFERROR('Nov 9-15'!F47/'Nov 9-15'!D47," ")</f>
        <v>0</v>
      </c>
      <c r="H47" s="17">
        <f>IFERROR('Nov 9-15'!F47/'Nov 9-15'!E47," ")</f>
        <v>0</v>
      </c>
      <c r="I47" s="17">
        <f>IFERROR('Nov 9-15'!G47/'Nov 9-15'!D47," ")</f>
        <v>0</v>
      </c>
      <c r="J47" s="17" t="str">
        <f>IFERROR('Nov 9-15'!G47/'Nov 9-15'!F47," ")</f>
        <v xml:space="preserve"> </v>
      </c>
      <c r="K47" s="17" t="str">
        <f>IFERROR('Nov 9-15'!H47/'Nov 9-15'!G47," ")</f>
        <v xml:space="preserve"> </v>
      </c>
      <c r="L47" s="17">
        <f>IFERROR('Nov 9-15'!I47/'Nov 9-15'!D47," ")</f>
        <v>0</v>
      </c>
      <c r="M47" s="17" t="str">
        <f>IFERROR('Nov 9-15'!I47/'Nov 9-15'!H47," ")</f>
        <v xml:space="preserve"> </v>
      </c>
    </row>
    <row r="48" spans="2:13" ht="12.75">
      <c r="B48" s="1" t="str">
        <f>'Nov 9-15'!B48</f>
        <v>192 Third Street Unit 2</v>
      </c>
      <c r="C48" s="29" t="str">
        <f>'Nov 9-15'!C48</f>
        <v>Y</v>
      </c>
      <c r="D48" s="29">
        <f>'Nov 9-15'!D48</f>
        <v>44</v>
      </c>
      <c r="E48" s="66">
        <f t="shared" si="0"/>
        <v>1.8371607515657619E-2</v>
      </c>
      <c r="F48" s="17">
        <f>IFERROR('Nov 9-15'!E48/'Nov 9-15'!D48," ")</f>
        <v>0.29545454545454547</v>
      </c>
      <c r="G48" s="17">
        <f>IFERROR('Nov 9-15'!F48/'Nov 9-15'!D48," ")</f>
        <v>0</v>
      </c>
      <c r="H48" s="17">
        <f>IFERROR('Nov 9-15'!F48/'Nov 9-15'!E48," ")</f>
        <v>0</v>
      </c>
      <c r="I48" s="17">
        <f>IFERROR('Nov 9-15'!G48/'Nov 9-15'!D48," ")</f>
        <v>2.2727272727272728E-2</v>
      </c>
      <c r="J48" s="17" t="str">
        <f>IFERROR('Nov 9-15'!G48/'Nov 9-15'!F48," ")</f>
        <v xml:space="preserve"> </v>
      </c>
      <c r="K48" s="17">
        <f>IFERROR('Nov 9-15'!H48/'Nov 9-15'!G48," ")</f>
        <v>0</v>
      </c>
      <c r="L48" s="17">
        <f>IFERROR('Nov 9-15'!I48/'Nov 9-15'!D48," ")</f>
        <v>0</v>
      </c>
      <c r="M48" s="17" t="str">
        <f>IFERROR('Nov 9-15'!I48/'Nov 9-15'!H48," ")</f>
        <v xml:space="preserve"> </v>
      </c>
    </row>
    <row r="49" spans="2:13" ht="12.75">
      <c r="B49" s="1" t="str">
        <f>'Nov 9-15'!B49</f>
        <v>2 Montfern Avenue Unit 1</v>
      </c>
      <c r="C49" s="29" t="str">
        <f>'Nov 9-15'!C49</f>
        <v>Y</v>
      </c>
      <c r="D49" s="29">
        <f>'Nov 9-15'!D49</f>
        <v>8</v>
      </c>
      <c r="E49" s="66">
        <f t="shared" si="0"/>
        <v>3.3402922755741129E-3</v>
      </c>
      <c r="F49" s="17">
        <f>IFERROR('Nov 9-15'!E49/'Nov 9-15'!D49," ")</f>
        <v>0.125</v>
      </c>
      <c r="G49" s="17">
        <f>IFERROR('Nov 9-15'!F49/'Nov 9-15'!D49," ")</f>
        <v>0</v>
      </c>
      <c r="H49" s="17">
        <f>IFERROR('Nov 9-15'!F49/'Nov 9-15'!E49," ")</f>
        <v>0</v>
      </c>
      <c r="I49" s="17">
        <f>IFERROR('Nov 9-15'!G49/'Nov 9-15'!D49," ")</f>
        <v>0</v>
      </c>
      <c r="J49" s="17" t="str">
        <f>IFERROR('Nov 9-15'!G49/'Nov 9-15'!F49," ")</f>
        <v xml:space="preserve"> </v>
      </c>
      <c r="K49" s="17" t="str">
        <f>IFERROR('Nov 9-15'!H49/'Nov 9-15'!G49," ")</f>
        <v xml:space="preserve"> </v>
      </c>
      <c r="L49" s="17">
        <f>IFERROR('Nov 9-15'!I49/'Nov 9-15'!D49," ")</f>
        <v>0</v>
      </c>
      <c r="M49" s="17" t="str">
        <f>IFERROR('Nov 9-15'!I49/'Nov 9-15'!H49," ")</f>
        <v xml:space="preserve"> </v>
      </c>
    </row>
    <row r="50" spans="2:13" ht="12.75">
      <c r="B50" s="1" t="str">
        <f>'Nov 9-15'!B50</f>
        <v>2 Montfern Avenue Unit 2</v>
      </c>
      <c r="C50" s="29" t="str">
        <f>'Nov 9-15'!C50</f>
        <v>Y</v>
      </c>
      <c r="D50" s="29">
        <f>'Nov 9-15'!D50</f>
        <v>9</v>
      </c>
      <c r="E50" s="66">
        <f t="shared" si="0"/>
        <v>3.7578288100208767E-3</v>
      </c>
      <c r="F50" s="17">
        <f>IFERROR('Nov 9-15'!E50/'Nov 9-15'!D50," ")</f>
        <v>0</v>
      </c>
      <c r="G50" s="17">
        <f>IFERROR('Nov 9-15'!F50/'Nov 9-15'!D50," ")</f>
        <v>0</v>
      </c>
      <c r="H50" s="17" t="str">
        <f>IFERROR('Nov 9-15'!F50/'Nov 9-15'!E50," ")</f>
        <v xml:space="preserve"> </v>
      </c>
      <c r="I50" s="17">
        <f>IFERROR('Nov 9-15'!G50/'Nov 9-15'!D50," ")</f>
        <v>0</v>
      </c>
      <c r="J50" s="17" t="str">
        <f>IFERROR('Nov 9-15'!G50/'Nov 9-15'!F50," ")</f>
        <v xml:space="preserve"> </v>
      </c>
      <c r="K50" s="17" t="str">
        <f>IFERROR('Nov 9-15'!H50/'Nov 9-15'!G50," ")</f>
        <v xml:space="preserve"> </v>
      </c>
      <c r="L50" s="17">
        <f>IFERROR('Nov 9-15'!I50/'Nov 9-15'!D50," ")</f>
        <v>0</v>
      </c>
      <c r="M50" s="17" t="str">
        <f>IFERROR('Nov 9-15'!I50/'Nov 9-15'!H50," ")</f>
        <v xml:space="preserve"> </v>
      </c>
    </row>
    <row r="51" spans="2:13" ht="12.75">
      <c r="B51" s="1" t="str">
        <f>'Nov 9-15'!B51</f>
        <v>2 Montfern Avenue Unit 3</v>
      </c>
      <c r="C51" s="29" t="str">
        <f>'Nov 9-15'!C51</f>
        <v>Y</v>
      </c>
      <c r="D51" s="29">
        <f>'Nov 9-15'!D51</f>
        <v>7</v>
      </c>
      <c r="E51" s="66">
        <f t="shared" si="0"/>
        <v>2.9227557411273487E-3</v>
      </c>
      <c r="F51" s="17">
        <f>IFERROR('Nov 9-15'!E51/'Nov 9-15'!D51," ")</f>
        <v>0.2857142857142857</v>
      </c>
      <c r="G51" s="17">
        <f>IFERROR('Nov 9-15'!F51/'Nov 9-15'!D51," ")</f>
        <v>0</v>
      </c>
      <c r="H51" s="17">
        <f>IFERROR('Nov 9-15'!F51/'Nov 9-15'!E51," ")</f>
        <v>0</v>
      </c>
      <c r="I51" s="17">
        <f>IFERROR('Nov 9-15'!G51/'Nov 9-15'!D51," ")</f>
        <v>0</v>
      </c>
      <c r="J51" s="17" t="str">
        <f>IFERROR('Nov 9-15'!G51/'Nov 9-15'!F51," ")</f>
        <v xml:space="preserve"> </v>
      </c>
      <c r="K51" s="17" t="str">
        <f>IFERROR('Nov 9-15'!H51/'Nov 9-15'!G51," ")</f>
        <v xml:space="preserve"> </v>
      </c>
      <c r="L51" s="17">
        <f>IFERROR('Nov 9-15'!I51/'Nov 9-15'!D51," ")</f>
        <v>0</v>
      </c>
      <c r="M51" s="17" t="str">
        <f>IFERROR('Nov 9-15'!I51/'Nov 9-15'!H51," ")</f>
        <v xml:space="preserve"> </v>
      </c>
    </row>
    <row r="52" spans="2:13" ht="12.75">
      <c r="B52" s="1" t="str">
        <f>'Nov 9-15'!B52</f>
        <v>20 Reedsdale Street</v>
      </c>
      <c r="C52" s="29" t="str">
        <f>'Nov 9-15'!C52</f>
        <v>Y</v>
      </c>
      <c r="D52" s="29">
        <f>'Nov 9-15'!D52</f>
        <v>8</v>
      </c>
      <c r="E52" s="66">
        <f t="shared" si="0"/>
        <v>3.3402922755741129E-3</v>
      </c>
      <c r="F52" s="17">
        <f>IFERROR('Nov 9-15'!E52/'Nov 9-15'!D52," ")</f>
        <v>0.25</v>
      </c>
      <c r="G52" s="17">
        <f>IFERROR('Nov 9-15'!F52/'Nov 9-15'!D52," ")</f>
        <v>0</v>
      </c>
      <c r="H52" s="17">
        <f>IFERROR('Nov 9-15'!F52/'Nov 9-15'!E52," ")</f>
        <v>0</v>
      </c>
      <c r="I52" s="17">
        <f>IFERROR('Nov 9-15'!G52/'Nov 9-15'!D52," ")</f>
        <v>0</v>
      </c>
      <c r="J52" s="17" t="str">
        <f>IFERROR('Nov 9-15'!G52/'Nov 9-15'!F52," ")</f>
        <v xml:space="preserve"> </v>
      </c>
      <c r="K52" s="17" t="str">
        <f>IFERROR('Nov 9-15'!H52/'Nov 9-15'!G52," ")</f>
        <v xml:space="preserve"> </v>
      </c>
      <c r="L52" s="17">
        <f>IFERROR('Nov 9-15'!I52/'Nov 9-15'!D52," ")</f>
        <v>0</v>
      </c>
      <c r="M52" s="17" t="str">
        <f>IFERROR('Nov 9-15'!I52/'Nov 9-15'!H52," ")</f>
        <v xml:space="preserve"> </v>
      </c>
    </row>
    <row r="53" spans="2:13" ht="12.75">
      <c r="B53" s="1" t="str">
        <f>'Nov 9-15'!B53</f>
        <v>20 Sudan Street Unit 1</v>
      </c>
      <c r="C53" s="29" t="str">
        <f>'Nov 9-15'!C53</f>
        <v>Y</v>
      </c>
      <c r="D53" s="29">
        <f>'Nov 9-15'!D53</f>
        <v>0</v>
      </c>
      <c r="E53" s="66">
        <f t="shared" si="0"/>
        <v>0</v>
      </c>
      <c r="F53" s="17" t="str">
        <f>IFERROR('Nov 9-15'!E53/'Nov 9-15'!D53," ")</f>
        <v xml:space="preserve"> </v>
      </c>
      <c r="G53" s="17" t="str">
        <f>IFERROR('Nov 9-15'!F53/'Nov 9-15'!D53," ")</f>
        <v xml:space="preserve"> </v>
      </c>
      <c r="H53" s="17" t="str">
        <f>IFERROR('Nov 9-15'!F53/'Nov 9-15'!E53," ")</f>
        <v xml:space="preserve"> </v>
      </c>
      <c r="I53" s="17" t="str">
        <f>IFERROR('Nov 9-15'!G53/'Nov 9-15'!D53," ")</f>
        <v xml:space="preserve"> </v>
      </c>
      <c r="J53" s="17" t="str">
        <f>IFERROR('Nov 9-15'!G53/'Nov 9-15'!F53," ")</f>
        <v xml:space="preserve"> </v>
      </c>
      <c r="K53" s="17" t="str">
        <f>IFERROR('Nov 9-15'!H53/'Nov 9-15'!G53," ")</f>
        <v xml:space="preserve"> </v>
      </c>
      <c r="L53" s="17" t="str">
        <f>IFERROR('Nov 9-15'!I53/'Nov 9-15'!D53," ")</f>
        <v xml:space="preserve"> </v>
      </c>
      <c r="M53" s="17" t="str">
        <f>IFERROR('Nov 9-15'!I53/'Nov 9-15'!H53," ")</f>
        <v xml:space="preserve"> </v>
      </c>
    </row>
    <row r="54" spans="2:13" ht="12.75">
      <c r="B54" s="1" t="str">
        <f>'Nov 9-15'!B54</f>
        <v>208 Cedar Street Unit 2</v>
      </c>
      <c r="C54" s="29" t="str">
        <f>'Nov 9-15'!C54</f>
        <v>N</v>
      </c>
      <c r="D54" s="29">
        <f>'Nov 9-15'!D54</f>
        <v>1</v>
      </c>
      <c r="E54" s="66">
        <f t="shared" si="0"/>
        <v>4.1753653444676412E-4</v>
      </c>
      <c r="F54" s="17">
        <f>IFERROR('Nov 9-15'!E54/'Nov 9-15'!D54," ")</f>
        <v>1</v>
      </c>
      <c r="G54" s="17">
        <f>IFERROR('Nov 9-15'!F54/'Nov 9-15'!D54," ")</f>
        <v>0</v>
      </c>
      <c r="H54" s="17">
        <f>IFERROR('Nov 9-15'!F54/'Nov 9-15'!E54," ")</f>
        <v>0</v>
      </c>
      <c r="I54" s="17">
        <f>IFERROR('Nov 9-15'!G54/'Nov 9-15'!D54," ")</f>
        <v>0</v>
      </c>
      <c r="J54" s="17" t="str">
        <f>IFERROR('Nov 9-15'!G54/'Nov 9-15'!F54," ")</f>
        <v xml:space="preserve"> </v>
      </c>
      <c r="K54" s="17" t="str">
        <f>IFERROR('Nov 9-15'!H54/'Nov 9-15'!G54," ")</f>
        <v xml:space="preserve"> </v>
      </c>
      <c r="L54" s="17">
        <f>IFERROR('Nov 9-15'!I54/'Nov 9-15'!D54," ")</f>
        <v>0</v>
      </c>
      <c r="M54" s="17" t="str">
        <f>IFERROR('Nov 9-15'!I54/'Nov 9-15'!H54," ")</f>
        <v xml:space="preserve"> </v>
      </c>
    </row>
    <row r="55" spans="2:13" ht="12.75">
      <c r="B55" s="1" t="str">
        <f>'Nov 9-15'!B55</f>
        <v>22 Austin Street Unit 1</v>
      </c>
      <c r="C55" s="29" t="str">
        <f>'Nov 9-15'!C55</f>
        <v>Y</v>
      </c>
      <c r="D55" s="29">
        <f>'Nov 9-15'!D55</f>
        <v>25</v>
      </c>
      <c r="E55" s="66">
        <f t="shared" si="0"/>
        <v>1.0438413361169102E-2</v>
      </c>
      <c r="F55" s="17">
        <f>IFERROR('Nov 9-15'!E55/'Nov 9-15'!D55," ")</f>
        <v>0.52</v>
      </c>
      <c r="G55" s="17">
        <f>IFERROR('Nov 9-15'!F55/'Nov 9-15'!D55," ")</f>
        <v>0.04</v>
      </c>
      <c r="H55" s="17">
        <f>IFERROR('Nov 9-15'!F55/'Nov 9-15'!E55," ")</f>
        <v>7.6923076923076927E-2</v>
      </c>
      <c r="I55" s="17">
        <f>IFERROR('Nov 9-15'!G55/'Nov 9-15'!D55," ")</f>
        <v>0.04</v>
      </c>
      <c r="J55" s="17">
        <f>IFERROR('Nov 9-15'!G55/'Nov 9-15'!F55," ")</f>
        <v>1</v>
      </c>
      <c r="K55" s="17">
        <f>IFERROR('Nov 9-15'!H55/'Nov 9-15'!G55," ")</f>
        <v>0</v>
      </c>
      <c r="L55" s="17">
        <f>IFERROR('Nov 9-15'!I55/'Nov 9-15'!D55," ")</f>
        <v>0</v>
      </c>
      <c r="M55" s="17" t="str">
        <f>IFERROR('Nov 9-15'!I55/'Nov 9-15'!H55," ")</f>
        <v xml:space="preserve"> </v>
      </c>
    </row>
    <row r="56" spans="2:13" ht="12.75">
      <c r="B56" s="1" t="str">
        <f>'Nov 9-15'!B56</f>
        <v>23 Granite Street Unit 3</v>
      </c>
      <c r="C56" s="29" t="str">
        <f>'Nov 9-15'!C56</f>
        <v>N</v>
      </c>
      <c r="D56" s="29">
        <f>'Nov 9-15'!D56</f>
        <v>0</v>
      </c>
      <c r="E56" s="66">
        <f t="shared" si="0"/>
        <v>0</v>
      </c>
      <c r="F56" s="17" t="str">
        <f>IFERROR('Nov 9-15'!E56/'Nov 9-15'!D56," ")</f>
        <v xml:space="preserve"> </v>
      </c>
      <c r="G56" s="17" t="str">
        <f>IFERROR('Nov 9-15'!F56/'Nov 9-15'!D56," ")</f>
        <v xml:space="preserve"> </v>
      </c>
      <c r="H56" s="17" t="str">
        <f>IFERROR('Nov 9-15'!F56/'Nov 9-15'!E56," ")</f>
        <v xml:space="preserve"> </v>
      </c>
      <c r="I56" s="17" t="str">
        <f>IFERROR('Nov 9-15'!G56/'Nov 9-15'!D56," ")</f>
        <v xml:space="preserve"> </v>
      </c>
      <c r="J56" s="17" t="str">
        <f>IFERROR('Nov 9-15'!G56/'Nov 9-15'!F56," ")</f>
        <v xml:space="preserve"> </v>
      </c>
      <c r="K56" s="17" t="str">
        <f>IFERROR('Nov 9-15'!H56/'Nov 9-15'!G56," ")</f>
        <v xml:space="preserve"> </v>
      </c>
      <c r="L56" s="17" t="str">
        <f>IFERROR('Nov 9-15'!I56/'Nov 9-15'!D56," ")</f>
        <v xml:space="preserve"> </v>
      </c>
      <c r="M56" s="17" t="str">
        <f>IFERROR('Nov 9-15'!I56/'Nov 9-15'!H56," ")</f>
        <v xml:space="preserve"> </v>
      </c>
    </row>
    <row r="57" spans="2:13" ht="12.75">
      <c r="B57" s="1" t="str">
        <f>'Nov 9-15'!B57</f>
        <v>23 Rogers Avenue Unit 1</v>
      </c>
      <c r="C57" s="29" t="str">
        <f>'Nov 9-15'!C57</f>
        <v>Y</v>
      </c>
      <c r="D57" s="29">
        <f>'Nov 9-15'!D57</f>
        <v>22</v>
      </c>
      <c r="E57" s="66">
        <f t="shared" si="0"/>
        <v>9.1858037578288095E-3</v>
      </c>
      <c r="F57" s="17">
        <f>IFERROR('Nov 9-15'!E57/'Nov 9-15'!D57," ")</f>
        <v>0.22727272727272727</v>
      </c>
      <c r="G57" s="17">
        <f>IFERROR('Nov 9-15'!F57/'Nov 9-15'!D57," ")</f>
        <v>0</v>
      </c>
      <c r="H57" s="17">
        <f>IFERROR('Nov 9-15'!F57/'Nov 9-15'!E57," ")</f>
        <v>0</v>
      </c>
      <c r="I57" s="17">
        <f>IFERROR('Nov 9-15'!G57/'Nov 9-15'!D57," ")</f>
        <v>0</v>
      </c>
      <c r="J57" s="17" t="str">
        <f>IFERROR('Nov 9-15'!G57/'Nov 9-15'!F57," ")</f>
        <v xml:space="preserve"> </v>
      </c>
      <c r="K57" s="17" t="str">
        <f>IFERROR('Nov 9-15'!H57/'Nov 9-15'!G57," ")</f>
        <v xml:space="preserve"> </v>
      </c>
      <c r="L57" s="17">
        <f>IFERROR('Nov 9-15'!I57/'Nov 9-15'!D57," ")</f>
        <v>0</v>
      </c>
      <c r="M57" s="17" t="str">
        <f>IFERROR('Nov 9-15'!I57/'Nov 9-15'!H57," ")</f>
        <v xml:space="preserve"> </v>
      </c>
    </row>
    <row r="58" spans="2:13" ht="12.75">
      <c r="B58" s="1" t="str">
        <f>'Nov 9-15'!B58</f>
        <v>231 Norfolk Street Unit 1</v>
      </c>
      <c r="C58" s="29" t="str">
        <f>'Nov 9-15'!C58</f>
        <v>Y</v>
      </c>
      <c r="D58" s="29">
        <f>'Nov 9-15'!D58</f>
        <v>30</v>
      </c>
      <c r="E58" s="66">
        <f t="shared" si="0"/>
        <v>1.2526096033402923E-2</v>
      </c>
      <c r="F58" s="17">
        <f>IFERROR('Nov 9-15'!E58/'Nov 9-15'!D58," ")</f>
        <v>0.36666666666666664</v>
      </c>
      <c r="G58" s="17">
        <f>IFERROR('Nov 9-15'!F58/'Nov 9-15'!D58," ")</f>
        <v>6.6666666666666666E-2</v>
      </c>
      <c r="H58" s="17">
        <f>IFERROR('Nov 9-15'!F58/'Nov 9-15'!E58," ")</f>
        <v>0.18181818181818182</v>
      </c>
      <c r="I58" s="17">
        <f>IFERROR('Nov 9-15'!G58/'Nov 9-15'!D58," ")</f>
        <v>0</v>
      </c>
      <c r="J58" s="17">
        <f>IFERROR('Nov 9-15'!G58/'Nov 9-15'!F58," ")</f>
        <v>0</v>
      </c>
      <c r="K58" s="17" t="str">
        <f>IFERROR('Nov 9-15'!H58/'Nov 9-15'!G58," ")</f>
        <v xml:space="preserve"> </v>
      </c>
      <c r="L58" s="17">
        <f>IFERROR('Nov 9-15'!I58/'Nov 9-15'!D58," ")</f>
        <v>0</v>
      </c>
      <c r="M58" s="17" t="str">
        <f>IFERROR('Nov 9-15'!I58/'Nov 9-15'!H58," ")</f>
        <v xml:space="preserve"> </v>
      </c>
    </row>
    <row r="59" spans="2:13" ht="12.75">
      <c r="B59" s="1" t="str">
        <f>'Nov 9-15'!B59</f>
        <v>231 Norfolk Street Unit 4</v>
      </c>
      <c r="C59" s="29" t="str">
        <f>'Nov 9-15'!C59</f>
        <v>N</v>
      </c>
      <c r="D59" s="29">
        <f>'Nov 9-15'!D59</f>
        <v>2</v>
      </c>
      <c r="E59" s="66">
        <f t="shared" si="0"/>
        <v>8.3507306889352823E-4</v>
      </c>
      <c r="F59" s="17">
        <f>IFERROR('Nov 9-15'!E59/'Nov 9-15'!D59," ")</f>
        <v>0</v>
      </c>
      <c r="G59" s="17">
        <f>IFERROR('Nov 9-15'!F59/'Nov 9-15'!D59," ")</f>
        <v>0</v>
      </c>
      <c r="H59" s="17" t="str">
        <f>IFERROR('Nov 9-15'!F59/'Nov 9-15'!E59," ")</f>
        <v xml:space="preserve"> </v>
      </c>
      <c r="I59" s="17">
        <f>IFERROR('Nov 9-15'!G59/'Nov 9-15'!D59," ")</f>
        <v>0</v>
      </c>
      <c r="J59" s="17" t="str">
        <f>IFERROR('Nov 9-15'!G59/'Nov 9-15'!F59," ")</f>
        <v xml:space="preserve"> </v>
      </c>
      <c r="K59" s="17" t="str">
        <f>IFERROR('Nov 9-15'!H59/'Nov 9-15'!G59," ")</f>
        <v xml:space="preserve"> </v>
      </c>
      <c r="L59" s="17">
        <f>IFERROR('Nov 9-15'!I59/'Nov 9-15'!D59," ")</f>
        <v>0</v>
      </c>
      <c r="M59" s="17" t="str">
        <f>IFERROR('Nov 9-15'!I59/'Nov 9-15'!H59," ")</f>
        <v xml:space="preserve"> </v>
      </c>
    </row>
    <row r="60" spans="2:13" ht="12.75">
      <c r="B60" s="1" t="str">
        <f>'Nov 9-15'!B60</f>
        <v>24 Ashford Street Unit 2</v>
      </c>
      <c r="C60" s="29" t="str">
        <f>'Nov 9-15'!C60</f>
        <v>N</v>
      </c>
      <c r="D60" s="29">
        <f>'Nov 9-15'!D60</f>
        <v>15</v>
      </c>
      <c r="E60" s="66">
        <f t="shared" si="0"/>
        <v>6.2630480167014616E-3</v>
      </c>
      <c r="F60" s="17">
        <f>IFERROR('Nov 9-15'!E60/'Nov 9-15'!D60," ")</f>
        <v>0.26666666666666666</v>
      </c>
      <c r="G60" s="17">
        <f>IFERROR('Nov 9-15'!F60/'Nov 9-15'!D60," ")</f>
        <v>0</v>
      </c>
      <c r="H60" s="17">
        <f>IFERROR('Nov 9-15'!F60/'Nov 9-15'!E60," ")</f>
        <v>0</v>
      </c>
      <c r="I60" s="17">
        <f>IFERROR('Nov 9-15'!G60/'Nov 9-15'!D60," ")</f>
        <v>0</v>
      </c>
      <c r="J60" s="17" t="str">
        <f>IFERROR('Nov 9-15'!G60/'Nov 9-15'!F60," ")</f>
        <v xml:space="preserve"> </v>
      </c>
      <c r="K60" s="17" t="str">
        <f>IFERROR('Nov 9-15'!H60/'Nov 9-15'!G60," ")</f>
        <v xml:space="preserve"> </v>
      </c>
      <c r="L60" s="17">
        <f>IFERROR('Nov 9-15'!I60/'Nov 9-15'!D60," ")</f>
        <v>0</v>
      </c>
      <c r="M60" s="17" t="str">
        <f>IFERROR('Nov 9-15'!I60/'Nov 9-15'!H60," ")</f>
        <v xml:space="preserve"> </v>
      </c>
    </row>
    <row r="61" spans="2:13" ht="12.75">
      <c r="B61" s="1" t="str">
        <f>'Nov 9-15'!B61</f>
        <v>25 Howes Street Unit 2</v>
      </c>
      <c r="C61" s="29" t="str">
        <f>'Nov 9-15'!C61</f>
        <v>N</v>
      </c>
      <c r="D61" s="29">
        <f>'Nov 9-15'!D61</f>
        <v>0</v>
      </c>
      <c r="E61" s="66">
        <f t="shared" si="0"/>
        <v>0</v>
      </c>
      <c r="F61" s="17" t="str">
        <f>IFERROR('Nov 9-15'!E61/'Nov 9-15'!D61," ")</f>
        <v xml:space="preserve"> </v>
      </c>
      <c r="G61" s="17" t="str">
        <f>IFERROR('Nov 9-15'!F61/'Nov 9-15'!D61," ")</f>
        <v xml:space="preserve"> </v>
      </c>
      <c r="H61" s="17" t="str">
        <f>IFERROR('Nov 9-15'!F61/'Nov 9-15'!E61," ")</f>
        <v xml:space="preserve"> </v>
      </c>
      <c r="I61" s="17" t="str">
        <f>IFERROR('Nov 9-15'!G61/'Nov 9-15'!D61," ")</f>
        <v xml:space="preserve"> </v>
      </c>
      <c r="J61" s="17" t="str">
        <f>IFERROR('Nov 9-15'!G61/'Nov 9-15'!F61," ")</f>
        <v xml:space="preserve"> </v>
      </c>
      <c r="K61" s="17" t="str">
        <f>IFERROR('Nov 9-15'!H61/'Nov 9-15'!G61," ")</f>
        <v xml:space="preserve"> </v>
      </c>
      <c r="L61" s="17" t="str">
        <f>IFERROR('Nov 9-15'!I61/'Nov 9-15'!D61," ")</f>
        <v xml:space="preserve"> </v>
      </c>
      <c r="M61" s="17" t="str">
        <f>IFERROR('Nov 9-15'!I61/'Nov 9-15'!H61," ")</f>
        <v xml:space="preserve"> </v>
      </c>
    </row>
    <row r="62" spans="2:13" ht="12.75">
      <c r="B62" s="1" t="str">
        <f>'Nov 9-15'!B62</f>
        <v>25 Howes Street Unit 3</v>
      </c>
      <c r="C62" s="29" t="str">
        <f>'Nov 9-15'!C62</f>
        <v>Y</v>
      </c>
      <c r="D62" s="29">
        <f>'Nov 9-15'!D62</f>
        <v>11</v>
      </c>
      <c r="E62" s="66">
        <f t="shared" si="0"/>
        <v>4.5929018789144047E-3</v>
      </c>
      <c r="F62" s="17">
        <f>IFERROR('Nov 9-15'!E62/'Nov 9-15'!D62," ")</f>
        <v>0</v>
      </c>
      <c r="G62" s="17">
        <f>IFERROR('Nov 9-15'!F62/'Nov 9-15'!D62," ")</f>
        <v>0</v>
      </c>
      <c r="H62" s="17" t="str">
        <f>IFERROR('Nov 9-15'!F62/'Nov 9-15'!E62," ")</f>
        <v xml:space="preserve"> </v>
      </c>
      <c r="I62" s="17">
        <f>IFERROR('Nov 9-15'!G62/'Nov 9-15'!D62," ")</f>
        <v>0</v>
      </c>
      <c r="J62" s="17" t="str">
        <f>IFERROR('Nov 9-15'!G62/'Nov 9-15'!F62," ")</f>
        <v xml:space="preserve"> </v>
      </c>
      <c r="K62" s="17" t="str">
        <f>IFERROR('Nov 9-15'!H62/'Nov 9-15'!G62," ")</f>
        <v xml:space="preserve"> </v>
      </c>
      <c r="L62" s="17">
        <f>IFERROR('Nov 9-15'!I62/'Nov 9-15'!D62," ")</f>
        <v>0</v>
      </c>
      <c r="M62" s="17" t="str">
        <f>IFERROR('Nov 9-15'!I62/'Nov 9-15'!H62," ")</f>
        <v xml:space="preserve"> </v>
      </c>
    </row>
    <row r="63" spans="2:13" ht="12.75">
      <c r="B63" s="1" t="str">
        <f>'Nov 9-15'!B63</f>
        <v>26 Washington Terrace Unit 1</v>
      </c>
      <c r="C63" s="29" t="str">
        <f>'Nov 9-15'!C63</f>
        <v>N</v>
      </c>
      <c r="D63" s="29">
        <f>'Nov 9-15'!D63</f>
        <v>0</v>
      </c>
      <c r="E63" s="66">
        <f t="shared" si="0"/>
        <v>0</v>
      </c>
      <c r="F63" s="17" t="str">
        <f>IFERROR('Nov 9-15'!E63/'Nov 9-15'!D63," ")</f>
        <v xml:space="preserve"> </v>
      </c>
      <c r="G63" s="17" t="str">
        <f>IFERROR('Nov 9-15'!F63/'Nov 9-15'!D63," ")</f>
        <v xml:space="preserve"> </v>
      </c>
      <c r="H63" s="17" t="str">
        <f>IFERROR('Nov 9-15'!F63/'Nov 9-15'!E63," ")</f>
        <v xml:space="preserve"> </v>
      </c>
      <c r="I63" s="17" t="str">
        <f>IFERROR('Nov 9-15'!G63/'Nov 9-15'!D63," ")</f>
        <v xml:space="preserve"> </v>
      </c>
      <c r="J63" s="17" t="str">
        <f>IFERROR('Nov 9-15'!G63/'Nov 9-15'!F63," ")</f>
        <v xml:space="preserve"> </v>
      </c>
      <c r="K63" s="17" t="str">
        <f>IFERROR('Nov 9-15'!H63/'Nov 9-15'!G63," ")</f>
        <v xml:space="preserve"> </v>
      </c>
      <c r="L63" s="17" t="str">
        <f>IFERROR('Nov 9-15'!I63/'Nov 9-15'!D63," ")</f>
        <v xml:space="preserve"> </v>
      </c>
      <c r="M63" s="17" t="str">
        <f>IFERROR('Nov 9-15'!I63/'Nov 9-15'!H63," ")</f>
        <v xml:space="preserve"> </v>
      </c>
    </row>
    <row r="64" spans="2:13" ht="12.75">
      <c r="B64" s="1" t="str">
        <f>'Nov 9-15'!B64</f>
        <v>26 Washington Terrace Unit 2</v>
      </c>
      <c r="C64" s="29" t="str">
        <f>'Nov 9-15'!C64</f>
        <v>N</v>
      </c>
      <c r="D64" s="29">
        <f>'Nov 9-15'!D64</f>
        <v>0</v>
      </c>
      <c r="E64" s="66">
        <f t="shared" si="0"/>
        <v>0</v>
      </c>
      <c r="F64" s="17" t="str">
        <f>IFERROR('Nov 9-15'!E64/'Nov 9-15'!D64," ")</f>
        <v xml:space="preserve"> </v>
      </c>
      <c r="G64" s="17" t="str">
        <f>IFERROR('Nov 9-15'!F64/'Nov 9-15'!D64," ")</f>
        <v xml:space="preserve"> </v>
      </c>
      <c r="H64" s="17" t="str">
        <f>IFERROR('Nov 9-15'!F64/'Nov 9-15'!E64," ")</f>
        <v xml:space="preserve"> </v>
      </c>
      <c r="I64" s="17" t="str">
        <f>IFERROR('Nov 9-15'!G64/'Nov 9-15'!D64," ")</f>
        <v xml:space="preserve"> </v>
      </c>
      <c r="J64" s="17" t="str">
        <f>IFERROR('Nov 9-15'!G64/'Nov 9-15'!F64," ")</f>
        <v xml:space="preserve"> </v>
      </c>
      <c r="K64" s="17" t="str">
        <f>IFERROR('Nov 9-15'!H64/'Nov 9-15'!G64," ")</f>
        <v xml:space="preserve"> </v>
      </c>
      <c r="L64" s="17" t="str">
        <f>IFERROR('Nov 9-15'!I64/'Nov 9-15'!D64," ")</f>
        <v xml:space="preserve"> </v>
      </c>
      <c r="M64" s="17" t="str">
        <f>IFERROR('Nov 9-15'!I64/'Nov 9-15'!H64," ")</f>
        <v xml:space="preserve"> </v>
      </c>
    </row>
    <row r="65" spans="2:13" ht="12.75">
      <c r="B65" s="1" t="str">
        <f>'Nov 9-15'!B65</f>
        <v>267 Main Street Unit 4</v>
      </c>
      <c r="C65" s="29" t="str">
        <f>'Nov 9-15'!C65</f>
        <v>Y</v>
      </c>
      <c r="D65" s="29">
        <f>'Nov 9-15'!D65</f>
        <v>55</v>
      </c>
      <c r="E65" s="66">
        <f t="shared" si="0"/>
        <v>2.2964509394572025E-2</v>
      </c>
      <c r="F65" s="17">
        <f>IFERROR('Nov 9-15'!E65/'Nov 9-15'!D65," ")</f>
        <v>0.25454545454545452</v>
      </c>
      <c r="G65" s="17">
        <f>IFERROR('Nov 9-15'!F65/'Nov 9-15'!D65," ")</f>
        <v>0</v>
      </c>
      <c r="H65" s="17">
        <f>IFERROR('Nov 9-15'!F65/'Nov 9-15'!E65," ")</f>
        <v>0</v>
      </c>
      <c r="I65" s="17">
        <f>IFERROR('Nov 9-15'!G65/'Nov 9-15'!D65," ")</f>
        <v>0</v>
      </c>
      <c r="J65" s="17" t="str">
        <f>IFERROR('Nov 9-15'!G65/'Nov 9-15'!F65," ")</f>
        <v xml:space="preserve"> </v>
      </c>
      <c r="K65" s="17" t="str">
        <f>IFERROR('Nov 9-15'!H65/'Nov 9-15'!G65," ")</f>
        <v xml:space="preserve"> </v>
      </c>
      <c r="L65" s="17">
        <f>IFERROR('Nov 9-15'!I65/'Nov 9-15'!D65," ")</f>
        <v>0</v>
      </c>
      <c r="M65" s="17" t="str">
        <f>IFERROR('Nov 9-15'!I65/'Nov 9-15'!H65," ")</f>
        <v xml:space="preserve"> </v>
      </c>
    </row>
    <row r="66" spans="2:13" ht="12.75">
      <c r="B66" s="1" t="str">
        <f>'Nov 9-15'!B66</f>
        <v>275 Dorchester Street</v>
      </c>
      <c r="C66" s="29" t="str">
        <f>'Nov 9-15'!C66</f>
        <v>Y</v>
      </c>
      <c r="D66" s="29">
        <f>'Nov 9-15'!D66</f>
        <v>0</v>
      </c>
      <c r="E66" s="66">
        <f t="shared" si="0"/>
        <v>0</v>
      </c>
      <c r="F66" s="17" t="str">
        <f>IFERROR('Nov 9-15'!E66/'Nov 9-15'!D66," ")</f>
        <v xml:space="preserve"> </v>
      </c>
      <c r="G66" s="17" t="str">
        <f>IFERROR('Nov 9-15'!F66/'Nov 9-15'!D66," ")</f>
        <v xml:space="preserve"> </v>
      </c>
      <c r="H66" s="17" t="str">
        <f>IFERROR('Nov 9-15'!F66/'Nov 9-15'!E66," ")</f>
        <v xml:space="preserve"> </v>
      </c>
      <c r="I66" s="17" t="str">
        <f>IFERROR('Nov 9-15'!G66/'Nov 9-15'!D66," ")</f>
        <v xml:space="preserve"> </v>
      </c>
      <c r="J66" s="17" t="str">
        <f>IFERROR('Nov 9-15'!G66/'Nov 9-15'!F66," ")</f>
        <v xml:space="preserve"> </v>
      </c>
      <c r="K66" s="17" t="str">
        <f>IFERROR('Nov 9-15'!H66/'Nov 9-15'!G66," ")</f>
        <v xml:space="preserve"> </v>
      </c>
      <c r="L66" s="17" t="str">
        <f>IFERROR('Nov 9-15'!I66/'Nov 9-15'!D66," ")</f>
        <v xml:space="preserve"> </v>
      </c>
      <c r="M66" s="17" t="str">
        <f>IFERROR('Nov 9-15'!I66/'Nov 9-15'!H66," ")</f>
        <v xml:space="preserve"> </v>
      </c>
    </row>
    <row r="67" spans="2:13" ht="12.75">
      <c r="B67" s="1" t="str">
        <f>'Nov 9-15'!B67</f>
        <v>31 Plymouth Street Unit 2</v>
      </c>
      <c r="C67" s="29" t="str">
        <f>'Nov 9-15'!C67</f>
        <v>Y</v>
      </c>
      <c r="D67" s="29">
        <f>'Nov 9-15'!D67</f>
        <v>47</v>
      </c>
      <c r="E67" s="66">
        <f t="shared" si="0"/>
        <v>1.9624217118997912E-2</v>
      </c>
      <c r="F67" s="17">
        <f>IFERROR('Nov 9-15'!E67/'Nov 9-15'!D67," ")</f>
        <v>0.23404255319148937</v>
      </c>
      <c r="G67" s="17">
        <f>IFERROR('Nov 9-15'!F67/'Nov 9-15'!D67," ")</f>
        <v>4.2553191489361701E-2</v>
      </c>
      <c r="H67" s="17">
        <f>IFERROR('Nov 9-15'!F67/'Nov 9-15'!E67," ")</f>
        <v>0.18181818181818182</v>
      </c>
      <c r="I67" s="17">
        <f>IFERROR('Nov 9-15'!G67/'Nov 9-15'!D67," ")</f>
        <v>0</v>
      </c>
      <c r="J67" s="17">
        <f>IFERROR('Nov 9-15'!G67/'Nov 9-15'!F67," ")</f>
        <v>0</v>
      </c>
      <c r="K67" s="17" t="str">
        <f>IFERROR('Nov 9-15'!H67/'Nov 9-15'!G67," ")</f>
        <v xml:space="preserve"> </v>
      </c>
      <c r="L67" s="17">
        <f>IFERROR('Nov 9-15'!I67/'Nov 9-15'!D67," ")</f>
        <v>0</v>
      </c>
      <c r="M67" s="17" t="str">
        <f>IFERROR('Nov 9-15'!I67/'Nov 9-15'!H67," ")</f>
        <v xml:space="preserve"> </v>
      </c>
    </row>
    <row r="68" spans="2:13" ht="12.75">
      <c r="B68" s="1" t="str">
        <f>'Nov 9-15'!B68</f>
        <v>31 Plymouth Street Unit 3</v>
      </c>
      <c r="C68" s="29" t="str">
        <f>'Nov 9-15'!C68</f>
        <v>Y</v>
      </c>
      <c r="D68" s="29">
        <f>'Nov 9-15'!D68</f>
        <v>26</v>
      </c>
      <c r="E68" s="66">
        <f t="shared" si="0"/>
        <v>1.0855949895615866E-2</v>
      </c>
      <c r="F68" s="17">
        <f>IFERROR('Nov 9-15'!E68/'Nov 9-15'!D68," ")</f>
        <v>0.23076923076923078</v>
      </c>
      <c r="G68" s="17">
        <f>IFERROR('Nov 9-15'!F68/'Nov 9-15'!D68," ")</f>
        <v>7.6923076923076927E-2</v>
      </c>
      <c r="H68" s="17">
        <f>IFERROR('Nov 9-15'!F68/'Nov 9-15'!E68," ")</f>
        <v>0.33333333333333331</v>
      </c>
      <c r="I68" s="17">
        <f>IFERROR('Nov 9-15'!G68/'Nov 9-15'!D68," ")</f>
        <v>0</v>
      </c>
      <c r="J68" s="17">
        <f>IFERROR('Nov 9-15'!G68/'Nov 9-15'!F68," ")</f>
        <v>0</v>
      </c>
      <c r="K68" s="17" t="str">
        <f>IFERROR('Nov 9-15'!H68/'Nov 9-15'!G68," ")</f>
        <v xml:space="preserve"> </v>
      </c>
      <c r="L68" s="17">
        <f>IFERROR('Nov 9-15'!I68/'Nov 9-15'!D68," ")</f>
        <v>0</v>
      </c>
      <c r="M68" s="17" t="str">
        <f>IFERROR('Nov 9-15'!I68/'Nov 9-15'!H68," ")</f>
        <v xml:space="preserve"> </v>
      </c>
    </row>
    <row r="69" spans="2:13" ht="12.75">
      <c r="B69" s="1" t="str">
        <f>'Nov 9-15'!B69</f>
        <v>31 South Street Unit 1</v>
      </c>
      <c r="C69" s="29" t="str">
        <f>'Nov 9-15'!C69</f>
        <v>Y</v>
      </c>
      <c r="D69" s="29">
        <f>'Nov 9-15'!D69</f>
        <v>34</v>
      </c>
      <c r="E69" s="66">
        <f t="shared" si="0"/>
        <v>1.4196242171189978E-2</v>
      </c>
      <c r="F69" s="17">
        <f>IFERROR('Nov 9-15'!E69/'Nov 9-15'!D69," ")</f>
        <v>0.26470588235294118</v>
      </c>
      <c r="G69" s="17">
        <f>IFERROR('Nov 9-15'!F69/'Nov 9-15'!D69," ")</f>
        <v>0</v>
      </c>
      <c r="H69" s="17">
        <f>IFERROR('Nov 9-15'!F69/'Nov 9-15'!E69," ")</f>
        <v>0</v>
      </c>
      <c r="I69" s="17">
        <f>IFERROR('Nov 9-15'!G69/'Nov 9-15'!D69," ")</f>
        <v>0</v>
      </c>
      <c r="J69" s="17" t="str">
        <f>IFERROR('Nov 9-15'!G69/'Nov 9-15'!F69," ")</f>
        <v xml:space="preserve"> </v>
      </c>
      <c r="K69" s="17" t="str">
        <f>IFERROR('Nov 9-15'!H69/'Nov 9-15'!G69," ")</f>
        <v xml:space="preserve"> </v>
      </c>
      <c r="L69" s="17">
        <f>IFERROR('Nov 9-15'!I69/'Nov 9-15'!D69," ")</f>
        <v>0</v>
      </c>
      <c r="M69" s="17" t="str">
        <f>IFERROR('Nov 9-15'!I69/'Nov 9-15'!H69," ")</f>
        <v xml:space="preserve"> </v>
      </c>
    </row>
    <row r="70" spans="2:13" ht="12.75">
      <c r="B70" s="1" t="str">
        <f>'Nov 9-15'!B70</f>
        <v>322.5 Western Avenue Unit 2</v>
      </c>
      <c r="C70" s="29" t="str">
        <f>'Nov 9-15'!C70</f>
        <v>Y</v>
      </c>
      <c r="D70" s="29">
        <f>'Nov 9-15'!D70</f>
        <v>89</v>
      </c>
      <c r="E70" s="66">
        <f t="shared" si="0"/>
        <v>3.7160751565762005E-2</v>
      </c>
      <c r="F70" s="17">
        <f>IFERROR('Nov 9-15'!E70/'Nov 9-15'!D70," ")</f>
        <v>0.16853932584269662</v>
      </c>
      <c r="G70" s="17">
        <f>IFERROR('Nov 9-15'!F70/'Nov 9-15'!D70," ")</f>
        <v>0</v>
      </c>
      <c r="H70" s="17">
        <f>IFERROR('Nov 9-15'!F70/'Nov 9-15'!E70," ")</f>
        <v>0</v>
      </c>
      <c r="I70" s="17">
        <f>IFERROR('Nov 9-15'!G70/'Nov 9-15'!D70," ")</f>
        <v>0</v>
      </c>
      <c r="J70" s="17" t="str">
        <f>IFERROR('Nov 9-15'!G70/'Nov 9-15'!F70," ")</f>
        <v xml:space="preserve"> </v>
      </c>
      <c r="K70" s="17" t="str">
        <f>IFERROR('Nov 9-15'!H70/'Nov 9-15'!G70," ")</f>
        <v xml:space="preserve"> </v>
      </c>
      <c r="L70" s="17">
        <f>IFERROR('Nov 9-15'!I70/'Nov 9-15'!D70," ")</f>
        <v>0</v>
      </c>
      <c r="M70" s="17" t="str">
        <f>IFERROR('Nov 9-15'!I70/'Nov 9-15'!H70," ")</f>
        <v xml:space="preserve"> </v>
      </c>
    </row>
    <row r="71" spans="2:13" ht="12.75">
      <c r="B71" s="1" t="str">
        <f>'Nov 9-15'!B71</f>
        <v>33 Merriam Street Unit 2</v>
      </c>
      <c r="C71" s="29" t="str">
        <f>'Nov 9-15'!C71</f>
        <v>Y</v>
      </c>
      <c r="D71" s="29">
        <f>'Nov 9-15'!D71</f>
        <v>58</v>
      </c>
      <c r="E71" s="66">
        <f t="shared" si="0"/>
        <v>2.4217118997912318E-2</v>
      </c>
      <c r="F71" s="17">
        <f>IFERROR('Nov 9-15'!E71/'Nov 9-15'!D71," ")</f>
        <v>0.46551724137931033</v>
      </c>
      <c r="G71" s="17">
        <f>IFERROR('Nov 9-15'!F71/'Nov 9-15'!D71," ")</f>
        <v>5.1724137931034482E-2</v>
      </c>
      <c r="H71" s="17">
        <f>IFERROR('Nov 9-15'!F71/'Nov 9-15'!E71," ")</f>
        <v>0.1111111111111111</v>
      </c>
      <c r="I71" s="17">
        <f>IFERROR('Nov 9-15'!G71/'Nov 9-15'!D71," ")</f>
        <v>0</v>
      </c>
      <c r="J71" s="17">
        <f>IFERROR('Nov 9-15'!G71/'Nov 9-15'!F71," ")</f>
        <v>0</v>
      </c>
      <c r="K71" s="17" t="str">
        <f>IFERROR('Nov 9-15'!H71/'Nov 9-15'!G71," ")</f>
        <v xml:space="preserve"> </v>
      </c>
      <c r="L71" s="17">
        <f>IFERROR('Nov 9-15'!I71/'Nov 9-15'!D71," ")</f>
        <v>0</v>
      </c>
      <c r="M71" s="17" t="str">
        <f>IFERROR('Nov 9-15'!I71/'Nov 9-15'!H71," ")</f>
        <v xml:space="preserve"> </v>
      </c>
    </row>
    <row r="72" spans="2:13" ht="12.75">
      <c r="B72" s="1" t="str">
        <f>'Nov 9-15'!B72</f>
        <v>34 Cherokee Street Unit 3</v>
      </c>
      <c r="C72" s="29" t="str">
        <f>'Nov 9-15'!C72</f>
        <v>Y</v>
      </c>
      <c r="D72" s="29">
        <f>'Nov 9-15'!D72</f>
        <v>42</v>
      </c>
      <c r="E72" s="66">
        <f t="shared" si="0"/>
        <v>1.753653444676409E-2</v>
      </c>
      <c r="F72" s="17">
        <f>IFERROR('Nov 9-15'!E72/'Nov 9-15'!D72," ")</f>
        <v>0.30952380952380953</v>
      </c>
      <c r="G72" s="17">
        <f>IFERROR('Nov 9-15'!F72/'Nov 9-15'!D72," ")</f>
        <v>0</v>
      </c>
      <c r="H72" s="17">
        <f>IFERROR('Nov 9-15'!F72/'Nov 9-15'!E72," ")</f>
        <v>0</v>
      </c>
      <c r="I72" s="17">
        <f>IFERROR('Nov 9-15'!G72/'Nov 9-15'!D72," ")</f>
        <v>0</v>
      </c>
      <c r="J72" s="17" t="str">
        <f>IFERROR('Nov 9-15'!G72/'Nov 9-15'!F72," ")</f>
        <v xml:space="preserve"> </v>
      </c>
      <c r="K72" s="17" t="str">
        <f>IFERROR('Nov 9-15'!H72/'Nov 9-15'!G72," ")</f>
        <v xml:space="preserve"> </v>
      </c>
      <c r="L72" s="17">
        <f>IFERROR('Nov 9-15'!I72/'Nov 9-15'!D72," ")</f>
        <v>0</v>
      </c>
      <c r="M72" s="17" t="str">
        <f>IFERROR('Nov 9-15'!I72/'Nov 9-15'!H72," ")</f>
        <v xml:space="preserve"> </v>
      </c>
    </row>
    <row r="73" spans="2:13" ht="12.75">
      <c r="B73" s="1" t="str">
        <f>'Nov 9-15'!B73</f>
        <v>34 Circuit Street Unit 3</v>
      </c>
      <c r="C73" s="29" t="str">
        <f>'Nov 9-15'!C73</f>
        <v>Y</v>
      </c>
      <c r="D73" s="29">
        <f>'Nov 9-15'!D73</f>
        <v>31</v>
      </c>
      <c r="E73" s="66">
        <f t="shared" si="0"/>
        <v>1.2943632567849687E-2</v>
      </c>
      <c r="F73" s="17">
        <f>IFERROR('Nov 9-15'!E73/'Nov 9-15'!D73," ")</f>
        <v>0.16129032258064516</v>
      </c>
      <c r="G73" s="17">
        <f>IFERROR('Nov 9-15'!F73/'Nov 9-15'!D73," ")</f>
        <v>6.4516129032258063E-2</v>
      </c>
      <c r="H73" s="17">
        <f>IFERROR('Nov 9-15'!F73/'Nov 9-15'!E73," ")</f>
        <v>0.4</v>
      </c>
      <c r="I73" s="17">
        <f>IFERROR('Nov 9-15'!G73/'Nov 9-15'!D73," ")</f>
        <v>0</v>
      </c>
      <c r="J73" s="17">
        <f>IFERROR('Nov 9-15'!G73/'Nov 9-15'!F73," ")</f>
        <v>0</v>
      </c>
      <c r="K73" s="17" t="str">
        <f>IFERROR('Nov 9-15'!H73/'Nov 9-15'!G73," ")</f>
        <v xml:space="preserve"> </v>
      </c>
      <c r="L73" s="17">
        <f>IFERROR('Nov 9-15'!I73/'Nov 9-15'!D73," ")</f>
        <v>0</v>
      </c>
      <c r="M73" s="17" t="str">
        <f>IFERROR('Nov 9-15'!I73/'Nov 9-15'!H73," ")</f>
        <v xml:space="preserve"> </v>
      </c>
    </row>
    <row r="74" spans="2:13" ht="12.75">
      <c r="B74" s="1" t="str">
        <f>'Nov 9-15'!B74</f>
        <v>348 E 8th Street Unit 1</v>
      </c>
      <c r="C74" s="29" t="str">
        <f>'Nov 9-15'!C74</f>
        <v>Y</v>
      </c>
      <c r="D74" s="29">
        <f>'Nov 9-15'!D74</f>
        <v>9</v>
      </c>
      <c r="E74" s="66">
        <f t="shared" si="0"/>
        <v>3.7578288100208767E-3</v>
      </c>
      <c r="F74" s="17">
        <f>IFERROR('Nov 9-15'!E74/'Nov 9-15'!D74," ")</f>
        <v>0</v>
      </c>
      <c r="G74" s="17">
        <f>IFERROR('Nov 9-15'!F74/'Nov 9-15'!D74," ")</f>
        <v>0</v>
      </c>
      <c r="H74" s="17" t="str">
        <f>IFERROR('Nov 9-15'!F74/'Nov 9-15'!E74," ")</f>
        <v xml:space="preserve"> </v>
      </c>
      <c r="I74" s="17">
        <f>IFERROR('Nov 9-15'!G74/'Nov 9-15'!D74," ")</f>
        <v>0</v>
      </c>
      <c r="J74" s="17" t="str">
        <f>IFERROR('Nov 9-15'!G74/'Nov 9-15'!F74," ")</f>
        <v xml:space="preserve"> </v>
      </c>
      <c r="K74" s="17" t="str">
        <f>IFERROR('Nov 9-15'!H74/'Nov 9-15'!G74," ")</f>
        <v xml:space="preserve"> </v>
      </c>
      <c r="L74" s="17">
        <f>IFERROR('Nov 9-15'!I74/'Nov 9-15'!D74," ")</f>
        <v>0</v>
      </c>
      <c r="M74" s="17" t="str">
        <f>IFERROR('Nov 9-15'!I74/'Nov 9-15'!H74," ")</f>
        <v xml:space="preserve"> </v>
      </c>
    </row>
    <row r="75" spans="2:13" ht="12.75">
      <c r="B75" s="1" t="str">
        <f>'Nov 9-15'!B75</f>
        <v>35 South Street Unit 7</v>
      </c>
      <c r="C75" s="29" t="str">
        <f>'Nov 9-15'!C75</f>
        <v>Y</v>
      </c>
      <c r="D75" s="29">
        <f>'Nov 9-15'!D75</f>
        <v>16</v>
      </c>
      <c r="E75" s="66">
        <f t="shared" si="0"/>
        <v>6.6805845511482258E-3</v>
      </c>
      <c r="F75" s="17">
        <f>IFERROR('Nov 9-15'!E75/'Nov 9-15'!D75," ")</f>
        <v>0.5625</v>
      </c>
      <c r="G75" s="17">
        <f>IFERROR('Nov 9-15'!F75/'Nov 9-15'!D75," ")</f>
        <v>0</v>
      </c>
      <c r="H75" s="17">
        <f>IFERROR('Nov 9-15'!F75/'Nov 9-15'!E75," ")</f>
        <v>0</v>
      </c>
      <c r="I75" s="17">
        <f>IFERROR('Nov 9-15'!G75/'Nov 9-15'!D75," ")</f>
        <v>0</v>
      </c>
      <c r="J75" s="17" t="str">
        <f>IFERROR('Nov 9-15'!G75/'Nov 9-15'!F75," ")</f>
        <v xml:space="preserve"> </v>
      </c>
      <c r="K75" s="17" t="str">
        <f>IFERROR('Nov 9-15'!H75/'Nov 9-15'!G75," ")</f>
        <v xml:space="preserve"> </v>
      </c>
      <c r="L75" s="17">
        <f>IFERROR('Nov 9-15'!I75/'Nov 9-15'!D75," ")</f>
        <v>0</v>
      </c>
      <c r="M75" s="17" t="str">
        <f>IFERROR('Nov 9-15'!I75/'Nov 9-15'!H75," ")</f>
        <v xml:space="preserve"> </v>
      </c>
    </row>
    <row r="76" spans="2:13" ht="12.75">
      <c r="B76" s="1" t="str">
        <f>'Nov 9-15'!B76</f>
        <v>357 Windsor Street Unit 2</v>
      </c>
      <c r="C76" s="29" t="str">
        <f>'Nov 9-15'!C76</f>
        <v>Y</v>
      </c>
      <c r="D76" s="29">
        <f>'Nov 9-15'!D76</f>
        <v>80</v>
      </c>
      <c r="E76" s="66">
        <f t="shared" si="0"/>
        <v>3.3402922755741124E-2</v>
      </c>
      <c r="F76" s="17">
        <f>IFERROR('Nov 9-15'!E76/'Nov 9-15'!D76," ")</f>
        <v>0.16250000000000001</v>
      </c>
      <c r="G76" s="17">
        <f>IFERROR('Nov 9-15'!F76/'Nov 9-15'!D76," ")</f>
        <v>0</v>
      </c>
      <c r="H76" s="17">
        <f>IFERROR('Nov 9-15'!F76/'Nov 9-15'!E76," ")</f>
        <v>0</v>
      </c>
      <c r="I76" s="17">
        <f>IFERROR('Nov 9-15'!G76/'Nov 9-15'!D76," ")</f>
        <v>0</v>
      </c>
      <c r="J76" s="17" t="str">
        <f>IFERROR('Nov 9-15'!G76/'Nov 9-15'!F76," ")</f>
        <v xml:space="preserve"> </v>
      </c>
      <c r="K76" s="17" t="str">
        <f>IFERROR('Nov 9-15'!H76/'Nov 9-15'!G76," ")</f>
        <v xml:space="preserve"> </v>
      </c>
      <c r="L76" s="17">
        <f>IFERROR('Nov 9-15'!I76/'Nov 9-15'!D76," ")</f>
        <v>0</v>
      </c>
      <c r="M76" s="17" t="str">
        <f>IFERROR('Nov 9-15'!I76/'Nov 9-15'!H76," ")</f>
        <v xml:space="preserve"> </v>
      </c>
    </row>
    <row r="77" spans="2:13" ht="12.75">
      <c r="B77" s="1" t="str">
        <f>'Nov 9-15'!B77</f>
        <v>376 Prospect Street Unit 2</v>
      </c>
      <c r="C77" s="29" t="str">
        <f>'Nov 9-15'!C77</f>
        <v>Y</v>
      </c>
      <c r="D77" s="29">
        <f>'Nov 9-15'!D77</f>
        <v>63</v>
      </c>
      <c r="E77" s="66">
        <f t="shared" si="0"/>
        <v>2.6304801670146139E-2</v>
      </c>
      <c r="F77" s="17">
        <f>IFERROR('Nov 9-15'!E77/'Nov 9-15'!D77," ")</f>
        <v>0.31746031746031744</v>
      </c>
      <c r="G77" s="17">
        <f>IFERROR('Nov 9-15'!F77/'Nov 9-15'!D77," ")</f>
        <v>0</v>
      </c>
      <c r="H77" s="17">
        <f>IFERROR('Nov 9-15'!F77/'Nov 9-15'!E77," ")</f>
        <v>0</v>
      </c>
      <c r="I77" s="17">
        <f>IFERROR('Nov 9-15'!G77/'Nov 9-15'!D77," ")</f>
        <v>0</v>
      </c>
      <c r="J77" s="17" t="str">
        <f>IFERROR('Nov 9-15'!G77/'Nov 9-15'!F77," ")</f>
        <v xml:space="preserve"> </v>
      </c>
      <c r="K77" s="17" t="str">
        <f>IFERROR('Nov 9-15'!H77/'Nov 9-15'!G77," ")</f>
        <v xml:space="preserve"> </v>
      </c>
      <c r="L77" s="17">
        <f>IFERROR('Nov 9-15'!I77/'Nov 9-15'!D77," ")</f>
        <v>0</v>
      </c>
      <c r="M77" s="17" t="str">
        <f>IFERROR('Nov 9-15'!I77/'Nov 9-15'!H77," ")</f>
        <v xml:space="preserve"> </v>
      </c>
    </row>
    <row r="78" spans="2:13" ht="12.75">
      <c r="B78" s="1" t="str">
        <f>'Nov 9-15'!B78</f>
        <v>379 Broadway Street Unit 43</v>
      </c>
      <c r="C78" s="29" t="str">
        <f>'Nov 9-15'!C78</f>
        <v>Y</v>
      </c>
      <c r="D78" s="29">
        <f>'Nov 9-15'!D78</f>
        <v>20</v>
      </c>
      <c r="E78" s="66">
        <f t="shared" si="0"/>
        <v>8.350730688935281E-3</v>
      </c>
      <c r="F78" s="17">
        <f>IFERROR('Nov 9-15'!E78/'Nov 9-15'!D78," ")</f>
        <v>0.2</v>
      </c>
      <c r="G78" s="17">
        <f>IFERROR('Nov 9-15'!F78/'Nov 9-15'!D78," ")</f>
        <v>0.05</v>
      </c>
      <c r="H78" s="17">
        <f>IFERROR('Nov 9-15'!F78/'Nov 9-15'!E78," ")</f>
        <v>0.25</v>
      </c>
      <c r="I78" s="17">
        <f>IFERROR('Nov 9-15'!G78/'Nov 9-15'!D78," ")</f>
        <v>0</v>
      </c>
      <c r="J78" s="17">
        <f>IFERROR('Nov 9-15'!G78/'Nov 9-15'!F78," ")</f>
        <v>0</v>
      </c>
      <c r="K78" s="17" t="str">
        <f>IFERROR('Nov 9-15'!H78/'Nov 9-15'!G78," ")</f>
        <v xml:space="preserve"> </v>
      </c>
      <c r="L78" s="17">
        <f>IFERROR('Nov 9-15'!I78/'Nov 9-15'!D78," ")</f>
        <v>0</v>
      </c>
      <c r="M78" s="17" t="str">
        <f>IFERROR('Nov 9-15'!I78/'Nov 9-15'!H78," ")</f>
        <v xml:space="preserve"> </v>
      </c>
    </row>
    <row r="79" spans="2:13" ht="12.75">
      <c r="B79" s="1" t="str">
        <f>'Nov 9-15'!B79</f>
        <v>379 Broadway Street Unit 7</v>
      </c>
      <c r="C79" s="29" t="str">
        <f>'Nov 9-15'!C79</f>
        <v>Y</v>
      </c>
      <c r="D79" s="29">
        <f>'Nov 9-15'!D79</f>
        <v>19</v>
      </c>
      <c r="E79" s="66">
        <f t="shared" si="0"/>
        <v>7.9331941544885185E-3</v>
      </c>
      <c r="F79" s="17">
        <f>IFERROR('Nov 9-15'!E79/'Nov 9-15'!D79," ")</f>
        <v>5.2631578947368418E-2</v>
      </c>
      <c r="G79" s="17">
        <f>IFERROR('Nov 9-15'!F79/'Nov 9-15'!D79," ")</f>
        <v>5.2631578947368418E-2</v>
      </c>
      <c r="H79" s="17">
        <f>IFERROR('Nov 9-15'!F79/'Nov 9-15'!E79," ")</f>
        <v>1</v>
      </c>
      <c r="I79" s="17">
        <f>IFERROR('Nov 9-15'!G79/'Nov 9-15'!D79," ")</f>
        <v>0</v>
      </c>
      <c r="J79" s="17">
        <f>IFERROR('Nov 9-15'!G79/'Nov 9-15'!F79," ")</f>
        <v>0</v>
      </c>
      <c r="K79" s="17" t="str">
        <f>IFERROR('Nov 9-15'!H79/'Nov 9-15'!G79," ")</f>
        <v xml:space="preserve"> </v>
      </c>
      <c r="L79" s="17">
        <f>IFERROR('Nov 9-15'!I79/'Nov 9-15'!D79," ")</f>
        <v>0</v>
      </c>
      <c r="M79" s="17" t="str">
        <f>IFERROR('Nov 9-15'!I79/'Nov 9-15'!H79," ")</f>
        <v xml:space="preserve"> </v>
      </c>
    </row>
    <row r="80" spans="2:13" ht="12.75">
      <c r="B80" s="1" t="str">
        <f>'Nov 9-15'!B80</f>
        <v>38 Day Street Unit 42</v>
      </c>
      <c r="C80" s="29" t="str">
        <f>'Nov 9-15'!C80</f>
        <v>Y</v>
      </c>
      <c r="D80" s="29">
        <f>'Nov 9-15'!D80</f>
        <v>32</v>
      </c>
      <c r="E80" s="66">
        <f t="shared" si="0"/>
        <v>1.3361169102296452E-2</v>
      </c>
      <c r="F80" s="17">
        <f>IFERROR('Nov 9-15'!E80/'Nov 9-15'!D80," ")</f>
        <v>0.1875</v>
      </c>
      <c r="G80" s="17">
        <f>IFERROR('Nov 9-15'!F80/'Nov 9-15'!D80," ")</f>
        <v>3.125E-2</v>
      </c>
      <c r="H80" s="17">
        <f>IFERROR('Nov 9-15'!F80/'Nov 9-15'!E80," ")</f>
        <v>0.16666666666666666</v>
      </c>
      <c r="I80" s="17">
        <f>IFERROR('Nov 9-15'!G80/'Nov 9-15'!D80," ")</f>
        <v>0</v>
      </c>
      <c r="J80" s="17">
        <f>IFERROR('Nov 9-15'!G80/'Nov 9-15'!F80," ")</f>
        <v>0</v>
      </c>
      <c r="K80" s="17" t="str">
        <f>IFERROR('Nov 9-15'!H80/'Nov 9-15'!G80," ")</f>
        <v xml:space="preserve"> </v>
      </c>
      <c r="L80" s="17">
        <f>IFERROR('Nov 9-15'!I80/'Nov 9-15'!D80," ")</f>
        <v>0</v>
      </c>
      <c r="M80" s="17" t="str">
        <f>IFERROR('Nov 9-15'!I80/'Nov 9-15'!H80," ")</f>
        <v xml:space="preserve"> </v>
      </c>
    </row>
    <row r="81" spans="2:13" ht="12.75">
      <c r="B81" s="1" t="str">
        <f>'Nov 9-15'!B81</f>
        <v>383 Broadway Street Unit 41</v>
      </c>
      <c r="C81" s="29" t="str">
        <f>'Nov 9-15'!C81</f>
        <v>Y</v>
      </c>
      <c r="D81" s="29">
        <f>'Nov 9-15'!D81</f>
        <v>34</v>
      </c>
      <c r="E81" s="66">
        <f t="shared" si="0"/>
        <v>1.4196242171189978E-2</v>
      </c>
      <c r="F81" s="17">
        <f>IFERROR('Nov 9-15'!E81/'Nov 9-15'!D81," ")</f>
        <v>0.17647058823529413</v>
      </c>
      <c r="G81" s="17">
        <f>IFERROR('Nov 9-15'!F81/'Nov 9-15'!D81," ")</f>
        <v>2.9411764705882353E-2</v>
      </c>
      <c r="H81" s="17">
        <f>IFERROR('Nov 9-15'!F81/'Nov 9-15'!E81," ")</f>
        <v>0.16666666666666666</v>
      </c>
      <c r="I81" s="17">
        <f>IFERROR('Nov 9-15'!G81/'Nov 9-15'!D81," ")</f>
        <v>0</v>
      </c>
      <c r="J81" s="17">
        <f>IFERROR('Nov 9-15'!G81/'Nov 9-15'!F81," ")</f>
        <v>0</v>
      </c>
      <c r="K81" s="17" t="str">
        <f>IFERROR('Nov 9-15'!H81/'Nov 9-15'!G81," ")</f>
        <v xml:space="preserve"> </v>
      </c>
      <c r="L81" s="17">
        <f>IFERROR('Nov 9-15'!I81/'Nov 9-15'!D81," ")</f>
        <v>0</v>
      </c>
      <c r="M81" s="17" t="str">
        <f>IFERROR('Nov 9-15'!I81/'Nov 9-15'!H81," ")</f>
        <v xml:space="preserve"> </v>
      </c>
    </row>
    <row r="82" spans="2:13" ht="12.75">
      <c r="B82" s="1" t="str">
        <f>'Nov 9-15'!B82</f>
        <v>4 Elko Street Unit B1</v>
      </c>
      <c r="C82" s="29" t="str">
        <f>'Nov 9-15'!C82</f>
        <v>Y</v>
      </c>
      <c r="D82" s="29">
        <f>'Nov 9-15'!D82</f>
        <v>17</v>
      </c>
      <c r="E82" s="66">
        <f t="shared" si="0"/>
        <v>7.0981210855949892E-3</v>
      </c>
      <c r="F82" s="17">
        <f>IFERROR('Nov 9-15'!E82/'Nov 9-15'!D82," ")</f>
        <v>5.8823529411764705E-2</v>
      </c>
      <c r="G82" s="17">
        <f>IFERROR('Nov 9-15'!F82/'Nov 9-15'!D82," ")</f>
        <v>0</v>
      </c>
      <c r="H82" s="17">
        <f>IFERROR('Nov 9-15'!F82/'Nov 9-15'!E82," ")</f>
        <v>0</v>
      </c>
      <c r="I82" s="17">
        <f>IFERROR('Nov 9-15'!G82/'Nov 9-15'!D82," ")</f>
        <v>0</v>
      </c>
      <c r="J82" s="17" t="str">
        <f>IFERROR('Nov 9-15'!G82/'Nov 9-15'!F82," ")</f>
        <v xml:space="preserve"> </v>
      </c>
      <c r="K82" s="17" t="str">
        <f>IFERROR('Nov 9-15'!H82/'Nov 9-15'!G82," ")</f>
        <v xml:space="preserve"> </v>
      </c>
      <c r="L82" s="17">
        <f>IFERROR('Nov 9-15'!I82/'Nov 9-15'!D82," ")</f>
        <v>0</v>
      </c>
      <c r="M82" s="17" t="str">
        <f>IFERROR('Nov 9-15'!I82/'Nov 9-15'!H82," ")</f>
        <v xml:space="preserve"> </v>
      </c>
    </row>
    <row r="83" spans="2:13" ht="12.75">
      <c r="B83" s="1" t="str">
        <f>'Nov 9-15'!B83</f>
        <v>4 Litchfield Street Unit 2</v>
      </c>
      <c r="C83" s="29" t="str">
        <f>'Nov 9-15'!C83</f>
        <v>N</v>
      </c>
      <c r="D83" s="29">
        <f>'Nov 9-15'!D83</f>
        <v>1</v>
      </c>
      <c r="E83" s="66">
        <f t="shared" si="0"/>
        <v>4.1753653444676412E-4</v>
      </c>
      <c r="F83" s="17">
        <f>IFERROR('Nov 9-15'!E83/'Nov 9-15'!D83," ")</f>
        <v>0</v>
      </c>
      <c r="G83" s="17">
        <f>IFERROR('Nov 9-15'!F83/'Nov 9-15'!D83," ")</f>
        <v>0</v>
      </c>
      <c r="H83" s="17" t="str">
        <f>IFERROR('Nov 9-15'!F83/'Nov 9-15'!E83," ")</f>
        <v xml:space="preserve"> </v>
      </c>
      <c r="I83" s="17">
        <f>IFERROR('Nov 9-15'!G83/'Nov 9-15'!D83," ")</f>
        <v>0</v>
      </c>
      <c r="J83" s="17" t="str">
        <f>IFERROR('Nov 9-15'!G83/'Nov 9-15'!F83," ")</f>
        <v xml:space="preserve"> </v>
      </c>
      <c r="K83" s="17" t="str">
        <f>IFERROR('Nov 9-15'!H83/'Nov 9-15'!G83," ")</f>
        <v xml:space="preserve"> </v>
      </c>
      <c r="L83" s="17">
        <f>IFERROR('Nov 9-15'!I83/'Nov 9-15'!D83," ")</f>
        <v>0</v>
      </c>
      <c r="M83" s="17" t="str">
        <f>IFERROR('Nov 9-15'!I83/'Nov 9-15'!H83," ")</f>
        <v xml:space="preserve"> </v>
      </c>
    </row>
    <row r="84" spans="2:13" ht="12.75">
      <c r="B84" s="1" t="str">
        <f>'Nov 9-15'!B84</f>
        <v>40 Sudan Street Unit 3</v>
      </c>
      <c r="C84" s="29" t="str">
        <f>'Nov 9-15'!C84</f>
        <v>Y</v>
      </c>
      <c r="D84" s="29">
        <f>'Nov 9-15'!D84</f>
        <v>4</v>
      </c>
      <c r="E84" s="66">
        <f t="shared" si="0"/>
        <v>1.6701461377870565E-3</v>
      </c>
      <c r="F84" s="17">
        <f>IFERROR('Nov 9-15'!E84/'Nov 9-15'!D84," ")</f>
        <v>0</v>
      </c>
      <c r="G84" s="17">
        <f>IFERROR('Nov 9-15'!F84/'Nov 9-15'!D84," ")</f>
        <v>0</v>
      </c>
      <c r="H84" s="17" t="str">
        <f>IFERROR('Nov 9-15'!F84/'Nov 9-15'!E84," ")</f>
        <v xml:space="preserve"> </v>
      </c>
      <c r="I84" s="17">
        <f>IFERROR('Nov 9-15'!G84/'Nov 9-15'!D84," ")</f>
        <v>0</v>
      </c>
      <c r="J84" s="17" t="str">
        <f>IFERROR('Nov 9-15'!G84/'Nov 9-15'!F84," ")</f>
        <v xml:space="preserve"> </v>
      </c>
      <c r="K84" s="17" t="str">
        <f>IFERROR('Nov 9-15'!H84/'Nov 9-15'!G84," ")</f>
        <v xml:space="preserve"> </v>
      </c>
      <c r="L84" s="17">
        <f>IFERROR('Nov 9-15'!I84/'Nov 9-15'!D84," ")</f>
        <v>0</v>
      </c>
      <c r="M84" s="17" t="str">
        <f>IFERROR('Nov 9-15'!I84/'Nov 9-15'!H84," ")</f>
        <v xml:space="preserve"> </v>
      </c>
    </row>
    <row r="85" spans="2:13" ht="12.75">
      <c r="B85" s="1" t="str">
        <f>'Nov 9-15'!B85</f>
        <v>42 Marcella Street Unit 1</v>
      </c>
      <c r="C85" s="29" t="str">
        <f>'Nov 9-15'!C85</f>
        <v>Y</v>
      </c>
      <c r="D85" s="29">
        <f>'Nov 9-15'!D85</f>
        <v>24</v>
      </c>
      <c r="E85" s="66">
        <f t="shared" si="0"/>
        <v>1.0020876826722338E-2</v>
      </c>
      <c r="F85" s="17">
        <f>IFERROR('Nov 9-15'!E85/'Nov 9-15'!D85," ")</f>
        <v>0.125</v>
      </c>
      <c r="G85" s="17">
        <f>IFERROR('Nov 9-15'!F85/'Nov 9-15'!D85," ")</f>
        <v>4.1666666666666664E-2</v>
      </c>
      <c r="H85" s="17">
        <f>IFERROR('Nov 9-15'!F85/'Nov 9-15'!E85," ")</f>
        <v>0.33333333333333331</v>
      </c>
      <c r="I85" s="17">
        <f>IFERROR('Nov 9-15'!G85/'Nov 9-15'!D85," ")</f>
        <v>0</v>
      </c>
      <c r="J85" s="17">
        <f>IFERROR('Nov 9-15'!G85/'Nov 9-15'!F85," ")</f>
        <v>0</v>
      </c>
      <c r="K85" s="17" t="str">
        <f>IFERROR('Nov 9-15'!H85/'Nov 9-15'!G85," ")</f>
        <v xml:space="preserve"> </v>
      </c>
      <c r="L85" s="17">
        <f>IFERROR('Nov 9-15'!I85/'Nov 9-15'!D85," ")</f>
        <v>0</v>
      </c>
      <c r="M85" s="17" t="str">
        <f>IFERROR('Nov 9-15'!I85/'Nov 9-15'!H85," ")</f>
        <v xml:space="preserve"> </v>
      </c>
    </row>
    <row r="86" spans="2:13" ht="12.75">
      <c r="B86" s="1" t="str">
        <f>'Nov 9-15'!B86</f>
        <v>45 Crescent Avenue Unit 1</v>
      </c>
      <c r="C86" s="29" t="str">
        <f>'Nov 9-15'!C86</f>
        <v>Y</v>
      </c>
      <c r="D86" s="29">
        <f>'Nov 9-15'!D86</f>
        <v>8</v>
      </c>
      <c r="E86" s="66">
        <f t="shared" si="0"/>
        <v>3.3402922755741129E-3</v>
      </c>
      <c r="F86" s="17">
        <f>IFERROR('Nov 9-15'!E86/'Nov 9-15'!D86," ")</f>
        <v>0.125</v>
      </c>
      <c r="G86" s="17">
        <f>IFERROR('Nov 9-15'!F86/'Nov 9-15'!D86," ")</f>
        <v>0</v>
      </c>
      <c r="H86" s="17">
        <f>IFERROR('Nov 9-15'!F86/'Nov 9-15'!E86," ")</f>
        <v>0</v>
      </c>
      <c r="I86" s="17">
        <f>IFERROR('Nov 9-15'!G86/'Nov 9-15'!D86," ")</f>
        <v>0</v>
      </c>
      <c r="J86" s="17" t="str">
        <f>IFERROR('Nov 9-15'!G86/'Nov 9-15'!F86," ")</f>
        <v xml:space="preserve"> </v>
      </c>
      <c r="K86" s="17" t="str">
        <f>IFERROR('Nov 9-15'!H86/'Nov 9-15'!G86," ")</f>
        <v xml:space="preserve"> </v>
      </c>
      <c r="L86" s="17">
        <f>IFERROR('Nov 9-15'!I86/'Nov 9-15'!D86," ")</f>
        <v>0</v>
      </c>
      <c r="M86" s="17" t="str">
        <f>IFERROR('Nov 9-15'!I86/'Nov 9-15'!H86," ")</f>
        <v xml:space="preserve"> </v>
      </c>
    </row>
    <row r="87" spans="2:13" ht="12.75">
      <c r="B87" s="1" t="str">
        <f>'Nov 9-15'!B87</f>
        <v>45 Crescent Avenue Unit 3</v>
      </c>
      <c r="C87" s="29" t="str">
        <f>'Nov 9-15'!C87</f>
        <v>Y</v>
      </c>
      <c r="D87" s="29">
        <f>'Nov 9-15'!D87</f>
        <v>27</v>
      </c>
      <c r="E87" s="66">
        <f t="shared" si="0"/>
        <v>1.1273486430062631E-2</v>
      </c>
      <c r="F87" s="17">
        <f>IFERROR('Nov 9-15'!E87/'Nov 9-15'!D87," ")</f>
        <v>0.1111111111111111</v>
      </c>
      <c r="G87" s="17">
        <f>IFERROR('Nov 9-15'!F87/'Nov 9-15'!D87," ")</f>
        <v>3.7037037037037035E-2</v>
      </c>
      <c r="H87" s="17">
        <f>IFERROR('Nov 9-15'!F87/'Nov 9-15'!E87," ")</f>
        <v>0.33333333333333331</v>
      </c>
      <c r="I87" s="17">
        <f>IFERROR('Nov 9-15'!G87/'Nov 9-15'!D87," ")</f>
        <v>0</v>
      </c>
      <c r="J87" s="17">
        <f>IFERROR('Nov 9-15'!G87/'Nov 9-15'!F87," ")</f>
        <v>0</v>
      </c>
      <c r="K87" s="17" t="str">
        <f>IFERROR('Nov 9-15'!H87/'Nov 9-15'!G87," ")</f>
        <v xml:space="preserve"> </v>
      </c>
      <c r="L87" s="17">
        <f>IFERROR('Nov 9-15'!I87/'Nov 9-15'!D87," ")</f>
        <v>0</v>
      </c>
      <c r="M87" s="17" t="str">
        <f>IFERROR('Nov 9-15'!I87/'Nov 9-15'!H87," ")</f>
        <v xml:space="preserve"> </v>
      </c>
    </row>
    <row r="88" spans="2:13" ht="12.75">
      <c r="B88" s="1" t="str">
        <f>'Nov 9-15'!B88</f>
        <v>49 Boylston Street Unit 1</v>
      </c>
      <c r="C88" s="29" t="str">
        <f>'Nov 9-15'!C88</f>
        <v>Y</v>
      </c>
      <c r="D88" s="29">
        <f>'Nov 9-15'!D88</f>
        <v>15</v>
      </c>
      <c r="E88" s="66">
        <f t="shared" si="0"/>
        <v>6.2630480167014616E-3</v>
      </c>
      <c r="F88" s="17">
        <f>IFERROR('Nov 9-15'!E88/'Nov 9-15'!D88," ")</f>
        <v>0.33333333333333331</v>
      </c>
      <c r="G88" s="17">
        <f>IFERROR('Nov 9-15'!F88/'Nov 9-15'!D88," ")</f>
        <v>0</v>
      </c>
      <c r="H88" s="17">
        <f>IFERROR('Nov 9-15'!F88/'Nov 9-15'!E88," ")</f>
        <v>0</v>
      </c>
      <c r="I88" s="17">
        <f>IFERROR('Nov 9-15'!G88/'Nov 9-15'!D88," ")</f>
        <v>0</v>
      </c>
      <c r="J88" s="17" t="str">
        <f>IFERROR('Nov 9-15'!G88/'Nov 9-15'!F88," ")</f>
        <v xml:space="preserve"> </v>
      </c>
      <c r="K88" s="17" t="str">
        <f>IFERROR('Nov 9-15'!H88/'Nov 9-15'!G88," ")</f>
        <v xml:space="preserve"> </v>
      </c>
      <c r="L88" s="17">
        <f>IFERROR('Nov 9-15'!I88/'Nov 9-15'!D88," ")</f>
        <v>0</v>
      </c>
      <c r="M88" s="17" t="str">
        <f>IFERROR('Nov 9-15'!I88/'Nov 9-15'!H88," ")</f>
        <v xml:space="preserve"> </v>
      </c>
    </row>
    <row r="89" spans="2:13" ht="12.75">
      <c r="B89" s="1" t="str">
        <f>'Nov 9-15'!B89</f>
        <v>49 Paulina Street Unit 2</v>
      </c>
      <c r="C89" s="29" t="str">
        <f>'Nov 9-15'!C89</f>
        <v>N</v>
      </c>
      <c r="D89" s="29">
        <f>'Nov 9-15'!D89</f>
        <v>0</v>
      </c>
      <c r="E89" s="66">
        <f t="shared" si="0"/>
        <v>0</v>
      </c>
      <c r="F89" s="17" t="str">
        <f>IFERROR('Nov 9-15'!E89/'Nov 9-15'!D89," ")</f>
        <v xml:space="preserve"> </v>
      </c>
      <c r="G89" s="17" t="str">
        <f>IFERROR('Nov 9-15'!F89/'Nov 9-15'!D89," ")</f>
        <v xml:space="preserve"> </v>
      </c>
      <c r="H89" s="17" t="str">
        <f>IFERROR('Nov 9-15'!F89/'Nov 9-15'!E89," ")</f>
        <v xml:space="preserve"> </v>
      </c>
      <c r="I89" s="17" t="str">
        <f>IFERROR('Nov 9-15'!G89/'Nov 9-15'!D89," ")</f>
        <v xml:space="preserve"> </v>
      </c>
      <c r="J89" s="17" t="str">
        <f>IFERROR('Nov 9-15'!G89/'Nov 9-15'!F89," ")</f>
        <v xml:space="preserve"> </v>
      </c>
      <c r="K89" s="17" t="str">
        <f>IFERROR('Nov 9-15'!H89/'Nov 9-15'!G89," ")</f>
        <v xml:space="preserve"> </v>
      </c>
      <c r="L89" s="17" t="str">
        <f>IFERROR('Nov 9-15'!I89/'Nov 9-15'!D89," ")</f>
        <v xml:space="preserve"> </v>
      </c>
      <c r="M89" s="17" t="str">
        <f>IFERROR('Nov 9-15'!I89/'Nov 9-15'!H89," ")</f>
        <v xml:space="preserve"> </v>
      </c>
    </row>
    <row r="90" spans="2:13" ht="12.75">
      <c r="B90" s="1" t="str">
        <f>'Nov 9-15'!B90</f>
        <v>49 Paulina Street Unit 3</v>
      </c>
      <c r="C90" s="29" t="str">
        <f>'Nov 9-15'!C90</f>
        <v>Y</v>
      </c>
      <c r="D90" s="29">
        <f>'Nov 9-15'!D90</f>
        <v>6</v>
      </c>
      <c r="E90" s="66">
        <f t="shared" si="0"/>
        <v>2.5052192066805845E-3</v>
      </c>
      <c r="F90" s="17">
        <f>IFERROR('Nov 9-15'!E90/'Nov 9-15'!D90," ")</f>
        <v>0.16666666666666666</v>
      </c>
      <c r="G90" s="17">
        <f>IFERROR('Nov 9-15'!F90/'Nov 9-15'!D90," ")</f>
        <v>0</v>
      </c>
      <c r="H90" s="17">
        <f>IFERROR('Nov 9-15'!F90/'Nov 9-15'!E90," ")</f>
        <v>0</v>
      </c>
      <c r="I90" s="17">
        <f>IFERROR('Nov 9-15'!G90/'Nov 9-15'!D90," ")</f>
        <v>0</v>
      </c>
      <c r="J90" s="17" t="str">
        <f>IFERROR('Nov 9-15'!G90/'Nov 9-15'!F90," ")</f>
        <v xml:space="preserve"> </v>
      </c>
      <c r="K90" s="17" t="str">
        <f>IFERROR('Nov 9-15'!H90/'Nov 9-15'!G90," ")</f>
        <v xml:space="preserve"> </v>
      </c>
      <c r="L90" s="17">
        <f>IFERROR('Nov 9-15'!I90/'Nov 9-15'!D90," ")</f>
        <v>0</v>
      </c>
      <c r="M90" s="17" t="str">
        <f>IFERROR('Nov 9-15'!I90/'Nov 9-15'!H90," ")</f>
        <v xml:space="preserve"> </v>
      </c>
    </row>
    <row r="91" spans="2:13" ht="12.75">
      <c r="B91" s="1" t="str">
        <f>'Nov 9-15'!B91</f>
        <v>5 Condor Street Unit 3</v>
      </c>
      <c r="C91" s="29" t="str">
        <f>'Nov 9-15'!C91</f>
        <v>N</v>
      </c>
      <c r="D91" s="29">
        <f>'Nov 9-15'!D91</f>
        <v>0</v>
      </c>
      <c r="E91" s="66">
        <f t="shared" si="0"/>
        <v>0</v>
      </c>
      <c r="F91" s="17" t="str">
        <f>IFERROR('Nov 9-15'!E91/'Nov 9-15'!D91," ")</f>
        <v xml:space="preserve"> </v>
      </c>
      <c r="G91" s="17" t="str">
        <f>IFERROR('Nov 9-15'!F91/'Nov 9-15'!D91," ")</f>
        <v xml:space="preserve"> </v>
      </c>
      <c r="H91" s="17" t="str">
        <f>IFERROR('Nov 9-15'!F91/'Nov 9-15'!E91," ")</f>
        <v xml:space="preserve"> </v>
      </c>
      <c r="I91" s="17" t="str">
        <f>IFERROR('Nov 9-15'!G91/'Nov 9-15'!D91," ")</f>
        <v xml:space="preserve"> </v>
      </c>
      <c r="J91" s="17" t="str">
        <f>IFERROR('Nov 9-15'!G91/'Nov 9-15'!F91," ")</f>
        <v xml:space="preserve"> </v>
      </c>
      <c r="K91" s="17" t="str">
        <f>IFERROR('Nov 9-15'!H91/'Nov 9-15'!G91," ")</f>
        <v xml:space="preserve"> </v>
      </c>
      <c r="L91" s="17" t="str">
        <f>IFERROR('Nov 9-15'!I91/'Nov 9-15'!D91," ")</f>
        <v xml:space="preserve"> </v>
      </c>
      <c r="M91" s="17" t="str">
        <f>IFERROR('Nov 9-15'!I91/'Nov 9-15'!H91," ")</f>
        <v xml:space="preserve"> </v>
      </c>
    </row>
    <row r="92" spans="2:13" ht="12.75">
      <c r="B92" s="1" t="str">
        <f>'Nov 9-15'!B92</f>
        <v>5 Mark Street Unit 1</v>
      </c>
      <c r="C92" s="29" t="str">
        <f>'Nov 9-15'!C92</f>
        <v>Y</v>
      </c>
      <c r="D92" s="29">
        <f>'Nov 9-15'!D92</f>
        <v>6</v>
      </c>
      <c r="E92" s="66">
        <f t="shared" si="0"/>
        <v>2.5052192066805845E-3</v>
      </c>
      <c r="F92" s="17">
        <f>IFERROR('Nov 9-15'!E92/'Nov 9-15'!D92," ")</f>
        <v>0</v>
      </c>
      <c r="G92" s="17">
        <f>IFERROR('Nov 9-15'!F92/'Nov 9-15'!D92," ")</f>
        <v>0.33333333333333331</v>
      </c>
      <c r="H92" s="17" t="str">
        <f>IFERROR('Nov 9-15'!F92/'Nov 9-15'!E92," ")</f>
        <v xml:space="preserve"> </v>
      </c>
      <c r="I92" s="17">
        <f>IFERROR('Nov 9-15'!G92/'Nov 9-15'!D92," ")</f>
        <v>0</v>
      </c>
      <c r="J92" s="17">
        <f>IFERROR('Nov 9-15'!G92/'Nov 9-15'!F92," ")</f>
        <v>0</v>
      </c>
      <c r="K92" s="17" t="str">
        <f>IFERROR('Nov 9-15'!H92/'Nov 9-15'!G92," ")</f>
        <v xml:space="preserve"> </v>
      </c>
      <c r="L92" s="17">
        <f>IFERROR('Nov 9-15'!I92/'Nov 9-15'!D92," ")</f>
        <v>0</v>
      </c>
      <c r="M92" s="17" t="str">
        <f>IFERROR('Nov 9-15'!I92/'Nov 9-15'!H92," ")</f>
        <v xml:space="preserve"> </v>
      </c>
    </row>
    <row r="93" spans="2:13" ht="12.75">
      <c r="B93" s="1" t="str">
        <f>'Nov 9-15'!B93</f>
        <v>5 Mark Street Unit 2</v>
      </c>
      <c r="C93" s="29" t="str">
        <f>'Nov 9-15'!C93</f>
        <v>Y</v>
      </c>
      <c r="D93" s="29">
        <f>'Nov 9-15'!D93</f>
        <v>69</v>
      </c>
      <c r="E93" s="66">
        <f t="shared" si="0"/>
        <v>2.8810020876826721E-2</v>
      </c>
      <c r="F93" s="17">
        <f>IFERROR('Nov 9-15'!E93/'Nov 9-15'!D93," ")</f>
        <v>0.21739130434782608</v>
      </c>
      <c r="G93" s="17">
        <f>IFERROR('Nov 9-15'!F93/'Nov 9-15'!D93," ")</f>
        <v>2.8985507246376812E-2</v>
      </c>
      <c r="H93" s="17">
        <f>IFERROR('Nov 9-15'!F93/'Nov 9-15'!E93," ")</f>
        <v>0.13333333333333333</v>
      </c>
      <c r="I93" s="17">
        <f>IFERROR('Nov 9-15'!G93/'Nov 9-15'!D93," ")</f>
        <v>0</v>
      </c>
      <c r="J93" s="17">
        <f>IFERROR('Nov 9-15'!G93/'Nov 9-15'!F93," ")</f>
        <v>0</v>
      </c>
      <c r="K93" s="17" t="str">
        <f>IFERROR('Nov 9-15'!H93/'Nov 9-15'!G93," ")</f>
        <v xml:space="preserve"> </v>
      </c>
      <c r="L93" s="17">
        <f>IFERROR('Nov 9-15'!I93/'Nov 9-15'!D93," ")</f>
        <v>1.4492753623188406E-2</v>
      </c>
      <c r="M93" s="17" t="str">
        <f>IFERROR('Nov 9-15'!I93/'Nov 9-15'!H93," ")</f>
        <v xml:space="preserve"> </v>
      </c>
    </row>
    <row r="94" spans="2:13" ht="12.75">
      <c r="B94" s="1" t="str">
        <f>'Nov 9-15'!B94</f>
        <v>51 Clifton Street Unit 2</v>
      </c>
      <c r="C94" s="29" t="str">
        <f>'Nov 9-15'!C94</f>
        <v>Y</v>
      </c>
      <c r="D94" s="29">
        <f>'Nov 9-15'!D94</f>
        <v>134</v>
      </c>
      <c r="E94" s="66">
        <f t="shared" si="0"/>
        <v>5.5949895615866385E-2</v>
      </c>
      <c r="F94" s="17">
        <f>IFERROR('Nov 9-15'!E94/'Nov 9-15'!D94," ")</f>
        <v>0.35074626865671643</v>
      </c>
      <c r="G94" s="17">
        <f>IFERROR('Nov 9-15'!F94/'Nov 9-15'!D94," ")</f>
        <v>0</v>
      </c>
      <c r="H94" s="17">
        <f>IFERROR('Nov 9-15'!F94/'Nov 9-15'!E94," ")</f>
        <v>0</v>
      </c>
      <c r="I94" s="17">
        <f>IFERROR('Nov 9-15'!G94/'Nov 9-15'!D94," ")</f>
        <v>0</v>
      </c>
      <c r="J94" s="17" t="str">
        <f>IFERROR('Nov 9-15'!G94/'Nov 9-15'!F94," ")</f>
        <v xml:space="preserve"> </v>
      </c>
      <c r="K94" s="17" t="str">
        <f>IFERROR('Nov 9-15'!H94/'Nov 9-15'!G94," ")</f>
        <v xml:space="preserve"> </v>
      </c>
      <c r="L94" s="17">
        <f>IFERROR('Nov 9-15'!I94/'Nov 9-15'!D94," ")</f>
        <v>0</v>
      </c>
      <c r="M94" s="17">
        <f>IFERROR('Nov 9-15'!I94/'Nov 9-15'!H94," ")</f>
        <v>0</v>
      </c>
    </row>
    <row r="95" spans="2:13" ht="12.75">
      <c r="B95" s="1" t="str">
        <f>'Nov 9-15'!B95</f>
        <v>6 7th Street</v>
      </c>
      <c r="C95" s="29" t="str">
        <f>'Nov 9-15'!C95</f>
        <v>N</v>
      </c>
      <c r="D95" s="29">
        <f>'Nov 9-15'!D95</f>
        <v>0</v>
      </c>
      <c r="E95" s="66">
        <f t="shared" si="0"/>
        <v>0</v>
      </c>
      <c r="F95" s="17" t="str">
        <f>IFERROR('Nov 9-15'!E95/'Nov 9-15'!D95," ")</f>
        <v xml:space="preserve"> </v>
      </c>
      <c r="G95" s="17" t="str">
        <f>IFERROR('Nov 9-15'!F95/'Nov 9-15'!D95," ")</f>
        <v xml:space="preserve"> </v>
      </c>
      <c r="H95" s="17" t="str">
        <f>IFERROR('Nov 9-15'!F95/'Nov 9-15'!E95," ")</f>
        <v xml:space="preserve"> </v>
      </c>
      <c r="I95" s="17" t="str">
        <f>IFERROR('Nov 9-15'!G95/'Nov 9-15'!D95," ")</f>
        <v xml:space="preserve"> </v>
      </c>
      <c r="J95" s="17" t="str">
        <f>IFERROR('Nov 9-15'!G95/'Nov 9-15'!F95," ")</f>
        <v xml:space="preserve"> </v>
      </c>
      <c r="K95" s="17" t="str">
        <f>IFERROR('Nov 9-15'!H95/'Nov 9-15'!G95," ")</f>
        <v xml:space="preserve"> </v>
      </c>
      <c r="L95" s="17" t="str">
        <f>IFERROR('Nov 9-15'!I95/'Nov 9-15'!D95," ")</f>
        <v xml:space="preserve"> </v>
      </c>
      <c r="M95" s="17" t="str">
        <f>IFERROR('Nov 9-15'!I95/'Nov 9-15'!H95," ")</f>
        <v xml:space="preserve"> </v>
      </c>
    </row>
    <row r="96" spans="2:13" ht="12.75">
      <c r="B96" s="1" t="str">
        <f>'Nov 9-15'!B96</f>
        <v>64 Sudan Street Unit 3</v>
      </c>
      <c r="C96" s="29" t="str">
        <f>'Nov 9-15'!C96</f>
        <v>N</v>
      </c>
      <c r="D96" s="29">
        <f>'Nov 9-15'!D96</f>
        <v>0</v>
      </c>
      <c r="E96" s="66">
        <f t="shared" si="0"/>
        <v>0</v>
      </c>
      <c r="F96" s="17" t="str">
        <f>IFERROR('Nov 9-15'!E96/'Nov 9-15'!D96," ")</f>
        <v xml:space="preserve"> </v>
      </c>
      <c r="G96" s="17" t="str">
        <f>IFERROR('Nov 9-15'!F96/'Nov 9-15'!D96," ")</f>
        <v xml:space="preserve"> </v>
      </c>
      <c r="H96" s="17" t="str">
        <f>IFERROR('Nov 9-15'!F96/'Nov 9-15'!E96," ")</f>
        <v xml:space="preserve"> </v>
      </c>
      <c r="I96" s="17" t="str">
        <f>IFERROR('Nov 9-15'!G96/'Nov 9-15'!D96," ")</f>
        <v xml:space="preserve"> </v>
      </c>
      <c r="J96" s="17" t="str">
        <f>IFERROR('Nov 9-15'!G96/'Nov 9-15'!F96," ")</f>
        <v xml:space="preserve"> </v>
      </c>
      <c r="K96" s="17" t="str">
        <f>IFERROR('Nov 9-15'!H96/'Nov 9-15'!G96," ")</f>
        <v xml:space="preserve"> </v>
      </c>
      <c r="L96" s="17" t="str">
        <f>IFERROR('Nov 9-15'!I96/'Nov 9-15'!D96," ")</f>
        <v xml:space="preserve"> </v>
      </c>
      <c r="M96" s="17" t="str">
        <f>IFERROR('Nov 9-15'!I96/'Nov 9-15'!H96," ")</f>
        <v xml:space="preserve"> </v>
      </c>
    </row>
    <row r="97" spans="2:13" ht="12.75">
      <c r="B97" s="1" t="str">
        <f>'Nov 9-15'!B97</f>
        <v>7 Grant Street Unit 2</v>
      </c>
      <c r="C97" s="29" t="str">
        <f>'Nov 9-15'!C97</f>
        <v>Y</v>
      </c>
      <c r="D97" s="29">
        <f>'Nov 9-15'!D97</f>
        <v>9</v>
      </c>
      <c r="E97" s="66">
        <f t="shared" si="0"/>
        <v>3.7578288100208767E-3</v>
      </c>
      <c r="F97" s="17">
        <f>IFERROR('Nov 9-15'!E97/'Nov 9-15'!D97," ")</f>
        <v>0.22222222222222221</v>
      </c>
      <c r="G97" s="17">
        <f>IFERROR('Nov 9-15'!F97/'Nov 9-15'!D97," ")</f>
        <v>0</v>
      </c>
      <c r="H97" s="17">
        <f>IFERROR('Nov 9-15'!F97/'Nov 9-15'!E97," ")</f>
        <v>0</v>
      </c>
      <c r="I97" s="17">
        <f>IFERROR('Nov 9-15'!G97/'Nov 9-15'!D97," ")</f>
        <v>0</v>
      </c>
      <c r="J97" s="17" t="str">
        <f>IFERROR('Nov 9-15'!G97/'Nov 9-15'!F97," ")</f>
        <v xml:space="preserve"> </v>
      </c>
      <c r="K97" s="17" t="str">
        <f>IFERROR('Nov 9-15'!H97/'Nov 9-15'!G97," ")</f>
        <v xml:space="preserve"> </v>
      </c>
      <c r="L97" s="17">
        <f>IFERROR('Nov 9-15'!I97/'Nov 9-15'!D97," ")</f>
        <v>0</v>
      </c>
      <c r="M97" s="17" t="str">
        <f>IFERROR('Nov 9-15'!I97/'Nov 9-15'!H97," ")</f>
        <v xml:space="preserve"> </v>
      </c>
    </row>
    <row r="98" spans="2:13" ht="12.75">
      <c r="B98" s="1" t="str">
        <f>'Nov 9-15'!B98</f>
        <v>76 King Street Unit 2</v>
      </c>
      <c r="C98" s="29" t="str">
        <f>'Nov 9-15'!C98</f>
        <v>N</v>
      </c>
      <c r="D98" s="29">
        <f>'Nov 9-15'!D98</f>
        <v>0</v>
      </c>
      <c r="E98" s="66">
        <f t="shared" si="0"/>
        <v>0</v>
      </c>
      <c r="F98" s="17" t="str">
        <f>IFERROR('Nov 9-15'!E98/'Nov 9-15'!D98," ")</f>
        <v xml:space="preserve"> </v>
      </c>
      <c r="G98" s="17" t="str">
        <f>IFERROR('Nov 9-15'!F98/'Nov 9-15'!D98," ")</f>
        <v xml:space="preserve"> </v>
      </c>
      <c r="H98" s="17" t="str">
        <f>IFERROR('Nov 9-15'!F98/'Nov 9-15'!E98," ")</f>
        <v xml:space="preserve"> </v>
      </c>
      <c r="I98" s="17" t="str">
        <f>IFERROR('Nov 9-15'!G98/'Nov 9-15'!D98," ")</f>
        <v xml:space="preserve"> </v>
      </c>
      <c r="J98" s="17" t="str">
        <f>IFERROR('Nov 9-15'!G98/'Nov 9-15'!F98," ")</f>
        <v xml:space="preserve"> </v>
      </c>
      <c r="K98" s="17" t="str">
        <f>IFERROR('Nov 9-15'!H98/'Nov 9-15'!G98," ")</f>
        <v xml:space="preserve"> </v>
      </c>
      <c r="L98" s="17" t="str">
        <f>IFERROR('Nov 9-15'!I98/'Nov 9-15'!D98," ")</f>
        <v xml:space="preserve"> </v>
      </c>
      <c r="M98" s="17" t="str">
        <f>IFERROR('Nov 9-15'!I98/'Nov 9-15'!H98," ")</f>
        <v xml:space="preserve"> </v>
      </c>
    </row>
    <row r="99" spans="2:13" ht="12.75">
      <c r="B99" s="1" t="str">
        <f>'Nov 9-15'!B99</f>
        <v>8 7th Street</v>
      </c>
      <c r="C99" s="29" t="str">
        <f>'Nov 9-15'!C99</f>
        <v>Y</v>
      </c>
      <c r="D99" s="29">
        <f>'Nov 9-15'!D99</f>
        <v>8</v>
      </c>
      <c r="E99" s="66">
        <f t="shared" si="0"/>
        <v>3.3402922755741129E-3</v>
      </c>
      <c r="F99" s="17">
        <f>IFERROR('Nov 9-15'!E99/'Nov 9-15'!D99," ")</f>
        <v>0.25</v>
      </c>
      <c r="G99" s="17">
        <f>IFERROR('Nov 9-15'!F99/'Nov 9-15'!D99," ")</f>
        <v>0</v>
      </c>
      <c r="H99" s="17">
        <f>IFERROR('Nov 9-15'!F99/'Nov 9-15'!E99," ")</f>
        <v>0</v>
      </c>
      <c r="I99" s="17">
        <f>IFERROR('Nov 9-15'!G99/'Nov 9-15'!D99," ")</f>
        <v>0</v>
      </c>
      <c r="J99" s="17" t="str">
        <f>IFERROR('Nov 9-15'!G99/'Nov 9-15'!F99," ")</f>
        <v xml:space="preserve"> </v>
      </c>
      <c r="K99" s="17" t="str">
        <f>IFERROR('Nov 9-15'!H99/'Nov 9-15'!G99," ")</f>
        <v xml:space="preserve"> </v>
      </c>
      <c r="L99" s="17">
        <f>IFERROR('Nov 9-15'!I99/'Nov 9-15'!D99," ")</f>
        <v>0</v>
      </c>
      <c r="M99" s="17" t="str">
        <f>IFERROR('Nov 9-15'!I99/'Nov 9-15'!H99," ")</f>
        <v xml:space="preserve"> </v>
      </c>
    </row>
    <row r="100" spans="2:13" ht="12.75">
      <c r="B100" s="1" t="str">
        <f>'Nov 9-15'!B100</f>
        <v>8 Elko Street Unit 5</v>
      </c>
      <c r="C100" s="29" t="str">
        <f>'Nov 9-15'!C100</f>
        <v>Y</v>
      </c>
      <c r="D100" s="29">
        <f>'Nov 9-15'!D100</f>
        <v>18</v>
      </c>
      <c r="E100" s="66">
        <f t="shared" si="0"/>
        <v>7.5156576200417534E-3</v>
      </c>
      <c r="F100" s="17">
        <f>IFERROR('Nov 9-15'!E100/'Nov 9-15'!D100," ")</f>
        <v>0.16666666666666666</v>
      </c>
      <c r="G100" s="17">
        <f>IFERROR('Nov 9-15'!F100/'Nov 9-15'!D100," ")</f>
        <v>0</v>
      </c>
      <c r="H100" s="17">
        <f>IFERROR('Nov 9-15'!F100/'Nov 9-15'!E100," ")</f>
        <v>0</v>
      </c>
      <c r="I100" s="17">
        <f>IFERROR('Nov 9-15'!G100/'Nov 9-15'!D100," ")</f>
        <v>0</v>
      </c>
      <c r="J100" s="17" t="str">
        <f>IFERROR('Nov 9-15'!G100/'Nov 9-15'!F100," ")</f>
        <v xml:space="preserve"> </v>
      </c>
      <c r="K100" s="17" t="str">
        <f>IFERROR('Nov 9-15'!H100/'Nov 9-15'!G100," ")</f>
        <v xml:space="preserve"> </v>
      </c>
      <c r="L100" s="17">
        <f>IFERROR('Nov 9-15'!I100/'Nov 9-15'!D100," ")</f>
        <v>0</v>
      </c>
      <c r="M100" s="17" t="str">
        <f>IFERROR('Nov 9-15'!I100/'Nov 9-15'!H100," ")</f>
        <v xml:space="preserve"> </v>
      </c>
    </row>
    <row r="101" spans="2:13" ht="12.75">
      <c r="B101" s="1" t="str">
        <f>'Nov 9-15'!B101</f>
        <v>8 Elko Street Unit 6</v>
      </c>
      <c r="C101" s="29" t="str">
        <f>'Nov 9-15'!C101</f>
        <v>N</v>
      </c>
      <c r="D101" s="29">
        <f>'Nov 9-15'!D101</f>
        <v>0</v>
      </c>
      <c r="E101" s="66">
        <f t="shared" si="0"/>
        <v>0</v>
      </c>
      <c r="F101" s="17" t="str">
        <f>IFERROR('Nov 9-15'!E101/'Nov 9-15'!D101," ")</f>
        <v xml:space="preserve"> </v>
      </c>
      <c r="G101" s="17" t="str">
        <f>IFERROR('Nov 9-15'!F101/'Nov 9-15'!D101," ")</f>
        <v xml:space="preserve"> </v>
      </c>
      <c r="H101" s="17" t="str">
        <f>IFERROR('Nov 9-15'!F101/'Nov 9-15'!E101," ")</f>
        <v xml:space="preserve"> </v>
      </c>
      <c r="I101" s="17" t="str">
        <f>IFERROR('Nov 9-15'!G101/'Nov 9-15'!D101," ")</f>
        <v xml:space="preserve"> </v>
      </c>
      <c r="J101" s="17" t="str">
        <f>IFERROR('Nov 9-15'!G101/'Nov 9-15'!F101," ")</f>
        <v xml:space="preserve"> </v>
      </c>
      <c r="K101" s="17" t="str">
        <f>IFERROR('Nov 9-15'!H101/'Nov 9-15'!G101," ")</f>
        <v xml:space="preserve"> </v>
      </c>
      <c r="L101" s="17" t="str">
        <f>IFERROR('Nov 9-15'!I101/'Nov 9-15'!D101," ")</f>
        <v xml:space="preserve"> </v>
      </c>
      <c r="M101" s="17" t="str">
        <f>IFERROR('Nov 9-15'!I101/'Nov 9-15'!H101," ")</f>
        <v xml:space="preserve"> </v>
      </c>
    </row>
    <row r="102" spans="2:13" ht="12.75">
      <c r="B102" s="1" t="str">
        <f>'Nov 9-15'!B102</f>
        <v>8 Hardwick Terrace Unit 1</v>
      </c>
      <c r="C102" s="29" t="str">
        <f>'Nov 9-15'!C102</f>
        <v>N</v>
      </c>
      <c r="D102" s="29">
        <f>'Nov 9-15'!D102</f>
        <v>0</v>
      </c>
      <c r="E102" s="66">
        <f t="shared" si="0"/>
        <v>0</v>
      </c>
      <c r="F102" s="17" t="str">
        <f>IFERROR('Nov 9-15'!E102/'Nov 9-15'!D102," ")</f>
        <v xml:space="preserve"> </v>
      </c>
      <c r="G102" s="17" t="str">
        <f>IFERROR('Nov 9-15'!F102/'Nov 9-15'!D102," ")</f>
        <v xml:space="preserve"> </v>
      </c>
      <c r="H102" s="17" t="str">
        <f>IFERROR('Nov 9-15'!F102/'Nov 9-15'!E102," ")</f>
        <v xml:space="preserve"> </v>
      </c>
      <c r="I102" s="17" t="str">
        <f>IFERROR('Nov 9-15'!G102/'Nov 9-15'!D102," ")</f>
        <v xml:space="preserve"> </v>
      </c>
      <c r="J102" s="17" t="str">
        <f>IFERROR('Nov 9-15'!G102/'Nov 9-15'!F102," ")</f>
        <v xml:space="preserve"> </v>
      </c>
      <c r="K102" s="17" t="str">
        <f>IFERROR('Nov 9-15'!H102/'Nov 9-15'!G102," ")</f>
        <v xml:space="preserve"> </v>
      </c>
      <c r="L102" s="17" t="str">
        <f>IFERROR('Nov 9-15'!I102/'Nov 9-15'!D102," ")</f>
        <v xml:space="preserve"> </v>
      </c>
      <c r="M102" s="17" t="str">
        <f>IFERROR('Nov 9-15'!I102/'Nov 9-15'!H102," ")</f>
        <v xml:space="preserve"> </v>
      </c>
    </row>
    <row r="103" spans="2:13" ht="12.75">
      <c r="B103" s="1" t="str">
        <f>'Nov 9-15'!B103</f>
        <v>83 Highland Street Unit 2</v>
      </c>
      <c r="C103" s="29" t="str">
        <f>'Nov 9-15'!C103</f>
        <v>Y</v>
      </c>
      <c r="D103" s="29">
        <f>'Nov 9-15'!D103</f>
        <v>29</v>
      </c>
      <c r="E103" s="66">
        <f t="shared" si="0"/>
        <v>1.2108559498956159E-2</v>
      </c>
      <c r="F103" s="17">
        <f>IFERROR('Nov 9-15'!E103/'Nov 9-15'!D103," ")</f>
        <v>0.44827586206896552</v>
      </c>
      <c r="G103" s="17">
        <f>IFERROR('Nov 9-15'!F103/'Nov 9-15'!D103," ")</f>
        <v>6.8965517241379309E-2</v>
      </c>
      <c r="H103" s="17">
        <f>IFERROR('Nov 9-15'!F103/'Nov 9-15'!E103," ")</f>
        <v>0.15384615384615385</v>
      </c>
      <c r="I103" s="17">
        <f>IFERROR('Nov 9-15'!G103/'Nov 9-15'!D103," ")</f>
        <v>0</v>
      </c>
      <c r="J103" s="17">
        <f>IFERROR('Nov 9-15'!G103/'Nov 9-15'!F103," ")</f>
        <v>0</v>
      </c>
      <c r="K103" s="17" t="str">
        <f>IFERROR('Nov 9-15'!H103/'Nov 9-15'!G103," ")</f>
        <v xml:space="preserve"> </v>
      </c>
      <c r="L103" s="17">
        <f>IFERROR('Nov 9-15'!I103/'Nov 9-15'!D103," ")</f>
        <v>0</v>
      </c>
      <c r="M103" s="17" t="str">
        <f>IFERROR('Nov 9-15'!I103/'Nov 9-15'!H103," ")</f>
        <v xml:space="preserve"> </v>
      </c>
    </row>
    <row r="104" spans="2:13" ht="12.75">
      <c r="B104" s="1" t="str">
        <f>'Nov 9-15'!B104</f>
        <v>83 Highland Street Unit 3</v>
      </c>
      <c r="C104" s="29" t="str">
        <f>'Nov 9-15'!C104</f>
        <v>Y</v>
      </c>
      <c r="D104" s="29">
        <f>'Nov 9-15'!D104</f>
        <v>25</v>
      </c>
      <c r="E104" s="66">
        <f t="shared" si="0"/>
        <v>1.0438413361169102E-2</v>
      </c>
      <c r="F104" s="17">
        <f>IFERROR('Nov 9-15'!E104/'Nov 9-15'!D104," ")</f>
        <v>0.08</v>
      </c>
      <c r="G104" s="17">
        <f>IFERROR('Nov 9-15'!F104/'Nov 9-15'!D104," ")</f>
        <v>0.08</v>
      </c>
      <c r="H104" s="17">
        <f>IFERROR('Nov 9-15'!F104/'Nov 9-15'!E104," ")</f>
        <v>1</v>
      </c>
      <c r="I104" s="17">
        <f>IFERROR('Nov 9-15'!G104/'Nov 9-15'!D104," ")</f>
        <v>0</v>
      </c>
      <c r="J104" s="17">
        <f>IFERROR('Nov 9-15'!G104/'Nov 9-15'!F104," ")</f>
        <v>0</v>
      </c>
      <c r="K104" s="17" t="str">
        <f>IFERROR('Nov 9-15'!H104/'Nov 9-15'!G104," ")</f>
        <v xml:space="preserve"> </v>
      </c>
      <c r="L104" s="17">
        <f>IFERROR('Nov 9-15'!I104/'Nov 9-15'!D104," ")</f>
        <v>0</v>
      </c>
      <c r="M104" s="17" t="str">
        <f>IFERROR('Nov 9-15'!I104/'Nov 9-15'!H104," ")</f>
        <v xml:space="preserve"> </v>
      </c>
    </row>
    <row r="105" spans="2:13" ht="12.75">
      <c r="B105" s="1" t="str">
        <f>'Nov 9-15'!B105</f>
        <v>848 Huntington Avenue Unit 2</v>
      </c>
      <c r="C105" s="29" t="str">
        <f>'Nov 9-15'!C105</f>
        <v>Y</v>
      </c>
      <c r="D105" s="29">
        <f>'Nov 9-15'!D105</f>
        <v>53</v>
      </c>
      <c r="E105" s="66">
        <f t="shared" si="0"/>
        <v>2.2129436325678497E-2</v>
      </c>
      <c r="F105" s="17">
        <f>IFERROR('Nov 9-15'!E105/'Nov 9-15'!D105," ")</f>
        <v>0.13207547169811321</v>
      </c>
      <c r="G105" s="17">
        <f>IFERROR('Nov 9-15'!F105/'Nov 9-15'!D105," ")</f>
        <v>0</v>
      </c>
      <c r="H105" s="17">
        <f>IFERROR('Nov 9-15'!F105/'Nov 9-15'!E105," ")</f>
        <v>0</v>
      </c>
      <c r="I105" s="17">
        <f>IFERROR('Nov 9-15'!G105/'Nov 9-15'!D105," ")</f>
        <v>1.8867924528301886E-2</v>
      </c>
      <c r="J105" s="17" t="str">
        <f>IFERROR('Nov 9-15'!G105/'Nov 9-15'!F105," ")</f>
        <v xml:space="preserve"> </v>
      </c>
      <c r="K105" s="17">
        <f>IFERROR('Nov 9-15'!H105/'Nov 9-15'!G105," ")</f>
        <v>0</v>
      </c>
      <c r="L105" s="17">
        <f>IFERROR('Nov 9-15'!I105/'Nov 9-15'!D105," ")</f>
        <v>0</v>
      </c>
      <c r="M105" s="17" t="str">
        <f>IFERROR('Nov 9-15'!I105/'Nov 9-15'!H105," ")</f>
        <v xml:space="preserve"> </v>
      </c>
    </row>
    <row r="106" spans="2:13" ht="12.75">
      <c r="B106" s="1" t="str">
        <f>'Nov 9-15'!B106</f>
        <v>9 Fairfield Street Unit 1L</v>
      </c>
      <c r="C106" s="29" t="str">
        <f>'Nov 9-15'!C106</f>
        <v>Y</v>
      </c>
      <c r="D106" s="29">
        <f>'Nov 9-15'!D106</f>
        <v>8</v>
      </c>
      <c r="E106" s="66">
        <f t="shared" si="0"/>
        <v>3.3402922755741129E-3</v>
      </c>
      <c r="F106" s="17">
        <f>IFERROR('Nov 9-15'!E106/'Nov 9-15'!D106," ")</f>
        <v>0.125</v>
      </c>
      <c r="G106" s="17">
        <f>IFERROR('Nov 9-15'!F106/'Nov 9-15'!D106," ")</f>
        <v>0</v>
      </c>
      <c r="H106" s="17">
        <f>IFERROR('Nov 9-15'!F106/'Nov 9-15'!E106," ")</f>
        <v>0</v>
      </c>
      <c r="I106" s="17">
        <f>IFERROR('Nov 9-15'!G106/'Nov 9-15'!D106," ")</f>
        <v>0</v>
      </c>
      <c r="J106" s="17" t="str">
        <f>IFERROR('Nov 9-15'!G106/'Nov 9-15'!F106," ")</f>
        <v xml:space="preserve"> </v>
      </c>
      <c r="K106" s="17" t="str">
        <f>IFERROR('Nov 9-15'!H106/'Nov 9-15'!G106," ")</f>
        <v xml:space="preserve"> </v>
      </c>
      <c r="L106" s="17">
        <f>IFERROR('Nov 9-15'!I106/'Nov 9-15'!D106," ")</f>
        <v>0</v>
      </c>
      <c r="M106" s="17" t="str">
        <f>IFERROR('Nov 9-15'!I106/'Nov 9-15'!H106," ")</f>
        <v xml:space="preserve"> </v>
      </c>
    </row>
    <row r="107" spans="2:13" ht="12.75">
      <c r="B107" s="1" t="str">
        <f>'Nov 9-15'!B107</f>
        <v>9 Fairfield Street Unit 1R</v>
      </c>
      <c r="C107" s="29" t="str">
        <f>'Nov 9-15'!C107</f>
        <v>Y</v>
      </c>
      <c r="D107" s="29">
        <f>'Nov 9-15'!D107</f>
        <v>2</v>
      </c>
      <c r="E107" s="66">
        <f t="shared" si="0"/>
        <v>8.3507306889352823E-4</v>
      </c>
      <c r="F107" s="17">
        <f>IFERROR('Nov 9-15'!E107/'Nov 9-15'!D107," ")</f>
        <v>0.5</v>
      </c>
      <c r="G107" s="17">
        <f>IFERROR('Nov 9-15'!F107/'Nov 9-15'!D107," ")</f>
        <v>0</v>
      </c>
      <c r="H107" s="17">
        <f>IFERROR('Nov 9-15'!F107/'Nov 9-15'!E107," ")</f>
        <v>0</v>
      </c>
      <c r="I107" s="17">
        <f>IFERROR('Nov 9-15'!G107/'Nov 9-15'!D107," ")</f>
        <v>0</v>
      </c>
      <c r="J107" s="17" t="str">
        <f>IFERROR('Nov 9-15'!G107/'Nov 9-15'!F107," ")</f>
        <v xml:space="preserve"> </v>
      </c>
      <c r="K107" s="17" t="str">
        <f>IFERROR('Nov 9-15'!H107/'Nov 9-15'!G107," ")</f>
        <v xml:space="preserve"> </v>
      </c>
      <c r="L107" s="17">
        <f>IFERROR('Nov 9-15'!I107/'Nov 9-15'!D107," ")</f>
        <v>0</v>
      </c>
      <c r="M107" s="17" t="str">
        <f>IFERROR('Nov 9-15'!I107/'Nov 9-15'!H107," ")</f>
        <v xml:space="preserve"> </v>
      </c>
    </row>
    <row r="108" spans="2:13" ht="12.75">
      <c r="B108" s="1" t="str">
        <f>'Nov 9-15'!B108</f>
        <v>95 Upland Road Unit 2</v>
      </c>
      <c r="C108" s="29" t="str">
        <f>'Nov 9-15'!C108</f>
        <v>Y</v>
      </c>
      <c r="D108" s="29">
        <f>'Nov 9-15'!D108</f>
        <v>19</v>
      </c>
      <c r="E108" s="66">
        <f t="shared" si="0"/>
        <v>7.9331941544885185E-3</v>
      </c>
      <c r="F108" s="17">
        <f>IFERROR('Nov 9-15'!E108/'Nov 9-15'!D108," ")</f>
        <v>0.21052631578947367</v>
      </c>
      <c r="G108" s="17">
        <f>IFERROR('Nov 9-15'!F108/'Nov 9-15'!D108," ")</f>
        <v>0</v>
      </c>
      <c r="H108" s="17">
        <f>IFERROR('Nov 9-15'!F108/'Nov 9-15'!E108," ")</f>
        <v>0</v>
      </c>
      <c r="I108" s="17">
        <f>IFERROR('Nov 9-15'!G108/'Nov 9-15'!D108," ")</f>
        <v>5.2631578947368418E-2</v>
      </c>
      <c r="J108" s="17" t="str">
        <f>IFERROR('Nov 9-15'!G108/'Nov 9-15'!F108," ")</f>
        <v xml:space="preserve"> </v>
      </c>
      <c r="K108" s="17">
        <f>IFERROR('Nov 9-15'!H108/'Nov 9-15'!G108," ")</f>
        <v>1</v>
      </c>
      <c r="L108" s="17">
        <f>IFERROR('Nov 9-15'!I108/'Nov 9-15'!D108," ")</f>
        <v>5.2631578947368418E-2</v>
      </c>
      <c r="M108" s="17">
        <f>IFERROR('Nov 9-15'!I108/'Nov 9-15'!H108," ")</f>
        <v>1</v>
      </c>
    </row>
    <row r="109" spans="2:13" ht="12.75">
      <c r="B109" s="1" t="str">
        <f>'Nov 9-15'!B109</f>
        <v>96 Hammond Street Unit 3</v>
      </c>
      <c r="C109" s="29" t="str">
        <f>'Nov 9-15'!C109</f>
        <v>N</v>
      </c>
      <c r="D109" s="29">
        <f>'Nov 9-15'!D109</f>
        <v>4</v>
      </c>
      <c r="E109" s="66">
        <f t="shared" si="0"/>
        <v>1.6701461377870565E-3</v>
      </c>
      <c r="F109" s="17">
        <f>IFERROR('Nov 9-15'!E109/'Nov 9-15'!D109," ")</f>
        <v>0.75</v>
      </c>
      <c r="G109" s="17">
        <f>IFERROR('Nov 9-15'!F109/'Nov 9-15'!D109," ")</f>
        <v>0</v>
      </c>
      <c r="H109" s="17">
        <f>IFERROR('Nov 9-15'!F109/'Nov 9-15'!E109," ")</f>
        <v>0</v>
      </c>
      <c r="I109" s="17">
        <f>IFERROR('Nov 9-15'!G109/'Nov 9-15'!D109," ")</f>
        <v>0</v>
      </c>
      <c r="J109" s="17" t="str">
        <f>IFERROR('Nov 9-15'!G109/'Nov 9-15'!F109," ")</f>
        <v xml:space="preserve"> </v>
      </c>
      <c r="K109" s="17" t="str">
        <f>IFERROR('Nov 9-15'!H109/'Nov 9-15'!G109," ")</f>
        <v xml:space="preserve"> </v>
      </c>
      <c r="L109" s="17">
        <f>IFERROR('Nov 9-15'!I109/'Nov 9-15'!D109," ")</f>
        <v>0</v>
      </c>
      <c r="M109" s="17" t="str">
        <f>IFERROR('Nov 9-15'!I109/'Nov 9-15'!H109," ")</f>
        <v xml:space="preserve"> </v>
      </c>
    </row>
    <row r="110" spans="2:13" ht="12.75">
      <c r="B110" s="1" t="str">
        <f>'Nov 9-15'!B110</f>
        <v>96 Sheridan Street Unit 3</v>
      </c>
      <c r="C110" s="29" t="str">
        <f>'Nov 9-15'!C110</f>
        <v>Y</v>
      </c>
      <c r="D110" s="29">
        <f>'Nov 9-15'!D110</f>
        <v>55</v>
      </c>
      <c r="E110" s="66">
        <f t="shared" si="0"/>
        <v>2.2964509394572025E-2</v>
      </c>
      <c r="F110" s="17">
        <f>IFERROR('Nov 9-15'!E110/'Nov 9-15'!D110," ")</f>
        <v>0.29090909090909089</v>
      </c>
      <c r="G110" s="17">
        <f>IFERROR('Nov 9-15'!F110/'Nov 9-15'!D110," ")</f>
        <v>1.8181818181818181E-2</v>
      </c>
      <c r="H110" s="17">
        <f>IFERROR('Nov 9-15'!F110/'Nov 9-15'!E110," ")</f>
        <v>6.25E-2</v>
      </c>
      <c r="I110" s="17">
        <f>IFERROR('Nov 9-15'!G110/'Nov 9-15'!D110," ")</f>
        <v>0</v>
      </c>
      <c r="J110" s="17">
        <f>IFERROR('Nov 9-15'!G110/'Nov 9-15'!F110," ")</f>
        <v>0</v>
      </c>
      <c r="K110" s="17" t="str">
        <f>IFERROR('Nov 9-15'!H110/'Nov 9-15'!G110," ")</f>
        <v xml:space="preserve"> </v>
      </c>
      <c r="L110" s="17">
        <f>IFERROR('Nov 9-15'!I110/'Nov 9-15'!D110," ")</f>
        <v>0</v>
      </c>
      <c r="M110" s="17" t="str">
        <f>IFERROR('Nov 9-15'!I110/'Nov 9-15'!H110," ")</f>
        <v xml:space="preserve"> </v>
      </c>
    </row>
    <row r="111" spans="2:13" ht="12.75">
      <c r="B111" s="1" t="str">
        <f>'Nov 9-15'!B111</f>
        <v>99 Marion Street Unit 3</v>
      </c>
      <c r="C111" s="29" t="str">
        <f>'Nov 9-15'!C111</f>
        <v>Y</v>
      </c>
      <c r="D111" s="29">
        <f>'Nov 9-15'!D111</f>
        <v>6</v>
      </c>
      <c r="E111" s="66">
        <f t="shared" si="0"/>
        <v>2.5052192066805845E-3</v>
      </c>
      <c r="F111" s="17">
        <f>IFERROR('Nov 9-15'!E111/'Nov 9-15'!D111," ")</f>
        <v>0.16666666666666666</v>
      </c>
      <c r="G111" s="17">
        <f>IFERROR('Nov 9-15'!F111/'Nov 9-15'!D111," ")</f>
        <v>0</v>
      </c>
      <c r="H111" s="17">
        <f>IFERROR('Nov 9-15'!F111/'Nov 9-15'!E111," ")</f>
        <v>0</v>
      </c>
      <c r="I111" s="17">
        <f>IFERROR('Nov 9-15'!G111/'Nov 9-15'!D111," ")</f>
        <v>0</v>
      </c>
      <c r="J111" s="17" t="str">
        <f>IFERROR('Nov 9-15'!G111/'Nov 9-15'!F111," ")</f>
        <v xml:space="preserve"> </v>
      </c>
      <c r="K111" s="17" t="str">
        <f>IFERROR('Nov 9-15'!H111/'Nov 9-15'!G111," ")</f>
        <v xml:space="preserve"> </v>
      </c>
      <c r="L111" s="17">
        <f>IFERROR('Nov 9-15'!I111/'Nov 9-15'!D111," ")</f>
        <v>0</v>
      </c>
      <c r="M111" s="17" t="str">
        <f>IFERROR('Nov 9-15'!I111/'Nov 9-15'!H111," ")</f>
        <v xml:space="preserve"> </v>
      </c>
    </row>
    <row r="112" spans="2:13" ht="12.75">
      <c r="B112" s="1">
        <f>'Nov 9-15'!B112</f>
        <v>0</v>
      </c>
      <c r="E112" s="17"/>
      <c r="F112" s="17" t="str">
        <f>IFERROR('Nov 9-15'!E112/'Nov 9-15'!D112," ")</f>
        <v xml:space="preserve"> </v>
      </c>
      <c r="G112" s="17" t="str">
        <f>IFERROR('Nov 9-15'!F112/'Nov 9-15'!D112," ")</f>
        <v xml:space="preserve"> </v>
      </c>
      <c r="H112" s="17" t="str">
        <f>IFERROR('Nov 9-15'!F112/'Nov 9-15'!E112," ")</f>
        <v xml:space="preserve"> </v>
      </c>
      <c r="I112" s="17" t="str">
        <f>IFERROR('Nov 9-15'!G112/'Nov 9-15'!D112," ")</f>
        <v xml:space="preserve"> </v>
      </c>
      <c r="J112" s="17" t="str">
        <f>IFERROR('Nov 9-15'!G112/'Nov 9-15'!F112," ")</f>
        <v xml:space="preserve"> </v>
      </c>
      <c r="K112" s="17" t="str">
        <f>IFERROR('Nov 9-15'!H112/'Nov 9-15'!G112," ")</f>
        <v xml:space="preserve"> </v>
      </c>
      <c r="L112" s="17" t="str">
        <f>IFERROR('Nov 9-15'!I112/'Nov 9-15'!D112," ")</f>
        <v xml:space="preserve"> </v>
      </c>
      <c r="M112" s="17" t="str">
        <f>IFERROR('Nov 9-15'!I112/'Nov 9-15'!H112," ")</f>
        <v xml:space="preserve"> </v>
      </c>
    </row>
    <row r="113" spans="1:30" ht="13.15">
      <c r="A113" s="30"/>
      <c r="B113" s="30" t="str">
        <f>'Nov 9-15'!B113</f>
        <v>TOTAL</v>
      </c>
      <c r="C113" s="30"/>
      <c r="D113" s="30">
        <f>SUM(D3:D111)</f>
        <v>2395</v>
      </c>
      <c r="E113" s="17">
        <f>D113/$D$113</f>
        <v>1</v>
      </c>
      <c r="F113" s="33">
        <f>IFERROR('Nov 9-15'!E113/'Nov 9-15'!D113," ")</f>
        <v>0.26555323590814195</v>
      </c>
      <c r="G113" s="33">
        <f>IFERROR('Nov 9-15'!F113/'Nov 9-15'!D113," ")</f>
        <v>1.8789144050104383E-2</v>
      </c>
      <c r="H113" s="33">
        <f>IFERROR('Nov 9-15'!F113/'Nov 9-15'!E113," ")</f>
        <v>7.0754716981132074E-2</v>
      </c>
      <c r="I113" s="33">
        <f>IFERROR('Nov 9-15'!G113/'Nov 9-15'!D113," ")</f>
        <v>3.7578288100208767E-3</v>
      </c>
      <c r="J113" s="33">
        <f>IFERROR('Nov 9-15'!G113/'Nov 9-15'!F113," ")</f>
        <v>0.2</v>
      </c>
      <c r="K113" s="33">
        <f>IFERROR('Nov 9-15'!H113/'Nov 9-15'!G113," ")</f>
        <v>1.1111111111111112</v>
      </c>
      <c r="L113" s="33">
        <f>IFERROR('Nov 9-15'!I113/'Nov 9-15'!D113," ")</f>
        <v>4.5929018789144047E-3</v>
      </c>
      <c r="M113" s="33">
        <f>IFERROR('Nov 9-15'!I113/'Nov 9-15'!H113," ")</f>
        <v>1.1000000000000001</v>
      </c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ht="12.75">
      <c r="B114" s="1">
        <f>'Nov 9-15'!B114</f>
        <v>0</v>
      </c>
      <c r="E114" s="17"/>
    </row>
    <row r="115" spans="1:30" ht="12.75">
      <c r="E115" s="17"/>
    </row>
    <row r="116" spans="1:30" ht="12.75">
      <c r="E116" s="17"/>
    </row>
    <row r="117" spans="1:30" ht="12.75">
      <c r="E117" s="17"/>
    </row>
    <row r="118" spans="1:30" ht="12.75">
      <c r="E118" s="17"/>
    </row>
    <row r="119" spans="1:30" ht="12.75">
      <c r="E119" s="17"/>
    </row>
    <row r="120" spans="1:30" ht="12.75">
      <c r="E120" s="17"/>
    </row>
    <row r="121" spans="1:30" ht="12.75">
      <c r="E121" s="17"/>
    </row>
    <row r="122" spans="1:30" ht="12.75">
      <c r="E122" s="17"/>
    </row>
    <row r="123" spans="1:30" ht="12.75">
      <c r="E123" s="17"/>
    </row>
    <row r="124" spans="1:30" ht="12.75">
      <c r="E124" s="17"/>
    </row>
    <row r="125" spans="1:30" ht="12.75">
      <c r="E125" s="17"/>
    </row>
    <row r="126" spans="1:30" ht="12.75">
      <c r="E126" s="17"/>
    </row>
  </sheetData>
  <autoFilter ref="A1:AD1000" xr:uid="{00000000-0009-0000-0000-000011000000}"/>
  <conditionalFormatting sqref="B3:I111">
    <cfRule type="expression" dxfId="4" priority="1">
      <formula>$C3="N"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2:AA23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.75" customHeight="1"/>
  <cols>
    <col min="1" max="1" width="2.73046875" customWidth="1"/>
    <col min="2" max="2" width="30" customWidth="1"/>
    <col min="3" max="9" width="17.265625" customWidth="1"/>
    <col min="19" max="19" width="18.53125" customWidth="1"/>
  </cols>
  <sheetData>
    <row r="2" spans="2:23" ht="28.5" customHeight="1">
      <c r="B2" s="6" t="s">
        <v>0</v>
      </c>
      <c r="C2" s="7" t="s">
        <v>1</v>
      </c>
      <c r="D2" s="6" t="s">
        <v>3</v>
      </c>
      <c r="E2" s="7" t="s">
        <v>4</v>
      </c>
      <c r="F2" s="7" t="s">
        <v>6</v>
      </c>
      <c r="G2" s="7" t="s">
        <v>7</v>
      </c>
      <c r="H2" s="6" t="s">
        <v>8</v>
      </c>
      <c r="I2" s="7" t="s">
        <v>9</v>
      </c>
      <c r="J2" s="7" t="s">
        <v>10</v>
      </c>
      <c r="K2" s="46" t="s">
        <v>158</v>
      </c>
      <c r="L2" s="46" t="s">
        <v>13</v>
      </c>
      <c r="M2" s="46" t="s">
        <v>14</v>
      </c>
      <c r="N2" s="46" t="s">
        <v>15</v>
      </c>
      <c r="P2" s="21" t="s">
        <v>12</v>
      </c>
    </row>
    <row r="3" spans="2:23" ht="12.75">
      <c r="B3" s="13" t="s">
        <v>57</v>
      </c>
      <c r="C3" s="15" t="s">
        <v>147</v>
      </c>
      <c r="D3" s="15">
        <v>34</v>
      </c>
      <c r="E3" s="15">
        <v>8</v>
      </c>
      <c r="F3" s="15">
        <v>1</v>
      </c>
      <c r="G3" s="15">
        <v>2</v>
      </c>
      <c r="H3" s="15">
        <v>2</v>
      </c>
      <c r="I3" s="15">
        <v>2</v>
      </c>
      <c r="J3" s="21" t="s">
        <v>20</v>
      </c>
      <c r="K3" s="61">
        <f t="shared" ref="K3:K113" si="0">IFERROR(I3/D3, " ")</f>
        <v>5.8823529411764705E-2</v>
      </c>
      <c r="L3" s="61">
        <f t="shared" ref="L3:L111" si="1">IFERROR(I3/F3, " ")</f>
        <v>2</v>
      </c>
      <c r="M3" s="61">
        <f t="shared" ref="M3:M111" si="2">IFERROR(I3/G3, " ")</f>
        <v>1</v>
      </c>
      <c r="N3" s="61">
        <f t="shared" ref="N3:N111" si="3">IFERROR(I3/H3, " ")</f>
        <v>1</v>
      </c>
      <c r="P3" s="17">
        <f t="shared" ref="P3:P113" si="4">IFERROR(F3/D3," ")</f>
        <v>2.9411764705882353E-2</v>
      </c>
      <c r="S3" s="47" t="s">
        <v>159</v>
      </c>
      <c r="T3" s="48"/>
      <c r="U3" s="48"/>
      <c r="V3" s="48"/>
      <c r="W3" s="48"/>
    </row>
    <row r="4" spans="2:23" ht="12.75">
      <c r="B4" s="13" t="s">
        <v>67</v>
      </c>
      <c r="C4" s="14" t="s">
        <v>147</v>
      </c>
      <c r="D4" s="15">
        <v>13</v>
      </c>
      <c r="E4" s="15">
        <v>2</v>
      </c>
      <c r="F4" s="15">
        <v>1</v>
      </c>
      <c r="G4" s="15">
        <v>0</v>
      </c>
      <c r="H4" s="15">
        <v>0</v>
      </c>
      <c r="I4" s="15">
        <v>0</v>
      </c>
      <c r="J4" s="1" t="s">
        <v>34</v>
      </c>
      <c r="K4" s="17">
        <f t="shared" si="0"/>
        <v>0</v>
      </c>
      <c r="L4" s="17">
        <f t="shared" si="1"/>
        <v>0</v>
      </c>
      <c r="M4" s="17" t="str">
        <f t="shared" si="2"/>
        <v xml:space="preserve"> </v>
      </c>
      <c r="N4" s="17" t="str">
        <f t="shared" si="3"/>
        <v xml:space="preserve"> </v>
      </c>
      <c r="P4" s="17">
        <f t="shared" si="4"/>
        <v>7.6923076923076927E-2</v>
      </c>
      <c r="S4" s="48" t="s">
        <v>160</v>
      </c>
      <c r="T4" s="48" t="s">
        <v>3</v>
      </c>
      <c r="U4" s="48" t="s">
        <v>4</v>
      </c>
      <c r="V4" s="48" t="s">
        <v>6</v>
      </c>
      <c r="W4" s="48" t="s">
        <v>161</v>
      </c>
    </row>
    <row r="5" spans="2:23" ht="12.75">
      <c r="B5" s="13" t="s">
        <v>100</v>
      </c>
      <c r="C5" s="14" t="s">
        <v>142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" t="s">
        <v>24</v>
      </c>
      <c r="K5" s="17" t="str">
        <f t="shared" si="0"/>
        <v xml:space="preserve"> </v>
      </c>
      <c r="L5" s="17" t="str">
        <f t="shared" si="1"/>
        <v xml:space="preserve"> </v>
      </c>
      <c r="M5" s="17" t="str">
        <f t="shared" si="2"/>
        <v xml:space="preserve"> </v>
      </c>
      <c r="N5" s="17" t="str">
        <f t="shared" si="3"/>
        <v xml:space="preserve"> </v>
      </c>
      <c r="P5" s="17" t="str">
        <f t="shared" si="4"/>
        <v xml:space="preserve"> </v>
      </c>
      <c r="S5" s="49" t="s">
        <v>179</v>
      </c>
      <c r="T5" s="50">
        <v>137</v>
      </c>
      <c r="U5" s="50">
        <v>41</v>
      </c>
      <c r="V5" s="50">
        <v>2</v>
      </c>
      <c r="W5" s="51">
        <f t="shared" ref="W5:W14" si="5">V5/T5</f>
        <v>1.4598540145985401E-2</v>
      </c>
    </row>
    <row r="6" spans="2:23" ht="12.75">
      <c r="B6" s="13" t="s">
        <v>75</v>
      </c>
      <c r="C6" s="14" t="s">
        <v>142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" t="s">
        <v>24</v>
      </c>
      <c r="K6" s="17" t="str">
        <f t="shared" si="0"/>
        <v xml:space="preserve"> </v>
      </c>
      <c r="L6" s="17" t="str">
        <f t="shared" si="1"/>
        <v xml:space="preserve"> </v>
      </c>
      <c r="M6" s="17" t="str">
        <f t="shared" si="2"/>
        <v xml:space="preserve"> </v>
      </c>
      <c r="N6" s="17" t="str">
        <f t="shared" si="3"/>
        <v xml:space="preserve"> </v>
      </c>
      <c r="P6" s="17" t="str">
        <f t="shared" si="4"/>
        <v xml:space="preserve"> </v>
      </c>
      <c r="S6" s="49" t="s">
        <v>180</v>
      </c>
      <c r="T6" s="50">
        <v>134</v>
      </c>
      <c r="U6" s="50">
        <v>47</v>
      </c>
      <c r="V6" s="50">
        <v>0</v>
      </c>
      <c r="W6" s="51">
        <f t="shared" si="5"/>
        <v>0</v>
      </c>
    </row>
    <row r="7" spans="2:23" ht="12.75">
      <c r="B7" s="13" t="s">
        <v>47</v>
      </c>
      <c r="C7" s="14" t="s">
        <v>147</v>
      </c>
      <c r="D7" s="15">
        <v>13</v>
      </c>
      <c r="E7" s="15">
        <v>1</v>
      </c>
      <c r="F7" s="15">
        <v>1</v>
      </c>
      <c r="G7" s="15">
        <v>0</v>
      </c>
      <c r="H7" s="15">
        <v>0</v>
      </c>
      <c r="I7" s="15">
        <v>0</v>
      </c>
      <c r="J7" s="1" t="s">
        <v>20</v>
      </c>
      <c r="K7" s="17">
        <f t="shared" si="0"/>
        <v>0</v>
      </c>
      <c r="L7" s="17">
        <f t="shared" si="1"/>
        <v>0</v>
      </c>
      <c r="M7" s="17" t="str">
        <f t="shared" si="2"/>
        <v xml:space="preserve"> </v>
      </c>
      <c r="N7" s="17" t="str">
        <f t="shared" si="3"/>
        <v xml:space="preserve"> </v>
      </c>
      <c r="P7" s="17">
        <f t="shared" si="4"/>
        <v>7.6923076923076927E-2</v>
      </c>
      <c r="S7" s="49" t="s">
        <v>181</v>
      </c>
      <c r="T7" s="50">
        <v>113</v>
      </c>
      <c r="U7" s="50">
        <v>55</v>
      </c>
      <c r="V7" s="50">
        <v>1</v>
      </c>
      <c r="W7" s="51">
        <f t="shared" si="5"/>
        <v>8.8495575221238937E-3</v>
      </c>
    </row>
    <row r="8" spans="2:23" ht="12.75">
      <c r="B8" s="13" t="s">
        <v>30</v>
      </c>
      <c r="C8" s="14" t="s">
        <v>147</v>
      </c>
      <c r="D8" s="15">
        <v>30</v>
      </c>
      <c r="E8" s="15">
        <v>14</v>
      </c>
      <c r="F8" s="15">
        <v>1</v>
      </c>
      <c r="G8" s="15">
        <v>0</v>
      </c>
      <c r="H8" s="15">
        <v>0</v>
      </c>
      <c r="I8" s="15">
        <v>0</v>
      </c>
      <c r="J8" s="1" t="s">
        <v>20</v>
      </c>
      <c r="K8" s="17">
        <f t="shared" si="0"/>
        <v>0</v>
      </c>
      <c r="L8" s="17">
        <f t="shared" si="1"/>
        <v>0</v>
      </c>
      <c r="M8" s="17" t="str">
        <f t="shared" si="2"/>
        <v xml:space="preserve"> </v>
      </c>
      <c r="N8" s="17" t="str">
        <f t="shared" si="3"/>
        <v xml:space="preserve"> </v>
      </c>
      <c r="P8" s="61">
        <f t="shared" si="4"/>
        <v>3.3333333333333333E-2</v>
      </c>
      <c r="S8" s="49" t="s">
        <v>182</v>
      </c>
      <c r="T8" s="50">
        <v>89</v>
      </c>
      <c r="U8" s="50">
        <v>15</v>
      </c>
      <c r="V8" s="50">
        <v>0</v>
      </c>
      <c r="W8" s="51">
        <f t="shared" si="5"/>
        <v>0</v>
      </c>
    </row>
    <row r="9" spans="2:23" ht="12.75">
      <c r="B9" s="13" t="s">
        <v>95</v>
      </c>
      <c r="C9" s="14" t="s">
        <v>147</v>
      </c>
      <c r="D9" s="15">
        <v>15</v>
      </c>
      <c r="E9" s="15">
        <v>4</v>
      </c>
      <c r="F9" s="15">
        <v>0</v>
      </c>
      <c r="G9" s="15">
        <v>0</v>
      </c>
      <c r="H9" s="15">
        <v>0</v>
      </c>
      <c r="I9" s="15">
        <v>0</v>
      </c>
      <c r="J9" s="1" t="s">
        <v>20</v>
      </c>
      <c r="K9" s="17">
        <f t="shared" si="0"/>
        <v>0</v>
      </c>
      <c r="L9" s="17" t="str">
        <f t="shared" si="1"/>
        <v xml:space="preserve"> </v>
      </c>
      <c r="M9" s="17" t="str">
        <f t="shared" si="2"/>
        <v xml:space="preserve"> </v>
      </c>
      <c r="N9" s="17" t="str">
        <f t="shared" si="3"/>
        <v xml:space="preserve"> </v>
      </c>
      <c r="P9" s="17">
        <f t="shared" si="4"/>
        <v>0</v>
      </c>
      <c r="S9" s="49" t="s">
        <v>183</v>
      </c>
      <c r="T9" s="50">
        <v>80</v>
      </c>
      <c r="U9" s="50">
        <v>13</v>
      </c>
      <c r="V9" s="50">
        <v>0</v>
      </c>
      <c r="W9" s="51">
        <f t="shared" si="5"/>
        <v>0</v>
      </c>
    </row>
    <row r="10" spans="2:23" ht="12.75">
      <c r="B10" s="13" t="s">
        <v>22</v>
      </c>
      <c r="C10" s="14" t="s">
        <v>147</v>
      </c>
      <c r="D10" s="15">
        <v>16</v>
      </c>
      <c r="E10" s="15">
        <v>2</v>
      </c>
      <c r="F10" s="15">
        <v>1</v>
      </c>
      <c r="G10" s="15">
        <v>0</v>
      </c>
      <c r="H10" s="15">
        <v>0</v>
      </c>
      <c r="I10" s="15">
        <v>0</v>
      </c>
      <c r="J10" s="1" t="s">
        <v>20</v>
      </c>
      <c r="K10" s="17">
        <f t="shared" si="0"/>
        <v>0</v>
      </c>
      <c r="L10" s="17">
        <f t="shared" si="1"/>
        <v>0</v>
      </c>
      <c r="M10" s="17" t="str">
        <f t="shared" si="2"/>
        <v xml:space="preserve"> </v>
      </c>
      <c r="N10" s="17" t="str">
        <f t="shared" si="3"/>
        <v xml:space="preserve"> </v>
      </c>
      <c r="P10" s="17">
        <f t="shared" si="4"/>
        <v>6.25E-2</v>
      </c>
      <c r="S10" s="52" t="s">
        <v>184</v>
      </c>
      <c r="T10" s="53">
        <v>72</v>
      </c>
      <c r="U10" s="53">
        <v>19</v>
      </c>
      <c r="V10" s="53">
        <v>3</v>
      </c>
      <c r="W10" s="54">
        <f t="shared" si="5"/>
        <v>4.1666666666666664E-2</v>
      </c>
    </row>
    <row r="11" spans="2:23" ht="12.75">
      <c r="B11" s="13" t="s">
        <v>110</v>
      </c>
      <c r="C11" s="14" t="s">
        <v>147</v>
      </c>
      <c r="D11" s="15">
        <v>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" t="s">
        <v>34</v>
      </c>
      <c r="K11" s="17">
        <f t="shared" si="0"/>
        <v>0</v>
      </c>
      <c r="L11" s="17" t="str">
        <f t="shared" si="1"/>
        <v xml:space="preserve"> </v>
      </c>
      <c r="M11" s="17" t="str">
        <f t="shared" si="2"/>
        <v xml:space="preserve"> </v>
      </c>
      <c r="N11" s="17" t="str">
        <f t="shared" si="3"/>
        <v xml:space="preserve"> </v>
      </c>
      <c r="P11" s="61">
        <f t="shared" si="4"/>
        <v>0</v>
      </c>
      <c r="S11" s="49" t="s">
        <v>90</v>
      </c>
      <c r="T11" s="50">
        <v>69</v>
      </c>
      <c r="U11" s="50">
        <v>15</v>
      </c>
      <c r="V11" s="50">
        <v>2</v>
      </c>
      <c r="W11" s="51">
        <f t="shared" si="5"/>
        <v>2.8985507246376812E-2</v>
      </c>
    </row>
    <row r="12" spans="2:23" ht="12.75">
      <c r="B12" s="13" t="s">
        <v>117</v>
      </c>
      <c r="C12" s="14" t="s">
        <v>147</v>
      </c>
      <c r="D12" s="15">
        <v>56</v>
      </c>
      <c r="E12" s="15">
        <v>16</v>
      </c>
      <c r="F12" s="15">
        <v>0</v>
      </c>
      <c r="G12" s="15">
        <v>0</v>
      </c>
      <c r="H12" s="15">
        <v>0</v>
      </c>
      <c r="I12" s="15">
        <v>0</v>
      </c>
      <c r="J12" s="1" t="s">
        <v>20</v>
      </c>
      <c r="K12" s="17">
        <f t="shared" si="0"/>
        <v>0</v>
      </c>
      <c r="L12" s="17" t="str">
        <f t="shared" si="1"/>
        <v xml:space="preserve"> </v>
      </c>
      <c r="M12" s="17" t="str">
        <f t="shared" si="2"/>
        <v xml:space="preserve"> </v>
      </c>
      <c r="N12" s="17" t="str">
        <f t="shared" si="3"/>
        <v xml:space="preserve"> </v>
      </c>
      <c r="P12" s="17">
        <f t="shared" si="4"/>
        <v>0</v>
      </c>
      <c r="S12" s="49" t="s">
        <v>185</v>
      </c>
      <c r="T12" s="50">
        <v>63</v>
      </c>
      <c r="U12" s="50">
        <v>20</v>
      </c>
      <c r="V12" s="50">
        <v>0</v>
      </c>
      <c r="W12" s="51">
        <f t="shared" si="5"/>
        <v>0</v>
      </c>
    </row>
    <row r="13" spans="2:23" ht="12.75">
      <c r="B13" s="13" t="s">
        <v>42</v>
      </c>
      <c r="C13" s="14" t="s">
        <v>147</v>
      </c>
      <c r="D13" s="15">
        <v>72</v>
      </c>
      <c r="E13" s="15">
        <v>19</v>
      </c>
      <c r="F13" s="15">
        <v>3</v>
      </c>
      <c r="G13" s="15">
        <v>0</v>
      </c>
      <c r="H13" s="15">
        <v>0</v>
      </c>
      <c r="I13" s="15">
        <v>0</v>
      </c>
      <c r="J13" s="1" t="s">
        <v>20</v>
      </c>
      <c r="K13" s="17">
        <f t="shared" si="0"/>
        <v>0</v>
      </c>
      <c r="L13" s="17">
        <f t="shared" si="1"/>
        <v>0</v>
      </c>
      <c r="M13" s="17" t="str">
        <f t="shared" si="2"/>
        <v xml:space="preserve"> </v>
      </c>
      <c r="N13" s="17" t="str">
        <f t="shared" si="3"/>
        <v xml:space="preserve"> </v>
      </c>
      <c r="P13" s="17">
        <f t="shared" si="4"/>
        <v>4.1666666666666664E-2</v>
      </c>
      <c r="S13" s="52" t="s">
        <v>186</v>
      </c>
      <c r="T13" s="53">
        <v>58</v>
      </c>
      <c r="U13" s="53">
        <v>27</v>
      </c>
      <c r="V13" s="53">
        <v>3</v>
      </c>
      <c r="W13" s="54">
        <f t="shared" si="5"/>
        <v>5.1724137931034482E-2</v>
      </c>
    </row>
    <row r="14" spans="2:23" ht="12.75">
      <c r="B14" s="13" t="s">
        <v>118</v>
      </c>
      <c r="C14" s="14" t="s">
        <v>142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" t="s">
        <v>24</v>
      </c>
      <c r="K14" s="17" t="str">
        <f t="shared" si="0"/>
        <v xml:space="preserve"> </v>
      </c>
      <c r="L14" s="17" t="str">
        <f t="shared" si="1"/>
        <v xml:space="preserve"> </v>
      </c>
      <c r="M14" s="17" t="str">
        <f t="shared" si="2"/>
        <v xml:space="preserve"> </v>
      </c>
      <c r="N14" s="17" t="str">
        <f t="shared" si="3"/>
        <v xml:space="preserve"> </v>
      </c>
      <c r="P14" s="17" t="str">
        <f t="shared" si="4"/>
        <v xml:space="preserve"> </v>
      </c>
      <c r="S14" s="49" t="s">
        <v>187</v>
      </c>
      <c r="T14" s="50">
        <v>56</v>
      </c>
      <c r="U14" s="50">
        <v>16</v>
      </c>
      <c r="V14" s="50">
        <v>0</v>
      </c>
      <c r="W14" s="51">
        <f t="shared" si="5"/>
        <v>0</v>
      </c>
    </row>
    <row r="15" spans="2:23" ht="12.75">
      <c r="B15" s="13" t="s">
        <v>25</v>
      </c>
      <c r="C15" s="14" t="s">
        <v>147</v>
      </c>
      <c r="D15" s="15">
        <v>40</v>
      </c>
      <c r="E15" s="15">
        <v>9</v>
      </c>
      <c r="F15" s="15">
        <v>0</v>
      </c>
      <c r="G15" s="15">
        <v>0</v>
      </c>
      <c r="H15" s="15">
        <v>0</v>
      </c>
      <c r="I15" s="15">
        <v>0</v>
      </c>
      <c r="J15" s="1" t="s">
        <v>34</v>
      </c>
      <c r="K15" s="17">
        <f t="shared" si="0"/>
        <v>0</v>
      </c>
      <c r="L15" s="17" t="str">
        <f t="shared" si="1"/>
        <v xml:space="preserve"> </v>
      </c>
      <c r="M15" s="17" t="str">
        <f t="shared" si="2"/>
        <v xml:space="preserve"> </v>
      </c>
      <c r="N15" s="17" t="str">
        <f t="shared" si="3"/>
        <v xml:space="preserve"> </v>
      </c>
      <c r="P15" s="17">
        <f t="shared" si="4"/>
        <v>0</v>
      </c>
      <c r="S15" s="13"/>
      <c r="T15" s="19"/>
      <c r="U15" s="19"/>
      <c r="V15" s="19"/>
      <c r="W15" s="20"/>
    </row>
    <row r="16" spans="2:23" ht="12.75">
      <c r="B16" s="13" t="s">
        <v>38</v>
      </c>
      <c r="C16" s="14" t="s">
        <v>147</v>
      </c>
      <c r="D16" s="15">
        <v>22</v>
      </c>
      <c r="E16" s="15">
        <v>14</v>
      </c>
      <c r="F16" s="15">
        <v>0</v>
      </c>
      <c r="G16" s="15">
        <v>0</v>
      </c>
      <c r="H16" s="15">
        <v>0</v>
      </c>
      <c r="I16" s="15">
        <v>0</v>
      </c>
      <c r="J16" s="1" t="s">
        <v>39</v>
      </c>
      <c r="K16" s="17">
        <f t="shared" si="0"/>
        <v>0</v>
      </c>
      <c r="L16" s="17" t="str">
        <f t="shared" si="1"/>
        <v xml:space="preserve"> </v>
      </c>
      <c r="M16" s="17" t="str">
        <f t="shared" si="2"/>
        <v xml:space="preserve"> </v>
      </c>
      <c r="N16" s="17" t="str">
        <f t="shared" si="3"/>
        <v xml:space="preserve"> </v>
      </c>
      <c r="P16" s="61">
        <f t="shared" si="4"/>
        <v>0</v>
      </c>
      <c r="S16" s="25"/>
      <c r="T16" s="25"/>
      <c r="U16" s="25"/>
      <c r="V16" s="25"/>
      <c r="W16" s="25"/>
    </row>
    <row r="17" spans="2:23" ht="12.75">
      <c r="B17" s="13" t="s">
        <v>86</v>
      </c>
      <c r="C17" s="14" t="s">
        <v>147</v>
      </c>
      <c r="D17" s="15">
        <v>26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" t="s">
        <v>20</v>
      </c>
      <c r="K17" s="17">
        <f t="shared" si="0"/>
        <v>0</v>
      </c>
      <c r="L17" s="17" t="str">
        <f t="shared" si="1"/>
        <v xml:space="preserve"> </v>
      </c>
      <c r="M17" s="17" t="str">
        <f t="shared" si="2"/>
        <v xml:space="preserve"> </v>
      </c>
      <c r="N17" s="17" t="str">
        <f t="shared" si="3"/>
        <v xml:space="preserve"> </v>
      </c>
      <c r="P17" s="17">
        <f t="shared" si="4"/>
        <v>0</v>
      </c>
      <c r="S17" s="25"/>
      <c r="T17" s="25"/>
      <c r="U17" s="25"/>
      <c r="V17" s="25"/>
      <c r="W17" s="25"/>
    </row>
    <row r="18" spans="2:23" ht="12.75">
      <c r="B18" s="13" t="s">
        <v>78</v>
      </c>
      <c r="C18" s="14" t="s">
        <v>147</v>
      </c>
      <c r="D18" s="15">
        <v>30</v>
      </c>
      <c r="E18" s="15">
        <v>2</v>
      </c>
      <c r="F18" s="15">
        <v>0</v>
      </c>
      <c r="G18" s="15">
        <v>0</v>
      </c>
      <c r="H18" s="15">
        <v>0</v>
      </c>
      <c r="I18" s="15">
        <v>0</v>
      </c>
      <c r="J18" s="1" t="s">
        <v>20</v>
      </c>
      <c r="K18" s="17">
        <f t="shared" si="0"/>
        <v>0</v>
      </c>
      <c r="L18" s="17" t="str">
        <f t="shared" si="1"/>
        <v xml:space="preserve"> </v>
      </c>
      <c r="M18" s="17" t="str">
        <f t="shared" si="2"/>
        <v xml:space="preserve"> </v>
      </c>
      <c r="N18" s="17" t="str">
        <f t="shared" si="3"/>
        <v xml:space="preserve"> </v>
      </c>
      <c r="P18" s="17">
        <f t="shared" si="4"/>
        <v>0</v>
      </c>
      <c r="S18" s="47" t="s">
        <v>162</v>
      </c>
      <c r="T18" s="48"/>
      <c r="U18" s="48"/>
      <c r="V18" s="48"/>
      <c r="W18" s="48"/>
    </row>
    <row r="19" spans="2:23" ht="12.75">
      <c r="B19" s="13" t="s">
        <v>105</v>
      </c>
      <c r="C19" s="14" t="s">
        <v>142</v>
      </c>
      <c r="D19" s="15">
        <v>0</v>
      </c>
      <c r="E19" s="15">
        <v>0</v>
      </c>
      <c r="F19" s="15">
        <v>0</v>
      </c>
      <c r="G19" s="15"/>
      <c r="H19" s="15">
        <v>0</v>
      </c>
      <c r="I19" s="15">
        <v>0</v>
      </c>
      <c r="J19" s="1" t="s">
        <v>24</v>
      </c>
      <c r="K19" s="17" t="str">
        <f t="shared" si="0"/>
        <v xml:space="preserve"> </v>
      </c>
      <c r="L19" s="17" t="str">
        <f t="shared" si="1"/>
        <v xml:space="preserve"> </v>
      </c>
      <c r="M19" s="17" t="str">
        <f t="shared" si="2"/>
        <v xml:space="preserve"> </v>
      </c>
      <c r="N19" s="17" t="str">
        <f t="shared" si="3"/>
        <v xml:space="preserve"> </v>
      </c>
      <c r="P19" s="17" t="str">
        <f t="shared" si="4"/>
        <v xml:space="preserve"> </v>
      </c>
      <c r="S19" s="48" t="s">
        <v>160</v>
      </c>
      <c r="T19" s="48" t="s">
        <v>3</v>
      </c>
      <c r="U19" s="48" t="s">
        <v>4</v>
      </c>
      <c r="V19" s="48" t="s">
        <v>6</v>
      </c>
      <c r="W19" s="48" t="s">
        <v>161</v>
      </c>
    </row>
    <row r="20" spans="2:23" ht="12.75">
      <c r="B20" s="13" t="s">
        <v>19</v>
      </c>
      <c r="C20" s="14" t="s">
        <v>147</v>
      </c>
      <c r="D20" s="15">
        <v>43</v>
      </c>
      <c r="E20" s="15">
        <v>4</v>
      </c>
      <c r="F20" s="15">
        <v>1</v>
      </c>
      <c r="G20" s="15"/>
      <c r="H20" s="15">
        <v>0</v>
      </c>
      <c r="I20" s="15">
        <v>0</v>
      </c>
      <c r="J20" s="1" t="s">
        <v>20</v>
      </c>
      <c r="K20" s="17">
        <f t="shared" si="0"/>
        <v>0</v>
      </c>
      <c r="L20" s="17">
        <f t="shared" si="1"/>
        <v>0</v>
      </c>
      <c r="M20" s="17" t="str">
        <f t="shared" si="2"/>
        <v xml:space="preserve"> </v>
      </c>
      <c r="N20" s="17" t="str">
        <f t="shared" si="3"/>
        <v xml:space="preserve"> </v>
      </c>
      <c r="P20" s="17">
        <f t="shared" si="4"/>
        <v>2.3255813953488372E-2</v>
      </c>
      <c r="S20" s="55" t="s">
        <v>92</v>
      </c>
      <c r="T20" s="56">
        <v>2</v>
      </c>
      <c r="U20" s="56">
        <v>1</v>
      </c>
      <c r="V20" s="56">
        <v>0</v>
      </c>
      <c r="W20" s="57">
        <f t="shared" ref="W20:W30" si="6">V20/T20</f>
        <v>0</v>
      </c>
    </row>
    <row r="21" spans="2:23" ht="12.75">
      <c r="B21" s="13" t="s">
        <v>114</v>
      </c>
      <c r="C21" s="14" t="s">
        <v>142</v>
      </c>
      <c r="D21" s="15">
        <v>1</v>
      </c>
      <c r="E21" s="15">
        <v>1</v>
      </c>
      <c r="F21" s="15">
        <v>0</v>
      </c>
      <c r="G21" s="15"/>
      <c r="H21" s="15">
        <v>0</v>
      </c>
      <c r="I21" s="15">
        <v>0</v>
      </c>
      <c r="J21" s="1" t="s">
        <v>24</v>
      </c>
      <c r="K21" s="17">
        <f t="shared" si="0"/>
        <v>0</v>
      </c>
      <c r="L21" s="17" t="str">
        <f t="shared" si="1"/>
        <v xml:space="preserve"> </v>
      </c>
      <c r="M21" s="17" t="str">
        <f t="shared" si="2"/>
        <v xml:space="preserve"> </v>
      </c>
      <c r="N21" s="17" t="str">
        <f t="shared" si="3"/>
        <v xml:space="preserve"> </v>
      </c>
      <c r="P21" s="17">
        <f t="shared" si="4"/>
        <v>0</v>
      </c>
      <c r="S21" s="55" t="s">
        <v>130</v>
      </c>
      <c r="T21" s="56">
        <v>2</v>
      </c>
      <c r="U21" s="56">
        <v>0</v>
      </c>
      <c r="V21" s="56">
        <v>0</v>
      </c>
      <c r="W21" s="57">
        <f t="shared" si="6"/>
        <v>0</v>
      </c>
    </row>
    <row r="22" spans="2:23" ht="12.75">
      <c r="B22" s="13" t="s">
        <v>58</v>
      </c>
      <c r="C22" s="14" t="s">
        <v>147</v>
      </c>
      <c r="D22" s="15">
        <v>27</v>
      </c>
      <c r="E22" s="15">
        <v>3</v>
      </c>
      <c r="F22" s="15">
        <v>0</v>
      </c>
      <c r="G22" s="15">
        <v>1</v>
      </c>
      <c r="H22" s="15">
        <v>0</v>
      </c>
      <c r="I22" s="15">
        <v>0</v>
      </c>
      <c r="J22" s="1" t="s">
        <v>20</v>
      </c>
      <c r="K22" s="17">
        <f t="shared" si="0"/>
        <v>0</v>
      </c>
      <c r="L22" s="17" t="str">
        <f t="shared" si="1"/>
        <v xml:space="preserve"> </v>
      </c>
      <c r="M22" s="17">
        <f t="shared" si="2"/>
        <v>0</v>
      </c>
      <c r="N22" s="17" t="str">
        <f t="shared" si="3"/>
        <v xml:space="preserve"> </v>
      </c>
      <c r="P22" s="17">
        <f t="shared" si="4"/>
        <v>0</v>
      </c>
      <c r="S22" s="55" t="s">
        <v>110</v>
      </c>
      <c r="T22" s="56">
        <v>2</v>
      </c>
      <c r="U22" s="56">
        <v>0</v>
      </c>
      <c r="V22" s="56">
        <v>0</v>
      </c>
      <c r="W22" s="57">
        <f t="shared" si="6"/>
        <v>0</v>
      </c>
    </row>
    <row r="23" spans="2:23" ht="12.75">
      <c r="B23" s="13" t="s">
        <v>80</v>
      </c>
      <c r="C23" s="14" t="s">
        <v>147</v>
      </c>
      <c r="D23" s="15">
        <v>12</v>
      </c>
      <c r="E23" s="15">
        <v>1</v>
      </c>
      <c r="F23" s="15">
        <v>0</v>
      </c>
      <c r="G23" s="15"/>
      <c r="H23" s="15">
        <v>0</v>
      </c>
      <c r="I23" s="15">
        <v>0</v>
      </c>
      <c r="J23" s="1" t="s">
        <v>39</v>
      </c>
      <c r="K23" s="17">
        <f t="shared" si="0"/>
        <v>0</v>
      </c>
      <c r="L23" s="17" t="str">
        <f t="shared" si="1"/>
        <v xml:space="preserve"> </v>
      </c>
      <c r="M23" s="17" t="str">
        <f t="shared" si="2"/>
        <v xml:space="preserve"> </v>
      </c>
      <c r="N23" s="17" t="str">
        <f t="shared" si="3"/>
        <v xml:space="preserve"> </v>
      </c>
      <c r="P23" s="17">
        <f t="shared" si="4"/>
        <v>0</v>
      </c>
      <c r="S23" s="55" t="s">
        <v>79</v>
      </c>
      <c r="T23" s="56">
        <v>4</v>
      </c>
      <c r="U23" s="56">
        <v>0</v>
      </c>
      <c r="V23" s="56">
        <v>0</v>
      </c>
      <c r="W23" s="57">
        <f t="shared" si="6"/>
        <v>0</v>
      </c>
    </row>
    <row r="24" spans="2:23" ht="12.75">
      <c r="B24" s="13" t="s">
        <v>96</v>
      </c>
      <c r="C24" s="14" t="s">
        <v>147</v>
      </c>
      <c r="D24" s="15">
        <v>13</v>
      </c>
      <c r="E24" s="15">
        <v>1</v>
      </c>
      <c r="F24" s="15">
        <v>0</v>
      </c>
      <c r="G24" s="15">
        <v>0</v>
      </c>
      <c r="H24" s="15">
        <v>0</v>
      </c>
      <c r="I24" s="15">
        <v>0</v>
      </c>
      <c r="J24" s="1" t="s">
        <v>20</v>
      </c>
      <c r="K24" s="17">
        <f t="shared" si="0"/>
        <v>0</v>
      </c>
      <c r="L24" s="17" t="str">
        <f t="shared" si="1"/>
        <v xml:space="preserve"> </v>
      </c>
      <c r="M24" s="17" t="str">
        <f t="shared" si="2"/>
        <v xml:space="preserve"> </v>
      </c>
      <c r="N24" s="17" t="str">
        <f t="shared" si="3"/>
        <v xml:space="preserve"> </v>
      </c>
      <c r="P24" s="17">
        <f t="shared" si="4"/>
        <v>0</v>
      </c>
      <c r="S24" s="58" t="s">
        <v>93</v>
      </c>
      <c r="T24" s="59">
        <v>6</v>
      </c>
      <c r="U24" s="59">
        <v>0</v>
      </c>
      <c r="V24" s="59">
        <v>2</v>
      </c>
      <c r="W24" s="60">
        <f t="shared" si="6"/>
        <v>0.33333333333333331</v>
      </c>
    </row>
    <row r="25" spans="2:23" ht="12.75">
      <c r="B25" s="13" t="s">
        <v>89</v>
      </c>
      <c r="C25" s="14" t="s">
        <v>147</v>
      </c>
      <c r="D25" s="15">
        <v>9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" t="s">
        <v>39</v>
      </c>
      <c r="K25" s="17">
        <f t="shared" si="0"/>
        <v>0</v>
      </c>
      <c r="L25" s="17" t="str">
        <f t="shared" si="1"/>
        <v xml:space="preserve"> </v>
      </c>
      <c r="M25" s="17" t="str">
        <f t="shared" si="2"/>
        <v xml:space="preserve"> </v>
      </c>
      <c r="N25" s="17" t="str">
        <f t="shared" si="3"/>
        <v xml:space="preserve"> </v>
      </c>
      <c r="P25" s="17">
        <f t="shared" si="4"/>
        <v>0</v>
      </c>
      <c r="S25" s="55" t="s">
        <v>116</v>
      </c>
      <c r="T25" s="56">
        <v>6</v>
      </c>
      <c r="U25" s="56">
        <v>1</v>
      </c>
      <c r="V25" s="56">
        <v>0</v>
      </c>
      <c r="W25" s="57">
        <f t="shared" si="6"/>
        <v>0</v>
      </c>
    </row>
    <row r="26" spans="2:23" ht="12.75">
      <c r="B26" s="13" t="s">
        <v>17</v>
      </c>
      <c r="C26" s="14" t="s">
        <v>147</v>
      </c>
      <c r="D26" s="15">
        <v>15</v>
      </c>
      <c r="E26" s="15">
        <v>6</v>
      </c>
      <c r="F26" s="15">
        <v>0</v>
      </c>
      <c r="G26" s="15">
        <v>0</v>
      </c>
      <c r="H26" s="15">
        <v>0</v>
      </c>
      <c r="I26" s="15">
        <v>0</v>
      </c>
      <c r="J26" s="1" t="s">
        <v>18</v>
      </c>
      <c r="K26" s="17">
        <f t="shared" si="0"/>
        <v>0</v>
      </c>
      <c r="L26" s="17" t="str">
        <f t="shared" si="1"/>
        <v xml:space="preserve"> </v>
      </c>
      <c r="M26" s="17" t="str">
        <f t="shared" si="2"/>
        <v xml:space="preserve"> </v>
      </c>
      <c r="N26" s="17" t="str">
        <f t="shared" si="3"/>
        <v xml:space="preserve"> </v>
      </c>
      <c r="P26" s="17">
        <f t="shared" si="4"/>
        <v>0</v>
      </c>
      <c r="S26" s="55" t="s">
        <v>65</v>
      </c>
      <c r="T26" s="56">
        <v>6</v>
      </c>
      <c r="U26" s="56">
        <v>1</v>
      </c>
      <c r="V26" s="56">
        <v>0</v>
      </c>
      <c r="W26" s="57">
        <f t="shared" si="6"/>
        <v>0</v>
      </c>
    </row>
    <row r="27" spans="2:23" ht="12.75">
      <c r="B27" s="13" t="s">
        <v>97</v>
      </c>
      <c r="C27" s="14" t="s">
        <v>147</v>
      </c>
      <c r="D27" s="15">
        <v>34</v>
      </c>
      <c r="E27" s="15">
        <v>5</v>
      </c>
      <c r="F27" s="15">
        <v>0</v>
      </c>
      <c r="G27" s="15">
        <v>0</v>
      </c>
      <c r="H27" s="15">
        <v>1</v>
      </c>
      <c r="I27" s="15">
        <v>0</v>
      </c>
      <c r="J27" s="1" t="s">
        <v>20</v>
      </c>
      <c r="K27" s="17">
        <f t="shared" si="0"/>
        <v>0</v>
      </c>
      <c r="L27" s="17" t="str">
        <f t="shared" si="1"/>
        <v xml:space="preserve"> </v>
      </c>
      <c r="M27" s="17" t="str">
        <f t="shared" si="2"/>
        <v xml:space="preserve"> </v>
      </c>
      <c r="N27" s="17">
        <f t="shared" si="3"/>
        <v>0</v>
      </c>
      <c r="P27" s="61">
        <f t="shared" si="4"/>
        <v>0</v>
      </c>
      <c r="S27" s="55" t="s">
        <v>112</v>
      </c>
      <c r="T27" s="56">
        <v>6</v>
      </c>
      <c r="U27" s="56">
        <v>0</v>
      </c>
      <c r="V27" s="56">
        <v>0</v>
      </c>
      <c r="W27" s="57">
        <f t="shared" si="6"/>
        <v>0</v>
      </c>
    </row>
    <row r="28" spans="2:23" ht="12.75">
      <c r="B28" s="13" t="s">
        <v>122</v>
      </c>
      <c r="C28" s="15" t="s">
        <v>147</v>
      </c>
      <c r="D28" s="15">
        <v>43</v>
      </c>
      <c r="E28" s="15">
        <v>27</v>
      </c>
      <c r="F28" s="15">
        <v>1</v>
      </c>
      <c r="G28" s="15">
        <v>0</v>
      </c>
      <c r="H28" s="15">
        <v>0</v>
      </c>
      <c r="I28" s="15">
        <v>6</v>
      </c>
      <c r="J28" s="21" t="s">
        <v>20</v>
      </c>
      <c r="K28" s="61">
        <f t="shared" si="0"/>
        <v>0.13953488372093023</v>
      </c>
      <c r="L28" s="61">
        <f t="shared" si="1"/>
        <v>6</v>
      </c>
      <c r="M28" s="17" t="str">
        <f t="shared" si="2"/>
        <v xml:space="preserve"> </v>
      </c>
      <c r="N28" s="17" t="str">
        <f t="shared" si="3"/>
        <v xml:space="preserve"> </v>
      </c>
      <c r="P28" s="17">
        <f t="shared" si="4"/>
        <v>2.3255813953488372E-2</v>
      </c>
      <c r="S28" s="55" t="s">
        <v>41</v>
      </c>
      <c r="T28" s="56">
        <v>7</v>
      </c>
      <c r="U28" s="56">
        <v>2</v>
      </c>
      <c r="V28" s="56">
        <v>0</v>
      </c>
      <c r="W28" s="57">
        <f t="shared" si="6"/>
        <v>0</v>
      </c>
    </row>
    <row r="29" spans="2:23" ht="12.75">
      <c r="B29" s="13" t="s">
        <v>123</v>
      </c>
      <c r="C29" s="14" t="s">
        <v>147</v>
      </c>
      <c r="D29" s="15">
        <v>113</v>
      </c>
      <c r="E29" s="15">
        <v>55</v>
      </c>
      <c r="F29" s="15">
        <v>1</v>
      </c>
      <c r="G29" s="15">
        <v>0</v>
      </c>
      <c r="H29" s="15">
        <v>0</v>
      </c>
      <c r="I29" s="15">
        <v>0</v>
      </c>
      <c r="J29" s="1" t="s">
        <v>34</v>
      </c>
      <c r="K29" s="17">
        <f t="shared" si="0"/>
        <v>0</v>
      </c>
      <c r="L29" s="17">
        <f t="shared" si="1"/>
        <v>0</v>
      </c>
      <c r="M29" s="17" t="str">
        <f t="shared" si="2"/>
        <v xml:space="preserve"> </v>
      </c>
      <c r="N29" s="17" t="str">
        <f t="shared" si="3"/>
        <v xml:space="preserve"> </v>
      </c>
      <c r="P29" s="17">
        <f t="shared" si="4"/>
        <v>8.8495575221238937E-3</v>
      </c>
      <c r="S29" s="55" t="s">
        <v>98</v>
      </c>
      <c r="T29" s="56">
        <v>8</v>
      </c>
      <c r="U29" s="56">
        <v>1</v>
      </c>
      <c r="V29" s="56">
        <v>0</v>
      </c>
      <c r="W29" s="57">
        <f t="shared" si="6"/>
        <v>0</v>
      </c>
    </row>
    <row r="30" spans="2:23" ht="12.75">
      <c r="B30" s="13" t="s">
        <v>112</v>
      </c>
      <c r="C30" s="14" t="s">
        <v>147</v>
      </c>
      <c r="D30" s="15">
        <v>6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" t="s">
        <v>37</v>
      </c>
      <c r="K30" s="17">
        <f t="shared" si="0"/>
        <v>0</v>
      </c>
      <c r="L30" s="17" t="str">
        <f t="shared" si="1"/>
        <v xml:space="preserve"> </v>
      </c>
      <c r="M30" s="17" t="str">
        <f t="shared" si="2"/>
        <v xml:space="preserve"> </v>
      </c>
      <c r="N30" s="17" t="str">
        <f t="shared" si="3"/>
        <v xml:space="preserve"> </v>
      </c>
      <c r="P30" s="61">
        <f t="shared" si="4"/>
        <v>0</v>
      </c>
      <c r="S30" s="55" t="s">
        <v>115</v>
      </c>
      <c r="T30" s="56">
        <v>8</v>
      </c>
      <c r="U30" s="56">
        <v>2</v>
      </c>
      <c r="V30" s="56">
        <v>0</v>
      </c>
      <c r="W30" s="57">
        <f t="shared" si="6"/>
        <v>0</v>
      </c>
    </row>
    <row r="31" spans="2:23" ht="12.75">
      <c r="B31" s="13" t="s">
        <v>74</v>
      </c>
      <c r="C31" s="14" t="s">
        <v>147</v>
      </c>
      <c r="D31" s="15">
        <v>15</v>
      </c>
      <c r="E31" s="15">
        <v>2</v>
      </c>
      <c r="F31" s="15">
        <v>0</v>
      </c>
      <c r="G31" s="15">
        <v>0</v>
      </c>
      <c r="H31" s="15">
        <v>0</v>
      </c>
      <c r="I31" s="15">
        <v>0</v>
      </c>
      <c r="J31" s="1" t="s">
        <v>20</v>
      </c>
      <c r="K31" s="17">
        <f t="shared" si="0"/>
        <v>0</v>
      </c>
      <c r="L31" s="17" t="str">
        <f t="shared" si="1"/>
        <v xml:space="preserve"> </v>
      </c>
      <c r="M31" s="17" t="str">
        <f t="shared" si="2"/>
        <v xml:space="preserve"> </v>
      </c>
      <c r="N31" s="17" t="str">
        <f t="shared" si="3"/>
        <v xml:space="preserve"> </v>
      </c>
      <c r="P31" s="17">
        <f t="shared" si="4"/>
        <v>0</v>
      </c>
    </row>
    <row r="32" spans="2:23" ht="12.75">
      <c r="B32" s="13" t="s">
        <v>51</v>
      </c>
      <c r="C32" s="14" t="s">
        <v>147</v>
      </c>
      <c r="D32" s="15">
        <v>11</v>
      </c>
      <c r="E32" s="15">
        <v>2</v>
      </c>
      <c r="F32" s="15">
        <v>0</v>
      </c>
      <c r="G32" s="15">
        <v>0</v>
      </c>
      <c r="H32" s="15">
        <v>0</v>
      </c>
      <c r="I32" s="15">
        <v>0</v>
      </c>
      <c r="J32" s="1" t="s">
        <v>20</v>
      </c>
      <c r="K32" s="17">
        <f t="shared" si="0"/>
        <v>0</v>
      </c>
      <c r="L32" s="17" t="str">
        <f t="shared" si="1"/>
        <v xml:space="preserve"> </v>
      </c>
      <c r="M32" s="17" t="str">
        <f t="shared" si="2"/>
        <v xml:space="preserve"> </v>
      </c>
      <c r="N32" s="17" t="str">
        <f t="shared" si="3"/>
        <v xml:space="preserve"> </v>
      </c>
      <c r="P32" s="61">
        <f t="shared" si="4"/>
        <v>0</v>
      </c>
    </row>
    <row r="33" spans="2:16" ht="12.75">
      <c r="B33" s="13" t="s">
        <v>27</v>
      </c>
      <c r="C33" s="14" t="s">
        <v>147</v>
      </c>
      <c r="D33" s="15">
        <v>137</v>
      </c>
      <c r="E33" s="15">
        <v>41</v>
      </c>
      <c r="F33" s="15">
        <v>2</v>
      </c>
      <c r="G33" s="15">
        <v>1</v>
      </c>
      <c r="H33" s="15">
        <v>0</v>
      </c>
      <c r="I33" s="15">
        <v>0</v>
      </c>
      <c r="J33" s="1" t="s">
        <v>20</v>
      </c>
      <c r="K33" s="17">
        <f t="shared" si="0"/>
        <v>0</v>
      </c>
      <c r="L33" s="17">
        <f t="shared" si="1"/>
        <v>0</v>
      </c>
      <c r="M33" s="17">
        <f t="shared" si="2"/>
        <v>0</v>
      </c>
      <c r="N33" s="17" t="str">
        <f t="shared" si="3"/>
        <v xml:space="preserve"> </v>
      </c>
      <c r="P33" s="17">
        <f t="shared" si="4"/>
        <v>1.4598540145985401E-2</v>
      </c>
    </row>
    <row r="34" spans="2:16" ht="12.75">
      <c r="B34" s="13" t="s">
        <v>124</v>
      </c>
      <c r="C34" s="14" t="s">
        <v>147</v>
      </c>
      <c r="D34" s="15">
        <v>12</v>
      </c>
      <c r="E34" s="15">
        <v>1</v>
      </c>
      <c r="F34" s="15">
        <v>1</v>
      </c>
      <c r="G34" s="15">
        <v>0</v>
      </c>
      <c r="H34" s="15">
        <v>0</v>
      </c>
      <c r="I34" s="15">
        <v>0</v>
      </c>
      <c r="J34" s="1" t="s">
        <v>34</v>
      </c>
      <c r="K34" s="17">
        <f t="shared" si="0"/>
        <v>0</v>
      </c>
      <c r="L34" s="17">
        <f t="shared" si="1"/>
        <v>0</v>
      </c>
      <c r="M34" s="17" t="str">
        <f t="shared" si="2"/>
        <v xml:space="preserve"> </v>
      </c>
      <c r="N34" s="17" t="str">
        <f t="shared" si="3"/>
        <v xml:space="preserve"> </v>
      </c>
      <c r="P34" s="17">
        <f t="shared" si="4"/>
        <v>8.3333333333333329E-2</v>
      </c>
    </row>
    <row r="35" spans="2:16" ht="12.75">
      <c r="B35" s="13" t="s">
        <v>69</v>
      </c>
      <c r="C35" s="14" t="s">
        <v>147</v>
      </c>
      <c r="D35" s="15">
        <v>13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" t="s">
        <v>20</v>
      </c>
      <c r="K35" s="17">
        <f t="shared" si="0"/>
        <v>0</v>
      </c>
      <c r="L35" s="17">
        <f t="shared" si="1"/>
        <v>0</v>
      </c>
      <c r="M35" s="17" t="str">
        <f t="shared" si="2"/>
        <v xml:space="preserve"> </v>
      </c>
      <c r="N35" s="17" t="str">
        <f t="shared" si="3"/>
        <v xml:space="preserve"> </v>
      </c>
      <c r="P35" s="17">
        <f t="shared" si="4"/>
        <v>7.6923076923076927E-2</v>
      </c>
    </row>
    <row r="36" spans="2:16" ht="12.75">
      <c r="B36" s="13" t="s">
        <v>125</v>
      </c>
      <c r="C36" s="14" t="s">
        <v>147</v>
      </c>
      <c r="D36" s="15">
        <v>19</v>
      </c>
      <c r="E36" s="15">
        <v>5</v>
      </c>
      <c r="F36" s="15">
        <v>1</v>
      </c>
      <c r="G36" s="15">
        <v>0</v>
      </c>
      <c r="H36" s="15">
        <v>0</v>
      </c>
      <c r="I36" s="15">
        <v>0</v>
      </c>
      <c r="J36" s="1" t="s">
        <v>126</v>
      </c>
      <c r="K36" s="17">
        <f t="shared" si="0"/>
        <v>0</v>
      </c>
      <c r="L36" s="17">
        <f t="shared" si="1"/>
        <v>0</v>
      </c>
      <c r="M36" s="17" t="str">
        <f t="shared" si="2"/>
        <v xml:space="preserve"> </v>
      </c>
      <c r="N36" s="17" t="str">
        <f t="shared" si="3"/>
        <v xml:space="preserve"> </v>
      </c>
      <c r="P36" s="17">
        <f t="shared" si="4"/>
        <v>5.2631578947368418E-2</v>
      </c>
    </row>
    <row r="37" spans="2:16" ht="12.75">
      <c r="B37" s="13" t="s">
        <v>28</v>
      </c>
      <c r="C37" s="14" t="s">
        <v>147</v>
      </c>
      <c r="D37" s="15">
        <v>20</v>
      </c>
      <c r="E37" s="15">
        <v>7</v>
      </c>
      <c r="F37" s="15">
        <v>2</v>
      </c>
      <c r="G37" s="15"/>
      <c r="H37" s="15">
        <v>0</v>
      </c>
      <c r="I37" s="15">
        <v>0</v>
      </c>
      <c r="J37" s="1" t="s">
        <v>29</v>
      </c>
      <c r="K37" s="17">
        <f t="shared" si="0"/>
        <v>0</v>
      </c>
      <c r="L37" s="17">
        <f t="shared" si="1"/>
        <v>0</v>
      </c>
      <c r="M37" s="17" t="str">
        <f t="shared" si="2"/>
        <v xml:space="preserve"> </v>
      </c>
      <c r="N37" s="17" t="str">
        <f t="shared" si="3"/>
        <v xml:space="preserve"> </v>
      </c>
      <c r="P37" s="61">
        <f t="shared" si="4"/>
        <v>0.1</v>
      </c>
    </row>
    <row r="38" spans="2:16" ht="12.75">
      <c r="B38" s="13" t="s">
        <v>127</v>
      </c>
      <c r="C38" s="14" t="s">
        <v>142</v>
      </c>
      <c r="D38" s="15">
        <v>0</v>
      </c>
      <c r="E38" s="15">
        <v>0</v>
      </c>
      <c r="F38" s="15">
        <v>0</v>
      </c>
      <c r="G38" s="15"/>
      <c r="H38" s="15">
        <v>0</v>
      </c>
      <c r="I38" s="15">
        <v>0</v>
      </c>
      <c r="J38" s="1" t="s">
        <v>24</v>
      </c>
      <c r="K38" s="17" t="str">
        <f t="shared" si="0"/>
        <v xml:space="preserve"> </v>
      </c>
      <c r="L38" s="17" t="str">
        <f t="shared" si="1"/>
        <v xml:space="preserve"> </v>
      </c>
      <c r="M38" s="17" t="str">
        <f t="shared" si="2"/>
        <v xml:space="preserve"> </v>
      </c>
      <c r="N38" s="17" t="str">
        <f t="shared" si="3"/>
        <v xml:space="preserve"> </v>
      </c>
      <c r="P38" s="17" t="str">
        <f t="shared" si="4"/>
        <v xml:space="preserve"> </v>
      </c>
    </row>
    <row r="39" spans="2:16" ht="12.75">
      <c r="B39" s="13" t="s">
        <v>128</v>
      </c>
      <c r="C39" s="14" t="s">
        <v>142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" t="s">
        <v>24</v>
      </c>
      <c r="K39" s="17" t="str">
        <f t="shared" si="0"/>
        <v xml:space="preserve"> </v>
      </c>
      <c r="L39" s="17" t="str">
        <f t="shared" si="1"/>
        <v xml:space="preserve"> </v>
      </c>
      <c r="M39" s="17" t="str">
        <f t="shared" si="2"/>
        <v xml:space="preserve"> </v>
      </c>
      <c r="N39" s="17" t="str">
        <f t="shared" si="3"/>
        <v xml:space="preserve"> </v>
      </c>
      <c r="P39" s="17" t="str">
        <f t="shared" si="4"/>
        <v xml:space="preserve"> </v>
      </c>
    </row>
    <row r="40" spans="2:16" ht="12.75">
      <c r="B40" s="13" t="s">
        <v>129</v>
      </c>
      <c r="C40" s="14" t="s">
        <v>147</v>
      </c>
      <c r="D40" s="15">
        <v>29</v>
      </c>
      <c r="E40" s="15">
        <v>15</v>
      </c>
      <c r="F40" s="15">
        <v>0</v>
      </c>
      <c r="G40" s="15">
        <v>0</v>
      </c>
      <c r="H40" s="15">
        <v>0</v>
      </c>
      <c r="I40" s="15">
        <v>0</v>
      </c>
      <c r="J40" s="1" t="s">
        <v>20</v>
      </c>
      <c r="K40" s="17">
        <f t="shared" si="0"/>
        <v>0</v>
      </c>
      <c r="L40" s="17" t="str">
        <f t="shared" si="1"/>
        <v xml:space="preserve"> </v>
      </c>
      <c r="M40" s="17" t="str">
        <f t="shared" si="2"/>
        <v xml:space="preserve"> </v>
      </c>
      <c r="N40" s="17" t="str">
        <f t="shared" si="3"/>
        <v xml:space="preserve"> </v>
      </c>
      <c r="P40" s="17">
        <f t="shared" si="4"/>
        <v>0</v>
      </c>
    </row>
    <row r="41" spans="2:16" ht="12.75">
      <c r="B41" s="13" t="s">
        <v>23</v>
      </c>
      <c r="C41" s="14" t="s">
        <v>142</v>
      </c>
      <c r="D41" s="15">
        <v>6</v>
      </c>
      <c r="E41" s="15">
        <v>6</v>
      </c>
      <c r="F41" s="15">
        <v>0</v>
      </c>
      <c r="G41" s="15">
        <v>0</v>
      </c>
      <c r="H41" s="15">
        <v>0</v>
      </c>
      <c r="I41" s="15">
        <v>0</v>
      </c>
      <c r="J41" s="1" t="s">
        <v>24</v>
      </c>
      <c r="K41" s="17">
        <f t="shared" si="0"/>
        <v>0</v>
      </c>
      <c r="L41" s="17" t="str">
        <f t="shared" si="1"/>
        <v xml:space="preserve"> </v>
      </c>
      <c r="M41" s="17" t="str">
        <f t="shared" si="2"/>
        <v xml:space="preserve"> </v>
      </c>
      <c r="N41" s="17" t="str">
        <f t="shared" si="3"/>
        <v xml:space="preserve"> </v>
      </c>
      <c r="P41" s="17">
        <f t="shared" si="4"/>
        <v>0</v>
      </c>
    </row>
    <row r="42" spans="2:16" ht="12.75">
      <c r="B42" s="13" t="s">
        <v>130</v>
      </c>
      <c r="C42" s="15" t="s">
        <v>147</v>
      </c>
      <c r="D42" s="15">
        <v>2</v>
      </c>
      <c r="E42" s="15">
        <v>0</v>
      </c>
      <c r="F42" s="15">
        <v>0</v>
      </c>
      <c r="G42" s="15">
        <v>1</v>
      </c>
      <c r="H42" s="15">
        <v>1</v>
      </c>
      <c r="I42" s="15">
        <v>1</v>
      </c>
      <c r="J42" s="21" t="s">
        <v>20</v>
      </c>
      <c r="K42" s="61">
        <f t="shared" si="0"/>
        <v>0.5</v>
      </c>
      <c r="L42" s="17" t="str">
        <f t="shared" si="1"/>
        <v xml:space="preserve"> </v>
      </c>
      <c r="M42" s="61">
        <f t="shared" si="2"/>
        <v>1</v>
      </c>
      <c r="N42" s="61">
        <f t="shared" si="3"/>
        <v>1</v>
      </c>
      <c r="P42" s="17">
        <f t="shared" si="4"/>
        <v>0</v>
      </c>
    </row>
    <row r="43" spans="2:16" ht="12.75">
      <c r="B43" s="13" t="s">
        <v>131</v>
      </c>
      <c r="C43" s="14" t="s">
        <v>142</v>
      </c>
      <c r="D43" s="15">
        <v>7</v>
      </c>
      <c r="E43" s="15">
        <v>7</v>
      </c>
      <c r="F43" s="15">
        <v>0</v>
      </c>
      <c r="G43" s="15"/>
      <c r="H43" s="15">
        <v>0</v>
      </c>
      <c r="I43" s="15">
        <v>0</v>
      </c>
      <c r="J43" s="1" t="s">
        <v>24</v>
      </c>
      <c r="K43" s="17">
        <f t="shared" si="0"/>
        <v>0</v>
      </c>
      <c r="L43" s="17" t="str">
        <f t="shared" si="1"/>
        <v xml:space="preserve"> </v>
      </c>
      <c r="M43" s="17" t="str">
        <f t="shared" si="2"/>
        <v xml:space="preserve"> </v>
      </c>
      <c r="N43" s="17" t="str">
        <f t="shared" si="3"/>
        <v xml:space="preserve"> </v>
      </c>
      <c r="P43" s="17">
        <f t="shared" si="4"/>
        <v>0</v>
      </c>
    </row>
    <row r="44" spans="2:16" ht="12.75">
      <c r="B44" s="13" t="s">
        <v>49</v>
      </c>
      <c r="C44" s="14" t="s">
        <v>147</v>
      </c>
      <c r="D44" s="15">
        <v>17</v>
      </c>
      <c r="E44" s="15">
        <v>4</v>
      </c>
      <c r="F44" s="15">
        <v>0</v>
      </c>
      <c r="G44" s="15"/>
      <c r="H44" s="15">
        <v>0</v>
      </c>
      <c r="I44" s="15">
        <v>0</v>
      </c>
      <c r="J44" s="1" t="s">
        <v>37</v>
      </c>
      <c r="K44" s="17">
        <f t="shared" si="0"/>
        <v>0</v>
      </c>
      <c r="L44" s="17" t="str">
        <f t="shared" si="1"/>
        <v xml:space="preserve"> </v>
      </c>
      <c r="M44" s="17" t="str">
        <f t="shared" si="2"/>
        <v xml:space="preserve"> </v>
      </c>
      <c r="N44" s="17" t="str">
        <f t="shared" si="3"/>
        <v xml:space="preserve"> </v>
      </c>
      <c r="P44" s="17">
        <f t="shared" si="4"/>
        <v>0</v>
      </c>
    </row>
    <row r="45" spans="2:16" ht="12.75">
      <c r="B45" s="13" t="s">
        <v>56</v>
      </c>
      <c r="C45" s="14" t="s">
        <v>147</v>
      </c>
      <c r="D45" s="15">
        <v>27</v>
      </c>
      <c r="E45" s="15">
        <v>9</v>
      </c>
      <c r="F45" s="15">
        <v>0</v>
      </c>
      <c r="G45" s="15"/>
      <c r="H45" s="15">
        <v>0</v>
      </c>
      <c r="I45" s="15">
        <v>0</v>
      </c>
      <c r="J45" s="1" t="s">
        <v>37</v>
      </c>
      <c r="K45" s="17">
        <f t="shared" si="0"/>
        <v>0</v>
      </c>
      <c r="L45" s="17" t="str">
        <f t="shared" si="1"/>
        <v xml:space="preserve"> </v>
      </c>
      <c r="M45" s="17" t="str">
        <f t="shared" si="2"/>
        <v xml:space="preserve"> </v>
      </c>
      <c r="N45" s="17" t="str">
        <f t="shared" si="3"/>
        <v xml:space="preserve"> </v>
      </c>
      <c r="P45" s="17">
        <f t="shared" si="4"/>
        <v>0</v>
      </c>
    </row>
    <row r="46" spans="2:16" ht="12.75">
      <c r="B46" s="13" t="s">
        <v>132</v>
      </c>
      <c r="C46" s="14" t="s">
        <v>142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" t="s">
        <v>24</v>
      </c>
      <c r="K46" s="17" t="str">
        <f t="shared" si="0"/>
        <v xml:space="preserve"> </v>
      </c>
      <c r="L46" s="17" t="str">
        <f t="shared" si="1"/>
        <v xml:space="preserve"> </v>
      </c>
      <c r="M46" s="17" t="str">
        <f t="shared" si="2"/>
        <v xml:space="preserve"> </v>
      </c>
      <c r="N46" s="17" t="str">
        <f t="shared" si="3"/>
        <v xml:space="preserve"> </v>
      </c>
      <c r="P46" s="17" t="str">
        <f t="shared" si="4"/>
        <v xml:space="preserve"> </v>
      </c>
    </row>
    <row r="47" spans="2:16" ht="12.75">
      <c r="B47" s="13" t="s">
        <v>106</v>
      </c>
      <c r="C47" s="14" t="s">
        <v>142</v>
      </c>
      <c r="D47" s="15">
        <v>11</v>
      </c>
      <c r="E47" s="15">
        <v>1</v>
      </c>
      <c r="F47" s="15">
        <v>0</v>
      </c>
      <c r="G47" s="15">
        <v>0</v>
      </c>
      <c r="H47" s="15">
        <v>0</v>
      </c>
      <c r="I47" s="15">
        <v>0</v>
      </c>
      <c r="J47" s="1" t="s">
        <v>24</v>
      </c>
      <c r="K47" s="17">
        <f t="shared" si="0"/>
        <v>0</v>
      </c>
      <c r="L47" s="17" t="str">
        <f t="shared" si="1"/>
        <v xml:space="preserve"> </v>
      </c>
      <c r="M47" s="17" t="str">
        <f t="shared" si="2"/>
        <v xml:space="preserve"> </v>
      </c>
      <c r="N47" s="17" t="str">
        <f t="shared" si="3"/>
        <v xml:space="preserve"> </v>
      </c>
      <c r="P47" s="17">
        <f t="shared" si="4"/>
        <v>0</v>
      </c>
    </row>
    <row r="48" spans="2:16" ht="12.75">
      <c r="B48" s="13" t="s">
        <v>31</v>
      </c>
      <c r="C48" s="14" t="s">
        <v>147</v>
      </c>
      <c r="D48" s="15">
        <v>44</v>
      </c>
      <c r="E48" s="15">
        <v>13</v>
      </c>
      <c r="F48" s="15">
        <v>0</v>
      </c>
      <c r="G48" s="15">
        <v>1</v>
      </c>
      <c r="H48" s="15">
        <v>0</v>
      </c>
      <c r="I48" s="15">
        <v>0</v>
      </c>
      <c r="J48" s="1" t="s">
        <v>20</v>
      </c>
      <c r="K48" s="17">
        <f t="shared" si="0"/>
        <v>0</v>
      </c>
      <c r="L48" s="17" t="str">
        <f t="shared" si="1"/>
        <v xml:space="preserve"> </v>
      </c>
      <c r="M48" s="17">
        <f t="shared" si="2"/>
        <v>0</v>
      </c>
      <c r="N48" s="17" t="str">
        <f t="shared" si="3"/>
        <v xml:space="preserve"> </v>
      </c>
      <c r="P48" s="17">
        <f t="shared" si="4"/>
        <v>0</v>
      </c>
    </row>
    <row r="49" spans="2:16" ht="13.5">
      <c r="B49" s="13" t="s">
        <v>98</v>
      </c>
      <c r="C49" s="14" t="s">
        <v>147</v>
      </c>
      <c r="D49" s="15">
        <v>8</v>
      </c>
      <c r="E49" s="15">
        <v>1</v>
      </c>
      <c r="F49" s="15">
        <v>0</v>
      </c>
      <c r="G49" s="15"/>
      <c r="H49" s="15">
        <v>0</v>
      </c>
      <c r="I49" s="28">
        <v>0</v>
      </c>
      <c r="J49" s="1" t="s">
        <v>34</v>
      </c>
      <c r="K49" s="17">
        <f t="shared" si="0"/>
        <v>0</v>
      </c>
      <c r="L49" s="17" t="str">
        <f t="shared" si="1"/>
        <v xml:space="preserve"> </v>
      </c>
      <c r="M49" s="17" t="str">
        <f t="shared" si="2"/>
        <v xml:space="preserve"> </v>
      </c>
      <c r="N49" s="17" t="str">
        <f t="shared" si="3"/>
        <v xml:space="preserve"> </v>
      </c>
      <c r="P49" s="17">
        <f t="shared" si="4"/>
        <v>0</v>
      </c>
    </row>
    <row r="50" spans="2:16" ht="12.75">
      <c r="B50" s="13" t="s">
        <v>59</v>
      </c>
      <c r="C50" s="14" t="s">
        <v>147</v>
      </c>
      <c r="D50" s="15">
        <v>9</v>
      </c>
      <c r="E50" s="15">
        <v>0</v>
      </c>
      <c r="F50" s="15">
        <v>0</v>
      </c>
      <c r="G50" s="15"/>
      <c r="H50" s="15">
        <v>0</v>
      </c>
      <c r="I50" s="15">
        <v>0</v>
      </c>
      <c r="J50" s="1" t="s">
        <v>34</v>
      </c>
      <c r="K50" s="17">
        <f t="shared" si="0"/>
        <v>0</v>
      </c>
      <c r="L50" s="17" t="str">
        <f t="shared" si="1"/>
        <v xml:space="preserve"> </v>
      </c>
      <c r="M50" s="17" t="str">
        <f t="shared" si="2"/>
        <v xml:space="preserve"> </v>
      </c>
      <c r="N50" s="17" t="str">
        <f t="shared" si="3"/>
        <v xml:space="preserve"> </v>
      </c>
      <c r="P50" s="17">
        <f t="shared" si="4"/>
        <v>0</v>
      </c>
    </row>
    <row r="51" spans="2:16" ht="12.75">
      <c r="B51" s="13" t="s">
        <v>41</v>
      </c>
      <c r="C51" s="14" t="s">
        <v>147</v>
      </c>
      <c r="D51" s="15">
        <v>7</v>
      </c>
      <c r="E51" s="15">
        <v>2</v>
      </c>
      <c r="F51" s="15">
        <v>0</v>
      </c>
      <c r="G51" s="15"/>
      <c r="H51" s="15">
        <v>0</v>
      </c>
      <c r="I51" s="15">
        <v>0</v>
      </c>
      <c r="J51" s="1" t="s">
        <v>34</v>
      </c>
      <c r="K51" s="17">
        <f t="shared" si="0"/>
        <v>0</v>
      </c>
      <c r="L51" s="17" t="str">
        <f t="shared" si="1"/>
        <v xml:space="preserve"> </v>
      </c>
      <c r="M51" s="17" t="str">
        <f t="shared" si="2"/>
        <v xml:space="preserve"> </v>
      </c>
      <c r="N51" s="17" t="str">
        <f t="shared" si="3"/>
        <v xml:space="preserve"> </v>
      </c>
      <c r="P51" s="17">
        <f t="shared" si="4"/>
        <v>0</v>
      </c>
    </row>
    <row r="52" spans="2:16" ht="12.75">
      <c r="B52" s="13" t="s">
        <v>70</v>
      </c>
      <c r="C52" s="14" t="s">
        <v>147</v>
      </c>
      <c r="D52" s="15">
        <v>8</v>
      </c>
      <c r="E52" s="15">
        <v>2</v>
      </c>
      <c r="F52" s="15">
        <v>0</v>
      </c>
      <c r="G52" s="15"/>
      <c r="H52" s="15">
        <v>0</v>
      </c>
      <c r="I52" s="15">
        <v>0</v>
      </c>
      <c r="J52" s="1" t="s">
        <v>20</v>
      </c>
      <c r="K52" s="17">
        <f t="shared" si="0"/>
        <v>0</v>
      </c>
      <c r="L52" s="17" t="str">
        <f t="shared" si="1"/>
        <v xml:space="preserve"> </v>
      </c>
      <c r="M52" s="17" t="str">
        <f t="shared" si="2"/>
        <v xml:space="preserve"> </v>
      </c>
      <c r="N52" s="17" t="str">
        <f t="shared" si="3"/>
        <v xml:space="preserve"> </v>
      </c>
      <c r="P52" s="17">
        <f t="shared" si="4"/>
        <v>0</v>
      </c>
    </row>
    <row r="53" spans="2:16" ht="12.75">
      <c r="B53" s="13" t="s">
        <v>85</v>
      </c>
      <c r="C53" s="14" t="s">
        <v>147</v>
      </c>
      <c r="D53" s="15">
        <v>0</v>
      </c>
      <c r="E53" s="15">
        <v>0</v>
      </c>
      <c r="F53" s="15">
        <v>0</v>
      </c>
      <c r="G53" s="15"/>
      <c r="H53" s="15">
        <v>0</v>
      </c>
      <c r="I53" s="15">
        <v>0</v>
      </c>
      <c r="J53" s="1" t="s">
        <v>37</v>
      </c>
      <c r="K53" s="17" t="str">
        <f t="shared" si="0"/>
        <v xml:space="preserve"> </v>
      </c>
      <c r="L53" s="17" t="str">
        <f t="shared" si="1"/>
        <v xml:space="preserve"> </v>
      </c>
      <c r="M53" s="17" t="str">
        <f t="shared" si="2"/>
        <v xml:space="preserve"> </v>
      </c>
      <c r="N53" s="17" t="str">
        <f t="shared" si="3"/>
        <v xml:space="preserve"> </v>
      </c>
      <c r="P53" s="17" t="str">
        <f t="shared" si="4"/>
        <v xml:space="preserve"> </v>
      </c>
    </row>
    <row r="54" spans="2:16" ht="12.75">
      <c r="B54" s="13" t="s">
        <v>119</v>
      </c>
      <c r="C54" s="14" t="s">
        <v>142</v>
      </c>
      <c r="D54" s="15">
        <v>1</v>
      </c>
      <c r="E54" s="15">
        <v>1</v>
      </c>
      <c r="F54" s="15">
        <v>0</v>
      </c>
      <c r="G54" s="15">
        <v>0</v>
      </c>
      <c r="H54" s="15">
        <v>0</v>
      </c>
      <c r="I54" s="15">
        <v>0</v>
      </c>
      <c r="J54" s="1" t="s">
        <v>24</v>
      </c>
      <c r="K54" s="17">
        <f t="shared" si="0"/>
        <v>0</v>
      </c>
      <c r="L54" s="17" t="str">
        <f t="shared" si="1"/>
        <v xml:space="preserve"> </v>
      </c>
      <c r="M54" s="17" t="str">
        <f t="shared" si="2"/>
        <v xml:space="preserve"> </v>
      </c>
      <c r="N54" s="17" t="str">
        <f t="shared" si="3"/>
        <v xml:space="preserve"> </v>
      </c>
      <c r="P54" s="17">
        <f t="shared" si="4"/>
        <v>0</v>
      </c>
    </row>
    <row r="55" spans="2:16" ht="12.75">
      <c r="B55" s="13" t="s">
        <v>101</v>
      </c>
      <c r="C55" s="14" t="s">
        <v>147</v>
      </c>
      <c r="D55" s="15">
        <v>25</v>
      </c>
      <c r="E55" s="15">
        <v>13</v>
      </c>
      <c r="F55" s="15">
        <v>1</v>
      </c>
      <c r="G55" s="15">
        <v>1</v>
      </c>
      <c r="H55" s="15">
        <v>0</v>
      </c>
      <c r="I55" s="15">
        <v>0</v>
      </c>
      <c r="J55" s="1" t="s">
        <v>34</v>
      </c>
      <c r="K55" s="17">
        <f t="shared" si="0"/>
        <v>0</v>
      </c>
      <c r="L55" s="17">
        <f t="shared" si="1"/>
        <v>0</v>
      </c>
      <c r="M55" s="17">
        <f t="shared" si="2"/>
        <v>0</v>
      </c>
      <c r="N55" s="17" t="str">
        <f t="shared" si="3"/>
        <v xml:space="preserve"> </v>
      </c>
      <c r="P55" s="17">
        <f t="shared" si="4"/>
        <v>0.04</v>
      </c>
    </row>
    <row r="56" spans="2:16" ht="12.75">
      <c r="B56" s="13" t="s">
        <v>52</v>
      </c>
      <c r="C56" s="14" t="s">
        <v>142</v>
      </c>
      <c r="D56" s="15">
        <v>0</v>
      </c>
      <c r="E56" s="15">
        <v>0</v>
      </c>
      <c r="F56" s="15">
        <v>0</v>
      </c>
      <c r="G56" s="15"/>
      <c r="H56" s="15">
        <v>0</v>
      </c>
      <c r="I56" s="15">
        <v>0</v>
      </c>
      <c r="J56" s="1" t="s">
        <v>24</v>
      </c>
      <c r="K56" s="17" t="str">
        <f t="shared" si="0"/>
        <v xml:space="preserve"> </v>
      </c>
      <c r="L56" s="17" t="str">
        <f t="shared" si="1"/>
        <v xml:space="preserve"> </v>
      </c>
      <c r="M56" s="17" t="str">
        <f t="shared" si="2"/>
        <v xml:space="preserve"> </v>
      </c>
      <c r="N56" s="17" t="str">
        <f t="shared" si="3"/>
        <v xml:space="preserve"> </v>
      </c>
      <c r="P56" s="17" t="str">
        <f t="shared" si="4"/>
        <v xml:space="preserve"> </v>
      </c>
    </row>
    <row r="57" spans="2:16" ht="12.75">
      <c r="B57" s="13" t="s">
        <v>61</v>
      </c>
      <c r="C57" s="14" t="s">
        <v>147</v>
      </c>
      <c r="D57" s="15">
        <v>22</v>
      </c>
      <c r="E57" s="15">
        <v>5</v>
      </c>
      <c r="F57" s="15">
        <v>0</v>
      </c>
      <c r="G57" s="15"/>
      <c r="H57" s="15">
        <v>0</v>
      </c>
      <c r="I57" s="15">
        <v>0</v>
      </c>
      <c r="J57" s="1" t="s">
        <v>20</v>
      </c>
      <c r="K57" s="17">
        <f t="shared" si="0"/>
        <v>0</v>
      </c>
      <c r="L57" s="17" t="str">
        <f t="shared" si="1"/>
        <v xml:space="preserve"> </v>
      </c>
      <c r="M57" s="17" t="str">
        <f t="shared" si="2"/>
        <v xml:space="preserve"> </v>
      </c>
      <c r="N57" s="17" t="str">
        <f t="shared" si="3"/>
        <v xml:space="preserve"> </v>
      </c>
      <c r="P57" s="17">
        <f t="shared" si="4"/>
        <v>0</v>
      </c>
    </row>
    <row r="58" spans="2:16" ht="12.75">
      <c r="B58" s="13" t="s">
        <v>44</v>
      </c>
      <c r="C58" s="14" t="s">
        <v>147</v>
      </c>
      <c r="D58" s="15">
        <v>30</v>
      </c>
      <c r="E58" s="15">
        <v>11</v>
      </c>
      <c r="F58" s="15">
        <v>2</v>
      </c>
      <c r="G58" s="15">
        <v>0</v>
      </c>
      <c r="H58" s="15">
        <v>0</v>
      </c>
      <c r="I58" s="15">
        <v>0</v>
      </c>
      <c r="J58" s="21" t="s">
        <v>20</v>
      </c>
      <c r="K58" s="17">
        <f t="shared" si="0"/>
        <v>0</v>
      </c>
      <c r="L58" s="17">
        <f t="shared" si="1"/>
        <v>0</v>
      </c>
      <c r="M58" s="17" t="str">
        <f t="shared" si="2"/>
        <v xml:space="preserve"> </v>
      </c>
      <c r="N58" s="17" t="str">
        <f t="shared" si="3"/>
        <v xml:space="preserve"> </v>
      </c>
      <c r="P58" s="17">
        <f t="shared" si="4"/>
        <v>6.6666666666666666E-2</v>
      </c>
    </row>
    <row r="59" spans="2:16" ht="12.75">
      <c r="B59" s="13" t="s">
        <v>108</v>
      </c>
      <c r="C59" s="14" t="s">
        <v>142</v>
      </c>
      <c r="D59" s="15">
        <v>2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" t="s">
        <v>24</v>
      </c>
      <c r="K59" s="17">
        <f t="shared" si="0"/>
        <v>0</v>
      </c>
      <c r="L59" s="17" t="str">
        <f t="shared" si="1"/>
        <v xml:space="preserve"> </v>
      </c>
      <c r="M59" s="17" t="str">
        <f t="shared" si="2"/>
        <v xml:space="preserve"> </v>
      </c>
      <c r="N59" s="17" t="str">
        <f t="shared" si="3"/>
        <v xml:space="preserve"> </v>
      </c>
      <c r="P59" s="17">
        <f t="shared" si="4"/>
        <v>0</v>
      </c>
    </row>
    <row r="60" spans="2:16" ht="12.75">
      <c r="B60" s="13" t="s">
        <v>88</v>
      </c>
      <c r="C60" s="14" t="s">
        <v>142</v>
      </c>
      <c r="D60" s="15">
        <v>15</v>
      </c>
      <c r="E60" s="15">
        <v>4</v>
      </c>
      <c r="F60" s="15">
        <v>0</v>
      </c>
      <c r="G60" s="15"/>
      <c r="H60" s="15">
        <v>0</v>
      </c>
      <c r="I60" s="15">
        <v>0</v>
      </c>
      <c r="J60" s="1" t="s">
        <v>24</v>
      </c>
      <c r="K60" s="17">
        <f t="shared" si="0"/>
        <v>0</v>
      </c>
      <c r="L60" s="17" t="str">
        <f t="shared" si="1"/>
        <v xml:space="preserve"> </v>
      </c>
      <c r="M60" s="17" t="str">
        <f t="shared" si="2"/>
        <v xml:space="preserve"> </v>
      </c>
      <c r="N60" s="17" t="str">
        <f t="shared" si="3"/>
        <v xml:space="preserve"> </v>
      </c>
      <c r="P60" s="17">
        <f t="shared" si="4"/>
        <v>0</v>
      </c>
    </row>
    <row r="61" spans="2:16" ht="12.75">
      <c r="B61" s="13" t="s">
        <v>55</v>
      </c>
      <c r="C61" s="14" t="s">
        <v>142</v>
      </c>
      <c r="D61" s="15">
        <v>0</v>
      </c>
      <c r="E61" s="15">
        <v>0</v>
      </c>
      <c r="F61" s="15">
        <v>0</v>
      </c>
      <c r="G61" s="15"/>
      <c r="H61" s="15">
        <v>0</v>
      </c>
      <c r="I61" s="15">
        <v>0</v>
      </c>
      <c r="J61" s="1" t="s">
        <v>24</v>
      </c>
      <c r="K61" s="17" t="str">
        <f t="shared" si="0"/>
        <v xml:space="preserve"> </v>
      </c>
      <c r="L61" s="17" t="str">
        <f t="shared" si="1"/>
        <v xml:space="preserve"> </v>
      </c>
      <c r="M61" s="17" t="str">
        <f t="shared" si="2"/>
        <v xml:space="preserve"> </v>
      </c>
      <c r="N61" s="17" t="str">
        <f t="shared" si="3"/>
        <v xml:space="preserve"> </v>
      </c>
      <c r="P61" s="17" t="str">
        <f t="shared" si="4"/>
        <v xml:space="preserve"> </v>
      </c>
    </row>
    <row r="62" spans="2:16" ht="12.75">
      <c r="B62" s="13" t="s">
        <v>46</v>
      </c>
      <c r="C62" s="14" t="s">
        <v>147</v>
      </c>
      <c r="D62" s="15">
        <v>11</v>
      </c>
      <c r="E62" s="15">
        <v>0</v>
      </c>
      <c r="F62" s="15">
        <v>0</v>
      </c>
      <c r="G62" s="15"/>
      <c r="H62" s="15">
        <v>0</v>
      </c>
      <c r="I62" s="15">
        <v>0</v>
      </c>
      <c r="J62" s="1" t="s">
        <v>37</v>
      </c>
      <c r="K62" s="17">
        <f t="shared" si="0"/>
        <v>0</v>
      </c>
      <c r="L62" s="17" t="str">
        <f t="shared" si="1"/>
        <v xml:space="preserve"> </v>
      </c>
      <c r="M62" s="17" t="str">
        <f t="shared" si="2"/>
        <v xml:space="preserve"> </v>
      </c>
      <c r="N62" s="17" t="str">
        <f t="shared" si="3"/>
        <v xml:space="preserve"> </v>
      </c>
      <c r="P62" s="17">
        <f t="shared" si="4"/>
        <v>0</v>
      </c>
    </row>
    <row r="63" spans="2:16" ht="12.75">
      <c r="B63" s="13" t="s">
        <v>133</v>
      </c>
      <c r="C63" s="14" t="s">
        <v>142</v>
      </c>
      <c r="D63" s="15">
        <v>0</v>
      </c>
      <c r="E63" s="15">
        <v>0</v>
      </c>
      <c r="F63" s="15">
        <v>0</v>
      </c>
      <c r="G63" s="15"/>
      <c r="H63" s="15">
        <v>0</v>
      </c>
      <c r="I63" s="15">
        <v>0</v>
      </c>
      <c r="J63" s="1" t="s">
        <v>24</v>
      </c>
      <c r="K63" s="17" t="str">
        <f t="shared" si="0"/>
        <v xml:space="preserve"> </v>
      </c>
      <c r="L63" s="17" t="str">
        <f t="shared" si="1"/>
        <v xml:space="preserve"> </v>
      </c>
      <c r="M63" s="17" t="str">
        <f t="shared" si="2"/>
        <v xml:space="preserve"> </v>
      </c>
      <c r="N63" s="17" t="str">
        <f t="shared" si="3"/>
        <v xml:space="preserve"> </v>
      </c>
      <c r="P63" s="17" t="str">
        <f t="shared" si="4"/>
        <v xml:space="preserve"> </v>
      </c>
    </row>
    <row r="64" spans="2:16" ht="12.75">
      <c r="B64" s="13" t="s">
        <v>134</v>
      </c>
      <c r="C64" s="14" t="s">
        <v>142</v>
      </c>
      <c r="D64" s="15">
        <v>0</v>
      </c>
      <c r="E64" s="15">
        <v>0</v>
      </c>
      <c r="F64" s="15">
        <v>0</v>
      </c>
      <c r="G64" s="15"/>
      <c r="H64" s="15">
        <v>0</v>
      </c>
      <c r="I64" s="15">
        <v>0</v>
      </c>
      <c r="J64" s="1" t="s">
        <v>24</v>
      </c>
      <c r="K64" s="17" t="str">
        <f t="shared" si="0"/>
        <v xml:space="preserve"> </v>
      </c>
      <c r="L64" s="17" t="str">
        <f t="shared" si="1"/>
        <v xml:space="preserve"> </v>
      </c>
      <c r="M64" s="17" t="str">
        <f t="shared" si="2"/>
        <v xml:space="preserve"> </v>
      </c>
      <c r="N64" s="17" t="str">
        <f t="shared" si="3"/>
        <v xml:space="preserve"> </v>
      </c>
      <c r="P64" s="17" t="str">
        <f t="shared" si="4"/>
        <v xml:space="preserve"> </v>
      </c>
    </row>
    <row r="65" spans="2:16" ht="12.75">
      <c r="B65" s="13" t="s">
        <v>104</v>
      </c>
      <c r="C65" s="14" t="s">
        <v>147</v>
      </c>
      <c r="D65" s="15">
        <v>55</v>
      </c>
      <c r="E65" s="15">
        <v>14</v>
      </c>
      <c r="F65" s="15">
        <v>0</v>
      </c>
      <c r="G65" s="15">
        <v>0</v>
      </c>
      <c r="H65" s="15">
        <v>0</v>
      </c>
      <c r="I65" s="15">
        <v>0</v>
      </c>
      <c r="J65" s="1" t="s">
        <v>20</v>
      </c>
      <c r="K65" s="17">
        <f t="shared" si="0"/>
        <v>0</v>
      </c>
      <c r="L65" s="17" t="str">
        <f t="shared" si="1"/>
        <v xml:space="preserve"> </v>
      </c>
      <c r="M65" s="17" t="str">
        <f t="shared" si="2"/>
        <v xml:space="preserve"> </v>
      </c>
      <c r="N65" s="17" t="str">
        <f t="shared" si="3"/>
        <v xml:space="preserve"> </v>
      </c>
      <c r="P65" s="17">
        <f t="shared" si="4"/>
        <v>0</v>
      </c>
    </row>
    <row r="66" spans="2:16" ht="12.75">
      <c r="B66" s="13" t="s">
        <v>87</v>
      </c>
      <c r="C66" s="14" t="s">
        <v>147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" t="s">
        <v>34</v>
      </c>
      <c r="K66" s="17" t="str">
        <f t="shared" si="0"/>
        <v xml:space="preserve"> </v>
      </c>
      <c r="L66" s="17" t="str">
        <f t="shared" si="1"/>
        <v xml:space="preserve"> </v>
      </c>
      <c r="M66" s="17" t="str">
        <f t="shared" si="2"/>
        <v xml:space="preserve"> </v>
      </c>
      <c r="N66" s="17" t="str">
        <f t="shared" si="3"/>
        <v xml:space="preserve"> </v>
      </c>
      <c r="P66" s="17" t="str">
        <f t="shared" si="4"/>
        <v xml:space="preserve"> </v>
      </c>
    </row>
    <row r="67" spans="2:16" ht="12.75">
      <c r="B67" s="13" t="s">
        <v>135</v>
      </c>
      <c r="C67" s="14" t="s">
        <v>147</v>
      </c>
      <c r="D67" s="15">
        <v>47</v>
      </c>
      <c r="E67" s="15">
        <v>11</v>
      </c>
      <c r="F67" s="15">
        <v>2</v>
      </c>
      <c r="G67" s="15"/>
      <c r="H67" s="15">
        <v>0</v>
      </c>
      <c r="I67" s="15">
        <v>0</v>
      </c>
      <c r="J67" s="1" t="s">
        <v>20</v>
      </c>
      <c r="K67" s="17">
        <f t="shared" si="0"/>
        <v>0</v>
      </c>
      <c r="L67" s="17">
        <f t="shared" si="1"/>
        <v>0</v>
      </c>
      <c r="M67" s="17" t="str">
        <f t="shared" si="2"/>
        <v xml:space="preserve"> </v>
      </c>
      <c r="N67" s="17" t="str">
        <f t="shared" si="3"/>
        <v xml:space="preserve"> </v>
      </c>
      <c r="P67" s="17">
        <f t="shared" si="4"/>
        <v>4.2553191489361701E-2</v>
      </c>
    </row>
    <row r="68" spans="2:16" ht="12.75">
      <c r="B68" s="13" t="s">
        <v>136</v>
      </c>
      <c r="C68" s="14" t="s">
        <v>147</v>
      </c>
      <c r="D68" s="15">
        <v>26</v>
      </c>
      <c r="E68" s="15">
        <v>6</v>
      </c>
      <c r="F68" s="15">
        <v>2</v>
      </c>
      <c r="G68" s="15"/>
      <c r="H68" s="15">
        <v>0</v>
      </c>
      <c r="I68" s="15">
        <v>0</v>
      </c>
      <c r="J68" s="1" t="s">
        <v>34</v>
      </c>
      <c r="K68" s="17">
        <f t="shared" si="0"/>
        <v>0</v>
      </c>
      <c r="L68" s="17">
        <f t="shared" si="1"/>
        <v>0</v>
      </c>
      <c r="M68" s="17" t="str">
        <f t="shared" si="2"/>
        <v xml:space="preserve"> </v>
      </c>
      <c r="N68" s="17" t="str">
        <f t="shared" si="3"/>
        <v xml:space="preserve"> </v>
      </c>
      <c r="P68" s="17">
        <f t="shared" si="4"/>
        <v>7.6923076923076927E-2</v>
      </c>
    </row>
    <row r="69" spans="2:16" ht="12.75">
      <c r="B69" s="13" t="s">
        <v>137</v>
      </c>
      <c r="C69" s="14" t="s">
        <v>147</v>
      </c>
      <c r="D69" s="15">
        <v>34</v>
      </c>
      <c r="E69" s="15">
        <v>9</v>
      </c>
      <c r="F69" s="15">
        <v>0</v>
      </c>
      <c r="G69" s="15"/>
      <c r="H69" s="15">
        <v>0</v>
      </c>
      <c r="I69" s="15">
        <v>0</v>
      </c>
      <c r="J69" s="1" t="s">
        <v>138</v>
      </c>
      <c r="K69" s="17">
        <f t="shared" si="0"/>
        <v>0</v>
      </c>
      <c r="L69" s="17" t="str">
        <f t="shared" si="1"/>
        <v xml:space="preserve"> </v>
      </c>
      <c r="M69" s="17" t="str">
        <f t="shared" si="2"/>
        <v xml:space="preserve"> </v>
      </c>
      <c r="N69" s="17" t="str">
        <f t="shared" si="3"/>
        <v xml:space="preserve"> </v>
      </c>
      <c r="P69" s="17">
        <f t="shared" si="4"/>
        <v>0</v>
      </c>
    </row>
    <row r="70" spans="2:16" ht="12.75">
      <c r="B70" s="13" t="s">
        <v>40</v>
      </c>
      <c r="C70" s="14" t="s">
        <v>147</v>
      </c>
      <c r="D70" s="15">
        <v>89</v>
      </c>
      <c r="E70" s="15">
        <v>15</v>
      </c>
      <c r="F70" s="15">
        <v>0</v>
      </c>
      <c r="G70" s="15">
        <v>0</v>
      </c>
      <c r="H70" s="15">
        <v>0</v>
      </c>
      <c r="I70" s="15">
        <v>0</v>
      </c>
      <c r="J70" s="1" t="s">
        <v>20</v>
      </c>
      <c r="K70" s="17">
        <f t="shared" si="0"/>
        <v>0</v>
      </c>
      <c r="L70" s="17" t="str">
        <f t="shared" si="1"/>
        <v xml:space="preserve"> </v>
      </c>
      <c r="M70" s="17" t="str">
        <f t="shared" si="2"/>
        <v xml:space="preserve"> </v>
      </c>
      <c r="N70" s="17" t="str">
        <f t="shared" si="3"/>
        <v xml:space="preserve"> </v>
      </c>
      <c r="P70" s="17">
        <f t="shared" si="4"/>
        <v>0</v>
      </c>
    </row>
    <row r="71" spans="2:16" ht="12.75">
      <c r="B71" s="13" t="s">
        <v>32</v>
      </c>
      <c r="C71" s="14" t="s">
        <v>147</v>
      </c>
      <c r="D71" s="15">
        <v>58</v>
      </c>
      <c r="E71" s="15">
        <v>27</v>
      </c>
      <c r="F71" s="15">
        <v>3</v>
      </c>
      <c r="G71" s="15"/>
      <c r="H71" s="15">
        <v>0</v>
      </c>
      <c r="I71" s="15">
        <v>0</v>
      </c>
      <c r="J71" s="1" t="s">
        <v>20</v>
      </c>
      <c r="K71" s="17">
        <f t="shared" si="0"/>
        <v>0</v>
      </c>
      <c r="L71" s="17">
        <f t="shared" si="1"/>
        <v>0</v>
      </c>
      <c r="M71" s="17" t="str">
        <f t="shared" si="2"/>
        <v xml:space="preserve"> </v>
      </c>
      <c r="N71" s="17" t="str">
        <f t="shared" si="3"/>
        <v xml:space="preserve"> </v>
      </c>
      <c r="P71" s="17">
        <f t="shared" si="4"/>
        <v>5.1724137931034482E-2</v>
      </c>
    </row>
    <row r="72" spans="2:16" ht="12.75">
      <c r="B72" s="13" t="s">
        <v>45</v>
      </c>
      <c r="C72" s="14" t="s">
        <v>147</v>
      </c>
      <c r="D72" s="15">
        <v>42</v>
      </c>
      <c r="E72" s="15">
        <v>13</v>
      </c>
      <c r="F72" s="15">
        <v>0</v>
      </c>
      <c r="G72" s="15"/>
      <c r="H72" s="15">
        <v>0</v>
      </c>
      <c r="I72" s="15">
        <v>0</v>
      </c>
      <c r="J72" s="1" t="s">
        <v>20</v>
      </c>
      <c r="K72" s="17">
        <f t="shared" si="0"/>
        <v>0</v>
      </c>
      <c r="L72" s="17" t="str">
        <f t="shared" si="1"/>
        <v xml:space="preserve"> </v>
      </c>
      <c r="M72" s="17" t="str">
        <f t="shared" si="2"/>
        <v xml:space="preserve"> </v>
      </c>
      <c r="N72" s="17" t="str">
        <f t="shared" si="3"/>
        <v xml:space="preserve"> </v>
      </c>
      <c r="P72" s="17">
        <f t="shared" si="4"/>
        <v>0</v>
      </c>
    </row>
    <row r="73" spans="2:16" ht="12.75">
      <c r="B73" s="13" t="s">
        <v>26</v>
      </c>
      <c r="C73" s="14" t="s">
        <v>147</v>
      </c>
      <c r="D73" s="15">
        <v>31</v>
      </c>
      <c r="E73" s="15">
        <v>5</v>
      </c>
      <c r="F73" s="15">
        <v>2</v>
      </c>
      <c r="G73" s="15"/>
      <c r="H73" s="15">
        <v>0</v>
      </c>
      <c r="I73" s="15">
        <v>0</v>
      </c>
      <c r="J73" s="1" t="s">
        <v>20</v>
      </c>
      <c r="K73" s="17">
        <f t="shared" si="0"/>
        <v>0</v>
      </c>
      <c r="L73" s="17">
        <f t="shared" si="1"/>
        <v>0</v>
      </c>
      <c r="M73" s="17" t="str">
        <f t="shared" si="2"/>
        <v xml:space="preserve"> </v>
      </c>
      <c r="N73" s="17" t="str">
        <f t="shared" si="3"/>
        <v xml:space="preserve"> </v>
      </c>
      <c r="P73" s="17">
        <f t="shared" si="4"/>
        <v>6.4516129032258063E-2</v>
      </c>
    </row>
    <row r="74" spans="2:16" ht="12.75">
      <c r="B74" s="13" t="s">
        <v>84</v>
      </c>
      <c r="C74" s="14" t="s">
        <v>147</v>
      </c>
      <c r="D74" s="15">
        <v>9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" t="s">
        <v>20</v>
      </c>
      <c r="K74" s="17">
        <f t="shared" si="0"/>
        <v>0</v>
      </c>
      <c r="L74" s="17" t="str">
        <f t="shared" si="1"/>
        <v xml:space="preserve"> </v>
      </c>
      <c r="M74" s="17" t="str">
        <f t="shared" si="2"/>
        <v xml:space="preserve"> </v>
      </c>
      <c r="N74" s="17" t="str">
        <f t="shared" si="3"/>
        <v xml:space="preserve"> </v>
      </c>
      <c r="P74" s="17">
        <f t="shared" si="4"/>
        <v>0</v>
      </c>
    </row>
    <row r="75" spans="2:16" ht="12.75">
      <c r="B75" s="13" t="s">
        <v>73</v>
      </c>
      <c r="C75" s="14" t="s">
        <v>147</v>
      </c>
      <c r="D75" s="15">
        <v>16</v>
      </c>
      <c r="E75" s="15">
        <v>9</v>
      </c>
      <c r="F75" s="15">
        <v>0</v>
      </c>
      <c r="G75" s="15"/>
      <c r="H75" s="15">
        <v>0</v>
      </c>
      <c r="I75" s="15">
        <v>0</v>
      </c>
      <c r="J75" s="1" t="s">
        <v>20</v>
      </c>
      <c r="K75" s="17">
        <f t="shared" si="0"/>
        <v>0</v>
      </c>
      <c r="L75" s="17" t="str">
        <f t="shared" si="1"/>
        <v xml:space="preserve"> </v>
      </c>
      <c r="M75" s="17" t="str">
        <f t="shared" si="2"/>
        <v xml:space="preserve"> </v>
      </c>
      <c r="N75" s="17" t="str">
        <f t="shared" si="3"/>
        <v xml:space="preserve"> </v>
      </c>
      <c r="P75" s="17">
        <f t="shared" si="4"/>
        <v>0</v>
      </c>
    </row>
    <row r="76" spans="2:16" ht="12.75">
      <c r="B76" s="13" t="s">
        <v>102</v>
      </c>
      <c r="C76" s="14" t="s">
        <v>147</v>
      </c>
      <c r="D76" s="15">
        <v>80</v>
      </c>
      <c r="E76" s="15">
        <v>13</v>
      </c>
      <c r="F76" s="15">
        <v>0</v>
      </c>
      <c r="G76" s="15">
        <v>0</v>
      </c>
      <c r="H76" s="15">
        <v>0</v>
      </c>
      <c r="I76" s="15">
        <v>0</v>
      </c>
      <c r="J76" s="1" t="s">
        <v>29</v>
      </c>
      <c r="K76" s="17">
        <f t="shared" si="0"/>
        <v>0</v>
      </c>
      <c r="L76" s="17" t="str">
        <f t="shared" si="1"/>
        <v xml:space="preserve"> </v>
      </c>
      <c r="M76" s="17" t="str">
        <f t="shared" si="2"/>
        <v xml:space="preserve"> </v>
      </c>
      <c r="N76" s="17" t="str">
        <f t="shared" si="3"/>
        <v xml:space="preserve"> </v>
      </c>
      <c r="P76" s="17">
        <f t="shared" si="4"/>
        <v>0</v>
      </c>
    </row>
    <row r="77" spans="2:16" ht="12.75">
      <c r="B77" s="13" t="s">
        <v>76</v>
      </c>
      <c r="C77" s="14" t="s">
        <v>147</v>
      </c>
      <c r="D77" s="15">
        <v>63</v>
      </c>
      <c r="E77" s="15">
        <v>20</v>
      </c>
      <c r="F77" s="15">
        <v>0</v>
      </c>
      <c r="G77" s="15">
        <v>0</v>
      </c>
      <c r="H77" s="15">
        <v>0</v>
      </c>
      <c r="I77" s="15">
        <v>0</v>
      </c>
      <c r="J77" s="1" t="s">
        <v>34</v>
      </c>
      <c r="K77" s="17">
        <f t="shared" si="0"/>
        <v>0</v>
      </c>
      <c r="L77" s="17" t="str">
        <f t="shared" si="1"/>
        <v xml:space="preserve"> </v>
      </c>
      <c r="M77" s="17" t="str">
        <f t="shared" si="2"/>
        <v xml:space="preserve"> </v>
      </c>
      <c r="N77" s="17" t="str">
        <f t="shared" si="3"/>
        <v xml:space="preserve"> </v>
      </c>
      <c r="P77" s="17">
        <f t="shared" si="4"/>
        <v>0</v>
      </c>
    </row>
    <row r="78" spans="2:16" ht="12.75">
      <c r="B78" s="13" t="s">
        <v>63</v>
      </c>
      <c r="C78" s="14" t="s">
        <v>147</v>
      </c>
      <c r="D78" s="15">
        <v>20</v>
      </c>
      <c r="E78" s="15">
        <v>4</v>
      </c>
      <c r="F78" s="15">
        <v>1</v>
      </c>
      <c r="G78" s="15">
        <v>0</v>
      </c>
      <c r="H78" s="15">
        <v>0</v>
      </c>
      <c r="I78" s="15">
        <v>0</v>
      </c>
      <c r="J78" s="1" t="s">
        <v>64</v>
      </c>
      <c r="K78" s="17">
        <f t="shared" si="0"/>
        <v>0</v>
      </c>
      <c r="L78" s="17">
        <f t="shared" si="1"/>
        <v>0</v>
      </c>
      <c r="M78" s="17" t="str">
        <f t="shared" si="2"/>
        <v xml:space="preserve"> </v>
      </c>
      <c r="N78" s="17" t="str">
        <f t="shared" si="3"/>
        <v xml:space="preserve"> </v>
      </c>
      <c r="P78" s="17">
        <f t="shared" si="4"/>
        <v>0.05</v>
      </c>
    </row>
    <row r="79" spans="2:16" ht="12.75">
      <c r="B79" s="13" t="s">
        <v>60</v>
      </c>
      <c r="C79" s="14" t="s">
        <v>147</v>
      </c>
      <c r="D79" s="15">
        <v>19</v>
      </c>
      <c r="E79" s="15">
        <v>1</v>
      </c>
      <c r="F79" s="15">
        <v>1</v>
      </c>
      <c r="G79" s="15">
        <v>0</v>
      </c>
      <c r="H79" s="15">
        <v>0</v>
      </c>
      <c r="I79" s="15">
        <v>0</v>
      </c>
      <c r="J79" s="1" t="s">
        <v>20</v>
      </c>
      <c r="K79" s="17">
        <f t="shared" si="0"/>
        <v>0</v>
      </c>
      <c r="L79" s="17">
        <f t="shared" si="1"/>
        <v>0</v>
      </c>
      <c r="M79" s="17" t="str">
        <f t="shared" si="2"/>
        <v xml:space="preserve"> </v>
      </c>
      <c r="N79" s="17" t="str">
        <f t="shared" si="3"/>
        <v xml:space="preserve"> </v>
      </c>
      <c r="P79" s="17">
        <f t="shared" si="4"/>
        <v>5.2631578947368418E-2</v>
      </c>
    </row>
    <row r="80" spans="2:16" ht="12.75">
      <c r="B80" s="13" t="s">
        <v>54</v>
      </c>
      <c r="C80" s="14" t="s">
        <v>147</v>
      </c>
      <c r="D80" s="15">
        <v>32</v>
      </c>
      <c r="E80" s="15">
        <v>6</v>
      </c>
      <c r="F80" s="15">
        <v>1</v>
      </c>
      <c r="G80" s="15"/>
      <c r="H80" s="15">
        <v>0</v>
      </c>
      <c r="I80" s="15">
        <v>0</v>
      </c>
      <c r="J80" s="1" t="s">
        <v>20</v>
      </c>
      <c r="K80" s="17">
        <f t="shared" si="0"/>
        <v>0</v>
      </c>
      <c r="L80" s="17">
        <f t="shared" si="1"/>
        <v>0</v>
      </c>
      <c r="M80" s="17" t="str">
        <f t="shared" si="2"/>
        <v xml:space="preserve"> </v>
      </c>
      <c r="N80" s="17" t="str">
        <f t="shared" si="3"/>
        <v xml:space="preserve"> </v>
      </c>
      <c r="P80" s="17">
        <f t="shared" si="4"/>
        <v>3.125E-2</v>
      </c>
    </row>
    <row r="81" spans="2:16" ht="12.75">
      <c r="B81" s="13" t="s">
        <v>71</v>
      </c>
      <c r="C81" s="14" t="s">
        <v>147</v>
      </c>
      <c r="D81" s="15">
        <v>34</v>
      </c>
      <c r="E81" s="15">
        <v>6</v>
      </c>
      <c r="F81" s="15">
        <v>1</v>
      </c>
      <c r="G81" s="15">
        <v>0</v>
      </c>
      <c r="H81" s="15">
        <v>0</v>
      </c>
      <c r="I81" s="15">
        <v>0</v>
      </c>
      <c r="J81" s="1" t="s">
        <v>20</v>
      </c>
      <c r="K81" s="17">
        <f t="shared" si="0"/>
        <v>0</v>
      </c>
      <c r="L81" s="17">
        <f t="shared" si="1"/>
        <v>0</v>
      </c>
      <c r="M81" s="17" t="str">
        <f t="shared" si="2"/>
        <v xml:space="preserve"> </v>
      </c>
      <c r="N81" s="17" t="str">
        <f t="shared" si="3"/>
        <v xml:space="preserve"> </v>
      </c>
      <c r="P81" s="17">
        <f t="shared" si="4"/>
        <v>2.9411764705882353E-2</v>
      </c>
    </row>
    <row r="82" spans="2:16" ht="12.75">
      <c r="B82" s="13" t="s">
        <v>66</v>
      </c>
      <c r="C82" s="14" t="s">
        <v>147</v>
      </c>
      <c r="D82" s="15">
        <v>17</v>
      </c>
      <c r="E82" s="15">
        <v>1</v>
      </c>
      <c r="F82" s="15">
        <v>0</v>
      </c>
      <c r="G82" s="15"/>
      <c r="H82" s="15">
        <v>0</v>
      </c>
      <c r="I82" s="15">
        <v>0</v>
      </c>
      <c r="J82" s="1" t="s">
        <v>34</v>
      </c>
      <c r="K82" s="17">
        <f t="shared" si="0"/>
        <v>0</v>
      </c>
      <c r="L82" s="17" t="str">
        <f t="shared" si="1"/>
        <v xml:space="preserve"> </v>
      </c>
      <c r="M82" s="17" t="str">
        <f t="shared" si="2"/>
        <v xml:space="preserve"> </v>
      </c>
      <c r="N82" s="17" t="str">
        <f t="shared" si="3"/>
        <v xml:space="preserve"> </v>
      </c>
      <c r="P82" s="17">
        <f t="shared" si="4"/>
        <v>0</v>
      </c>
    </row>
    <row r="83" spans="2:16" ht="12.75">
      <c r="B83" s="13" t="s">
        <v>139</v>
      </c>
      <c r="C83" s="14" t="s">
        <v>142</v>
      </c>
      <c r="D83" s="15">
        <v>1</v>
      </c>
      <c r="E83" s="15">
        <v>0</v>
      </c>
      <c r="F83" s="15">
        <v>0</v>
      </c>
      <c r="G83" s="15"/>
      <c r="H83" s="15">
        <v>0</v>
      </c>
      <c r="I83" s="15">
        <v>0</v>
      </c>
      <c r="J83" s="1" t="s">
        <v>24</v>
      </c>
      <c r="K83" s="17">
        <f t="shared" si="0"/>
        <v>0</v>
      </c>
      <c r="L83" s="17" t="str">
        <f t="shared" si="1"/>
        <v xml:space="preserve"> </v>
      </c>
      <c r="M83" s="17" t="str">
        <f t="shared" si="2"/>
        <v xml:space="preserve"> </v>
      </c>
      <c r="N83" s="17" t="str">
        <f t="shared" si="3"/>
        <v xml:space="preserve"> </v>
      </c>
      <c r="P83" s="17">
        <f t="shared" si="4"/>
        <v>0</v>
      </c>
    </row>
    <row r="84" spans="2:16" ht="12.75">
      <c r="B84" s="13" t="s">
        <v>79</v>
      </c>
      <c r="C84" s="14" t="s">
        <v>147</v>
      </c>
      <c r="D84" s="15">
        <v>4</v>
      </c>
      <c r="E84" s="15">
        <v>0</v>
      </c>
      <c r="F84" s="15">
        <v>0</v>
      </c>
      <c r="G84" s="15"/>
      <c r="H84" s="15">
        <v>0</v>
      </c>
      <c r="I84" s="15">
        <v>0</v>
      </c>
      <c r="J84" s="1" t="s">
        <v>64</v>
      </c>
      <c r="K84" s="17">
        <f t="shared" si="0"/>
        <v>0</v>
      </c>
      <c r="L84" s="17" t="str">
        <f t="shared" si="1"/>
        <v xml:space="preserve"> </v>
      </c>
      <c r="M84" s="17" t="str">
        <f t="shared" si="2"/>
        <v xml:space="preserve"> </v>
      </c>
      <c r="N84" s="17" t="str">
        <f t="shared" si="3"/>
        <v xml:space="preserve"> </v>
      </c>
      <c r="P84" s="17">
        <f t="shared" si="4"/>
        <v>0</v>
      </c>
    </row>
    <row r="85" spans="2:16" ht="12.75">
      <c r="B85" s="13" t="s">
        <v>50</v>
      </c>
      <c r="C85" s="14" t="s">
        <v>147</v>
      </c>
      <c r="D85" s="15">
        <v>24</v>
      </c>
      <c r="E85" s="15">
        <v>3</v>
      </c>
      <c r="F85" s="15">
        <v>1</v>
      </c>
      <c r="G85" s="15">
        <v>0</v>
      </c>
      <c r="H85" s="15">
        <v>0</v>
      </c>
      <c r="I85" s="15">
        <v>0</v>
      </c>
      <c r="J85" s="1" t="s">
        <v>34</v>
      </c>
      <c r="K85" s="17">
        <f t="shared" si="0"/>
        <v>0</v>
      </c>
      <c r="L85" s="17">
        <f t="shared" si="1"/>
        <v>0</v>
      </c>
      <c r="M85" s="17" t="str">
        <f t="shared" si="2"/>
        <v xml:space="preserve"> </v>
      </c>
      <c r="N85" s="17" t="str">
        <f t="shared" si="3"/>
        <v xml:space="preserve"> </v>
      </c>
      <c r="P85" s="17">
        <f t="shared" si="4"/>
        <v>4.1666666666666664E-2</v>
      </c>
    </row>
    <row r="86" spans="2:16" ht="12.75">
      <c r="B86" s="13" t="s">
        <v>36</v>
      </c>
      <c r="C86" s="14" t="s">
        <v>147</v>
      </c>
      <c r="D86" s="15">
        <v>8</v>
      </c>
      <c r="E86" s="15">
        <v>1</v>
      </c>
      <c r="F86" s="15">
        <v>0</v>
      </c>
      <c r="G86" s="15">
        <v>0</v>
      </c>
      <c r="H86" s="15">
        <v>0</v>
      </c>
      <c r="I86" s="15">
        <v>0</v>
      </c>
      <c r="J86" s="1" t="s">
        <v>37</v>
      </c>
      <c r="K86" s="17">
        <f t="shared" si="0"/>
        <v>0</v>
      </c>
      <c r="L86" s="17" t="str">
        <f t="shared" si="1"/>
        <v xml:space="preserve"> </v>
      </c>
      <c r="M86" s="17" t="str">
        <f t="shared" si="2"/>
        <v xml:space="preserve"> </v>
      </c>
      <c r="N86" s="17" t="str">
        <f t="shared" si="3"/>
        <v xml:space="preserve"> </v>
      </c>
      <c r="P86" s="17">
        <f t="shared" si="4"/>
        <v>0</v>
      </c>
    </row>
    <row r="87" spans="2:16" ht="12.75">
      <c r="B87" s="13" t="s">
        <v>48</v>
      </c>
      <c r="C87" s="14" t="s">
        <v>147</v>
      </c>
      <c r="D87" s="15">
        <v>27</v>
      </c>
      <c r="E87" s="15">
        <v>3</v>
      </c>
      <c r="F87" s="15">
        <v>1</v>
      </c>
      <c r="G87" s="15">
        <v>0</v>
      </c>
      <c r="H87" s="15">
        <v>0</v>
      </c>
      <c r="I87" s="15">
        <v>0</v>
      </c>
      <c r="J87" s="1" t="s">
        <v>20</v>
      </c>
      <c r="K87" s="17">
        <f t="shared" si="0"/>
        <v>0</v>
      </c>
      <c r="L87" s="17">
        <f t="shared" si="1"/>
        <v>0</v>
      </c>
      <c r="M87" s="17" t="str">
        <f t="shared" si="2"/>
        <v xml:space="preserve"> </v>
      </c>
      <c r="N87" s="17" t="str">
        <f t="shared" si="3"/>
        <v xml:space="preserve"> </v>
      </c>
      <c r="P87" s="17">
        <f t="shared" si="4"/>
        <v>3.7037037037037035E-2</v>
      </c>
    </row>
    <row r="88" spans="2:16" ht="12.75">
      <c r="B88" s="13" t="s">
        <v>33</v>
      </c>
      <c r="C88" s="14" t="s">
        <v>147</v>
      </c>
      <c r="D88" s="15">
        <v>15</v>
      </c>
      <c r="E88" s="15">
        <v>5</v>
      </c>
      <c r="F88" s="15">
        <v>0</v>
      </c>
      <c r="G88" s="15">
        <v>0</v>
      </c>
      <c r="H88" s="15">
        <v>0</v>
      </c>
      <c r="I88" s="15">
        <v>0</v>
      </c>
      <c r="J88" s="1" t="s">
        <v>34</v>
      </c>
      <c r="K88" s="17">
        <f t="shared" si="0"/>
        <v>0</v>
      </c>
      <c r="L88" s="17" t="str">
        <f t="shared" si="1"/>
        <v xml:space="preserve"> </v>
      </c>
      <c r="M88" s="17" t="str">
        <f t="shared" si="2"/>
        <v xml:space="preserve"> </v>
      </c>
      <c r="N88" s="17" t="str">
        <f t="shared" si="3"/>
        <v xml:space="preserve"> </v>
      </c>
      <c r="P88" s="17">
        <f t="shared" si="4"/>
        <v>0</v>
      </c>
    </row>
    <row r="89" spans="2:16" ht="12.75">
      <c r="B89" s="13" t="s">
        <v>140</v>
      </c>
      <c r="C89" s="14" t="s">
        <v>142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" t="s">
        <v>24</v>
      </c>
      <c r="K89" s="17" t="str">
        <f t="shared" si="0"/>
        <v xml:space="preserve"> </v>
      </c>
      <c r="L89" s="17" t="str">
        <f t="shared" si="1"/>
        <v xml:space="preserve"> </v>
      </c>
      <c r="M89" s="17" t="str">
        <f t="shared" si="2"/>
        <v xml:space="preserve"> </v>
      </c>
      <c r="N89" s="17" t="str">
        <f t="shared" si="3"/>
        <v xml:space="preserve"> </v>
      </c>
      <c r="P89" s="17" t="str">
        <f t="shared" si="4"/>
        <v xml:space="preserve"> </v>
      </c>
    </row>
    <row r="90" spans="2:16" ht="12.75">
      <c r="B90" s="13" t="s">
        <v>116</v>
      </c>
      <c r="C90" s="14" t="s">
        <v>147</v>
      </c>
      <c r="D90" s="15">
        <v>6</v>
      </c>
      <c r="E90" s="15">
        <v>1</v>
      </c>
      <c r="F90" s="15">
        <v>0</v>
      </c>
      <c r="G90" s="15">
        <v>0</v>
      </c>
      <c r="H90" s="15">
        <v>0</v>
      </c>
      <c r="I90" s="15">
        <v>0</v>
      </c>
      <c r="J90" s="1" t="s">
        <v>64</v>
      </c>
      <c r="K90" s="17">
        <f t="shared" si="0"/>
        <v>0</v>
      </c>
      <c r="L90" s="17" t="str">
        <f t="shared" si="1"/>
        <v xml:space="preserve"> </v>
      </c>
      <c r="M90" s="17" t="str">
        <f t="shared" si="2"/>
        <v xml:space="preserve"> </v>
      </c>
      <c r="N90" s="17" t="str">
        <f t="shared" si="3"/>
        <v xml:space="preserve"> </v>
      </c>
      <c r="P90" s="17">
        <f t="shared" si="4"/>
        <v>0</v>
      </c>
    </row>
    <row r="91" spans="2:16" ht="12.75">
      <c r="B91" s="13" t="s">
        <v>107</v>
      </c>
      <c r="C91" s="14" t="s">
        <v>142</v>
      </c>
      <c r="D91" s="15">
        <v>0</v>
      </c>
      <c r="E91" s="15">
        <v>0</v>
      </c>
      <c r="F91" s="15">
        <v>0</v>
      </c>
      <c r="G91" s="15"/>
      <c r="H91" s="15">
        <v>0</v>
      </c>
      <c r="I91" s="15">
        <v>0</v>
      </c>
      <c r="J91" s="1" t="s">
        <v>24</v>
      </c>
      <c r="K91" s="17" t="str">
        <f t="shared" si="0"/>
        <v xml:space="preserve"> </v>
      </c>
      <c r="L91" s="17" t="str">
        <f t="shared" si="1"/>
        <v xml:space="preserve"> </v>
      </c>
      <c r="M91" s="17" t="str">
        <f t="shared" si="2"/>
        <v xml:space="preserve"> </v>
      </c>
      <c r="N91" s="17" t="str">
        <f t="shared" si="3"/>
        <v xml:space="preserve"> </v>
      </c>
      <c r="P91" s="17" t="str">
        <f t="shared" si="4"/>
        <v xml:space="preserve"> </v>
      </c>
    </row>
    <row r="92" spans="2:16" ht="12.75">
      <c r="B92" s="13" t="s">
        <v>93</v>
      </c>
      <c r="C92" s="14" t="s">
        <v>147</v>
      </c>
      <c r="D92" s="15">
        <v>6</v>
      </c>
      <c r="E92" s="15">
        <v>0</v>
      </c>
      <c r="F92" s="15">
        <v>2</v>
      </c>
      <c r="G92" s="15"/>
      <c r="H92" s="15">
        <v>0</v>
      </c>
      <c r="I92" s="15">
        <v>0</v>
      </c>
      <c r="J92" s="1" t="s">
        <v>20</v>
      </c>
      <c r="K92" s="17">
        <f t="shared" si="0"/>
        <v>0</v>
      </c>
      <c r="L92" s="17">
        <f t="shared" si="1"/>
        <v>0</v>
      </c>
      <c r="M92" s="17" t="str">
        <f t="shared" si="2"/>
        <v xml:space="preserve"> </v>
      </c>
      <c r="N92" s="17" t="str">
        <f t="shared" si="3"/>
        <v xml:space="preserve"> </v>
      </c>
      <c r="P92" s="17">
        <f t="shared" si="4"/>
        <v>0.33333333333333331</v>
      </c>
    </row>
    <row r="93" spans="2:16" ht="12.75">
      <c r="B93" s="13" t="s">
        <v>90</v>
      </c>
      <c r="C93" s="14" t="s">
        <v>147</v>
      </c>
      <c r="D93" s="15">
        <v>69</v>
      </c>
      <c r="E93" s="15">
        <v>15</v>
      </c>
      <c r="F93" s="15">
        <v>2</v>
      </c>
      <c r="G93" s="15"/>
      <c r="H93" s="15">
        <v>0</v>
      </c>
      <c r="I93" s="15">
        <v>1</v>
      </c>
      <c r="J93" s="1" t="s">
        <v>20</v>
      </c>
      <c r="K93" s="17">
        <f t="shared" si="0"/>
        <v>1.4492753623188406E-2</v>
      </c>
      <c r="L93" s="17">
        <f t="shared" si="1"/>
        <v>0.5</v>
      </c>
      <c r="M93" s="17" t="str">
        <f t="shared" si="2"/>
        <v xml:space="preserve"> </v>
      </c>
      <c r="N93" s="17" t="str">
        <f t="shared" si="3"/>
        <v xml:space="preserve"> </v>
      </c>
      <c r="P93" s="17">
        <f t="shared" si="4"/>
        <v>2.8985507246376812E-2</v>
      </c>
    </row>
    <row r="94" spans="2:16" ht="12.75">
      <c r="B94" s="13" t="s">
        <v>72</v>
      </c>
      <c r="C94" s="14" t="s">
        <v>147</v>
      </c>
      <c r="D94" s="15">
        <v>134</v>
      </c>
      <c r="E94" s="15">
        <v>47</v>
      </c>
      <c r="F94" s="15">
        <v>0</v>
      </c>
      <c r="G94" s="15">
        <v>0</v>
      </c>
      <c r="H94" s="15">
        <v>5</v>
      </c>
      <c r="I94" s="15">
        <v>0</v>
      </c>
      <c r="J94" s="21" t="s">
        <v>20</v>
      </c>
      <c r="K94" s="17">
        <f t="shared" si="0"/>
        <v>0</v>
      </c>
      <c r="L94" s="17" t="str">
        <f t="shared" si="1"/>
        <v xml:space="preserve"> </v>
      </c>
      <c r="M94" s="17" t="str">
        <f t="shared" si="2"/>
        <v xml:space="preserve"> </v>
      </c>
      <c r="N94" s="17">
        <f t="shared" si="3"/>
        <v>0</v>
      </c>
      <c r="P94" s="17">
        <f t="shared" si="4"/>
        <v>0</v>
      </c>
    </row>
    <row r="95" spans="2:16" ht="12.75">
      <c r="B95" s="13" t="s">
        <v>113</v>
      </c>
      <c r="C95" s="14" t="s">
        <v>142</v>
      </c>
      <c r="D95" s="15">
        <v>0</v>
      </c>
      <c r="E95" s="15">
        <v>0</v>
      </c>
      <c r="F95" s="15">
        <v>0</v>
      </c>
      <c r="G95" s="15"/>
      <c r="H95" s="15">
        <v>0</v>
      </c>
      <c r="I95" s="15">
        <v>0</v>
      </c>
      <c r="J95" s="1" t="s">
        <v>24</v>
      </c>
      <c r="K95" s="17" t="str">
        <f t="shared" si="0"/>
        <v xml:space="preserve"> </v>
      </c>
      <c r="L95" s="17" t="str">
        <f t="shared" si="1"/>
        <v xml:space="preserve"> </v>
      </c>
      <c r="M95" s="17" t="str">
        <f t="shared" si="2"/>
        <v xml:space="preserve"> </v>
      </c>
      <c r="N95" s="17" t="str">
        <f t="shared" si="3"/>
        <v xml:space="preserve"> </v>
      </c>
      <c r="P95" s="17" t="str">
        <f t="shared" si="4"/>
        <v xml:space="preserve"> </v>
      </c>
    </row>
    <row r="96" spans="2:16" ht="12.75">
      <c r="B96" s="13" t="s">
        <v>141</v>
      </c>
      <c r="C96" s="14" t="s">
        <v>142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" t="s">
        <v>24</v>
      </c>
      <c r="K96" s="17" t="str">
        <f t="shared" si="0"/>
        <v xml:space="preserve"> </v>
      </c>
      <c r="L96" s="17" t="str">
        <f t="shared" si="1"/>
        <v xml:space="preserve"> </v>
      </c>
      <c r="M96" s="17" t="str">
        <f t="shared" si="2"/>
        <v xml:space="preserve"> </v>
      </c>
      <c r="N96" s="17" t="str">
        <f t="shared" si="3"/>
        <v xml:space="preserve"> </v>
      </c>
      <c r="P96" s="17" t="str">
        <f t="shared" si="4"/>
        <v xml:space="preserve"> </v>
      </c>
    </row>
    <row r="97" spans="2:16" ht="12.75">
      <c r="B97" s="13" t="s">
        <v>109</v>
      </c>
      <c r="C97" s="14" t="s">
        <v>147</v>
      </c>
      <c r="D97" s="15">
        <v>9</v>
      </c>
      <c r="E97" s="15">
        <v>2</v>
      </c>
      <c r="F97" s="15">
        <v>0</v>
      </c>
      <c r="G97" s="15"/>
      <c r="H97" s="15">
        <v>0</v>
      </c>
      <c r="I97" s="15">
        <v>0</v>
      </c>
      <c r="J97" s="1" t="s">
        <v>37</v>
      </c>
      <c r="K97" s="17">
        <f t="shared" si="0"/>
        <v>0</v>
      </c>
      <c r="L97" s="17" t="str">
        <f t="shared" si="1"/>
        <v xml:space="preserve"> </v>
      </c>
      <c r="M97" s="17" t="str">
        <f t="shared" si="2"/>
        <v xml:space="preserve"> </v>
      </c>
      <c r="N97" s="17" t="str">
        <f t="shared" si="3"/>
        <v xml:space="preserve"> </v>
      </c>
      <c r="P97" s="17">
        <f t="shared" si="4"/>
        <v>0</v>
      </c>
    </row>
    <row r="98" spans="2:16" ht="12.75">
      <c r="B98" s="13" t="s">
        <v>94</v>
      </c>
      <c r="C98" s="14" t="s">
        <v>142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" t="s">
        <v>24</v>
      </c>
      <c r="K98" s="17" t="str">
        <f t="shared" si="0"/>
        <v xml:space="preserve"> </v>
      </c>
      <c r="L98" s="17" t="str">
        <f t="shared" si="1"/>
        <v xml:space="preserve"> </v>
      </c>
      <c r="M98" s="17" t="str">
        <f t="shared" si="2"/>
        <v xml:space="preserve"> </v>
      </c>
      <c r="N98" s="17" t="str">
        <f t="shared" si="3"/>
        <v xml:space="preserve"> </v>
      </c>
      <c r="P98" s="17" t="str">
        <f t="shared" si="4"/>
        <v xml:space="preserve"> </v>
      </c>
    </row>
    <row r="99" spans="2:16" ht="12.75">
      <c r="B99" s="13" t="s">
        <v>115</v>
      </c>
      <c r="C99" s="14" t="s">
        <v>147</v>
      </c>
      <c r="D99" s="15">
        <v>8</v>
      </c>
      <c r="E99" s="15">
        <v>2</v>
      </c>
      <c r="F99" s="15">
        <v>0</v>
      </c>
      <c r="G99" s="15"/>
      <c r="H99" s="15">
        <v>0</v>
      </c>
      <c r="I99" s="15">
        <v>0</v>
      </c>
      <c r="J99" s="1" t="s">
        <v>29</v>
      </c>
      <c r="K99" s="17">
        <f t="shared" si="0"/>
        <v>0</v>
      </c>
      <c r="L99" s="17" t="str">
        <f t="shared" si="1"/>
        <v xml:space="preserve"> </v>
      </c>
      <c r="M99" s="17" t="str">
        <f t="shared" si="2"/>
        <v xml:space="preserve"> </v>
      </c>
      <c r="N99" s="17" t="str">
        <f t="shared" si="3"/>
        <v xml:space="preserve"> </v>
      </c>
      <c r="P99" s="17">
        <f t="shared" si="4"/>
        <v>0</v>
      </c>
    </row>
    <row r="100" spans="2:16" ht="12.75">
      <c r="B100" s="13" t="s">
        <v>103</v>
      </c>
      <c r="C100" s="14" t="s">
        <v>147</v>
      </c>
      <c r="D100" s="15">
        <v>18</v>
      </c>
      <c r="E100" s="15">
        <v>3</v>
      </c>
      <c r="F100" s="15">
        <v>0</v>
      </c>
      <c r="G100" s="15"/>
      <c r="H100" s="15">
        <v>0</v>
      </c>
      <c r="I100" s="15">
        <v>0</v>
      </c>
      <c r="J100" s="1" t="s">
        <v>20</v>
      </c>
      <c r="K100" s="17">
        <f t="shared" si="0"/>
        <v>0</v>
      </c>
      <c r="L100" s="17" t="str">
        <f t="shared" si="1"/>
        <v xml:space="preserve"> </v>
      </c>
      <c r="M100" s="17" t="str">
        <f t="shared" si="2"/>
        <v xml:space="preserve"> </v>
      </c>
      <c r="N100" s="17" t="str">
        <f t="shared" si="3"/>
        <v xml:space="preserve"> </v>
      </c>
      <c r="P100" s="17">
        <f t="shared" si="4"/>
        <v>0</v>
      </c>
    </row>
    <row r="101" spans="2:16" ht="12.75">
      <c r="B101" s="13" t="s">
        <v>120</v>
      </c>
      <c r="C101" s="14" t="s">
        <v>142</v>
      </c>
      <c r="D101" s="15">
        <v>0</v>
      </c>
      <c r="E101" s="15">
        <v>0</v>
      </c>
      <c r="F101" s="15">
        <v>0</v>
      </c>
      <c r="G101" s="15"/>
      <c r="H101" s="15">
        <v>0</v>
      </c>
      <c r="I101" s="15">
        <v>0</v>
      </c>
      <c r="J101" s="1" t="s">
        <v>24</v>
      </c>
      <c r="K101" s="17" t="str">
        <f t="shared" si="0"/>
        <v xml:space="preserve"> </v>
      </c>
      <c r="L101" s="17" t="str">
        <f t="shared" si="1"/>
        <v xml:space="preserve"> </v>
      </c>
      <c r="M101" s="17" t="str">
        <f t="shared" si="2"/>
        <v xml:space="preserve"> </v>
      </c>
      <c r="N101" s="17" t="str">
        <f t="shared" si="3"/>
        <v xml:space="preserve"> </v>
      </c>
      <c r="P101" s="17" t="str">
        <f t="shared" si="4"/>
        <v xml:space="preserve"> </v>
      </c>
    </row>
    <row r="102" spans="2:16" ht="12.75">
      <c r="B102" s="13" t="s">
        <v>121</v>
      </c>
      <c r="C102" s="14" t="s">
        <v>142</v>
      </c>
      <c r="D102" s="15">
        <v>0</v>
      </c>
      <c r="E102" s="15">
        <v>0</v>
      </c>
      <c r="F102" s="15">
        <v>0</v>
      </c>
      <c r="G102" s="15"/>
      <c r="H102" s="15">
        <v>0</v>
      </c>
      <c r="I102" s="15">
        <v>0</v>
      </c>
      <c r="J102" s="1" t="s">
        <v>24</v>
      </c>
      <c r="K102" s="17" t="str">
        <f t="shared" si="0"/>
        <v xml:space="preserve"> </v>
      </c>
      <c r="L102" s="17" t="str">
        <f t="shared" si="1"/>
        <v xml:space="preserve"> </v>
      </c>
      <c r="M102" s="17" t="str">
        <f t="shared" si="2"/>
        <v xml:space="preserve"> </v>
      </c>
      <c r="N102" s="17" t="str">
        <f t="shared" si="3"/>
        <v xml:space="preserve"> </v>
      </c>
      <c r="P102" s="17" t="str">
        <f t="shared" si="4"/>
        <v xml:space="preserve"> </v>
      </c>
    </row>
    <row r="103" spans="2:16" ht="12.75">
      <c r="B103" s="13" t="s">
        <v>21</v>
      </c>
      <c r="C103" s="14" t="s">
        <v>147</v>
      </c>
      <c r="D103" s="15">
        <v>29</v>
      </c>
      <c r="E103" s="15">
        <v>13</v>
      </c>
      <c r="F103" s="15">
        <v>2</v>
      </c>
      <c r="G103" s="15">
        <v>0</v>
      </c>
      <c r="H103" s="15">
        <v>0</v>
      </c>
      <c r="I103" s="15">
        <v>0</v>
      </c>
      <c r="J103" s="1" t="s">
        <v>20</v>
      </c>
      <c r="K103" s="17">
        <f t="shared" si="0"/>
        <v>0</v>
      </c>
      <c r="L103" s="17">
        <f t="shared" si="1"/>
        <v>0</v>
      </c>
      <c r="M103" s="17" t="str">
        <f t="shared" si="2"/>
        <v xml:space="preserve"> </v>
      </c>
      <c r="N103" s="17" t="str">
        <f t="shared" si="3"/>
        <v xml:space="preserve"> </v>
      </c>
      <c r="P103" s="17">
        <f t="shared" si="4"/>
        <v>6.8965517241379309E-2</v>
      </c>
    </row>
    <row r="104" spans="2:16" ht="12.75">
      <c r="B104" s="13" t="s">
        <v>99</v>
      </c>
      <c r="C104" s="14" t="s">
        <v>147</v>
      </c>
      <c r="D104" s="15">
        <v>25</v>
      </c>
      <c r="E104" s="15">
        <v>2</v>
      </c>
      <c r="F104" s="15">
        <v>2</v>
      </c>
      <c r="G104" s="15">
        <v>0</v>
      </c>
      <c r="H104" s="15">
        <v>0</v>
      </c>
      <c r="I104" s="15">
        <v>0</v>
      </c>
      <c r="J104" s="1" t="s">
        <v>20</v>
      </c>
      <c r="K104" s="17">
        <f t="shared" si="0"/>
        <v>0</v>
      </c>
      <c r="L104" s="17">
        <f t="shared" si="1"/>
        <v>0</v>
      </c>
      <c r="M104" s="17" t="str">
        <f t="shared" si="2"/>
        <v xml:space="preserve"> </v>
      </c>
      <c r="N104" s="17" t="str">
        <f t="shared" si="3"/>
        <v xml:space="preserve"> </v>
      </c>
      <c r="P104" s="17">
        <f t="shared" si="4"/>
        <v>0.08</v>
      </c>
    </row>
    <row r="105" spans="2:16" ht="12.75">
      <c r="B105" s="13" t="s">
        <v>91</v>
      </c>
      <c r="C105" s="14" t="s">
        <v>147</v>
      </c>
      <c r="D105" s="15">
        <v>53</v>
      </c>
      <c r="E105" s="15">
        <v>7</v>
      </c>
      <c r="F105" s="15">
        <v>0</v>
      </c>
      <c r="G105" s="15">
        <v>1</v>
      </c>
      <c r="H105" s="15">
        <v>0</v>
      </c>
      <c r="I105" s="15">
        <v>0</v>
      </c>
      <c r="J105" s="1" t="s">
        <v>20</v>
      </c>
      <c r="K105" s="17">
        <f t="shared" si="0"/>
        <v>0</v>
      </c>
      <c r="L105" s="17" t="str">
        <f t="shared" si="1"/>
        <v xml:space="preserve"> </v>
      </c>
      <c r="M105" s="17">
        <f t="shared" si="2"/>
        <v>0</v>
      </c>
      <c r="N105" s="17" t="str">
        <f t="shared" si="3"/>
        <v xml:space="preserve"> </v>
      </c>
      <c r="P105" s="17">
        <f t="shared" si="4"/>
        <v>0</v>
      </c>
    </row>
    <row r="106" spans="2:16" ht="12.75">
      <c r="B106" s="13" t="s">
        <v>81</v>
      </c>
      <c r="C106" s="14" t="s">
        <v>147</v>
      </c>
      <c r="D106" s="15">
        <v>8</v>
      </c>
      <c r="E106" s="15">
        <v>1</v>
      </c>
      <c r="F106" s="15">
        <v>0</v>
      </c>
      <c r="G106" s="15"/>
      <c r="H106" s="15">
        <v>0</v>
      </c>
      <c r="I106" s="15">
        <v>0</v>
      </c>
      <c r="J106" s="1" t="s">
        <v>64</v>
      </c>
      <c r="K106" s="17">
        <f t="shared" si="0"/>
        <v>0</v>
      </c>
      <c r="L106" s="17" t="str">
        <f t="shared" si="1"/>
        <v xml:space="preserve"> </v>
      </c>
      <c r="M106" s="17" t="str">
        <f t="shared" si="2"/>
        <v xml:space="preserve"> </v>
      </c>
      <c r="N106" s="17" t="str">
        <f t="shared" si="3"/>
        <v xml:space="preserve"> </v>
      </c>
      <c r="P106" s="17">
        <f t="shared" si="4"/>
        <v>0</v>
      </c>
    </row>
    <row r="107" spans="2:16" ht="12.75">
      <c r="B107" s="13" t="s">
        <v>92</v>
      </c>
      <c r="C107" s="14" t="s">
        <v>147</v>
      </c>
      <c r="D107" s="15">
        <v>2</v>
      </c>
      <c r="E107" s="15">
        <v>1</v>
      </c>
      <c r="F107" s="15">
        <v>0</v>
      </c>
      <c r="G107" s="15"/>
      <c r="H107" s="15">
        <v>0</v>
      </c>
      <c r="I107" s="15">
        <v>0</v>
      </c>
      <c r="J107" s="1" t="s">
        <v>64</v>
      </c>
      <c r="K107" s="17">
        <f t="shared" si="0"/>
        <v>0</v>
      </c>
      <c r="L107" s="17" t="str">
        <f t="shared" si="1"/>
        <v xml:space="preserve"> </v>
      </c>
      <c r="M107" s="17" t="str">
        <f t="shared" si="2"/>
        <v xml:space="preserve"> </v>
      </c>
      <c r="N107" s="17" t="str">
        <f t="shared" si="3"/>
        <v xml:space="preserve"> </v>
      </c>
      <c r="P107" s="17">
        <f t="shared" si="4"/>
        <v>0</v>
      </c>
    </row>
    <row r="108" spans="2:16" ht="12.75">
      <c r="B108" s="13" t="s">
        <v>62</v>
      </c>
      <c r="C108" s="14" t="s">
        <v>147</v>
      </c>
      <c r="D108" s="15">
        <v>19</v>
      </c>
      <c r="E108" s="15">
        <v>4</v>
      </c>
      <c r="F108" s="15">
        <v>0</v>
      </c>
      <c r="G108" s="15">
        <v>1</v>
      </c>
      <c r="H108" s="15">
        <v>1</v>
      </c>
      <c r="I108" s="15">
        <v>1</v>
      </c>
      <c r="J108" s="1" t="s">
        <v>20</v>
      </c>
      <c r="K108" s="61">
        <f t="shared" si="0"/>
        <v>5.2631578947368418E-2</v>
      </c>
      <c r="L108" s="17" t="str">
        <f t="shared" si="1"/>
        <v xml:space="preserve"> </v>
      </c>
      <c r="M108" s="61">
        <f t="shared" si="2"/>
        <v>1</v>
      </c>
      <c r="N108" s="61">
        <f t="shared" si="3"/>
        <v>1</v>
      </c>
      <c r="P108" s="17">
        <f t="shared" si="4"/>
        <v>0</v>
      </c>
    </row>
    <row r="109" spans="2:16" ht="12.75">
      <c r="B109" s="13" t="s">
        <v>111</v>
      </c>
      <c r="C109" s="14" t="s">
        <v>142</v>
      </c>
      <c r="D109" s="15">
        <v>4</v>
      </c>
      <c r="E109" s="15">
        <v>3</v>
      </c>
      <c r="F109" s="15">
        <v>0</v>
      </c>
      <c r="G109" s="15">
        <v>0</v>
      </c>
      <c r="H109" s="15">
        <v>0</v>
      </c>
      <c r="I109" s="15">
        <v>0</v>
      </c>
      <c r="J109" s="1" t="s">
        <v>24</v>
      </c>
      <c r="K109" s="17">
        <f t="shared" si="0"/>
        <v>0</v>
      </c>
      <c r="L109" s="17" t="str">
        <f t="shared" si="1"/>
        <v xml:space="preserve"> </v>
      </c>
      <c r="M109" s="17" t="str">
        <f t="shared" si="2"/>
        <v xml:space="preserve"> </v>
      </c>
      <c r="N109" s="17" t="str">
        <f t="shared" si="3"/>
        <v xml:space="preserve"> </v>
      </c>
      <c r="P109" s="17">
        <f t="shared" si="4"/>
        <v>0</v>
      </c>
    </row>
    <row r="110" spans="2:16" ht="12.75">
      <c r="B110" s="13" t="s">
        <v>77</v>
      </c>
      <c r="C110" s="14" t="s">
        <v>147</v>
      </c>
      <c r="D110" s="15">
        <v>55</v>
      </c>
      <c r="E110" s="15">
        <v>16</v>
      </c>
      <c r="F110" s="15">
        <v>1</v>
      </c>
      <c r="G110" s="15">
        <v>0</v>
      </c>
      <c r="H110" s="15">
        <v>0</v>
      </c>
      <c r="I110" s="15">
        <v>0</v>
      </c>
      <c r="J110" s="1" t="s">
        <v>20</v>
      </c>
      <c r="K110" s="17">
        <f t="shared" si="0"/>
        <v>0</v>
      </c>
      <c r="L110" s="17">
        <f t="shared" si="1"/>
        <v>0</v>
      </c>
      <c r="M110" s="17" t="str">
        <f t="shared" si="2"/>
        <v xml:space="preserve"> </v>
      </c>
      <c r="N110" s="17" t="str">
        <f t="shared" si="3"/>
        <v xml:space="preserve"> </v>
      </c>
      <c r="P110" s="17">
        <f t="shared" si="4"/>
        <v>1.8181818181818181E-2</v>
      </c>
    </row>
    <row r="111" spans="2:16" ht="12.75">
      <c r="B111" s="13" t="s">
        <v>65</v>
      </c>
      <c r="C111" s="14" t="s">
        <v>147</v>
      </c>
      <c r="D111" s="15">
        <v>6</v>
      </c>
      <c r="E111" s="15">
        <v>1</v>
      </c>
      <c r="F111" s="15">
        <v>0</v>
      </c>
      <c r="G111" s="15">
        <v>0</v>
      </c>
      <c r="H111" s="15">
        <v>0</v>
      </c>
      <c r="I111" s="15">
        <v>0</v>
      </c>
      <c r="J111" s="1" t="s">
        <v>20</v>
      </c>
      <c r="K111" s="17">
        <f t="shared" si="0"/>
        <v>0</v>
      </c>
      <c r="L111" s="17" t="str">
        <f t="shared" si="1"/>
        <v xml:space="preserve"> </v>
      </c>
      <c r="M111" s="17" t="str">
        <f t="shared" si="2"/>
        <v xml:space="preserve"> </v>
      </c>
      <c r="N111" s="17" t="str">
        <f t="shared" si="3"/>
        <v xml:space="preserve"> </v>
      </c>
      <c r="P111" s="17">
        <f t="shared" si="4"/>
        <v>0</v>
      </c>
    </row>
    <row r="112" spans="2:16" ht="12.75">
      <c r="C112" s="29"/>
      <c r="D112" s="29"/>
      <c r="E112" s="29"/>
      <c r="F112" s="29"/>
      <c r="G112" s="29"/>
      <c r="H112" s="29"/>
      <c r="I112" s="29"/>
      <c r="K112" s="17" t="str">
        <f t="shared" si="0"/>
        <v xml:space="preserve"> </v>
      </c>
      <c r="P112" s="17" t="str">
        <f t="shared" si="4"/>
        <v xml:space="preserve"> </v>
      </c>
    </row>
    <row r="113" spans="1:27" ht="13.15">
      <c r="A113" s="30"/>
      <c r="B113" s="31" t="s">
        <v>143</v>
      </c>
      <c r="C113" s="32"/>
      <c r="D113" s="32">
        <f t="shared" ref="D113:H113" si="7">SUM(D3:D111)</f>
        <v>2395</v>
      </c>
      <c r="E113" s="32">
        <f t="shared" si="7"/>
        <v>636</v>
      </c>
      <c r="F113" s="32">
        <f t="shared" si="7"/>
        <v>45</v>
      </c>
      <c r="G113" s="32">
        <f t="shared" si="7"/>
        <v>9</v>
      </c>
      <c r="H113" s="32">
        <f t="shared" si="7"/>
        <v>10</v>
      </c>
      <c r="I113" s="32">
        <f>SUM(I3:I112)</f>
        <v>11</v>
      </c>
      <c r="J113" s="30"/>
      <c r="K113" s="17">
        <f t="shared" si="0"/>
        <v>4.5929018789144047E-3</v>
      </c>
      <c r="L113" s="30"/>
      <c r="M113" s="30"/>
      <c r="N113" s="30"/>
      <c r="O113" s="30"/>
      <c r="P113" s="33">
        <f t="shared" si="4"/>
        <v>1.8789144050104383E-2</v>
      </c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5" spans="1:27" ht="12.75">
      <c r="B115" s="21" t="s">
        <v>163</v>
      </c>
    </row>
    <row r="117" spans="1:27" ht="12.75">
      <c r="B117" s="21" t="s">
        <v>164</v>
      </c>
    </row>
    <row r="119" spans="1:27" ht="12.75">
      <c r="B119" s="13" t="s">
        <v>98</v>
      </c>
      <c r="C119" s="25" t="s">
        <v>147</v>
      </c>
      <c r="E119" s="38">
        <f t="shared" ref="E119:I119" si="8">IFERROR(E3/D3," ")</f>
        <v>0.23529411764705882</v>
      </c>
      <c r="F119" s="38">
        <f t="shared" si="8"/>
        <v>0.125</v>
      </c>
      <c r="G119" s="38">
        <f t="shared" si="8"/>
        <v>2</v>
      </c>
      <c r="H119" s="38">
        <f t="shared" si="8"/>
        <v>1</v>
      </c>
      <c r="I119" s="38">
        <f t="shared" si="8"/>
        <v>1</v>
      </c>
    </row>
    <row r="120" spans="1:27" ht="12.75">
      <c r="B120" s="13" t="s">
        <v>59</v>
      </c>
      <c r="C120" s="25" t="s">
        <v>147</v>
      </c>
      <c r="E120" s="38">
        <f t="shared" ref="E120:I120" si="9">IFERROR(E4/D4," ")</f>
        <v>0.15384615384615385</v>
      </c>
      <c r="F120" s="38">
        <f t="shared" si="9"/>
        <v>0.5</v>
      </c>
      <c r="G120" s="38">
        <f t="shared" si="9"/>
        <v>0</v>
      </c>
      <c r="H120" s="38" t="str">
        <f t="shared" si="9"/>
        <v xml:space="preserve"> </v>
      </c>
      <c r="I120" s="38" t="str">
        <f t="shared" si="9"/>
        <v xml:space="preserve"> </v>
      </c>
    </row>
    <row r="121" spans="1:27" ht="12.75">
      <c r="B121" s="13" t="s">
        <v>41</v>
      </c>
      <c r="C121" s="25" t="s">
        <v>147</v>
      </c>
      <c r="E121" s="38" t="str">
        <f t="shared" ref="E121:I121" si="10">IFERROR(E5/D5," ")</f>
        <v xml:space="preserve"> </v>
      </c>
      <c r="F121" s="38" t="str">
        <f t="shared" si="10"/>
        <v xml:space="preserve"> </v>
      </c>
      <c r="G121" s="38" t="str">
        <f t="shared" si="10"/>
        <v xml:space="preserve"> </v>
      </c>
      <c r="H121" s="38" t="str">
        <f t="shared" si="10"/>
        <v xml:space="preserve"> </v>
      </c>
      <c r="I121" s="38" t="str">
        <f t="shared" si="10"/>
        <v xml:space="preserve"> </v>
      </c>
    </row>
    <row r="122" spans="1:27" ht="12.75">
      <c r="B122" s="13" t="s">
        <v>66</v>
      </c>
      <c r="C122" s="25" t="s">
        <v>147</v>
      </c>
      <c r="E122" s="38" t="str">
        <f t="shared" ref="E122:I122" si="11">IFERROR(E6/D6," ")</f>
        <v xml:space="preserve"> </v>
      </c>
      <c r="F122" s="38" t="str">
        <f t="shared" si="11"/>
        <v xml:space="preserve"> </v>
      </c>
      <c r="G122" s="38" t="str">
        <f t="shared" si="11"/>
        <v xml:space="preserve"> </v>
      </c>
      <c r="H122" s="38" t="str">
        <f t="shared" si="11"/>
        <v xml:space="preserve"> </v>
      </c>
      <c r="I122" s="38" t="str">
        <f t="shared" si="11"/>
        <v xml:space="preserve"> </v>
      </c>
    </row>
    <row r="123" spans="1:27" ht="12.75">
      <c r="B123" s="13" t="s">
        <v>139</v>
      </c>
      <c r="C123" s="25" t="s">
        <v>142</v>
      </c>
      <c r="E123" s="38">
        <f t="shared" ref="E123:I123" si="12">IFERROR(E7/D7," ")</f>
        <v>7.6923076923076927E-2</v>
      </c>
      <c r="F123" s="38">
        <f t="shared" si="12"/>
        <v>1</v>
      </c>
      <c r="G123" s="38">
        <f t="shared" si="12"/>
        <v>0</v>
      </c>
      <c r="H123" s="38" t="str">
        <f t="shared" si="12"/>
        <v xml:space="preserve"> </v>
      </c>
      <c r="I123" s="38" t="str">
        <f t="shared" si="12"/>
        <v xml:space="preserve"> </v>
      </c>
    </row>
    <row r="124" spans="1:27" ht="12.75">
      <c r="B124" s="13" t="s">
        <v>107</v>
      </c>
      <c r="C124" s="25" t="s">
        <v>142</v>
      </c>
      <c r="E124" s="38">
        <f t="shared" ref="E124:I124" si="13">IFERROR(E8/D8," ")</f>
        <v>0.46666666666666667</v>
      </c>
      <c r="F124" s="38">
        <f t="shared" si="13"/>
        <v>7.1428571428571425E-2</v>
      </c>
      <c r="G124" s="38">
        <f t="shared" si="13"/>
        <v>0</v>
      </c>
      <c r="H124" s="38" t="str">
        <f t="shared" si="13"/>
        <v xml:space="preserve"> </v>
      </c>
      <c r="I124" s="38" t="str">
        <f t="shared" si="13"/>
        <v xml:space="preserve"> </v>
      </c>
    </row>
    <row r="125" spans="1:27" ht="12.75">
      <c r="B125" s="13" t="s">
        <v>93</v>
      </c>
      <c r="C125" s="25" t="s">
        <v>147</v>
      </c>
      <c r="E125" s="38">
        <f t="shared" ref="E125:I125" si="14">IFERROR(E9/D9," ")</f>
        <v>0.26666666666666666</v>
      </c>
      <c r="F125" s="38">
        <f t="shared" si="14"/>
        <v>0</v>
      </c>
      <c r="G125" s="38" t="str">
        <f t="shared" si="14"/>
        <v xml:space="preserve"> </v>
      </c>
      <c r="H125" s="38" t="str">
        <f t="shared" si="14"/>
        <v xml:space="preserve"> </v>
      </c>
      <c r="I125" s="38" t="str">
        <f t="shared" si="14"/>
        <v xml:space="preserve"> </v>
      </c>
    </row>
    <row r="126" spans="1:27" ht="12.75">
      <c r="B126" s="13" t="s">
        <v>90</v>
      </c>
      <c r="C126" s="25" t="s">
        <v>147</v>
      </c>
      <c r="E126" s="38">
        <f t="shared" ref="E126:I126" si="15">IFERROR(E10/D10," ")</f>
        <v>0.125</v>
      </c>
      <c r="F126" s="38">
        <f t="shared" si="15"/>
        <v>0.5</v>
      </c>
      <c r="G126" s="38">
        <f t="shared" si="15"/>
        <v>0</v>
      </c>
      <c r="H126" s="38" t="str">
        <f t="shared" si="15"/>
        <v xml:space="preserve"> </v>
      </c>
      <c r="I126" s="38" t="str">
        <f t="shared" si="15"/>
        <v xml:space="preserve"> </v>
      </c>
    </row>
    <row r="127" spans="1:27" ht="12.75">
      <c r="B127" s="13" t="s">
        <v>113</v>
      </c>
      <c r="C127" s="25" t="s">
        <v>142</v>
      </c>
      <c r="E127" s="38">
        <f t="shared" ref="E127:I127" si="16">IFERROR(E11/D11," ")</f>
        <v>0</v>
      </c>
      <c r="F127" s="38" t="str">
        <f t="shared" si="16"/>
        <v xml:space="preserve"> </v>
      </c>
      <c r="G127" s="38" t="str">
        <f t="shared" si="16"/>
        <v xml:space="preserve"> </v>
      </c>
      <c r="H127" s="38" t="str">
        <f t="shared" si="16"/>
        <v xml:space="preserve"> </v>
      </c>
      <c r="I127" s="38" t="str">
        <f t="shared" si="16"/>
        <v xml:space="preserve"> </v>
      </c>
    </row>
    <row r="128" spans="1:27" ht="12.75">
      <c r="B128" s="13" t="s">
        <v>109</v>
      </c>
      <c r="C128" s="25" t="s">
        <v>147</v>
      </c>
      <c r="E128" s="38">
        <f t="shared" ref="E128:I128" si="17">IFERROR(E12/D12," ")</f>
        <v>0.2857142857142857</v>
      </c>
      <c r="F128" s="38">
        <f t="shared" si="17"/>
        <v>0</v>
      </c>
      <c r="G128" s="38" t="str">
        <f t="shared" si="17"/>
        <v xml:space="preserve"> </v>
      </c>
      <c r="H128" s="38" t="str">
        <f t="shared" si="17"/>
        <v xml:space="preserve"> </v>
      </c>
      <c r="I128" s="38" t="str">
        <f t="shared" si="17"/>
        <v xml:space="preserve"> </v>
      </c>
    </row>
    <row r="129" spans="2:9" ht="12.75">
      <c r="B129" s="13" t="s">
        <v>115</v>
      </c>
      <c r="C129" s="25" t="s">
        <v>147</v>
      </c>
      <c r="E129" s="38">
        <f t="shared" ref="E129:I129" si="18">IFERROR(E13/D13," ")</f>
        <v>0.2638888888888889</v>
      </c>
      <c r="F129" s="38">
        <f t="shared" si="18"/>
        <v>0.15789473684210525</v>
      </c>
      <c r="G129" s="38">
        <f t="shared" si="18"/>
        <v>0</v>
      </c>
      <c r="H129" s="38" t="str">
        <f t="shared" si="18"/>
        <v xml:space="preserve"> </v>
      </c>
      <c r="I129" s="38" t="str">
        <f t="shared" si="18"/>
        <v xml:space="preserve"> </v>
      </c>
    </row>
    <row r="130" spans="2:9" ht="12.75">
      <c r="B130" s="13" t="s">
        <v>103</v>
      </c>
      <c r="C130" s="25" t="s">
        <v>147</v>
      </c>
      <c r="E130" s="38" t="str">
        <f t="shared" ref="E130:I130" si="19">IFERROR(E14/D14," ")</f>
        <v xml:space="preserve"> </v>
      </c>
      <c r="F130" s="38" t="str">
        <f t="shared" si="19"/>
        <v xml:space="preserve"> </v>
      </c>
      <c r="G130" s="38" t="str">
        <f t="shared" si="19"/>
        <v xml:space="preserve"> </v>
      </c>
      <c r="H130" s="38" t="str">
        <f t="shared" si="19"/>
        <v xml:space="preserve"> </v>
      </c>
      <c r="I130" s="38" t="str">
        <f t="shared" si="19"/>
        <v xml:space="preserve"> </v>
      </c>
    </row>
    <row r="131" spans="2:9" ht="12.75">
      <c r="B131" s="13" t="s">
        <v>120</v>
      </c>
      <c r="C131" s="25" t="s">
        <v>142</v>
      </c>
      <c r="E131" s="38">
        <f t="shared" ref="E131:I131" si="20">IFERROR(E15/D15," ")</f>
        <v>0.22500000000000001</v>
      </c>
      <c r="F131" s="38">
        <f t="shared" si="20"/>
        <v>0</v>
      </c>
      <c r="G131" s="38" t="str">
        <f t="shared" si="20"/>
        <v xml:space="preserve"> </v>
      </c>
      <c r="H131" s="38" t="str">
        <f t="shared" si="20"/>
        <v xml:space="preserve"> </v>
      </c>
      <c r="I131" s="38" t="str">
        <f t="shared" si="20"/>
        <v xml:space="preserve"> </v>
      </c>
    </row>
    <row r="132" spans="2:9" ht="12.75">
      <c r="B132" s="13" t="s">
        <v>121</v>
      </c>
      <c r="C132" s="25" t="s">
        <v>142</v>
      </c>
      <c r="E132" s="38">
        <f t="shared" ref="E132:I132" si="21">IFERROR(E16/D16," ")</f>
        <v>0.63636363636363635</v>
      </c>
      <c r="F132" s="38">
        <f t="shared" si="21"/>
        <v>0</v>
      </c>
      <c r="G132" s="38" t="str">
        <f t="shared" si="21"/>
        <v xml:space="preserve"> </v>
      </c>
      <c r="H132" s="38" t="str">
        <f t="shared" si="21"/>
        <v xml:space="preserve"> </v>
      </c>
      <c r="I132" s="38" t="str">
        <f t="shared" si="21"/>
        <v xml:space="preserve"> </v>
      </c>
    </row>
    <row r="133" spans="2:9" ht="12.75">
      <c r="B133" s="13" t="s">
        <v>81</v>
      </c>
      <c r="C133" s="25" t="s">
        <v>147</v>
      </c>
      <c r="E133" s="38">
        <f t="shared" ref="E133:I133" si="22">IFERROR(E17/D17," ")</f>
        <v>0</v>
      </c>
      <c r="F133" s="38" t="str">
        <f t="shared" si="22"/>
        <v xml:space="preserve"> </v>
      </c>
      <c r="G133" s="38" t="str">
        <f t="shared" si="22"/>
        <v xml:space="preserve"> </v>
      </c>
      <c r="H133" s="38" t="str">
        <f t="shared" si="22"/>
        <v xml:space="preserve"> </v>
      </c>
      <c r="I133" s="38" t="str">
        <f t="shared" si="22"/>
        <v xml:space="preserve"> </v>
      </c>
    </row>
    <row r="134" spans="2:9" ht="12.75">
      <c r="B134" s="13" t="s">
        <v>92</v>
      </c>
      <c r="C134" s="25" t="s">
        <v>147</v>
      </c>
      <c r="E134" s="38">
        <f t="shared" ref="E134:I134" si="23">IFERROR(E18/D18," ")</f>
        <v>6.6666666666666666E-2</v>
      </c>
      <c r="F134" s="38">
        <f t="shared" si="23"/>
        <v>0</v>
      </c>
      <c r="G134" s="38" t="str">
        <f t="shared" si="23"/>
        <v xml:space="preserve"> </v>
      </c>
      <c r="H134" s="38" t="str">
        <f t="shared" si="23"/>
        <v xml:space="preserve"> </v>
      </c>
      <c r="I134" s="38" t="str">
        <f t="shared" si="23"/>
        <v xml:space="preserve"> </v>
      </c>
    </row>
    <row r="135" spans="2:9" ht="12.75">
      <c r="B135" s="13" t="s">
        <v>57</v>
      </c>
      <c r="C135" s="13" t="s">
        <v>147</v>
      </c>
      <c r="E135" s="38" t="str">
        <f t="shared" ref="E135:I135" si="24">IFERROR(E19/D19," ")</f>
        <v xml:space="preserve"> </v>
      </c>
      <c r="F135" s="38" t="str">
        <f t="shared" si="24"/>
        <v xml:space="preserve"> </v>
      </c>
      <c r="G135" s="38" t="str">
        <f t="shared" si="24"/>
        <v xml:space="preserve"> </v>
      </c>
      <c r="H135" s="38" t="str">
        <f t="shared" si="24"/>
        <v xml:space="preserve"> </v>
      </c>
      <c r="I135" s="38" t="str">
        <f t="shared" si="24"/>
        <v xml:space="preserve"> </v>
      </c>
    </row>
    <row r="136" spans="2:9" ht="12.75">
      <c r="B136" s="13" t="s">
        <v>105</v>
      </c>
      <c r="C136" s="25" t="s">
        <v>142</v>
      </c>
      <c r="E136" s="38">
        <f t="shared" ref="E136:I136" si="25">IFERROR(E20/D20," ")</f>
        <v>9.3023255813953487E-2</v>
      </c>
      <c r="F136" s="38">
        <f t="shared" si="25"/>
        <v>0.25</v>
      </c>
      <c r="G136" s="38">
        <f t="shared" si="25"/>
        <v>0</v>
      </c>
      <c r="H136" s="38" t="str">
        <f t="shared" si="25"/>
        <v xml:space="preserve"> </v>
      </c>
      <c r="I136" s="38" t="str">
        <f t="shared" si="25"/>
        <v xml:space="preserve"> </v>
      </c>
    </row>
    <row r="137" spans="2:9" ht="12.75">
      <c r="B137" s="13" t="s">
        <v>19</v>
      </c>
      <c r="C137" s="25" t="s">
        <v>147</v>
      </c>
      <c r="E137" s="38">
        <f t="shared" ref="E137:I137" si="26">IFERROR(E21/D21," ")</f>
        <v>1</v>
      </c>
      <c r="F137" s="38">
        <f t="shared" si="26"/>
        <v>0</v>
      </c>
      <c r="G137" s="38" t="str">
        <f t="shared" si="26"/>
        <v xml:space="preserve"> </v>
      </c>
      <c r="H137" s="38" t="str">
        <f t="shared" si="26"/>
        <v xml:space="preserve"> </v>
      </c>
      <c r="I137" s="38" t="str">
        <f t="shared" si="26"/>
        <v xml:space="preserve"> </v>
      </c>
    </row>
    <row r="138" spans="2:9" ht="12.75">
      <c r="B138" s="13" t="s">
        <v>114</v>
      </c>
      <c r="C138" s="25" t="s">
        <v>142</v>
      </c>
      <c r="E138" s="38">
        <f t="shared" ref="E138:I138" si="27">IFERROR(E22/D22," ")</f>
        <v>0.1111111111111111</v>
      </c>
      <c r="F138" s="38">
        <f t="shared" si="27"/>
        <v>0</v>
      </c>
      <c r="G138" s="38" t="str">
        <f t="shared" si="27"/>
        <v xml:space="preserve"> </v>
      </c>
      <c r="H138" s="38">
        <f t="shared" si="27"/>
        <v>0</v>
      </c>
      <c r="I138" s="38" t="str">
        <f t="shared" si="27"/>
        <v xml:space="preserve"> </v>
      </c>
    </row>
    <row r="139" spans="2:9" ht="12.75">
      <c r="B139" s="13" t="s">
        <v>58</v>
      </c>
      <c r="C139" s="25" t="s">
        <v>147</v>
      </c>
      <c r="E139" s="38">
        <f t="shared" ref="E139:I139" si="28">IFERROR(E23/D23," ")</f>
        <v>8.3333333333333329E-2</v>
      </c>
      <c r="F139" s="38">
        <f t="shared" si="28"/>
        <v>0</v>
      </c>
      <c r="G139" s="38" t="str">
        <f t="shared" si="28"/>
        <v xml:space="preserve"> </v>
      </c>
      <c r="H139" s="38" t="str">
        <f t="shared" si="28"/>
        <v xml:space="preserve"> </v>
      </c>
      <c r="I139" s="38" t="str">
        <f t="shared" si="28"/>
        <v xml:space="preserve"> </v>
      </c>
    </row>
    <row r="140" spans="2:9" ht="12.75">
      <c r="B140" s="13" t="s">
        <v>80</v>
      </c>
      <c r="C140" s="25" t="s">
        <v>147</v>
      </c>
      <c r="E140" s="38">
        <f t="shared" ref="E140:I140" si="29">IFERROR(E24/D24," ")</f>
        <v>7.6923076923076927E-2</v>
      </c>
      <c r="F140" s="38">
        <f t="shared" si="29"/>
        <v>0</v>
      </c>
      <c r="G140" s="38" t="str">
        <f t="shared" si="29"/>
        <v xml:space="preserve"> </v>
      </c>
      <c r="H140" s="38" t="str">
        <f t="shared" si="29"/>
        <v xml:space="preserve"> </v>
      </c>
      <c r="I140" s="38" t="str">
        <f t="shared" si="29"/>
        <v xml:space="preserve"> </v>
      </c>
    </row>
    <row r="141" spans="2:9" ht="12.75">
      <c r="B141" s="13" t="s">
        <v>28</v>
      </c>
      <c r="C141" s="25" t="s">
        <v>147</v>
      </c>
      <c r="E141" s="38">
        <f t="shared" ref="E141:I141" si="30">IFERROR(E25/D25," ")</f>
        <v>0</v>
      </c>
      <c r="F141" s="38" t="str">
        <f t="shared" si="30"/>
        <v xml:space="preserve"> </v>
      </c>
      <c r="G141" s="38" t="str">
        <f t="shared" si="30"/>
        <v xml:space="preserve"> </v>
      </c>
      <c r="H141" s="38" t="str">
        <f t="shared" si="30"/>
        <v xml:space="preserve"> </v>
      </c>
      <c r="I141" s="38" t="str">
        <f t="shared" si="30"/>
        <v xml:space="preserve"> </v>
      </c>
    </row>
    <row r="142" spans="2:9" ht="12.75">
      <c r="B142" s="13" t="s">
        <v>127</v>
      </c>
      <c r="C142" s="25" t="s">
        <v>142</v>
      </c>
      <c r="E142" s="38">
        <f t="shared" ref="E142:I142" si="31">IFERROR(E26/D26," ")</f>
        <v>0.4</v>
      </c>
      <c r="F142" s="38">
        <f t="shared" si="31"/>
        <v>0</v>
      </c>
      <c r="G142" s="38" t="str">
        <f t="shared" si="31"/>
        <v xml:space="preserve"> </v>
      </c>
      <c r="H142" s="38" t="str">
        <f t="shared" si="31"/>
        <v xml:space="preserve"> </v>
      </c>
      <c r="I142" s="38" t="str">
        <f t="shared" si="31"/>
        <v xml:space="preserve"> </v>
      </c>
    </row>
    <row r="143" spans="2:9" ht="12.75">
      <c r="B143" s="13" t="s">
        <v>130</v>
      </c>
      <c r="C143" s="13" t="s">
        <v>147</v>
      </c>
      <c r="E143" s="38">
        <f t="shared" ref="E143:I143" si="32">IFERROR(E27/D27," ")</f>
        <v>0.14705882352941177</v>
      </c>
      <c r="F143" s="38">
        <f t="shared" si="32"/>
        <v>0</v>
      </c>
      <c r="G143" s="38" t="str">
        <f t="shared" si="32"/>
        <v xml:space="preserve"> </v>
      </c>
      <c r="H143" s="38" t="str">
        <f t="shared" si="32"/>
        <v xml:space="preserve"> </v>
      </c>
      <c r="I143" s="38">
        <f t="shared" si="32"/>
        <v>0</v>
      </c>
    </row>
    <row r="144" spans="2:9" ht="12.75">
      <c r="B144" s="13" t="s">
        <v>131</v>
      </c>
      <c r="C144" s="25" t="s">
        <v>142</v>
      </c>
      <c r="E144" s="38">
        <f t="shared" ref="E144:I144" si="33">IFERROR(E28/D28," ")</f>
        <v>0.62790697674418605</v>
      </c>
      <c r="F144" s="38">
        <f t="shared" si="33"/>
        <v>3.7037037037037035E-2</v>
      </c>
      <c r="G144" s="38">
        <f t="shared" si="33"/>
        <v>0</v>
      </c>
      <c r="H144" s="38" t="str">
        <f t="shared" si="33"/>
        <v xml:space="preserve"> </v>
      </c>
      <c r="I144" s="38" t="str">
        <f t="shared" si="33"/>
        <v xml:space="preserve"> </v>
      </c>
    </row>
    <row r="145" spans="2:9" ht="12.75">
      <c r="B145" s="13" t="s">
        <v>49</v>
      </c>
      <c r="C145" s="25" t="s">
        <v>147</v>
      </c>
      <c r="E145" s="38">
        <f t="shared" ref="E145:I145" si="34">IFERROR(E29/D29," ")</f>
        <v>0.48672566371681414</v>
      </c>
      <c r="F145" s="38">
        <f t="shared" si="34"/>
        <v>1.8181818181818181E-2</v>
      </c>
      <c r="G145" s="38">
        <f t="shared" si="34"/>
        <v>0</v>
      </c>
      <c r="H145" s="38" t="str">
        <f t="shared" si="34"/>
        <v xml:space="preserve"> </v>
      </c>
      <c r="I145" s="38" t="str">
        <f t="shared" si="34"/>
        <v xml:space="preserve"> </v>
      </c>
    </row>
    <row r="146" spans="2:9" ht="12.75">
      <c r="B146" s="13" t="s">
        <v>56</v>
      </c>
      <c r="C146" s="25" t="s">
        <v>147</v>
      </c>
      <c r="E146" s="38">
        <f t="shared" ref="E146:I146" si="35">IFERROR(E30/D30," ")</f>
        <v>0</v>
      </c>
      <c r="F146" s="38" t="str">
        <f t="shared" si="35"/>
        <v xml:space="preserve"> </v>
      </c>
      <c r="G146" s="38" t="str">
        <f t="shared" si="35"/>
        <v xml:space="preserve"> </v>
      </c>
      <c r="H146" s="38" t="str">
        <f t="shared" si="35"/>
        <v xml:space="preserve"> </v>
      </c>
      <c r="I146" s="38" t="str">
        <f t="shared" si="35"/>
        <v xml:space="preserve"> </v>
      </c>
    </row>
    <row r="147" spans="2:9" ht="12.75">
      <c r="B147" s="13" t="s">
        <v>70</v>
      </c>
      <c r="C147" s="25" t="s">
        <v>147</v>
      </c>
      <c r="E147" s="38">
        <f t="shared" ref="E147:I147" si="36">IFERROR(E31/D31," ")</f>
        <v>0.13333333333333333</v>
      </c>
      <c r="F147" s="38">
        <f t="shared" si="36"/>
        <v>0</v>
      </c>
      <c r="G147" s="38" t="str">
        <f t="shared" si="36"/>
        <v xml:space="preserve"> </v>
      </c>
      <c r="H147" s="38" t="str">
        <f t="shared" si="36"/>
        <v xml:space="preserve"> </v>
      </c>
      <c r="I147" s="38" t="str">
        <f t="shared" si="36"/>
        <v xml:space="preserve"> </v>
      </c>
    </row>
    <row r="148" spans="2:9" ht="12.75">
      <c r="B148" s="13" t="s">
        <v>85</v>
      </c>
      <c r="C148" s="25" t="s">
        <v>147</v>
      </c>
      <c r="E148" s="38">
        <f t="shared" ref="E148:I148" si="37">IFERROR(E32/D32," ")</f>
        <v>0.18181818181818182</v>
      </c>
      <c r="F148" s="38">
        <f t="shared" si="37"/>
        <v>0</v>
      </c>
      <c r="G148" s="38" t="str">
        <f t="shared" si="37"/>
        <v xml:space="preserve"> </v>
      </c>
      <c r="H148" s="38" t="str">
        <f t="shared" si="37"/>
        <v xml:space="preserve"> </v>
      </c>
      <c r="I148" s="38" t="str">
        <f t="shared" si="37"/>
        <v xml:space="preserve"> </v>
      </c>
    </row>
    <row r="149" spans="2:9" ht="12.75">
      <c r="B149" s="13" t="s">
        <v>101</v>
      </c>
      <c r="C149" s="25" t="s">
        <v>147</v>
      </c>
      <c r="E149" s="38">
        <f t="shared" ref="E149:I149" si="38">IFERROR(E33/D33," ")</f>
        <v>0.29927007299270075</v>
      </c>
      <c r="F149" s="38">
        <f t="shared" si="38"/>
        <v>4.878048780487805E-2</v>
      </c>
      <c r="G149" s="38">
        <f t="shared" si="38"/>
        <v>0.5</v>
      </c>
      <c r="H149" s="38">
        <f t="shared" si="38"/>
        <v>0</v>
      </c>
      <c r="I149" s="38" t="str">
        <f t="shared" si="38"/>
        <v xml:space="preserve"> </v>
      </c>
    </row>
    <row r="150" spans="2:9" ht="12.75">
      <c r="B150" s="13" t="s">
        <v>52</v>
      </c>
      <c r="C150" s="25" t="s">
        <v>142</v>
      </c>
      <c r="E150" s="38">
        <f t="shared" ref="E150:I150" si="39">IFERROR(E34/D34," ")</f>
        <v>8.3333333333333329E-2</v>
      </c>
      <c r="F150" s="38">
        <f t="shared" si="39"/>
        <v>1</v>
      </c>
      <c r="G150" s="38">
        <f t="shared" si="39"/>
        <v>0</v>
      </c>
      <c r="H150" s="38" t="str">
        <f t="shared" si="39"/>
        <v xml:space="preserve"> </v>
      </c>
      <c r="I150" s="38" t="str">
        <f t="shared" si="39"/>
        <v xml:space="preserve"> </v>
      </c>
    </row>
    <row r="151" spans="2:9" ht="12.75">
      <c r="B151" s="13" t="s">
        <v>61</v>
      </c>
      <c r="C151" s="25" t="s">
        <v>147</v>
      </c>
      <c r="E151" s="38">
        <f t="shared" ref="E151:I151" si="40">IFERROR(E35/D35," ")</f>
        <v>0</v>
      </c>
      <c r="F151" s="38" t="str">
        <f t="shared" si="40"/>
        <v xml:space="preserve"> </v>
      </c>
      <c r="G151" s="38">
        <f t="shared" si="40"/>
        <v>0</v>
      </c>
      <c r="H151" s="38" t="str">
        <f t="shared" si="40"/>
        <v xml:space="preserve"> </v>
      </c>
      <c r="I151" s="38" t="str">
        <f t="shared" si="40"/>
        <v xml:space="preserve"> </v>
      </c>
    </row>
    <row r="152" spans="2:9" ht="12.75">
      <c r="B152" s="13" t="s">
        <v>88</v>
      </c>
      <c r="C152" s="25" t="s">
        <v>142</v>
      </c>
      <c r="E152" s="38">
        <f t="shared" ref="E152:I152" si="41">IFERROR(E36/D36," ")</f>
        <v>0.26315789473684209</v>
      </c>
      <c r="F152" s="38">
        <f t="shared" si="41"/>
        <v>0.2</v>
      </c>
      <c r="G152" s="38">
        <f t="shared" si="41"/>
        <v>0</v>
      </c>
      <c r="H152" s="38" t="str">
        <f t="shared" si="41"/>
        <v xml:space="preserve"> </v>
      </c>
      <c r="I152" s="38" t="str">
        <f t="shared" si="41"/>
        <v xml:space="preserve"> </v>
      </c>
    </row>
    <row r="153" spans="2:9" ht="12.75">
      <c r="B153" s="13" t="s">
        <v>55</v>
      </c>
      <c r="C153" s="25" t="s">
        <v>142</v>
      </c>
      <c r="E153" s="38">
        <f t="shared" ref="E153:I153" si="42">IFERROR(E37/D37," ")</f>
        <v>0.35</v>
      </c>
      <c r="F153" s="38">
        <f t="shared" si="42"/>
        <v>0.2857142857142857</v>
      </c>
      <c r="G153" s="38">
        <f t="shared" si="42"/>
        <v>0</v>
      </c>
      <c r="H153" s="38" t="str">
        <f t="shared" si="42"/>
        <v xml:space="preserve"> </v>
      </c>
      <c r="I153" s="38" t="str">
        <f t="shared" si="42"/>
        <v xml:space="preserve"> </v>
      </c>
    </row>
    <row r="154" spans="2:9" ht="12.75">
      <c r="B154" s="13" t="s">
        <v>46</v>
      </c>
      <c r="C154" s="25" t="s">
        <v>147</v>
      </c>
      <c r="E154" s="38" t="str">
        <f t="shared" ref="E154:I154" si="43">IFERROR(E38/D38," ")</f>
        <v xml:space="preserve"> </v>
      </c>
      <c r="F154" s="38" t="str">
        <f t="shared" si="43"/>
        <v xml:space="preserve"> </v>
      </c>
      <c r="G154" s="38" t="str">
        <f t="shared" si="43"/>
        <v xml:space="preserve"> </v>
      </c>
      <c r="H154" s="38" t="str">
        <f t="shared" si="43"/>
        <v xml:space="preserve"> </v>
      </c>
      <c r="I154" s="38" t="str">
        <f t="shared" si="43"/>
        <v xml:space="preserve"> </v>
      </c>
    </row>
    <row r="155" spans="2:9" ht="12.75">
      <c r="B155" s="13" t="s">
        <v>133</v>
      </c>
      <c r="C155" s="25" t="s">
        <v>142</v>
      </c>
      <c r="E155" s="38" t="str">
        <f t="shared" ref="E155:I155" si="44">IFERROR(E39/D39," ")</f>
        <v xml:space="preserve"> </v>
      </c>
      <c r="F155" s="38" t="str">
        <f t="shared" si="44"/>
        <v xml:space="preserve"> </v>
      </c>
      <c r="G155" s="38" t="str">
        <f t="shared" si="44"/>
        <v xml:space="preserve"> </v>
      </c>
      <c r="H155" s="38" t="str">
        <f t="shared" si="44"/>
        <v xml:space="preserve"> </v>
      </c>
      <c r="I155" s="38" t="str">
        <f t="shared" si="44"/>
        <v xml:space="preserve"> </v>
      </c>
    </row>
    <row r="156" spans="2:9" ht="12.75">
      <c r="B156" s="13" t="s">
        <v>134</v>
      </c>
      <c r="C156" s="25" t="s">
        <v>142</v>
      </c>
      <c r="E156" s="38">
        <f t="shared" ref="E156:I156" si="45">IFERROR(E40/D40," ")</f>
        <v>0.51724137931034486</v>
      </c>
      <c r="F156" s="38">
        <f t="shared" si="45"/>
        <v>0</v>
      </c>
      <c r="G156" s="38" t="str">
        <f t="shared" si="45"/>
        <v xml:space="preserve"> </v>
      </c>
      <c r="H156" s="38" t="str">
        <f t="shared" si="45"/>
        <v xml:space="preserve"> </v>
      </c>
      <c r="I156" s="38" t="str">
        <f t="shared" si="45"/>
        <v xml:space="preserve"> </v>
      </c>
    </row>
    <row r="157" spans="2:9" ht="12.75">
      <c r="B157" s="13" t="s">
        <v>135</v>
      </c>
      <c r="C157" s="25" t="s">
        <v>147</v>
      </c>
      <c r="E157" s="38">
        <f t="shared" ref="E157:I157" si="46">IFERROR(E41/D41," ")</f>
        <v>1</v>
      </c>
      <c r="F157" s="38">
        <f t="shared" si="46"/>
        <v>0</v>
      </c>
      <c r="G157" s="38" t="str">
        <f t="shared" si="46"/>
        <v xml:space="preserve"> </v>
      </c>
      <c r="H157" s="38" t="str">
        <f t="shared" si="46"/>
        <v xml:space="preserve"> </v>
      </c>
      <c r="I157" s="38" t="str">
        <f t="shared" si="46"/>
        <v xml:space="preserve"> </v>
      </c>
    </row>
    <row r="158" spans="2:9" ht="12.75">
      <c r="B158" s="13" t="s">
        <v>136</v>
      </c>
      <c r="C158" s="25" t="s">
        <v>147</v>
      </c>
      <c r="E158" s="38">
        <f t="shared" ref="E158:I158" si="47">IFERROR(E42/D42," ")</f>
        <v>0</v>
      </c>
      <c r="F158" s="38" t="str">
        <f t="shared" si="47"/>
        <v xml:space="preserve"> </v>
      </c>
      <c r="G158" s="38" t="str">
        <f t="shared" si="47"/>
        <v xml:space="preserve"> </v>
      </c>
      <c r="H158" s="38">
        <f t="shared" si="47"/>
        <v>1</v>
      </c>
      <c r="I158" s="38">
        <f t="shared" si="47"/>
        <v>1</v>
      </c>
    </row>
    <row r="159" spans="2:9" ht="12.75">
      <c r="B159" s="13" t="s">
        <v>137</v>
      </c>
      <c r="C159" s="25" t="s">
        <v>147</v>
      </c>
      <c r="E159" s="38">
        <f t="shared" ref="E159:I159" si="48">IFERROR(E43/D43," ")</f>
        <v>1</v>
      </c>
      <c r="F159" s="38">
        <f t="shared" si="48"/>
        <v>0</v>
      </c>
      <c r="G159" s="38" t="str">
        <f t="shared" si="48"/>
        <v xml:space="preserve"> </v>
      </c>
      <c r="H159" s="38" t="str">
        <f t="shared" si="48"/>
        <v xml:space="preserve"> </v>
      </c>
      <c r="I159" s="38" t="str">
        <f t="shared" si="48"/>
        <v xml:space="preserve"> </v>
      </c>
    </row>
    <row r="160" spans="2:9" ht="12.75">
      <c r="B160" s="13" t="s">
        <v>32</v>
      </c>
      <c r="C160" s="25" t="s">
        <v>147</v>
      </c>
      <c r="E160" s="38">
        <f t="shared" ref="E160:I160" si="49">IFERROR(E44/D44," ")</f>
        <v>0.23529411764705882</v>
      </c>
      <c r="F160" s="38">
        <f t="shared" si="49"/>
        <v>0</v>
      </c>
      <c r="G160" s="38" t="str">
        <f t="shared" si="49"/>
        <v xml:space="preserve"> </v>
      </c>
      <c r="H160" s="38" t="str">
        <f t="shared" si="49"/>
        <v xml:space="preserve"> </v>
      </c>
      <c r="I160" s="38" t="str">
        <f t="shared" si="49"/>
        <v xml:space="preserve"> </v>
      </c>
    </row>
    <row r="161" spans="2:9" ht="12.75">
      <c r="B161" s="13" t="s">
        <v>26</v>
      </c>
      <c r="C161" s="25" t="s">
        <v>147</v>
      </c>
      <c r="E161" s="38">
        <f t="shared" ref="E161:I161" si="50">IFERROR(E45/D45," ")</f>
        <v>0.33333333333333331</v>
      </c>
      <c r="F161" s="38">
        <f t="shared" si="50"/>
        <v>0</v>
      </c>
      <c r="G161" s="38" t="str">
        <f t="shared" si="50"/>
        <v xml:space="preserve"> </v>
      </c>
      <c r="H161" s="38" t="str">
        <f t="shared" si="50"/>
        <v xml:space="preserve"> </v>
      </c>
      <c r="I161" s="38" t="str">
        <f t="shared" si="50"/>
        <v xml:space="preserve"> </v>
      </c>
    </row>
    <row r="162" spans="2:9" ht="12.75">
      <c r="B162" s="13" t="s">
        <v>45</v>
      </c>
      <c r="C162" s="25" t="s">
        <v>147</v>
      </c>
      <c r="E162" s="38" t="str">
        <f t="shared" ref="E162:I162" si="51">IFERROR(E46/D46," ")</f>
        <v xml:space="preserve"> </v>
      </c>
      <c r="F162" s="38" t="str">
        <f t="shared" si="51"/>
        <v xml:space="preserve"> </v>
      </c>
      <c r="G162" s="38" t="str">
        <f t="shared" si="51"/>
        <v xml:space="preserve"> </v>
      </c>
      <c r="H162" s="38" t="str">
        <f t="shared" si="51"/>
        <v xml:space="preserve"> </v>
      </c>
      <c r="I162" s="38" t="str">
        <f t="shared" si="51"/>
        <v xml:space="preserve"> </v>
      </c>
    </row>
    <row r="163" spans="2:9" ht="12.75">
      <c r="B163" s="13" t="s">
        <v>73</v>
      </c>
      <c r="C163" s="25" t="s">
        <v>147</v>
      </c>
      <c r="E163" s="38">
        <f t="shared" ref="E163:I163" si="52">IFERROR(E47/D47," ")</f>
        <v>9.0909090909090912E-2</v>
      </c>
      <c r="F163" s="38">
        <f t="shared" si="52"/>
        <v>0</v>
      </c>
      <c r="G163" s="38" t="str">
        <f t="shared" si="52"/>
        <v xml:space="preserve"> </v>
      </c>
      <c r="H163" s="38" t="str">
        <f t="shared" si="52"/>
        <v xml:space="preserve"> </v>
      </c>
      <c r="I163" s="38" t="str">
        <f t="shared" si="52"/>
        <v xml:space="preserve"> </v>
      </c>
    </row>
    <row r="164" spans="2:9" ht="12.75">
      <c r="B164" s="13" t="s">
        <v>54</v>
      </c>
      <c r="C164" s="25" t="s">
        <v>147</v>
      </c>
      <c r="E164" s="38">
        <f t="shared" ref="E164:I164" si="53">IFERROR(E48/D48," ")</f>
        <v>0.29545454545454547</v>
      </c>
      <c r="F164" s="38">
        <f t="shared" si="53"/>
        <v>0</v>
      </c>
      <c r="G164" s="38" t="str">
        <f t="shared" si="53"/>
        <v xml:space="preserve"> </v>
      </c>
      <c r="H164" s="38">
        <f t="shared" si="53"/>
        <v>0</v>
      </c>
      <c r="I164" s="38" t="str">
        <f t="shared" si="53"/>
        <v xml:space="preserve"> </v>
      </c>
    </row>
    <row r="165" spans="2:9" ht="12.75">
      <c r="B165" s="13" t="s">
        <v>79</v>
      </c>
      <c r="C165" s="25" t="s">
        <v>147</v>
      </c>
      <c r="E165" s="38">
        <f t="shared" ref="E165:I165" si="54">IFERROR(E49/D49," ")</f>
        <v>0.125</v>
      </c>
      <c r="F165" s="38">
        <f t="shared" si="54"/>
        <v>0</v>
      </c>
      <c r="G165" s="38" t="str">
        <f t="shared" si="54"/>
        <v xml:space="preserve"> </v>
      </c>
      <c r="H165" s="38" t="str">
        <f t="shared" si="54"/>
        <v xml:space="preserve"> </v>
      </c>
      <c r="I165" s="38" t="str">
        <f t="shared" si="54"/>
        <v xml:space="preserve"> </v>
      </c>
    </row>
    <row r="166" spans="2:9" ht="12.75">
      <c r="B166" s="13" t="s">
        <v>50</v>
      </c>
      <c r="C166" s="25" t="s">
        <v>147</v>
      </c>
      <c r="E166" s="38">
        <f t="shared" ref="E166:I166" si="55">IFERROR(E50/D50," ")</f>
        <v>0</v>
      </c>
      <c r="F166" s="38" t="str">
        <f t="shared" si="55"/>
        <v xml:space="preserve"> </v>
      </c>
      <c r="G166" s="38" t="str">
        <f t="shared" si="55"/>
        <v xml:space="preserve"> </v>
      </c>
      <c r="H166" s="38" t="str">
        <f t="shared" si="55"/>
        <v xml:space="preserve"> </v>
      </c>
      <c r="I166" s="38" t="str">
        <f t="shared" si="55"/>
        <v xml:space="preserve"> </v>
      </c>
    </row>
    <row r="167" spans="2:9" ht="12.75">
      <c r="B167" s="13" t="s">
        <v>36</v>
      </c>
      <c r="C167" s="25" t="s">
        <v>147</v>
      </c>
      <c r="E167" s="38">
        <f t="shared" ref="E167:I167" si="56">IFERROR(E51/D51," ")</f>
        <v>0.2857142857142857</v>
      </c>
      <c r="F167" s="38">
        <f t="shared" si="56"/>
        <v>0</v>
      </c>
      <c r="G167" s="38" t="str">
        <f t="shared" si="56"/>
        <v xml:space="preserve"> </v>
      </c>
      <c r="H167" s="38" t="str">
        <f t="shared" si="56"/>
        <v xml:space="preserve"> </v>
      </c>
      <c r="I167" s="38" t="str">
        <f t="shared" si="56"/>
        <v xml:space="preserve"> </v>
      </c>
    </row>
    <row r="168" spans="2:9" ht="12.75">
      <c r="B168" s="13" t="s">
        <v>48</v>
      </c>
      <c r="C168" s="25" t="s">
        <v>147</v>
      </c>
      <c r="E168" s="38">
        <f t="shared" ref="E168:I168" si="57">IFERROR(E52/D52," ")</f>
        <v>0.25</v>
      </c>
      <c r="F168" s="38">
        <f t="shared" si="57"/>
        <v>0</v>
      </c>
      <c r="G168" s="38" t="str">
        <f t="shared" si="57"/>
        <v xml:space="preserve"> </v>
      </c>
      <c r="H168" s="38" t="str">
        <f t="shared" si="57"/>
        <v xml:space="preserve"> </v>
      </c>
      <c r="I168" s="38" t="str">
        <f t="shared" si="57"/>
        <v xml:space="preserve"> </v>
      </c>
    </row>
    <row r="169" spans="2:9" ht="12.75">
      <c r="B169" s="13" t="s">
        <v>33</v>
      </c>
      <c r="C169" s="25" t="s">
        <v>147</v>
      </c>
      <c r="E169" s="38" t="str">
        <f t="shared" ref="E169:I169" si="58">IFERROR(E53/D53," ")</f>
        <v xml:space="preserve"> </v>
      </c>
      <c r="F169" s="38" t="str">
        <f t="shared" si="58"/>
        <v xml:space="preserve"> </v>
      </c>
      <c r="G169" s="38" t="str">
        <f t="shared" si="58"/>
        <v xml:space="preserve"> </v>
      </c>
      <c r="H169" s="38" t="str">
        <f t="shared" si="58"/>
        <v xml:space="preserve"> </v>
      </c>
      <c r="I169" s="38" t="str">
        <f t="shared" si="58"/>
        <v xml:space="preserve"> </v>
      </c>
    </row>
    <row r="170" spans="2:9" ht="12.75">
      <c r="B170" s="13" t="s">
        <v>140</v>
      </c>
      <c r="C170" s="25" t="s">
        <v>142</v>
      </c>
      <c r="E170" s="38">
        <f t="shared" ref="E170:I170" si="59">IFERROR(E54/D54," ")</f>
        <v>1</v>
      </c>
      <c r="F170" s="38">
        <f t="shared" si="59"/>
        <v>0</v>
      </c>
      <c r="G170" s="38" t="str">
        <f t="shared" si="59"/>
        <v xml:space="preserve"> </v>
      </c>
      <c r="H170" s="38" t="str">
        <f t="shared" si="59"/>
        <v xml:space="preserve"> </v>
      </c>
      <c r="I170" s="38" t="str">
        <f t="shared" si="59"/>
        <v xml:space="preserve"> </v>
      </c>
    </row>
    <row r="171" spans="2:9" ht="12.75">
      <c r="B171" s="13" t="s">
        <v>116</v>
      </c>
      <c r="C171" s="25" t="s">
        <v>147</v>
      </c>
      <c r="E171" s="38">
        <f t="shared" ref="E171:I171" si="60">IFERROR(E55/D55," ")</f>
        <v>0.52</v>
      </c>
      <c r="F171" s="38">
        <f t="shared" si="60"/>
        <v>7.6923076923076927E-2</v>
      </c>
      <c r="G171" s="38">
        <f t="shared" si="60"/>
        <v>1</v>
      </c>
      <c r="H171" s="38">
        <f t="shared" si="60"/>
        <v>0</v>
      </c>
      <c r="I171" s="38" t="str">
        <f t="shared" si="60"/>
        <v xml:space="preserve"> </v>
      </c>
    </row>
    <row r="172" spans="2:9" ht="12.75">
      <c r="B172" s="13" t="s">
        <v>72</v>
      </c>
      <c r="C172" s="25" t="s">
        <v>147</v>
      </c>
      <c r="E172" s="38" t="str">
        <f t="shared" ref="E172:I172" si="61">IFERROR(E56/D56," ")</f>
        <v xml:space="preserve"> </v>
      </c>
      <c r="F172" s="38" t="str">
        <f t="shared" si="61"/>
        <v xml:space="preserve"> </v>
      </c>
      <c r="G172" s="38" t="str">
        <f t="shared" si="61"/>
        <v xml:space="preserve"> </v>
      </c>
      <c r="H172" s="38" t="str">
        <f t="shared" si="61"/>
        <v xml:space="preserve"> </v>
      </c>
      <c r="I172" s="38" t="str">
        <f t="shared" si="61"/>
        <v xml:space="preserve"> </v>
      </c>
    </row>
    <row r="173" spans="2:9" ht="12.75">
      <c r="B173" s="13" t="s">
        <v>141</v>
      </c>
      <c r="C173" s="25" t="s">
        <v>142</v>
      </c>
      <c r="E173" s="38">
        <f t="shared" ref="E173:I173" si="62">IFERROR(E57/D57," ")</f>
        <v>0.22727272727272727</v>
      </c>
      <c r="F173" s="38">
        <f t="shared" si="62"/>
        <v>0</v>
      </c>
      <c r="G173" s="38" t="str">
        <f t="shared" si="62"/>
        <v xml:space="preserve"> </v>
      </c>
      <c r="H173" s="38" t="str">
        <f t="shared" si="62"/>
        <v xml:space="preserve"> </v>
      </c>
      <c r="I173" s="38" t="str">
        <f t="shared" si="62"/>
        <v xml:space="preserve"> </v>
      </c>
    </row>
    <row r="174" spans="2:9" ht="12.75">
      <c r="B174" s="13" t="s">
        <v>94</v>
      </c>
      <c r="C174" s="25" t="s">
        <v>142</v>
      </c>
      <c r="E174" s="38">
        <f t="shared" ref="E174:I174" si="63">IFERROR(E58/D58," ")</f>
        <v>0.36666666666666664</v>
      </c>
      <c r="F174" s="38">
        <f t="shared" si="63"/>
        <v>0.18181818181818182</v>
      </c>
      <c r="G174" s="38">
        <f t="shared" si="63"/>
        <v>0</v>
      </c>
      <c r="H174" s="38" t="str">
        <f t="shared" si="63"/>
        <v xml:space="preserve"> </v>
      </c>
      <c r="I174" s="38" t="str">
        <f t="shared" si="63"/>
        <v xml:space="preserve"> </v>
      </c>
    </row>
    <row r="175" spans="2:9" ht="12.75">
      <c r="B175" s="13" t="s">
        <v>21</v>
      </c>
      <c r="C175" s="25" t="s">
        <v>147</v>
      </c>
      <c r="E175" s="38">
        <f t="shared" ref="E175:I175" si="64">IFERROR(E59/D59," ")</f>
        <v>0</v>
      </c>
      <c r="F175" s="38" t="str">
        <f t="shared" si="64"/>
        <v xml:space="preserve"> </v>
      </c>
      <c r="G175" s="38" t="str">
        <f t="shared" si="64"/>
        <v xml:space="preserve"> </v>
      </c>
      <c r="H175" s="38" t="str">
        <f t="shared" si="64"/>
        <v xml:space="preserve"> </v>
      </c>
      <c r="I175" s="38" t="str">
        <f t="shared" si="64"/>
        <v xml:space="preserve"> </v>
      </c>
    </row>
    <row r="176" spans="2:9" ht="12.75">
      <c r="B176" s="13" t="s">
        <v>99</v>
      </c>
      <c r="C176" s="25" t="s">
        <v>147</v>
      </c>
      <c r="E176" s="38">
        <f t="shared" ref="E176:I176" si="65">IFERROR(E60/D60," ")</f>
        <v>0.26666666666666666</v>
      </c>
      <c r="F176" s="38">
        <f t="shared" si="65"/>
        <v>0</v>
      </c>
      <c r="G176" s="38" t="str">
        <f t="shared" si="65"/>
        <v xml:space="preserve"> </v>
      </c>
      <c r="H176" s="38" t="str">
        <f t="shared" si="65"/>
        <v xml:space="preserve"> </v>
      </c>
      <c r="I176" s="38" t="str">
        <f t="shared" si="65"/>
        <v xml:space="preserve"> </v>
      </c>
    </row>
    <row r="177" spans="2:9" ht="12.75">
      <c r="B177" s="13" t="s">
        <v>62</v>
      </c>
      <c r="C177" s="25" t="s">
        <v>147</v>
      </c>
      <c r="E177" s="38" t="str">
        <f t="shared" ref="E177:I177" si="66">IFERROR(E61/D61," ")</f>
        <v xml:space="preserve"> </v>
      </c>
      <c r="F177" s="38" t="str">
        <f t="shared" si="66"/>
        <v xml:space="preserve"> </v>
      </c>
      <c r="G177" s="38" t="str">
        <f t="shared" si="66"/>
        <v xml:space="preserve"> </v>
      </c>
      <c r="H177" s="38" t="str">
        <f t="shared" si="66"/>
        <v xml:space="preserve"> </v>
      </c>
      <c r="I177" s="38" t="str">
        <f t="shared" si="66"/>
        <v xml:space="preserve"> </v>
      </c>
    </row>
    <row r="178" spans="2:9" ht="12.75">
      <c r="B178" s="13" t="s">
        <v>111</v>
      </c>
      <c r="C178" s="25" t="s">
        <v>142</v>
      </c>
      <c r="E178" s="38">
        <f t="shared" ref="E178:I178" si="67">IFERROR(E62/D62," ")</f>
        <v>0</v>
      </c>
      <c r="F178" s="38" t="str">
        <f t="shared" si="67"/>
        <v xml:space="preserve"> </v>
      </c>
      <c r="G178" s="38" t="str">
        <f t="shared" si="67"/>
        <v xml:space="preserve"> </v>
      </c>
      <c r="H178" s="38" t="str">
        <f t="shared" si="67"/>
        <v xml:space="preserve"> </v>
      </c>
      <c r="I178" s="38" t="str">
        <f t="shared" si="67"/>
        <v xml:space="preserve"> </v>
      </c>
    </row>
    <row r="179" spans="2:9" ht="12.75">
      <c r="B179" s="13" t="s">
        <v>77</v>
      </c>
      <c r="C179" s="25" t="s">
        <v>147</v>
      </c>
      <c r="E179" s="38" t="str">
        <f t="shared" ref="E179:I179" si="68">IFERROR(E63/D63," ")</f>
        <v xml:space="preserve"> </v>
      </c>
      <c r="F179" s="38" t="str">
        <f t="shared" si="68"/>
        <v xml:space="preserve"> </v>
      </c>
      <c r="G179" s="38" t="str">
        <f t="shared" si="68"/>
        <v xml:space="preserve"> </v>
      </c>
      <c r="H179" s="38" t="str">
        <f t="shared" si="68"/>
        <v xml:space="preserve"> </v>
      </c>
      <c r="I179" s="38" t="str">
        <f t="shared" si="68"/>
        <v xml:space="preserve"> </v>
      </c>
    </row>
    <row r="180" spans="2:9" ht="12.75">
      <c r="B180" s="13" t="s">
        <v>65</v>
      </c>
      <c r="C180" s="25" t="s">
        <v>147</v>
      </c>
      <c r="E180" s="38" t="str">
        <f t="shared" ref="E180:I180" si="69">IFERROR(E64/D64," ")</f>
        <v xml:space="preserve"> </v>
      </c>
      <c r="F180" s="38" t="str">
        <f t="shared" si="69"/>
        <v xml:space="preserve"> </v>
      </c>
      <c r="G180" s="38" t="str">
        <f t="shared" si="69"/>
        <v xml:space="preserve"> </v>
      </c>
      <c r="H180" s="38" t="str">
        <f t="shared" si="69"/>
        <v xml:space="preserve"> </v>
      </c>
      <c r="I180" s="38" t="str">
        <f t="shared" si="69"/>
        <v xml:space="preserve"> </v>
      </c>
    </row>
    <row r="181" spans="2:9" ht="12.75">
      <c r="B181" s="13" t="s">
        <v>75</v>
      </c>
      <c r="C181" s="25" t="s">
        <v>142</v>
      </c>
      <c r="E181" s="38">
        <f t="shared" ref="E181:I181" si="70">IFERROR(E65/D65," ")</f>
        <v>0.25454545454545452</v>
      </c>
      <c r="F181" s="38">
        <f t="shared" si="70"/>
        <v>0</v>
      </c>
      <c r="G181" s="38" t="str">
        <f t="shared" si="70"/>
        <v xml:space="preserve"> </v>
      </c>
      <c r="H181" s="38" t="str">
        <f t="shared" si="70"/>
        <v xml:space="preserve"> </v>
      </c>
      <c r="I181" s="38" t="str">
        <f t="shared" si="70"/>
        <v xml:space="preserve"> </v>
      </c>
    </row>
    <row r="182" spans="2:9" ht="12.75">
      <c r="B182" s="13" t="s">
        <v>47</v>
      </c>
      <c r="C182" s="25" t="s">
        <v>147</v>
      </c>
      <c r="E182" s="38" t="str">
        <f t="shared" ref="E182:I182" si="71">IFERROR(E66/D66," ")</f>
        <v xml:space="preserve"> </v>
      </c>
      <c r="F182" s="38" t="str">
        <f t="shared" si="71"/>
        <v xml:space="preserve"> </v>
      </c>
      <c r="G182" s="38" t="str">
        <f t="shared" si="71"/>
        <v xml:space="preserve"> </v>
      </c>
      <c r="H182" s="38" t="str">
        <f t="shared" si="71"/>
        <v xml:space="preserve"> </v>
      </c>
      <c r="I182" s="38" t="str">
        <f t="shared" si="71"/>
        <v xml:space="preserve"> </v>
      </c>
    </row>
    <row r="183" spans="2:9" ht="12.75">
      <c r="B183" s="13" t="s">
        <v>30</v>
      </c>
      <c r="C183" s="25" t="s">
        <v>147</v>
      </c>
      <c r="E183" s="38">
        <f t="shared" ref="E183:I183" si="72">IFERROR(E67/D67," ")</f>
        <v>0.23404255319148937</v>
      </c>
      <c r="F183" s="38">
        <f t="shared" si="72"/>
        <v>0.18181818181818182</v>
      </c>
      <c r="G183" s="38">
        <f t="shared" si="72"/>
        <v>0</v>
      </c>
      <c r="H183" s="38" t="str">
        <f t="shared" si="72"/>
        <v xml:space="preserve"> </v>
      </c>
      <c r="I183" s="38" t="str">
        <f t="shared" si="72"/>
        <v xml:space="preserve"> </v>
      </c>
    </row>
    <row r="184" spans="2:9" ht="12.75">
      <c r="B184" s="13" t="s">
        <v>95</v>
      </c>
      <c r="C184" s="25" t="s">
        <v>147</v>
      </c>
      <c r="E184" s="38">
        <f t="shared" ref="E184:I184" si="73">IFERROR(E68/D68," ")</f>
        <v>0.23076923076923078</v>
      </c>
      <c r="F184" s="38">
        <f t="shared" si="73"/>
        <v>0.33333333333333331</v>
      </c>
      <c r="G184" s="38">
        <f t="shared" si="73"/>
        <v>0</v>
      </c>
      <c r="H184" s="38" t="str">
        <f t="shared" si="73"/>
        <v xml:space="preserve"> </v>
      </c>
      <c r="I184" s="38" t="str">
        <f t="shared" si="73"/>
        <v xml:space="preserve"> </v>
      </c>
    </row>
    <row r="185" spans="2:9" ht="12.75">
      <c r="B185" s="13" t="s">
        <v>22</v>
      </c>
      <c r="C185" s="25" t="s">
        <v>147</v>
      </c>
      <c r="E185" s="38">
        <f t="shared" ref="E185:I185" si="74">IFERROR(E69/D69," ")</f>
        <v>0.26470588235294118</v>
      </c>
      <c r="F185" s="38">
        <f t="shared" si="74"/>
        <v>0</v>
      </c>
      <c r="G185" s="38" t="str">
        <f t="shared" si="74"/>
        <v xml:space="preserve"> </v>
      </c>
      <c r="H185" s="38" t="str">
        <f t="shared" si="74"/>
        <v xml:space="preserve"> </v>
      </c>
      <c r="I185" s="38" t="str">
        <f t="shared" si="74"/>
        <v xml:space="preserve"> </v>
      </c>
    </row>
    <row r="186" spans="2:9" ht="12.75">
      <c r="B186" s="13" t="s">
        <v>110</v>
      </c>
      <c r="C186" s="25" t="s">
        <v>147</v>
      </c>
      <c r="E186" s="38">
        <f t="shared" ref="E186:I186" si="75">IFERROR(E70/D70," ")</f>
        <v>0.16853932584269662</v>
      </c>
      <c r="F186" s="38">
        <f t="shared" si="75"/>
        <v>0</v>
      </c>
      <c r="G186" s="38" t="str">
        <f t="shared" si="75"/>
        <v xml:space="preserve"> </v>
      </c>
      <c r="H186" s="38" t="str">
        <f t="shared" si="75"/>
        <v xml:space="preserve"> </v>
      </c>
      <c r="I186" s="38" t="str">
        <f t="shared" si="75"/>
        <v xml:space="preserve"> </v>
      </c>
    </row>
    <row r="187" spans="2:9" ht="12.75">
      <c r="B187" s="13" t="s">
        <v>42</v>
      </c>
      <c r="C187" s="25" t="s">
        <v>147</v>
      </c>
      <c r="E187" s="38">
        <f t="shared" ref="E187:I187" si="76">IFERROR(E71/D71," ")</f>
        <v>0.46551724137931033</v>
      </c>
      <c r="F187" s="38">
        <f t="shared" si="76"/>
        <v>0.1111111111111111</v>
      </c>
      <c r="G187" s="38">
        <f t="shared" si="76"/>
        <v>0</v>
      </c>
      <c r="H187" s="38" t="str">
        <f t="shared" si="76"/>
        <v xml:space="preserve"> </v>
      </c>
      <c r="I187" s="38" t="str">
        <f t="shared" si="76"/>
        <v xml:space="preserve"> </v>
      </c>
    </row>
    <row r="188" spans="2:9" ht="12.75">
      <c r="B188" s="13" t="s">
        <v>118</v>
      </c>
      <c r="C188" s="25" t="s">
        <v>142</v>
      </c>
      <c r="E188" s="38">
        <f t="shared" ref="E188:I188" si="77">IFERROR(E72/D72," ")</f>
        <v>0.30952380952380953</v>
      </c>
      <c r="F188" s="38">
        <f t="shared" si="77"/>
        <v>0</v>
      </c>
      <c r="G188" s="38" t="str">
        <f t="shared" si="77"/>
        <v xml:space="preserve"> </v>
      </c>
      <c r="H188" s="38" t="str">
        <f t="shared" si="77"/>
        <v xml:space="preserve"> </v>
      </c>
      <c r="I188" s="38" t="str">
        <f t="shared" si="77"/>
        <v xml:space="preserve"> </v>
      </c>
    </row>
    <row r="189" spans="2:9" ht="12.75">
      <c r="B189" s="13" t="s">
        <v>38</v>
      </c>
      <c r="C189" s="25" t="s">
        <v>147</v>
      </c>
      <c r="E189" s="38">
        <f t="shared" ref="E189:I189" si="78">IFERROR(E73/D73," ")</f>
        <v>0.16129032258064516</v>
      </c>
      <c r="F189" s="38">
        <f t="shared" si="78"/>
        <v>0.4</v>
      </c>
      <c r="G189" s="38">
        <f t="shared" si="78"/>
        <v>0</v>
      </c>
      <c r="H189" s="38" t="str">
        <f t="shared" si="78"/>
        <v xml:space="preserve"> </v>
      </c>
      <c r="I189" s="38" t="str">
        <f t="shared" si="78"/>
        <v xml:space="preserve"> </v>
      </c>
    </row>
    <row r="190" spans="2:9" ht="12.75">
      <c r="B190" s="13" t="s">
        <v>86</v>
      </c>
      <c r="C190" s="25" t="s">
        <v>147</v>
      </c>
      <c r="E190" s="38">
        <f t="shared" ref="E190:I190" si="79">IFERROR(E74/D74," ")</f>
        <v>0</v>
      </c>
      <c r="F190" s="38" t="str">
        <f t="shared" si="79"/>
        <v xml:space="preserve"> </v>
      </c>
      <c r="G190" s="38" t="str">
        <f t="shared" si="79"/>
        <v xml:space="preserve"> </v>
      </c>
      <c r="H190" s="38" t="str">
        <f t="shared" si="79"/>
        <v xml:space="preserve"> </v>
      </c>
      <c r="I190" s="38" t="str">
        <f t="shared" si="79"/>
        <v xml:space="preserve"> </v>
      </c>
    </row>
    <row r="191" spans="2:9" ht="12.75">
      <c r="B191" s="13" t="s">
        <v>78</v>
      </c>
      <c r="C191" s="25" t="s">
        <v>147</v>
      </c>
      <c r="E191" s="38">
        <f t="shared" ref="E191:I191" si="80">IFERROR(E75/D75," ")</f>
        <v>0.5625</v>
      </c>
      <c r="F191" s="38">
        <f t="shared" si="80"/>
        <v>0</v>
      </c>
      <c r="G191" s="38" t="str">
        <f t="shared" si="80"/>
        <v xml:space="preserve"> </v>
      </c>
      <c r="H191" s="38" t="str">
        <f t="shared" si="80"/>
        <v xml:space="preserve"> </v>
      </c>
      <c r="I191" s="38" t="str">
        <f t="shared" si="80"/>
        <v xml:space="preserve"> </v>
      </c>
    </row>
    <row r="192" spans="2:9" ht="12.75">
      <c r="B192" s="13" t="s">
        <v>96</v>
      </c>
      <c r="C192" s="25" t="s">
        <v>147</v>
      </c>
      <c r="E192" s="38">
        <f t="shared" ref="E192:I192" si="81">IFERROR(E76/D76," ")</f>
        <v>0.16250000000000001</v>
      </c>
      <c r="F192" s="38">
        <f t="shared" si="81"/>
        <v>0</v>
      </c>
      <c r="G192" s="38" t="str">
        <f t="shared" si="81"/>
        <v xml:space="preserve"> </v>
      </c>
      <c r="H192" s="38" t="str">
        <f t="shared" si="81"/>
        <v xml:space="preserve"> </v>
      </c>
      <c r="I192" s="38" t="str">
        <f t="shared" si="81"/>
        <v xml:space="preserve"> </v>
      </c>
    </row>
    <row r="193" spans="2:9" ht="12.75">
      <c r="B193" s="13" t="s">
        <v>17</v>
      </c>
      <c r="C193" s="25" t="s">
        <v>147</v>
      </c>
      <c r="E193" s="38">
        <f t="shared" ref="E193:I193" si="82">IFERROR(E77/D77," ")</f>
        <v>0.31746031746031744</v>
      </c>
      <c r="F193" s="38">
        <f t="shared" si="82"/>
        <v>0</v>
      </c>
      <c r="G193" s="38" t="str">
        <f t="shared" si="82"/>
        <v xml:space="preserve"> </v>
      </c>
      <c r="H193" s="38" t="str">
        <f t="shared" si="82"/>
        <v xml:space="preserve"> </v>
      </c>
      <c r="I193" s="38" t="str">
        <f t="shared" si="82"/>
        <v xml:space="preserve"> </v>
      </c>
    </row>
    <row r="194" spans="2:9" ht="12.75">
      <c r="B194" s="13" t="s">
        <v>97</v>
      </c>
      <c r="C194" s="25" t="s">
        <v>147</v>
      </c>
      <c r="E194" s="38">
        <f t="shared" ref="E194:I194" si="83">IFERROR(E78/D78," ")</f>
        <v>0.2</v>
      </c>
      <c r="F194" s="38">
        <f t="shared" si="83"/>
        <v>0.25</v>
      </c>
      <c r="G194" s="38">
        <f t="shared" si="83"/>
        <v>0</v>
      </c>
      <c r="H194" s="38" t="str">
        <f t="shared" si="83"/>
        <v xml:space="preserve"> </v>
      </c>
      <c r="I194" s="38" t="str">
        <f t="shared" si="83"/>
        <v xml:space="preserve"> </v>
      </c>
    </row>
    <row r="195" spans="2:9" ht="12.75">
      <c r="B195" s="13" t="s">
        <v>122</v>
      </c>
      <c r="C195" s="13" t="s">
        <v>147</v>
      </c>
      <c r="E195" s="38">
        <f t="shared" ref="E195:I195" si="84">IFERROR(E79/D79," ")</f>
        <v>5.2631578947368418E-2</v>
      </c>
      <c r="F195" s="38">
        <f t="shared" si="84"/>
        <v>1</v>
      </c>
      <c r="G195" s="38">
        <f t="shared" si="84"/>
        <v>0</v>
      </c>
      <c r="H195" s="38" t="str">
        <f t="shared" si="84"/>
        <v xml:space="preserve"> </v>
      </c>
      <c r="I195" s="38" t="str">
        <f t="shared" si="84"/>
        <v xml:space="preserve"> </v>
      </c>
    </row>
    <row r="196" spans="2:9" ht="12.75">
      <c r="B196" s="13" t="s">
        <v>123</v>
      </c>
      <c r="C196" s="25" t="s">
        <v>147</v>
      </c>
      <c r="E196" s="38">
        <f t="shared" ref="E196:I196" si="85">IFERROR(E80/D80," ")</f>
        <v>0.1875</v>
      </c>
      <c r="F196" s="38">
        <f t="shared" si="85"/>
        <v>0.16666666666666666</v>
      </c>
      <c r="G196" s="38">
        <f t="shared" si="85"/>
        <v>0</v>
      </c>
      <c r="H196" s="38" t="str">
        <f t="shared" si="85"/>
        <v xml:space="preserve"> </v>
      </c>
      <c r="I196" s="38" t="str">
        <f t="shared" si="85"/>
        <v xml:space="preserve"> </v>
      </c>
    </row>
    <row r="197" spans="2:9" ht="12.75">
      <c r="B197" s="13" t="s">
        <v>27</v>
      </c>
      <c r="C197" s="25" t="s">
        <v>147</v>
      </c>
      <c r="E197" s="38">
        <f t="shared" ref="E197:I197" si="86">IFERROR(E81/D81," ")</f>
        <v>0.17647058823529413</v>
      </c>
      <c r="F197" s="38">
        <f t="shared" si="86"/>
        <v>0.16666666666666666</v>
      </c>
      <c r="G197" s="38">
        <f t="shared" si="86"/>
        <v>0</v>
      </c>
      <c r="H197" s="38" t="str">
        <f t="shared" si="86"/>
        <v xml:space="preserve"> </v>
      </c>
      <c r="I197" s="38" t="str">
        <f t="shared" si="86"/>
        <v xml:space="preserve"> </v>
      </c>
    </row>
    <row r="198" spans="2:9" ht="12.75">
      <c r="B198" s="13" t="s">
        <v>69</v>
      </c>
      <c r="C198" s="25" t="s">
        <v>147</v>
      </c>
      <c r="E198" s="38">
        <f t="shared" ref="E198:I198" si="87">IFERROR(E82/D82," ")</f>
        <v>5.8823529411764705E-2</v>
      </c>
      <c r="F198" s="38">
        <f t="shared" si="87"/>
        <v>0</v>
      </c>
      <c r="G198" s="38" t="str">
        <f t="shared" si="87"/>
        <v xml:space="preserve"> </v>
      </c>
      <c r="H198" s="38" t="str">
        <f t="shared" si="87"/>
        <v xml:space="preserve"> </v>
      </c>
      <c r="I198" s="38" t="str">
        <f t="shared" si="87"/>
        <v xml:space="preserve"> </v>
      </c>
    </row>
    <row r="199" spans="2:9" ht="12.75">
      <c r="B199" s="13" t="s">
        <v>125</v>
      </c>
      <c r="C199" s="25" t="s">
        <v>147</v>
      </c>
      <c r="E199" s="38">
        <f t="shared" ref="E199:I199" si="88">IFERROR(E83/D83," ")</f>
        <v>0</v>
      </c>
      <c r="F199" s="38" t="str">
        <f t="shared" si="88"/>
        <v xml:space="preserve"> </v>
      </c>
      <c r="G199" s="38" t="str">
        <f t="shared" si="88"/>
        <v xml:space="preserve"> </v>
      </c>
      <c r="H199" s="38" t="str">
        <f t="shared" si="88"/>
        <v xml:space="preserve"> </v>
      </c>
      <c r="I199" s="38" t="str">
        <f t="shared" si="88"/>
        <v xml:space="preserve"> </v>
      </c>
    </row>
    <row r="200" spans="2:9" ht="12.75">
      <c r="B200" s="13" t="s">
        <v>124</v>
      </c>
      <c r="C200" s="25" t="s">
        <v>147</v>
      </c>
      <c r="E200" s="38">
        <f t="shared" ref="E200:I200" si="89">IFERROR(E84/D84," ")</f>
        <v>0</v>
      </c>
      <c r="F200" s="38" t="str">
        <f t="shared" si="89"/>
        <v xml:space="preserve"> </v>
      </c>
      <c r="G200" s="38" t="str">
        <f t="shared" si="89"/>
        <v xml:space="preserve"> </v>
      </c>
      <c r="H200" s="38" t="str">
        <f t="shared" si="89"/>
        <v xml:space="preserve"> </v>
      </c>
      <c r="I200" s="38" t="str">
        <f t="shared" si="89"/>
        <v xml:space="preserve"> </v>
      </c>
    </row>
    <row r="201" spans="2:9" ht="12.75">
      <c r="B201" s="13" t="s">
        <v>128</v>
      </c>
      <c r="C201" s="25" t="s">
        <v>142</v>
      </c>
      <c r="E201" s="38">
        <f t="shared" ref="E201:I201" si="90">IFERROR(E85/D85," ")</f>
        <v>0.125</v>
      </c>
      <c r="F201" s="38">
        <f t="shared" si="90"/>
        <v>0.33333333333333331</v>
      </c>
      <c r="G201" s="38">
        <f t="shared" si="90"/>
        <v>0</v>
      </c>
      <c r="H201" s="38" t="str">
        <f t="shared" si="90"/>
        <v xml:space="preserve"> </v>
      </c>
      <c r="I201" s="38" t="str">
        <f t="shared" si="90"/>
        <v xml:space="preserve"> </v>
      </c>
    </row>
    <row r="202" spans="2:9" ht="12.75">
      <c r="B202" s="13" t="s">
        <v>129</v>
      </c>
      <c r="C202" s="25" t="s">
        <v>147</v>
      </c>
      <c r="E202" s="38">
        <f t="shared" ref="E202:I202" si="91">IFERROR(E86/D86," ")</f>
        <v>0.125</v>
      </c>
      <c r="F202" s="38">
        <f t="shared" si="91"/>
        <v>0</v>
      </c>
      <c r="G202" s="38" t="str">
        <f t="shared" si="91"/>
        <v xml:space="preserve"> </v>
      </c>
      <c r="H202" s="38" t="str">
        <f t="shared" si="91"/>
        <v xml:space="preserve"> </v>
      </c>
      <c r="I202" s="38" t="str">
        <f t="shared" si="91"/>
        <v xml:space="preserve"> </v>
      </c>
    </row>
    <row r="203" spans="2:9" ht="12.75">
      <c r="B203" s="13" t="s">
        <v>23</v>
      </c>
      <c r="C203" s="25" t="s">
        <v>142</v>
      </c>
      <c r="E203" s="38">
        <f t="shared" ref="E203:I203" si="92">IFERROR(E87/D87," ")</f>
        <v>0.1111111111111111</v>
      </c>
      <c r="F203" s="38">
        <f t="shared" si="92"/>
        <v>0.33333333333333331</v>
      </c>
      <c r="G203" s="38">
        <f t="shared" si="92"/>
        <v>0</v>
      </c>
      <c r="H203" s="38" t="str">
        <f t="shared" si="92"/>
        <v xml:space="preserve"> </v>
      </c>
      <c r="I203" s="38" t="str">
        <f t="shared" si="92"/>
        <v xml:space="preserve"> </v>
      </c>
    </row>
    <row r="204" spans="2:9" ht="12.75">
      <c r="B204" s="13" t="s">
        <v>132</v>
      </c>
      <c r="C204" s="25" t="s">
        <v>142</v>
      </c>
      <c r="E204" s="38">
        <f t="shared" ref="E204:I204" si="93">IFERROR(E88/D88," ")</f>
        <v>0.33333333333333331</v>
      </c>
      <c r="F204" s="38">
        <f t="shared" si="93"/>
        <v>0</v>
      </c>
      <c r="G204" s="38" t="str">
        <f t="shared" si="93"/>
        <v xml:space="preserve"> </v>
      </c>
      <c r="H204" s="38" t="str">
        <f t="shared" si="93"/>
        <v xml:space="preserve"> </v>
      </c>
      <c r="I204" s="38" t="str">
        <f t="shared" si="93"/>
        <v xml:space="preserve"> </v>
      </c>
    </row>
    <row r="205" spans="2:9" ht="12.75">
      <c r="B205" s="13" t="s">
        <v>106</v>
      </c>
      <c r="C205" s="25" t="s">
        <v>142</v>
      </c>
      <c r="E205" s="38" t="str">
        <f t="shared" ref="E205:I205" si="94">IFERROR(E89/D89," ")</f>
        <v xml:space="preserve"> </v>
      </c>
      <c r="F205" s="38" t="str">
        <f t="shared" si="94"/>
        <v xml:space="preserve"> </v>
      </c>
      <c r="G205" s="38" t="str">
        <f t="shared" si="94"/>
        <v xml:space="preserve"> </v>
      </c>
      <c r="H205" s="38" t="str">
        <f t="shared" si="94"/>
        <v xml:space="preserve"> </v>
      </c>
      <c r="I205" s="38" t="str">
        <f t="shared" si="94"/>
        <v xml:space="preserve"> </v>
      </c>
    </row>
    <row r="206" spans="2:9" ht="12.75">
      <c r="B206" s="13" t="s">
        <v>31</v>
      </c>
      <c r="C206" s="25" t="s">
        <v>147</v>
      </c>
      <c r="E206" s="38">
        <f t="shared" ref="E206:I206" si="95">IFERROR(E90/D90," ")</f>
        <v>0.16666666666666666</v>
      </c>
      <c r="F206" s="38">
        <f t="shared" si="95"/>
        <v>0</v>
      </c>
      <c r="G206" s="38" t="str">
        <f t="shared" si="95"/>
        <v xml:space="preserve"> </v>
      </c>
      <c r="H206" s="38" t="str">
        <f t="shared" si="95"/>
        <v xml:space="preserve"> </v>
      </c>
      <c r="I206" s="38" t="str">
        <f t="shared" si="95"/>
        <v xml:space="preserve"> </v>
      </c>
    </row>
    <row r="207" spans="2:9" ht="12.75">
      <c r="B207" s="13" t="s">
        <v>119</v>
      </c>
      <c r="C207" s="25" t="s">
        <v>142</v>
      </c>
      <c r="E207" s="38" t="str">
        <f t="shared" ref="E207:I207" si="96">IFERROR(E91/D91," ")</f>
        <v xml:space="preserve"> </v>
      </c>
      <c r="F207" s="38" t="str">
        <f t="shared" si="96"/>
        <v xml:space="preserve"> </v>
      </c>
      <c r="G207" s="38" t="str">
        <f t="shared" si="96"/>
        <v xml:space="preserve"> </v>
      </c>
      <c r="H207" s="38" t="str">
        <f t="shared" si="96"/>
        <v xml:space="preserve"> </v>
      </c>
      <c r="I207" s="38" t="str">
        <f t="shared" si="96"/>
        <v xml:space="preserve"> </v>
      </c>
    </row>
    <row r="208" spans="2:9" ht="12.75">
      <c r="B208" s="13" t="s">
        <v>44</v>
      </c>
      <c r="C208" s="25" t="s">
        <v>147</v>
      </c>
      <c r="E208" s="38">
        <f t="shared" ref="E208:I208" si="97">IFERROR(E92/D92," ")</f>
        <v>0</v>
      </c>
      <c r="F208" s="38" t="str">
        <f t="shared" si="97"/>
        <v xml:space="preserve"> </v>
      </c>
      <c r="G208" s="38">
        <f t="shared" si="97"/>
        <v>0</v>
      </c>
      <c r="H208" s="38" t="str">
        <f t="shared" si="97"/>
        <v xml:space="preserve"> </v>
      </c>
      <c r="I208" s="38" t="str">
        <f t="shared" si="97"/>
        <v xml:space="preserve"> </v>
      </c>
    </row>
    <row r="209" spans="2:9" ht="12.75">
      <c r="B209" s="13" t="s">
        <v>108</v>
      </c>
      <c r="C209" s="25" t="s">
        <v>142</v>
      </c>
      <c r="E209" s="38">
        <f t="shared" ref="E209:I209" si="98">IFERROR(E93/D93," ")</f>
        <v>0.21739130434782608</v>
      </c>
      <c r="F209" s="38">
        <f t="shared" si="98"/>
        <v>0.13333333333333333</v>
      </c>
      <c r="G209" s="38">
        <f t="shared" si="98"/>
        <v>0</v>
      </c>
      <c r="H209" s="38" t="str">
        <f t="shared" si="98"/>
        <v xml:space="preserve"> </v>
      </c>
      <c r="I209" s="38" t="str">
        <f t="shared" si="98"/>
        <v xml:space="preserve"> </v>
      </c>
    </row>
    <row r="210" spans="2:9" ht="12.75">
      <c r="B210" s="13" t="s">
        <v>104</v>
      </c>
      <c r="C210" s="25" t="s">
        <v>147</v>
      </c>
      <c r="E210" s="38">
        <f t="shared" ref="E210:I210" si="99">IFERROR(E94/D94," ")</f>
        <v>0.35074626865671643</v>
      </c>
      <c r="F210" s="38">
        <f t="shared" si="99"/>
        <v>0</v>
      </c>
      <c r="G210" s="38" t="str">
        <f t="shared" si="99"/>
        <v xml:space="preserve"> </v>
      </c>
      <c r="H210" s="38" t="str">
        <f t="shared" si="99"/>
        <v xml:space="preserve"> </v>
      </c>
      <c r="I210" s="38">
        <f t="shared" si="99"/>
        <v>0</v>
      </c>
    </row>
    <row r="211" spans="2:9" ht="12.75">
      <c r="B211" s="13" t="s">
        <v>87</v>
      </c>
      <c r="C211" s="25" t="s">
        <v>147</v>
      </c>
      <c r="E211" s="38" t="str">
        <f t="shared" ref="E211:I211" si="100">IFERROR(E95/D95," ")</f>
        <v xml:space="preserve"> </v>
      </c>
      <c r="F211" s="38" t="str">
        <f t="shared" si="100"/>
        <v xml:space="preserve"> </v>
      </c>
      <c r="G211" s="38" t="str">
        <f t="shared" si="100"/>
        <v xml:space="preserve"> </v>
      </c>
      <c r="H211" s="38" t="str">
        <f t="shared" si="100"/>
        <v xml:space="preserve"> </v>
      </c>
      <c r="I211" s="38" t="str">
        <f t="shared" si="100"/>
        <v xml:space="preserve"> </v>
      </c>
    </row>
    <row r="212" spans="2:9" ht="12.75">
      <c r="B212" s="13" t="s">
        <v>40</v>
      </c>
      <c r="C212" s="25" t="s">
        <v>147</v>
      </c>
      <c r="E212" s="38" t="str">
        <f t="shared" ref="E212:I212" si="101">IFERROR(E96/D96," ")</f>
        <v xml:space="preserve"> </v>
      </c>
      <c r="F212" s="38" t="str">
        <f t="shared" si="101"/>
        <v xml:space="preserve"> </v>
      </c>
      <c r="G212" s="38" t="str">
        <f t="shared" si="101"/>
        <v xml:space="preserve"> </v>
      </c>
      <c r="H212" s="38" t="str">
        <f t="shared" si="101"/>
        <v xml:space="preserve"> </v>
      </c>
      <c r="I212" s="38" t="str">
        <f t="shared" si="101"/>
        <v xml:space="preserve"> </v>
      </c>
    </row>
    <row r="213" spans="2:9" ht="12.75">
      <c r="B213" s="13" t="s">
        <v>84</v>
      </c>
      <c r="C213" s="25" t="s">
        <v>147</v>
      </c>
      <c r="E213" s="38">
        <f t="shared" ref="E213:I213" si="102">IFERROR(E97/D97," ")</f>
        <v>0.22222222222222221</v>
      </c>
      <c r="F213" s="38">
        <f t="shared" si="102"/>
        <v>0</v>
      </c>
      <c r="G213" s="38" t="str">
        <f t="shared" si="102"/>
        <v xml:space="preserve"> </v>
      </c>
      <c r="H213" s="38" t="str">
        <f t="shared" si="102"/>
        <v xml:space="preserve"> </v>
      </c>
      <c r="I213" s="38" t="str">
        <f t="shared" si="102"/>
        <v xml:space="preserve"> </v>
      </c>
    </row>
    <row r="214" spans="2:9" ht="12.75">
      <c r="B214" s="13" t="s">
        <v>102</v>
      </c>
      <c r="C214" s="25" t="s">
        <v>147</v>
      </c>
      <c r="E214" s="38" t="str">
        <f t="shared" ref="E214:I214" si="103">IFERROR(E98/D98," ")</f>
        <v xml:space="preserve"> </v>
      </c>
      <c r="F214" s="38" t="str">
        <f t="shared" si="103"/>
        <v xml:space="preserve"> </v>
      </c>
      <c r="G214" s="38" t="str">
        <f t="shared" si="103"/>
        <v xml:space="preserve"> </v>
      </c>
      <c r="H214" s="38" t="str">
        <f t="shared" si="103"/>
        <v xml:space="preserve"> </v>
      </c>
      <c r="I214" s="38" t="str">
        <f t="shared" si="103"/>
        <v xml:space="preserve"> </v>
      </c>
    </row>
    <row r="215" spans="2:9" ht="12.75">
      <c r="B215" s="13" t="s">
        <v>76</v>
      </c>
      <c r="C215" s="25" t="s">
        <v>147</v>
      </c>
      <c r="E215" s="38">
        <f t="shared" ref="E215:I215" si="104">IFERROR(E99/D99," ")</f>
        <v>0.25</v>
      </c>
      <c r="F215" s="38">
        <f t="shared" si="104"/>
        <v>0</v>
      </c>
      <c r="G215" s="38" t="str">
        <f t="shared" si="104"/>
        <v xml:space="preserve"> </v>
      </c>
      <c r="H215" s="38" t="str">
        <f t="shared" si="104"/>
        <v xml:space="preserve"> </v>
      </c>
      <c r="I215" s="38" t="str">
        <f t="shared" si="104"/>
        <v xml:space="preserve"> </v>
      </c>
    </row>
    <row r="216" spans="2:9" ht="12.75">
      <c r="B216" s="13" t="s">
        <v>63</v>
      </c>
      <c r="C216" s="25" t="s">
        <v>147</v>
      </c>
      <c r="E216" s="38">
        <f t="shared" ref="E216:I216" si="105">IFERROR(E100/D100," ")</f>
        <v>0.16666666666666666</v>
      </c>
      <c r="F216" s="38">
        <f t="shared" si="105"/>
        <v>0</v>
      </c>
      <c r="G216" s="38" t="str">
        <f t="shared" si="105"/>
        <v xml:space="preserve"> </v>
      </c>
      <c r="H216" s="38" t="str">
        <f t="shared" si="105"/>
        <v xml:space="preserve"> </v>
      </c>
      <c r="I216" s="38" t="str">
        <f t="shared" si="105"/>
        <v xml:space="preserve"> </v>
      </c>
    </row>
    <row r="217" spans="2:9" ht="12.75">
      <c r="B217" s="13" t="s">
        <v>60</v>
      </c>
      <c r="C217" s="25" t="s">
        <v>147</v>
      </c>
      <c r="E217" s="38" t="str">
        <f t="shared" ref="E217:I217" si="106">IFERROR(E101/D101," ")</f>
        <v xml:space="preserve"> </v>
      </c>
      <c r="F217" s="38" t="str">
        <f t="shared" si="106"/>
        <v xml:space="preserve"> </v>
      </c>
      <c r="G217" s="38" t="str">
        <f t="shared" si="106"/>
        <v xml:space="preserve"> </v>
      </c>
      <c r="H217" s="38" t="str">
        <f t="shared" si="106"/>
        <v xml:space="preserve"> </v>
      </c>
      <c r="I217" s="38" t="str">
        <f t="shared" si="106"/>
        <v xml:space="preserve"> </v>
      </c>
    </row>
    <row r="218" spans="2:9" ht="12.75">
      <c r="B218" s="13" t="s">
        <v>71</v>
      </c>
      <c r="C218" s="25" t="s">
        <v>147</v>
      </c>
      <c r="E218" s="38" t="str">
        <f t="shared" ref="E218:I218" si="107">IFERROR(E102/D102," ")</f>
        <v xml:space="preserve"> </v>
      </c>
      <c r="F218" s="38" t="str">
        <f t="shared" si="107"/>
        <v xml:space="preserve"> </v>
      </c>
      <c r="G218" s="38" t="str">
        <f t="shared" si="107"/>
        <v xml:space="preserve"> </v>
      </c>
      <c r="H218" s="38" t="str">
        <f t="shared" si="107"/>
        <v xml:space="preserve"> </v>
      </c>
      <c r="I218" s="38" t="str">
        <f t="shared" si="107"/>
        <v xml:space="preserve"> </v>
      </c>
    </row>
    <row r="219" spans="2:9" ht="12.75">
      <c r="B219" s="13" t="s">
        <v>91</v>
      </c>
      <c r="C219" s="25" t="s">
        <v>147</v>
      </c>
      <c r="E219" s="38">
        <f t="shared" ref="E219:I219" si="108">IFERROR(E103/D103," ")</f>
        <v>0.44827586206896552</v>
      </c>
      <c r="F219" s="38">
        <f t="shared" si="108"/>
        <v>0.15384615384615385</v>
      </c>
      <c r="G219" s="38">
        <f t="shared" si="108"/>
        <v>0</v>
      </c>
      <c r="H219" s="38" t="str">
        <f t="shared" si="108"/>
        <v xml:space="preserve"> </v>
      </c>
      <c r="I219" s="38" t="str">
        <f t="shared" si="108"/>
        <v xml:space="preserve"> </v>
      </c>
    </row>
    <row r="220" spans="2:9" ht="12.75">
      <c r="B220" s="13" t="s">
        <v>67</v>
      </c>
      <c r="C220" s="25" t="s">
        <v>147</v>
      </c>
      <c r="E220" s="38">
        <f t="shared" ref="E220:I220" si="109">IFERROR(E104/D104," ")</f>
        <v>0.08</v>
      </c>
      <c r="F220" s="38">
        <f t="shared" si="109"/>
        <v>1</v>
      </c>
      <c r="G220" s="38">
        <f t="shared" si="109"/>
        <v>0</v>
      </c>
      <c r="H220" s="38" t="str">
        <f t="shared" si="109"/>
        <v xml:space="preserve"> </v>
      </c>
      <c r="I220" s="38" t="str">
        <f t="shared" si="109"/>
        <v xml:space="preserve"> </v>
      </c>
    </row>
    <row r="221" spans="2:9" ht="12.75">
      <c r="B221" s="13" t="s">
        <v>100</v>
      </c>
      <c r="C221" s="25" t="s">
        <v>142</v>
      </c>
      <c r="E221" s="38">
        <f t="shared" ref="E221:I221" si="110">IFERROR(E105/D105," ")</f>
        <v>0.13207547169811321</v>
      </c>
      <c r="F221" s="38">
        <f t="shared" si="110"/>
        <v>0</v>
      </c>
      <c r="G221" s="38" t="str">
        <f t="shared" si="110"/>
        <v xml:space="preserve"> </v>
      </c>
      <c r="H221" s="38">
        <f t="shared" si="110"/>
        <v>0</v>
      </c>
      <c r="I221" s="38" t="str">
        <f t="shared" si="110"/>
        <v xml:space="preserve"> </v>
      </c>
    </row>
    <row r="222" spans="2:9" ht="12.75">
      <c r="B222" s="13" t="s">
        <v>117</v>
      </c>
      <c r="C222" s="25" t="s">
        <v>147</v>
      </c>
      <c r="E222" s="38">
        <f t="shared" ref="E222:I222" si="111">IFERROR(E106/D106," ")</f>
        <v>0.125</v>
      </c>
      <c r="F222" s="38">
        <f t="shared" si="111"/>
        <v>0</v>
      </c>
      <c r="G222" s="38" t="str">
        <f t="shared" si="111"/>
        <v xml:space="preserve"> </v>
      </c>
      <c r="H222" s="38" t="str">
        <f t="shared" si="111"/>
        <v xml:space="preserve"> </v>
      </c>
      <c r="I222" s="38" t="str">
        <f t="shared" si="111"/>
        <v xml:space="preserve"> </v>
      </c>
    </row>
    <row r="223" spans="2:9" ht="12.75">
      <c r="B223" s="13" t="s">
        <v>25</v>
      </c>
      <c r="C223" s="25" t="s">
        <v>147</v>
      </c>
      <c r="E223" s="38">
        <f t="shared" ref="E223:I223" si="112">IFERROR(E107/D107," ")</f>
        <v>0.5</v>
      </c>
      <c r="F223" s="38">
        <f t="shared" si="112"/>
        <v>0</v>
      </c>
      <c r="G223" s="38" t="str">
        <f t="shared" si="112"/>
        <v xml:space="preserve"> </v>
      </c>
      <c r="H223" s="38" t="str">
        <f t="shared" si="112"/>
        <v xml:space="preserve"> </v>
      </c>
      <c r="I223" s="38" t="str">
        <f t="shared" si="112"/>
        <v xml:space="preserve"> </v>
      </c>
    </row>
    <row r="224" spans="2:9" ht="12.75">
      <c r="B224" s="13" t="s">
        <v>89</v>
      </c>
      <c r="C224" s="25" t="s">
        <v>147</v>
      </c>
      <c r="E224" s="38">
        <f t="shared" ref="E224:I224" si="113">IFERROR(E108/D108," ")</f>
        <v>0.21052631578947367</v>
      </c>
      <c r="F224" s="38">
        <f t="shared" si="113"/>
        <v>0</v>
      </c>
      <c r="G224" s="38" t="str">
        <f t="shared" si="113"/>
        <v xml:space="preserve"> </v>
      </c>
      <c r="H224" s="38">
        <f t="shared" si="113"/>
        <v>1</v>
      </c>
      <c r="I224" s="38">
        <f t="shared" si="113"/>
        <v>1</v>
      </c>
    </row>
    <row r="225" spans="1:27" ht="12.75">
      <c r="B225" s="13" t="s">
        <v>74</v>
      </c>
      <c r="C225" s="25" t="s">
        <v>147</v>
      </c>
      <c r="E225" s="38">
        <f t="shared" ref="E225:I225" si="114">IFERROR(E109/D109," ")</f>
        <v>0.75</v>
      </c>
      <c r="F225" s="38">
        <f t="shared" si="114"/>
        <v>0</v>
      </c>
      <c r="G225" s="38" t="str">
        <f t="shared" si="114"/>
        <v xml:space="preserve"> </v>
      </c>
      <c r="H225" s="38" t="str">
        <f t="shared" si="114"/>
        <v xml:space="preserve"> </v>
      </c>
      <c r="I225" s="38" t="str">
        <f t="shared" si="114"/>
        <v xml:space="preserve"> </v>
      </c>
    </row>
    <row r="226" spans="1:27" ht="12.75">
      <c r="B226" s="13" t="s">
        <v>51</v>
      </c>
      <c r="C226" s="25" t="s">
        <v>147</v>
      </c>
      <c r="E226" s="38">
        <f t="shared" ref="E226:I226" si="115">IFERROR(E110/D110," ")</f>
        <v>0.29090909090909089</v>
      </c>
      <c r="F226" s="38">
        <f t="shared" si="115"/>
        <v>6.25E-2</v>
      </c>
      <c r="G226" s="38">
        <f t="shared" si="115"/>
        <v>0</v>
      </c>
      <c r="H226" s="38" t="str">
        <f t="shared" si="115"/>
        <v xml:space="preserve"> </v>
      </c>
      <c r="I226" s="38" t="str">
        <f t="shared" si="115"/>
        <v xml:space="preserve"> </v>
      </c>
    </row>
    <row r="227" spans="1:27" ht="12.75">
      <c r="B227" s="13" t="s">
        <v>112</v>
      </c>
      <c r="C227" s="25" t="s">
        <v>147</v>
      </c>
      <c r="E227" s="38">
        <f t="shared" ref="E227:I227" si="116">IFERROR(E111/D111," ")</f>
        <v>0.16666666666666666</v>
      </c>
      <c r="F227" s="38">
        <f t="shared" si="116"/>
        <v>0</v>
      </c>
      <c r="G227" s="38" t="str">
        <f t="shared" si="116"/>
        <v xml:space="preserve"> </v>
      </c>
      <c r="H227" s="38" t="str">
        <f t="shared" si="116"/>
        <v xml:space="preserve"> </v>
      </c>
      <c r="I227" s="38" t="str">
        <f t="shared" si="116"/>
        <v xml:space="preserve"> </v>
      </c>
    </row>
    <row r="228" spans="1:27" ht="12.75">
      <c r="E228" s="38" t="str">
        <f t="shared" ref="E228:I228" si="117">IFERROR(E112/D112," ")</f>
        <v xml:space="preserve"> </v>
      </c>
      <c r="F228" s="38" t="str">
        <f t="shared" si="117"/>
        <v xml:space="preserve"> </v>
      </c>
      <c r="G228" s="38" t="str">
        <f t="shared" si="117"/>
        <v xml:space="preserve"> </v>
      </c>
      <c r="H228" s="38" t="str">
        <f t="shared" si="117"/>
        <v xml:space="preserve"> </v>
      </c>
      <c r="I228" s="38" t="str">
        <f t="shared" si="117"/>
        <v xml:space="preserve"> </v>
      </c>
    </row>
    <row r="229" spans="1:27" ht="13.15">
      <c r="A229" s="30"/>
      <c r="B229" s="31" t="s">
        <v>143</v>
      </c>
      <c r="C229" s="30"/>
      <c r="D229" s="30"/>
      <c r="E229" s="39">
        <f t="shared" ref="E229:I229" si="118">IFERROR(E113/D113," ")</f>
        <v>0.26555323590814195</v>
      </c>
      <c r="F229" s="38">
        <f t="shared" si="118"/>
        <v>7.0754716981132074E-2</v>
      </c>
      <c r="G229" s="38">
        <f t="shared" si="118"/>
        <v>0.2</v>
      </c>
      <c r="H229" s="38">
        <f t="shared" si="118"/>
        <v>1.1111111111111112</v>
      </c>
      <c r="I229" s="38">
        <f t="shared" si="118"/>
        <v>1.1000000000000001</v>
      </c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 spans="1:27" ht="12.75">
      <c r="E230" s="38"/>
    </row>
    <row r="231" spans="1:27" ht="12.75">
      <c r="E231" s="38"/>
    </row>
    <row r="232" spans="1:27" ht="12.75">
      <c r="E232" s="38"/>
    </row>
    <row r="233" spans="1:27" ht="12.75">
      <c r="E233" s="38"/>
    </row>
  </sheetData>
  <autoFilter ref="B2:N111" xr:uid="{00000000-0009-0000-0000-000012000000}">
    <sortState xmlns:xlrd2="http://schemas.microsoft.com/office/spreadsheetml/2017/richdata2" ref="B2:N111">
      <sortCondition ref="B2:B111"/>
      <sortCondition descending="1" ref="L2:L111"/>
      <sortCondition descending="1" ref="D2:D111"/>
      <sortCondition ref="N2:N111"/>
      <sortCondition ref="F2:F111"/>
      <sortCondition descending="1" ref="I2:I111"/>
    </sortState>
  </autoFilter>
  <customSheetViews>
    <customSheetView guid="{D4D06763-5632-4CAF-A0BD-7BAD6B3784B6}" filter="1" showAutoFilter="1">
      <pageMargins left="0.7" right="0.7" top="0.75" bottom="0.75" header="0.3" footer="0.3"/>
      <autoFilter ref="B2:J112" xr:uid="{00000000-0000-0000-0000-000000000000}"/>
    </customSheetView>
  </customSheetViews>
  <conditionalFormatting sqref="J1:J118 J228:J1000">
    <cfRule type="expression" dxfId="3" priority="1">
      <formula>AND(C1="Y",J1="")</formula>
    </cfRule>
  </conditionalFormatting>
  <conditionalFormatting sqref="B3:I111 T5:V14 S20:V30 B119:C227 E119:E233 F119:I229">
    <cfRule type="expression" dxfId="2" priority="2">
      <formula>$C3="N"</formula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B2:J115"/>
  <sheetViews>
    <sheetView workbookViewId="0">
      <pane ySplit="2" topLeftCell="A3" activePane="bottomLeft" state="frozen"/>
      <selection pane="bottomLeft" activeCell="B4" sqref="B4"/>
    </sheetView>
  </sheetViews>
  <sheetFormatPr defaultColWidth="14.3984375" defaultRowHeight="15.75" customHeight="1"/>
  <cols>
    <col min="1" max="1" width="6.86328125" customWidth="1"/>
    <col min="2" max="2" width="30" customWidth="1"/>
    <col min="3" max="9" width="17.265625" customWidth="1"/>
  </cols>
  <sheetData>
    <row r="2" spans="2:10" ht="28.5" customHeight="1">
      <c r="B2" s="6" t="s">
        <v>0</v>
      </c>
      <c r="C2" s="6" t="s">
        <v>3</v>
      </c>
      <c r="D2" s="7" t="s">
        <v>4</v>
      </c>
      <c r="E2" s="7" t="s">
        <v>6</v>
      </c>
      <c r="F2" s="7" t="s">
        <v>7</v>
      </c>
      <c r="G2" s="6" t="s">
        <v>8</v>
      </c>
      <c r="H2" s="7" t="s">
        <v>9</v>
      </c>
      <c r="I2" s="7" t="s">
        <v>1</v>
      </c>
      <c r="J2" s="7" t="s">
        <v>10</v>
      </c>
    </row>
    <row r="3" spans="2:10" ht="12.75">
      <c r="B3" s="13" t="s">
        <v>57</v>
      </c>
      <c r="C3" s="13">
        <v>121</v>
      </c>
      <c r="D3" s="13">
        <v>29</v>
      </c>
      <c r="E3" s="13">
        <v>2</v>
      </c>
      <c r="F3" s="13">
        <v>0</v>
      </c>
      <c r="G3" s="13">
        <v>0</v>
      </c>
      <c r="H3" s="13">
        <v>0</v>
      </c>
      <c r="I3" s="25" t="s">
        <v>142</v>
      </c>
      <c r="J3" s="1" t="s">
        <v>24</v>
      </c>
    </row>
    <row r="4" spans="2:10" ht="12.75">
      <c r="B4" s="13" t="s">
        <v>67</v>
      </c>
      <c r="C4" s="13">
        <v>60</v>
      </c>
      <c r="D4" s="13">
        <v>14</v>
      </c>
      <c r="E4" s="13">
        <v>0</v>
      </c>
      <c r="F4" s="13">
        <v>0</v>
      </c>
      <c r="G4" s="13">
        <v>0</v>
      </c>
      <c r="H4" s="13">
        <v>0</v>
      </c>
      <c r="I4" s="25" t="s">
        <v>147</v>
      </c>
      <c r="J4" s="1" t="s">
        <v>34</v>
      </c>
    </row>
    <row r="5" spans="2:10" ht="12.75">
      <c r="B5" s="13" t="s">
        <v>100</v>
      </c>
      <c r="C5" s="13">
        <v>3</v>
      </c>
      <c r="D5" s="13">
        <v>2</v>
      </c>
      <c r="E5" s="13">
        <v>0</v>
      </c>
      <c r="F5" s="13">
        <v>0</v>
      </c>
      <c r="G5" s="13">
        <v>0</v>
      </c>
      <c r="H5" s="13">
        <v>0</v>
      </c>
      <c r="I5" s="25" t="s">
        <v>142</v>
      </c>
      <c r="J5" s="1" t="s">
        <v>24</v>
      </c>
    </row>
    <row r="6" spans="2:10" ht="12.75">
      <c r="B6" s="13" t="s">
        <v>75</v>
      </c>
      <c r="C6" s="13">
        <v>62</v>
      </c>
      <c r="D6" s="13">
        <v>32</v>
      </c>
      <c r="E6" s="13">
        <v>0</v>
      </c>
      <c r="F6" s="13">
        <v>0</v>
      </c>
      <c r="G6" s="13">
        <v>0</v>
      </c>
      <c r="H6" s="13">
        <v>0</v>
      </c>
      <c r="I6" s="25" t="s">
        <v>142</v>
      </c>
      <c r="J6" s="1" t="s">
        <v>24</v>
      </c>
    </row>
    <row r="7" spans="2:10" ht="12.75">
      <c r="B7" s="13" t="s">
        <v>47</v>
      </c>
      <c r="C7" s="13">
        <v>153</v>
      </c>
      <c r="D7" s="13">
        <v>18</v>
      </c>
      <c r="E7" s="13">
        <v>0</v>
      </c>
      <c r="F7" s="13">
        <v>0</v>
      </c>
      <c r="G7" s="13">
        <v>0</v>
      </c>
      <c r="H7" s="13">
        <v>0</v>
      </c>
      <c r="I7" s="25" t="s">
        <v>147</v>
      </c>
      <c r="J7" s="1" t="s">
        <v>20</v>
      </c>
    </row>
    <row r="8" spans="2:10" ht="12.75">
      <c r="B8" s="13" t="s">
        <v>30</v>
      </c>
      <c r="C8" s="13">
        <v>77</v>
      </c>
      <c r="D8" s="13">
        <v>32</v>
      </c>
      <c r="E8" s="13">
        <v>0</v>
      </c>
      <c r="F8" s="13">
        <v>0</v>
      </c>
      <c r="G8" s="13">
        <v>0</v>
      </c>
      <c r="H8" s="13">
        <v>0</v>
      </c>
      <c r="I8" s="25" t="s">
        <v>147</v>
      </c>
      <c r="J8" s="1" t="s">
        <v>20</v>
      </c>
    </row>
    <row r="9" spans="2:10" ht="12.75">
      <c r="B9" s="13" t="s">
        <v>95</v>
      </c>
      <c r="C9" s="13">
        <v>56</v>
      </c>
      <c r="D9" s="13">
        <v>17</v>
      </c>
      <c r="E9" s="13">
        <v>0</v>
      </c>
      <c r="F9" s="13">
        <v>0</v>
      </c>
      <c r="G9" s="13">
        <v>0</v>
      </c>
      <c r="H9" s="13">
        <v>0</v>
      </c>
      <c r="I9" s="25" t="s">
        <v>147</v>
      </c>
      <c r="J9" s="1" t="s">
        <v>20</v>
      </c>
    </row>
    <row r="10" spans="2:10" ht="12.75">
      <c r="B10" s="13" t="s">
        <v>22</v>
      </c>
      <c r="C10" s="13">
        <v>83</v>
      </c>
      <c r="D10" s="13">
        <v>8</v>
      </c>
      <c r="E10" s="13">
        <v>0</v>
      </c>
      <c r="F10" s="13">
        <v>0</v>
      </c>
      <c r="G10" s="13">
        <v>0</v>
      </c>
      <c r="H10" s="13">
        <v>0</v>
      </c>
      <c r="I10" s="25" t="s">
        <v>147</v>
      </c>
      <c r="J10" s="1" t="s">
        <v>20</v>
      </c>
    </row>
    <row r="11" spans="2:10" ht="12.75">
      <c r="B11" s="13" t="s">
        <v>110</v>
      </c>
      <c r="C11" s="13">
        <v>15</v>
      </c>
      <c r="D11" s="13">
        <v>3</v>
      </c>
      <c r="E11" s="13">
        <v>0</v>
      </c>
      <c r="F11" s="13">
        <v>0</v>
      </c>
      <c r="G11" s="13">
        <v>0</v>
      </c>
      <c r="H11" s="13">
        <v>0</v>
      </c>
      <c r="I11" s="25" t="s">
        <v>147</v>
      </c>
      <c r="J11" s="1" t="s">
        <v>34</v>
      </c>
    </row>
    <row r="12" spans="2:10" ht="12.75">
      <c r="B12" s="13" t="s">
        <v>117</v>
      </c>
      <c r="C12" s="13">
        <v>236</v>
      </c>
      <c r="D12" s="13">
        <v>99</v>
      </c>
      <c r="E12" s="13">
        <v>5</v>
      </c>
      <c r="F12" s="13">
        <v>0</v>
      </c>
      <c r="G12" s="13">
        <v>3</v>
      </c>
      <c r="H12" s="13">
        <v>0</v>
      </c>
      <c r="I12" s="25" t="s">
        <v>147</v>
      </c>
      <c r="J12" s="1" t="s">
        <v>20</v>
      </c>
    </row>
    <row r="13" spans="2:10" ht="12.75">
      <c r="B13" s="13" t="s">
        <v>42</v>
      </c>
      <c r="C13" s="13">
        <v>118</v>
      </c>
      <c r="D13" s="13">
        <v>14</v>
      </c>
      <c r="E13" s="13">
        <v>2</v>
      </c>
      <c r="F13" s="13">
        <v>0</v>
      </c>
      <c r="G13" s="13">
        <v>0</v>
      </c>
      <c r="H13" s="13">
        <v>0</v>
      </c>
      <c r="I13" s="25" t="s">
        <v>147</v>
      </c>
      <c r="J13" s="1" t="s">
        <v>20</v>
      </c>
    </row>
    <row r="14" spans="2:10" ht="12.75">
      <c r="B14" s="13" t="s">
        <v>118</v>
      </c>
      <c r="C14" s="13">
        <v>1</v>
      </c>
      <c r="D14" s="13">
        <v>1</v>
      </c>
      <c r="E14" s="13">
        <v>0</v>
      </c>
      <c r="F14" s="13">
        <v>0</v>
      </c>
      <c r="G14" s="13">
        <v>0</v>
      </c>
      <c r="H14" s="13">
        <v>0</v>
      </c>
      <c r="I14" s="25" t="s">
        <v>142</v>
      </c>
      <c r="J14" s="1" t="s">
        <v>24</v>
      </c>
    </row>
    <row r="15" spans="2:10" ht="12.75">
      <c r="B15" s="13" t="s">
        <v>25</v>
      </c>
      <c r="C15" s="13">
        <v>101</v>
      </c>
      <c r="D15" s="13">
        <v>11</v>
      </c>
      <c r="E15" s="13">
        <v>1</v>
      </c>
      <c r="F15" s="13">
        <v>0</v>
      </c>
      <c r="G15" s="13">
        <v>0</v>
      </c>
      <c r="H15" s="13">
        <v>0</v>
      </c>
      <c r="I15" s="25" t="s">
        <v>147</v>
      </c>
      <c r="J15" s="1" t="s">
        <v>34</v>
      </c>
    </row>
    <row r="16" spans="2:10" ht="12.75">
      <c r="B16" s="13" t="s">
        <v>38</v>
      </c>
      <c r="C16" s="13">
        <v>64</v>
      </c>
      <c r="D16" s="13">
        <v>48</v>
      </c>
      <c r="E16" s="13">
        <v>0</v>
      </c>
      <c r="F16" s="13">
        <v>0</v>
      </c>
      <c r="G16" s="13">
        <v>0</v>
      </c>
      <c r="H16" s="13">
        <v>0</v>
      </c>
      <c r="I16" s="25" t="s">
        <v>147</v>
      </c>
      <c r="J16" s="1" t="s">
        <v>39</v>
      </c>
    </row>
    <row r="17" spans="2:10" ht="12.75">
      <c r="B17" s="13" t="s">
        <v>86</v>
      </c>
      <c r="C17" s="13">
        <v>79</v>
      </c>
      <c r="D17" s="13">
        <v>7</v>
      </c>
      <c r="E17" s="13">
        <v>0</v>
      </c>
      <c r="F17" s="13">
        <v>0</v>
      </c>
      <c r="G17" s="13">
        <v>0</v>
      </c>
      <c r="H17" s="13">
        <v>0</v>
      </c>
      <c r="I17" s="25" t="s">
        <v>147</v>
      </c>
      <c r="J17" s="1" t="s">
        <v>20</v>
      </c>
    </row>
    <row r="18" spans="2:10" ht="12.75">
      <c r="B18" s="13" t="s">
        <v>78</v>
      </c>
      <c r="C18" s="13">
        <v>92</v>
      </c>
      <c r="D18" s="13">
        <v>19</v>
      </c>
      <c r="E18" s="13">
        <v>1</v>
      </c>
      <c r="F18" s="13">
        <v>0</v>
      </c>
      <c r="G18" s="13">
        <v>0</v>
      </c>
      <c r="H18" s="13">
        <v>0</v>
      </c>
      <c r="I18" s="25" t="s">
        <v>147</v>
      </c>
      <c r="J18" s="1" t="s">
        <v>20</v>
      </c>
    </row>
    <row r="19" spans="2:10" ht="12.75">
      <c r="B19" s="13" t="s">
        <v>105</v>
      </c>
      <c r="C19" s="13">
        <v>1</v>
      </c>
      <c r="D19" s="13">
        <v>1</v>
      </c>
      <c r="E19" s="13">
        <v>0</v>
      </c>
      <c r="F19" s="13">
        <v>0</v>
      </c>
      <c r="G19" s="13">
        <v>0</v>
      </c>
      <c r="H19" s="13">
        <v>0</v>
      </c>
      <c r="I19" s="25" t="s">
        <v>142</v>
      </c>
      <c r="J19" s="1" t="s">
        <v>24</v>
      </c>
    </row>
    <row r="20" spans="2:10" ht="12.75">
      <c r="B20" s="13" t="s">
        <v>19</v>
      </c>
      <c r="C20" s="13">
        <v>339</v>
      </c>
      <c r="D20" s="13">
        <v>71</v>
      </c>
      <c r="E20" s="13">
        <v>1</v>
      </c>
      <c r="F20" s="13">
        <v>0</v>
      </c>
      <c r="G20" s="13">
        <v>0</v>
      </c>
      <c r="H20" s="13">
        <v>0</v>
      </c>
      <c r="I20" s="25" t="s">
        <v>147</v>
      </c>
      <c r="J20" s="1" t="s">
        <v>20</v>
      </c>
    </row>
    <row r="21" spans="2:10" ht="12.75">
      <c r="B21" s="13" t="s">
        <v>114</v>
      </c>
      <c r="C21" s="13">
        <v>97</v>
      </c>
      <c r="D21" s="13">
        <v>13</v>
      </c>
      <c r="E21" s="13">
        <v>0</v>
      </c>
      <c r="F21" s="13">
        <v>0</v>
      </c>
      <c r="G21" s="13">
        <v>0</v>
      </c>
      <c r="H21" s="13">
        <v>0</v>
      </c>
      <c r="I21" s="25" t="s">
        <v>142</v>
      </c>
      <c r="J21" s="1" t="s">
        <v>24</v>
      </c>
    </row>
    <row r="22" spans="2:10" ht="12.75">
      <c r="B22" s="13" t="s">
        <v>58</v>
      </c>
      <c r="C22" s="13">
        <v>162</v>
      </c>
      <c r="D22" s="13">
        <v>37</v>
      </c>
      <c r="E22" s="13">
        <v>0</v>
      </c>
      <c r="F22" s="13">
        <v>0</v>
      </c>
      <c r="G22" s="13">
        <v>0</v>
      </c>
      <c r="H22" s="13">
        <v>0</v>
      </c>
      <c r="I22" s="25" t="s">
        <v>147</v>
      </c>
      <c r="J22" s="1" t="s">
        <v>20</v>
      </c>
    </row>
    <row r="23" spans="2:10" ht="12.75">
      <c r="B23" s="13" t="s">
        <v>80</v>
      </c>
      <c r="C23" s="13">
        <v>76</v>
      </c>
      <c r="D23" s="13">
        <v>36</v>
      </c>
      <c r="E23" s="13">
        <v>0</v>
      </c>
      <c r="F23" s="13">
        <v>0</v>
      </c>
      <c r="G23" s="13">
        <v>0</v>
      </c>
      <c r="H23" s="13">
        <v>0</v>
      </c>
      <c r="I23" s="25" t="s">
        <v>147</v>
      </c>
      <c r="J23" s="1" t="s">
        <v>39</v>
      </c>
    </row>
    <row r="24" spans="2:10" ht="12.75">
      <c r="B24" s="13" t="s">
        <v>96</v>
      </c>
      <c r="C24" s="13">
        <v>67</v>
      </c>
      <c r="D24" s="13">
        <v>10</v>
      </c>
      <c r="E24" s="13">
        <v>0</v>
      </c>
      <c r="F24" s="13">
        <v>1</v>
      </c>
      <c r="G24" s="13">
        <v>0</v>
      </c>
      <c r="H24" s="13">
        <v>0</v>
      </c>
      <c r="I24" s="25" t="s">
        <v>147</v>
      </c>
      <c r="J24" s="1" t="s">
        <v>20</v>
      </c>
    </row>
    <row r="25" spans="2:10" ht="12.75">
      <c r="B25" s="13" t="s">
        <v>89</v>
      </c>
      <c r="C25" s="13">
        <v>30</v>
      </c>
      <c r="D25" s="13">
        <v>6</v>
      </c>
      <c r="E25" s="13">
        <v>0</v>
      </c>
      <c r="F25" s="13">
        <v>0</v>
      </c>
      <c r="G25" s="13">
        <v>0</v>
      </c>
      <c r="H25" s="13">
        <v>0</v>
      </c>
      <c r="I25" s="25" t="s">
        <v>147</v>
      </c>
      <c r="J25" s="1" t="s">
        <v>39</v>
      </c>
    </row>
    <row r="26" spans="2:10" ht="12.75">
      <c r="B26" s="13" t="s">
        <v>17</v>
      </c>
      <c r="C26" s="13">
        <v>80</v>
      </c>
      <c r="D26" s="13">
        <v>16</v>
      </c>
      <c r="E26" s="13">
        <v>0</v>
      </c>
      <c r="F26" s="13">
        <v>0</v>
      </c>
      <c r="G26" s="13">
        <v>0</v>
      </c>
      <c r="H26" s="13">
        <v>0</v>
      </c>
      <c r="I26" s="25" t="s">
        <v>147</v>
      </c>
      <c r="J26" s="1" t="s">
        <v>18</v>
      </c>
    </row>
    <row r="27" spans="2:10" ht="12.75">
      <c r="B27" s="13" t="s">
        <v>97</v>
      </c>
      <c r="C27" s="13">
        <v>101</v>
      </c>
      <c r="D27" s="13">
        <v>23</v>
      </c>
      <c r="E27" s="13">
        <v>0</v>
      </c>
      <c r="F27" s="13">
        <v>0</v>
      </c>
      <c r="G27" s="13">
        <v>0</v>
      </c>
      <c r="H27" s="13">
        <v>0</v>
      </c>
      <c r="I27" s="25" t="s">
        <v>147</v>
      </c>
      <c r="J27" s="1" t="s">
        <v>20</v>
      </c>
    </row>
    <row r="28" spans="2:10" ht="12.75">
      <c r="B28" s="13" t="s">
        <v>122</v>
      </c>
      <c r="C28" s="13">
        <v>91</v>
      </c>
      <c r="D28" s="13">
        <v>48</v>
      </c>
      <c r="E28" s="13">
        <v>2</v>
      </c>
      <c r="F28" s="13">
        <v>0</v>
      </c>
      <c r="G28" s="13">
        <v>0</v>
      </c>
      <c r="H28" s="13">
        <v>0</v>
      </c>
      <c r="I28" s="13" t="s">
        <v>147</v>
      </c>
      <c r="J28" s="21" t="s">
        <v>20</v>
      </c>
    </row>
    <row r="29" spans="2:10" ht="12.75">
      <c r="B29" s="13" t="s">
        <v>123</v>
      </c>
      <c r="C29" s="13">
        <v>41</v>
      </c>
      <c r="D29" s="13">
        <v>11</v>
      </c>
      <c r="E29" s="13">
        <v>0</v>
      </c>
      <c r="F29" s="13">
        <v>0</v>
      </c>
      <c r="G29" s="13">
        <v>0</v>
      </c>
      <c r="H29" s="13">
        <v>0</v>
      </c>
      <c r="I29" s="25" t="s">
        <v>147</v>
      </c>
      <c r="J29" s="1" t="s">
        <v>34</v>
      </c>
    </row>
    <row r="30" spans="2:10" ht="12.75">
      <c r="B30" s="13" t="s">
        <v>112</v>
      </c>
      <c r="C30" s="13">
        <v>22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25" t="s">
        <v>147</v>
      </c>
      <c r="J30" s="1" t="s">
        <v>37</v>
      </c>
    </row>
    <row r="31" spans="2:10" ht="12.75">
      <c r="B31" s="13" t="s">
        <v>74</v>
      </c>
      <c r="C31" s="13">
        <v>65</v>
      </c>
      <c r="D31" s="13">
        <v>23</v>
      </c>
      <c r="E31" s="13">
        <v>1</v>
      </c>
      <c r="F31" s="13">
        <v>0</v>
      </c>
      <c r="G31" s="13">
        <v>0</v>
      </c>
      <c r="H31" s="13">
        <v>0</v>
      </c>
      <c r="I31" s="25" t="s">
        <v>147</v>
      </c>
      <c r="J31" s="1" t="s">
        <v>20</v>
      </c>
    </row>
    <row r="32" spans="2:10" ht="12.75">
      <c r="B32" s="13" t="s">
        <v>51</v>
      </c>
      <c r="C32" s="13">
        <v>24</v>
      </c>
      <c r="D32" s="13">
        <v>3</v>
      </c>
      <c r="E32" s="13">
        <v>1</v>
      </c>
      <c r="F32" s="13">
        <v>0</v>
      </c>
      <c r="G32" s="13">
        <v>0</v>
      </c>
      <c r="H32" s="13">
        <v>0</v>
      </c>
      <c r="I32" s="25" t="s">
        <v>147</v>
      </c>
      <c r="J32" s="1" t="s">
        <v>20</v>
      </c>
    </row>
    <row r="33" spans="2:10" ht="12.75">
      <c r="B33" s="13" t="s">
        <v>27</v>
      </c>
      <c r="C33" s="13">
        <v>415</v>
      </c>
      <c r="D33" s="13">
        <v>124</v>
      </c>
      <c r="E33" s="13">
        <v>5</v>
      </c>
      <c r="F33" s="13">
        <v>0</v>
      </c>
      <c r="G33" s="13">
        <v>0</v>
      </c>
      <c r="H33" s="13">
        <v>0</v>
      </c>
      <c r="I33" s="25" t="s">
        <v>147</v>
      </c>
      <c r="J33" s="1" t="s">
        <v>20</v>
      </c>
    </row>
    <row r="34" spans="2:10" ht="12.75">
      <c r="B34" s="13" t="s">
        <v>124</v>
      </c>
      <c r="C34" s="13">
        <v>52</v>
      </c>
      <c r="D34" s="13">
        <v>23</v>
      </c>
      <c r="E34" s="13">
        <v>2</v>
      </c>
      <c r="F34" s="13">
        <v>0</v>
      </c>
      <c r="G34" s="13">
        <v>0</v>
      </c>
      <c r="H34" s="13">
        <v>0</v>
      </c>
      <c r="I34" s="25" t="s">
        <v>147</v>
      </c>
      <c r="J34" s="1" t="s">
        <v>34</v>
      </c>
    </row>
    <row r="35" spans="2:10" ht="12.75">
      <c r="B35" s="13" t="s">
        <v>69</v>
      </c>
      <c r="C35" s="13">
        <v>70</v>
      </c>
      <c r="D35" s="13">
        <v>18</v>
      </c>
      <c r="E35" s="13">
        <v>2</v>
      </c>
      <c r="F35" s="13">
        <v>0</v>
      </c>
      <c r="G35" s="13">
        <v>0</v>
      </c>
      <c r="H35" s="13">
        <v>0</v>
      </c>
      <c r="I35" s="25" t="s">
        <v>147</v>
      </c>
      <c r="J35" s="1" t="s">
        <v>20</v>
      </c>
    </row>
    <row r="36" spans="2:10" ht="12.75">
      <c r="B36" s="13" t="s">
        <v>125</v>
      </c>
      <c r="C36" s="13">
        <v>71</v>
      </c>
      <c r="D36" s="13">
        <v>17</v>
      </c>
      <c r="E36" s="13">
        <v>2</v>
      </c>
      <c r="F36" s="13">
        <v>0</v>
      </c>
      <c r="G36" s="13">
        <v>0</v>
      </c>
      <c r="H36" s="13">
        <v>0</v>
      </c>
      <c r="I36" s="25" t="s">
        <v>147</v>
      </c>
      <c r="J36" s="1" t="s">
        <v>126</v>
      </c>
    </row>
    <row r="37" spans="2:10" ht="12.75">
      <c r="B37" s="13" t="s">
        <v>28</v>
      </c>
      <c r="C37" s="13">
        <v>77</v>
      </c>
      <c r="D37" s="13">
        <v>38</v>
      </c>
      <c r="E37" s="13">
        <v>0</v>
      </c>
      <c r="F37" s="13">
        <v>0</v>
      </c>
      <c r="G37" s="13">
        <v>0</v>
      </c>
      <c r="H37" s="13">
        <v>0</v>
      </c>
      <c r="I37" s="25" t="s">
        <v>147</v>
      </c>
      <c r="J37" s="1" t="s">
        <v>29</v>
      </c>
    </row>
    <row r="38" spans="2:10" ht="12.75">
      <c r="B38" s="13" t="s">
        <v>127</v>
      </c>
      <c r="C38" s="13">
        <v>6</v>
      </c>
      <c r="D38" s="13">
        <v>3</v>
      </c>
      <c r="E38" s="13">
        <v>0</v>
      </c>
      <c r="F38" s="13">
        <v>0</v>
      </c>
      <c r="G38" s="13">
        <v>0</v>
      </c>
      <c r="H38" s="13">
        <v>0</v>
      </c>
      <c r="I38" s="25" t="s">
        <v>142</v>
      </c>
      <c r="J38" s="1" t="s">
        <v>24</v>
      </c>
    </row>
    <row r="39" spans="2:10" ht="12.75">
      <c r="B39" s="13" t="s">
        <v>128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25" t="s">
        <v>142</v>
      </c>
      <c r="J39" s="1" t="s">
        <v>24</v>
      </c>
    </row>
    <row r="40" spans="2:10" ht="12.75">
      <c r="B40" s="13" t="s">
        <v>129</v>
      </c>
      <c r="C40" s="13">
        <v>81</v>
      </c>
      <c r="D40" s="13">
        <v>14</v>
      </c>
      <c r="E40" s="13">
        <v>0</v>
      </c>
      <c r="F40" s="13">
        <v>0</v>
      </c>
      <c r="G40" s="13">
        <v>0</v>
      </c>
      <c r="H40" s="13">
        <v>0</v>
      </c>
      <c r="I40" s="25" t="s">
        <v>147</v>
      </c>
      <c r="J40" s="1" t="s">
        <v>20</v>
      </c>
    </row>
    <row r="41" spans="2:10" ht="12.75">
      <c r="B41" s="13" t="s">
        <v>23</v>
      </c>
      <c r="C41" s="13">
        <v>124</v>
      </c>
      <c r="D41" s="13">
        <v>55</v>
      </c>
      <c r="E41" s="13">
        <v>2</v>
      </c>
      <c r="F41" s="13">
        <v>1</v>
      </c>
      <c r="G41" s="13">
        <v>0</v>
      </c>
      <c r="H41" s="13">
        <v>1</v>
      </c>
      <c r="I41" s="25" t="s">
        <v>142</v>
      </c>
      <c r="J41" s="1" t="s">
        <v>24</v>
      </c>
    </row>
    <row r="42" spans="2:10" ht="12.75">
      <c r="B42" s="13" t="s">
        <v>130</v>
      </c>
      <c r="C42" s="13">
        <v>1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25" t="s">
        <v>142</v>
      </c>
      <c r="J42" s="1" t="s">
        <v>24</v>
      </c>
    </row>
    <row r="43" spans="2:10" ht="12.75">
      <c r="B43" s="13" t="s">
        <v>131</v>
      </c>
      <c r="C43" s="13">
        <v>29</v>
      </c>
      <c r="D43" s="13">
        <v>10</v>
      </c>
      <c r="E43" s="13">
        <v>0</v>
      </c>
      <c r="F43" s="13">
        <v>0</v>
      </c>
      <c r="G43" s="13">
        <v>0</v>
      </c>
      <c r="H43" s="13">
        <v>0</v>
      </c>
      <c r="I43" s="25" t="s">
        <v>142</v>
      </c>
      <c r="J43" s="1" t="s">
        <v>24</v>
      </c>
    </row>
    <row r="44" spans="2:10" ht="12.75">
      <c r="B44" s="13" t="s">
        <v>49</v>
      </c>
      <c r="C44" s="13">
        <v>15</v>
      </c>
      <c r="D44" s="13">
        <v>11</v>
      </c>
      <c r="E44" s="13">
        <v>0</v>
      </c>
      <c r="F44" s="13">
        <v>0</v>
      </c>
      <c r="G44" s="13">
        <v>0</v>
      </c>
      <c r="H44" s="13">
        <v>0</v>
      </c>
      <c r="I44" s="25" t="s">
        <v>147</v>
      </c>
      <c r="J44" s="1" t="s">
        <v>37</v>
      </c>
    </row>
    <row r="45" spans="2:10" ht="12.75">
      <c r="B45" s="13" t="s">
        <v>56</v>
      </c>
      <c r="C45" s="13">
        <v>37</v>
      </c>
      <c r="D45" s="13">
        <v>5</v>
      </c>
      <c r="E45" s="13">
        <v>0</v>
      </c>
      <c r="F45" s="13">
        <v>0</v>
      </c>
      <c r="G45" s="13">
        <v>0</v>
      </c>
      <c r="H45" s="13">
        <v>0</v>
      </c>
      <c r="I45" s="25" t="s">
        <v>147</v>
      </c>
      <c r="J45" s="1" t="s">
        <v>37</v>
      </c>
    </row>
    <row r="46" spans="2:10" ht="12.75">
      <c r="B46" s="13" t="s">
        <v>132</v>
      </c>
      <c r="C46" s="13">
        <v>2</v>
      </c>
      <c r="D46" s="13">
        <v>2</v>
      </c>
      <c r="E46" s="13">
        <v>0</v>
      </c>
      <c r="F46" s="13">
        <v>0</v>
      </c>
      <c r="G46" s="13">
        <v>0</v>
      </c>
      <c r="H46" s="13">
        <v>0</v>
      </c>
      <c r="I46" s="25" t="s">
        <v>142</v>
      </c>
      <c r="J46" s="1" t="s">
        <v>24</v>
      </c>
    </row>
    <row r="47" spans="2:10" ht="12.75">
      <c r="B47" s="13" t="s">
        <v>106</v>
      </c>
      <c r="C47" s="13">
        <v>8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25" t="s">
        <v>142</v>
      </c>
      <c r="J47" s="1" t="s">
        <v>24</v>
      </c>
    </row>
    <row r="48" spans="2:10" ht="12.75">
      <c r="B48" s="13" t="s">
        <v>31</v>
      </c>
      <c r="C48" s="13">
        <v>187</v>
      </c>
      <c r="D48" s="13">
        <v>23</v>
      </c>
      <c r="E48" s="13">
        <v>2</v>
      </c>
      <c r="F48" s="13">
        <v>0</v>
      </c>
      <c r="G48" s="13">
        <v>0</v>
      </c>
      <c r="H48" s="13">
        <v>0</v>
      </c>
      <c r="I48" s="25" t="s">
        <v>147</v>
      </c>
      <c r="J48" s="1" t="s">
        <v>20</v>
      </c>
    </row>
    <row r="49" spans="2:10" ht="12.75">
      <c r="B49" s="13" t="s">
        <v>98</v>
      </c>
      <c r="C49" s="13">
        <v>39</v>
      </c>
      <c r="D49" s="13">
        <v>5</v>
      </c>
      <c r="E49" s="13">
        <v>0</v>
      </c>
      <c r="F49" s="13">
        <v>0</v>
      </c>
      <c r="G49" s="13">
        <v>0</v>
      </c>
      <c r="H49" s="13">
        <v>0</v>
      </c>
      <c r="I49" s="25" t="s">
        <v>147</v>
      </c>
      <c r="J49" s="1" t="s">
        <v>34</v>
      </c>
    </row>
    <row r="50" spans="2:10" ht="12.75">
      <c r="B50" s="13" t="s">
        <v>59</v>
      </c>
      <c r="C50" s="13">
        <v>44</v>
      </c>
      <c r="D50" s="13">
        <v>4</v>
      </c>
      <c r="E50" s="13">
        <v>0</v>
      </c>
      <c r="F50" s="13">
        <v>0</v>
      </c>
      <c r="G50" s="13">
        <v>0</v>
      </c>
      <c r="H50" s="13">
        <v>0</v>
      </c>
      <c r="I50" s="25" t="s">
        <v>147</v>
      </c>
      <c r="J50" s="1" t="s">
        <v>34</v>
      </c>
    </row>
    <row r="51" spans="2:10" ht="12.75">
      <c r="B51" s="13" t="s">
        <v>41</v>
      </c>
      <c r="C51" s="13">
        <v>2</v>
      </c>
      <c r="D51" s="13">
        <v>2</v>
      </c>
      <c r="E51" s="13">
        <v>0</v>
      </c>
      <c r="F51" s="13">
        <v>0</v>
      </c>
      <c r="G51" s="13">
        <v>0</v>
      </c>
      <c r="H51" s="13">
        <v>0</v>
      </c>
      <c r="I51" s="25" t="s">
        <v>147</v>
      </c>
      <c r="J51" s="1" t="s">
        <v>34</v>
      </c>
    </row>
    <row r="52" spans="2:10" ht="12.75">
      <c r="B52" s="13" t="s">
        <v>70</v>
      </c>
      <c r="C52" s="13">
        <v>74</v>
      </c>
      <c r="D52" s="13">
        <v>10</v>
      </c>
      <c r="E52" s="13">
        <v>1</v>
      </c>
      <c r="F52" s="13">
        <v>0</v>
      </c>
      <c r="G52" s="13">
        <v>0</v>
      </c>
      <c r="H52" s="13">
        <v>0</v>
      </c>
      <c r="I52" s="25" t="s">
        <v>147</v>
      </c>
      <c r="J52" s="1" t="s">
        <v>20</v>
      </c>
    </row>
    <row r="53" spans="2:10" ht="12.75">
      <c r="B53" s="13" t="s">
        <v>85</v>
      </c>
      <c r="C53" s="13">
        <v>2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25" t="s">
        <v>147</v>
      </c>
      <c r="J53" s="1" t="s">
        <v>37</v>
      </c>
    </row>
    <row r="54" spans="2:10" ht="12.75">
      <c r="B54" s="13" t="s">
        <v>119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25" t="s">
        <v>142</v>
      </c>
      <c r="J54" s="1" t="s">
        <v>24</v>
      </c>
    </row>
    <row r="55" spans="2:10" ht="12.75">
      <c r="B55" s="13" t="s">
        <v>101</v>
      </c>
      <c r="C55" s="13">
        <v>37</v>
      </c>
      <c r="D55" s="13">
        <v>2</v>
      </c>
      <c r="E55" s="13">
        <v>0</v>
      </c>
      <c r="F55" s="13">
        <v>0</v>
      </c>
      <c r="G55" s="13">
        <v>0</v>
      </c>
      <c r="H55" s="13">
        <v>0</v>
      </c>
      <c r="I55" s="25" t="s">
        <v>147</v>
      </c>
      <c r="J55" s="1" t="s">
        <v>34</v>
      </c>
    </row>
    <row r="56" spans="2:10" ht="12.75">
      <c r="B56" s="13" t="s">
        <v>52</v>
      </c>
      <c r="C56" s="13">
        <v>11</v>
      </c>
      <c r="D56" s="13">
        <v>3</v>
      </c>
      <c r="E56" s="13">
        <v>0</v>
      </c>
      <c r="F56" s="13">
        <v>0</v>
      </c>
      <c r="G56" s="13">
        <v>0</v>
      </c>
      <c r="H56" s="13">
        <v>0</v>
      </c>
      <c r="I56" s="25" t="s">
        <v>142</v>
      </c>
      <c r="J56" s="1" t="s">
        <v>24</v>
      </c>
    </row>
    <row r="57" spans="2:10" ht="12.75">
      <c r="B57" s="13" t="s">
        <v>61</v>
      </c>
      <c r="C57" s="13">
        <v>148</v>
      </c>
      <c r="D57" s="13">
        <v>49</v>
      </c>
      <c r="E57" s="13">
        <v>1</v>
      </c>
      <c r="F57" s="13">
        <v>1</v>
      </c>
      <c r="G57" s="13">
        <v>1</v>
      </c>
      <c r="H57" s="13">
        <v>1</v>
      </c>
      <c r="I57" s="25" t="s">
        <v>147</v>
      </c>
      <c r="J57" s="1" t="s">
        <v>20</v>
      </c>
    </row>
    <row r="58" spans="2:10" ht="12.75">
      <c r="B58" s="13" t="s">
        <v>44</v>
      </c>
      <c r="C58" s="13">
        <v>67</v>
      </c>
      <c r="D58" s="13">
        <v>17</v>
      </c>
      <c r="E58" s="13">
        <v>0</v>
      </c>
      <c r="F58" s="13">
        <v>0</v>
      </c>
      <c r="G58" s="13">
        <v>0</v>
      </c>
      <c r="H58" s="13">
        <v>0</v>
      </c>
      <c r="I58" s="25" t="s">
        <v>147</v>
      </c>
      <c r="J58" s="21" t="s">
        <v>20</v>
      </c>
    </row>
    <row r="59" spans="2:10" ht="12.75">
      <c r="B59" s="13" t="s">
        <v>108</v>
      </c>
      <c r="C59" s="13">
        <v>8</v>
      </c>
      <c r="D59" s="13">
        <v>5</v>
      </c>
      <c r="E59" s="13">
        <v>0</v>
      </c>
      <c r="F59" s="13">
        <v>0</v>
      </c>
      <c r="G59" s="13">
        <v>0</v>
      </c>
      <c r="H59" s="13">
        <v>0</v>
      </c>
      <c r="I59" s="25" t="s">
        <v>142</v>
      </c>
      <c r="J59" s="1" t="s">
        <v>24</v>
      </c>
    </row>
    <row r="60" spans="2:10" ht="12.75">
      <c r="B60" s="13" t="s">
        <v>88</v>
      </c>
      <c r="C60" s="13">
        <v>168</v>
      </c>
      <c r="D60" s="13">
        <v>26</v>
      </c>
      <c r="E60" s="13">
        <v>0</v>
      </c>
      <c r="F60" s="13">
        <v>0</v>
      </c>
      <c r="G60" s="13">
        <v>0</v>
      </c>
      <c r="H60" s="13">
        <v>0</v>
      </c>
      <c r="I60" s="25" t="s">
        <v>142</v>
      </c>
      <c r="J60" s="1" t="s">
        <v>24</v>
      </c>
    </row>
    <row r="61" spans="2:10" ht="12.75">
      <c r="B61" s="13" t="s">
        <v>55</v>
      </c>
      <c r="C61" s="13">
        <v>2</v>
      </c>
      <c r="D61" s="13">
        <v>1</v>
      </c>
      <c r="E61" s="13">
        <v>0</v>
      </c>
      <c r="F61" s="13">
        <v>0</v>
      </c>
      <c r="G61" s="13">
        <v>0</v>
      </c>
      <c r="H61" s="13">
        <v>0</v>
      </c>
      <c r="I61" s="25" t="s">
        <v>142</v>
      </c>
      <c r="J61" s="1" t="s">
        <v>24</v>
      </c>
    </row>
    <row r="62" spans="2:10" ht="12.75">
      <c r="B62" s="13" t="s">
        <v>46</v>
      </c>
      <c r="C62" s="13">
        <v>43</v>
      </c>
      <c r="D62" s="13">
        <v>14</v>
      </c>
      <c r="E62" s="13">
        <v>0</v>
      </c>
      <c r="F62" s="13">
        <v>0</v>
      </c>
      <c r="G62" s="13">
        <v>0</v>
      </c>
      <c r="H62" s="13">
        <v>0</v>
      </c>
      <c r="I62" s="25" t="s">
        <v>147</v>
      </c>
      <c r="J62" s="1" t="s">
        <v>37</v>
      </c>
    </row>
    <row r="63" spans="2:10" ht="12.75">
      <c r="B63" s="13" t="s">
        <v>133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25" t="s">
        <v>142</v>
      </c>
      <c r="J63" s="1" t="s">
        <v>24</v>
      </c>
    </row>
    <row r="64" spans="2:10" ht="12.75">
      <c r="B64" s="13" t="s">
        <v>134</v>
      </c>
      <c r="C64" s="13">
        <v>2</v>
      </c>
      <c r="D64" s="13">
        <v>1</v>
      </c>
      <c r="E64" s="13">
        <v>0</v>
      </c>
      <c r="F64" s="13">
        <v>0</v>
      </c>
      <c r="G64" s="13">
        <v>0</v>
      </c>
      <c r="H64" s="13">
        <v>0</v>
      </c>
      <c r="I64" s="25" t="s">
        <v>142</v>
      </c>
      <c r="J64" s="1" t="s">
        <v>24</v>
      </c>
    </row>
    <row r="65" spans="2:10" ht="12.75">
      <c r="B65" s="13" t="s">
        <v>104</v>
      </c>
      <c r="C65" s="13">
        <v>236</v>
      </c>
      <c r="D65" s="13">
        <v>85</v>
      </c>
      <c r="E65" s="13">
        <v>6</v>
      </c>
      <c r="F65" s="13">
        <v>1</v>
      </c>
      <c r="G65" s="13">
        <v>0</v>
      </c>
      <c r="H65" s="13">
        <v>0</v>
      </c>
      <c r="I65" s="25" t="s">
        <v>147</v>
      </c>
      <c r="J65" s="1" t="s">
        <v>20</v>
      </c>
    </row>
    <row r="66" spans="2:10" ht="12.75">
      <c r="B66" s="13" t="s">
        <v>87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25" t="s">
        <v>147</v>
      </c>
      <c r="J66" s="1" t="s">
        <v>34</v>
      </c>
    </row>
    <row r="67" spans="2:10" ht="12.75">
      <c r="B67" s="13" t="s">
        <v>135</v>
      </c>
      <c r="C67" s="13">
        <v>128</v>
      </c>
      <c r="D67" s="13">
        <v>56</v>
      </c>
      <c r="E67" s="13">
        <v>1</v>
      </c>
      <c r="F67" s="13">
        <v>0</v>
      </c>
      <c r="G67" s="13">
        <v>0</v>
      </c>
      <c r="H67" s="13">
        <v>0</v>
      </c>
      <c r="I67" s="25" t="s">
        <v>147</v>
      </c>
      <c r="J67" s="1" t="s">
        <v>20</v>
      </c>
    </row>
    <row r="68" spans="2:10" ht="12.75">
      <c r="B68" s="13" t="s">
        <v>136</v>
      </c>
      <c r="C68" s="13">
        <v>28</v>
      </c>
      <c r="D68" s="13">
        <v>8</v>
      </c>
      <c r="E68" s="13">
        <v>0</v>
      </c>
      <c r="F68" s="13">
        <v>0</v>
      </c>
      <c r="G68" s="13">
        <v>0</v>
      </c>
      <c r="H68" s="13">
        <v>0</v>
      </c>
      <c r="I68" s="25" t="s">
        <v>147</v>
      </c>
      <c r="J68" s="1" t="s">
        <v>34</v>
      </c>
    </row>
    <row r="69" spans="2:10" ht="12.75">
      <c r="B69" s="13" t="s">
        <v>137</v>
      </c>
      <c r="C69" s="13">
        <v>93</v>
      </c>
      <c r="D69" s="13">
        <v>16</v>
      </c>
      <c r="E69" s="13">
        <v>1</v>
      </c>
      <c r="F69" s="13">
        <v>0</v>
      </c>
      <c r="G69" s="13">
        <v>0</v>
      </c>
      <c r="H69" s="13">
        <v>0</v>
      </c>
      <c r="I69" s="25" t="s">
        <v>147</v>
      </c>
      <c r="J69" s="1" t="s">
        <v>138</v>
      </c>
    </row>
    <row r="70" spans="2:10" ht="12.75">
      <c r="B70" s="13" t="s">
        <v>40</v>
      </c>
      <c r="C70" s="13">
        <v>256</v>
      </c>
      <c r="D70" s="13">
        <v>55</v>
      </c>
      <c r="E70" s="13">
        <v>0</v>
      </c>
      <c r="F70" s="13">
        <v>0</v>
      </c>
      <c r="G70" s="13">
        <v>0</v>
      </c>
      <c r="H70" s="13">
        <v>0</v>
      </c>
      <c r="I70" s="25" t="s">
        <v>147</v>
      </c>
      <c r="J70" s="1" t="s">
        <v>20</v>
      </c>
    </row>
    <row r="71" spans="2:10" ht="12.75">
      <c r="B71" s="13" t="s">
        <v>32</v>
      </c>
      <c r="C71" s="13">
        <v>196</v>
      </c>
      <c r="D71" s="13">
        <v>86</v>
      </c>
      <c r="E71" s="13">
        <v>0</v>
      </c>
      <c r="F71" s="13">
        <v>0</v>
      </c>
      <c r="G71" s="13">
        <v>0</v>
      </c>
      <c r="H71" s="13">
        <v>0</v>
      </c>
      <c r="I71" s="25" t="s">
        <v>147</v>
      </c>
      <c r="J71" s="1" t="s">
        <v>20</v>
      </c>
    </row>
    <row r="72" spans="2:10" ht="12.75">
      <c r="B72" s="13" t="s">
        <v>45</v>
      </c>
      <c r="C72" s="13">
        <v>120</v>
      </c>
      <c r="D72" s="13">
        <v>53</v>
      </c>
      <c r="E72" s="13">
        <v>3</v>
      </c>
      <c r="F72" s="13">
        <v>0</v>
      </c>
      <c r="G72" s="13">
        <v>0</v>
      </c>
      <c r="H72" s="13">
        <v>0</v>
      </c>
      <c r="I72" s="25" t="s">
        <v>147</v>
      </c>
      <c r="J72" s="1" t="s">
        <v>20</v>
      </c>
    </row>
    <row r="73" spans="2:10" ht="12.75">
      <c r="B73" s="13" t="s">
        <v>26</v>
      </c>
      <c r="C73" s="13">
        <v>61</v>
      </c>
      <c r="D73" s="13">
        <v>9</v>
      </c>
      <c r="E73" s="13">
        <v>0</v>
      </c>
      <c r="F73" s="13">
        <v>0</v>
      </c>
      <c r="G73" s="13">
        <v>0</v>
      </c>
      <c r="H73" s="13">
        <v>0</v>
      </c>
      <c r="I73" s="25" t="s">
        <v>147</v>
      </c>
      <c r="J73" s="1" t="s">
        <v>20</v>
      </c>
    </row>
    <row r="74" spans="2:10" ht="12.75">
      <c r="B74" s="13" t="s">
        <v>84</v>
      </c>
      <c r="C74" s="13">
        <v>101</v>
      </c>
      <c r="D74" s="13">
        <v>17</v>
      </c>
      <c r="E74" s="13">
        <v>0</v>
      </c>
      <c r="F74" s="13">
        <v>0</v>
      </c>
      <c r="G74" s="13">
        <v>0</v>
      </c>
      <c r="H74" s="13">
        <v>0</v>
      </c>
      <c r="I74" s="25" t="s">
        <v>147</v>
      </c>
      <c r="J74" s="1" t="s">
        <v>20</v>
      </c>
    </row>
    <row r="75" spans="2:10" ht="12.75">
      <c r="B75" s="13" t="s">
        <v>73</v>
      </c>
      <c r="C75" s="13">
        <v>30</v>
      </c>
      <c r="D75" s="13">
        <v>1</v>
      </c>
      <c r="E75" s="13">
        <v>0</v>
      </c>
      <c r="F75" s="13">
        <v>0</v>
      </c>
      <c r="G75" s="13">
        <v>0</v>
      </c>
      <c r="H75" s="13">
        <v>0</v>
      </c>
      <c r="I75" s="25" t="s">
        <v>147</v>
      </c>
      <c r="J75" s="1" t="s">
        <v>20</v>
      </c>
    </row>
    <row r="76" spans="2:10" ht="12.75">
      <c r="B76" s="13" t="s">
        <v>102</v>
      </c>
      <c r="C76" s="13">
        <v>107</v>
      </c>
      <c r="D76" s="13">
        <v>15</v>
      </c>
      <c r="E76" s="13">
        <v>0</v>
      </c>
      <c r="F76" s="13">
        <v>0</v>
      </c>
      <c r="G76" s="13">
        <v>0</v>
      </c>
      <c r="H76" s="13">
        <v>0</v>
      </c>
      <c r="I76" s="25" t="s">
        <v>147</v>
      </c>
      <c r="J76" s="1" t="s">
        <v>29</v>
      </c>
    </row>
    <row r="77" spans="2:10" ht="12.75">
      <c r="B77" s="13" t="s">
        <v>76</v>
      </c>
      <c r="C77" s="13">
        <v>123</v>
      </c>
      <c r="D77" s="13">
        <v>21</v>
      </c>
      <c r="E77" s="13">
        <v>2</v>
      </c>
      <c r="F77" s="13">
        <v>0</v>
      </c>
      <c r="G77" s="13">
        <v>0</v>
      </c>
      <c r="H77" s="13">
        <v>0</v>
      </c>
      <c r="I77" s="25" t="s">
        <v>147</v>
      </c>
      <c r="J77" s="1" t="s">
        <v>34</v>
      </c>
    </row>
    <row r="78" spans="2:10" ht="12.75">
      <c r="B78" s="13" t="s">
        <v>63</v>
      </c>
      <c r="C78" s="13">
        <v>40</v>
      </c>
      <c r="D78" s="13">
        <v>1</v>
      </c>
      <c r="E78" s="13">
        <v>0</v>
      </c>
      <c r="F78" s="13">
        <v>0</v>
      </c>
      <c r="G78" s="13">
        <v>0</v>
      </c>
      <c r="H78" s="13">
        <v>0</v>
      </c>
      <c r="I78" s="25" t="s">
        <v>147</v>
      </c>
      <c r="J78" s="1" t="s">
        <v>64</v>
      </c>
    </row>
    <row r="79" spans="2:10" ht="12.75">
      <c r="B79" s="13" t="s">
        <v>60</v>
      </c>
      <c r="C79" s="13">
        <v>55</v>
      </c>
      <c r="D79" s="13">
        <v>8</v>
      </c>
      <c r="E79" s="13">
        <v>0</v>
      </c>
      <c r="F79" s="13">
        <v>1</v>
      </c>
      <c r="G79" s="13">
        <v>0</v>
      </c>
      <c r="H79" s="13">
        <v>0</v>
      </c>
      <c r="I79" s="25" t="s">
        <v>147</v>
      </c>
      <c r="J79" s="1" t="s">
        <v>20</v>
      </c>
    </row>
    <row r="80" spans="2:10" ht="12.75">
      <c r="B80" s="13" t="s">
        <v>54</v>
      </c>
      <c r="C80" s="13">
        <v>186</v>
      </c>
      <c r="D80" s="13">
        <v>44</v>
      </c>
      <c r="E80" s="13">
        <v>2</v>
      </c>
      <c r="F80" s="13">
        <v>0</v>
      </c>
      <c r="G80" s="13">
        <v>0</v>
      </c>
      <c r="H80" s="13">
        <v>1</v>
      </c>
      <c r="I80" s="25" t="s">
        <v>147</v>
      </c>
      <c r="J80" s="1" t="s">
        <v>20</v>
      </c>
    </row>
    <row r="81" spans="2:10" ht="12.75">
      <c r="B81" s="13" t="s">
        <v>71</v>
      </c>
      <c r="C81" s="13">
        <v>75</v>
      </c>
      <c r="D81" s="13">
        <v>14</v>
      </c>
      <c r="E81" s="13">
        <v>0</v>
      </c>
      <c r="F81" s="13">
        <v>0</v>
      </c>
      <c r="G81" s="13">
        <v>0</v>
      </c>
      <c r="H81" s="13">
        <v>0</v>
      </c>
      <c r="I81" s="25" t="s">
        <v>147</v>
      </c>
      <c r="J81" s="1" t="s">
        <v>20</v>
      </c>
    </row>
    <row r="82" spans="2:10" ht="12.75">
      <c r="B82" s="13" t="s">
        <v>66</v>
      </c>
      <c r="C82" s="13">
        <v>41</v>
      </c>
      <c r="D82" s="13">
        <v>11</v>
      </c>
      <c r="E82" s="13">
        <v>0</v>
      </c>
      <c r="F82" s="13">
        <v>0</v>
      </c>
      <c r="G82" s="13">
        <v>0</v>
      </c>
      <c r="H82" s="13">
        <v>0</v>
      </c>
      <c r="I82" s="25" t="s">
        <v>147</v>
      </c>
      <c r="J82" s="1" t="s">
        <v>34</v>
      </c>
    </row>
    <row r="83" spans="2:10" ht="12.75">
      <c r="B83" s="13" t="s">
        <v>139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25" t="s">
        <v>142</v>
      </c>
      <c r="J83" s="1" t="s">
        <v>24</v>
      </c>
    </row>
    <row r="84" spans="2:10" ht="12.75">
      <c r="B84" s="13" t="s">
        <v>79</v>
      </c>
      <c r="C84" s="13">
        <v>22</v>
      </c>
      <c r="D84" s="13">
        <v>3</v>
      </c>
      <c r="E84" s="13">
        <v>0</v>
      </c>
      <c r="F84" s="13">
        <v>0</v>
      </c>
      <c r="G84" s="13">
        <v>0</v>
      </c>
      <c r="H84" s="13">
        <v>0</v>
      </c>
      <c r="I84" s="25" t="s">
        <v>147</v>
      </c>
      <c r="J84" s="1" t="s">
        <v>64</v>
      </c>
    </row>
    <row r="85" spans="2:10" ht="12.75">
      <c r="B85" s="13" t="s">
        <v>50</v>
      </c>
      <c r="C85" s="13">
        <v>72</v>
      </c>
      <c r="D85" s="13">
        <v>11</v>
      </c>
      <c r="E85" s="13">
        <v>0</v>
      </c>
      <c r="F85" s="13">
        <v>0</v>
      </c>
      <c r="G85" s="13">
        <v>0</v>
      </c>
      <c r="H85" s="13">
        <v>0</v>
      </c>
      <c r="I85" s="25" t="s">
        <v>147</v>
      </c>
      <c r="J85" s="1" t="s">
        <v>34</v>
      </c>
    </row>
    <row r="86" spans="2:10" ht="12.75">
      <c r="B86" s="13" t="s">
        <v>36</v>
      </c>
      <c r="C86" s="13">
        <v>14</v>
      </c>
      <c r="D86" s="13">
        <v>8</v>
      </c>
      <c r="E86" s="13">
        <v>1</v>
      </c>
      <c r="F86" s="13">
        <v>0</v>
      </c>
      <c r="G86" s="13">
        <v>0</v>
      </c>
      <c r="H86" s="13">
        <v>0</v>
      </c>
      <c r="I86" s="25" t="s">
        <v>147</v>
      </c>
      <c r="J86" s="1" t="s">
        <v>37</v>
      </c>
    </row>
    <row r="87" spans="2:10" ht="12.75">
      <c r="B87" s="13" t="s">
        <v>48</v>
      </c>
      <c r="C87" s="13">
        <v>169</v>
      </c>
      <c r="D87" s="13">
        <v>81</v>
      </c>
      <c r="E87" s="13">
        <v>1</v>
      </c>
      <c r="F87" s="13">
        <v>0</v>
      </c>
      <c r="G87" s="13">
        <v>0</v>
      </c>
      <c r="H87" s="13">
        <v>0</v>
      </c>
      <c r="I87" s="25" t="s">
        <v>147</v>
      </c>
      <c r="J87" s="1" t="s">
        <v>20</v>
      </c>
    </row>
    <row r="88" spans="2:10" ht="12.75">
      <c r="B88" s="13" t="s">
        <v>33</v>
      </c>
      <c r="C88" s="13">
        <v>60</v>
      </c>
      <c r="D88" s="13">
        <v>16</v>
      </c>
      <c r="E88" s="13">
        <v>0</v>
      </c>
      <c r="F88" s="13">
        <v>0</v>
      </c>
      <c r="G88" s="13">
        <v>0</v>
      </c>
      <c r="H88" s="13">
        <v>0</v>
      </c>
      <c r="I88" s="25" t="s">
        <v>147</v>
      </c>
      <c r="J88" s="1" t="s">
        <v>34</v>
      </c>
    </row>
    <row r="89" spans="2:10" ht="12.75">
      <c r="B89" s="13" t="s">
        <v>140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25" t="s">
        <v>142</v>
      </c>
      <c r="J89" s="1" t="s">
        <v>24</v>
      </c>
    </row>
    <row r="90" spans="2:10" ht="12.75">
      <c r="B90" s="13" t="s">
        <v>116</v>
      </c>
      <c r="C90" s="13">
        <v>21</v>
      </c>
      <c r="D90" s="13">
        <v>3</v>
      </c>
      <c r="E90" s="13">
        <v>0</v>
      </c>
      <c r="F90" s="13">
        <v>0</v>
      </c>
      <c r="G90" s="13">
        <v>0</v>
      </c>
      <c r="H90" s="13">
        <v>0</v>
      </c>
      <c r="I90" s="25" t="s">
        <v>147</v>
      </c>
      <c r="J90" s="1" t="s">
        <v>64</v>
      </c>
    </row>
    <row r="91" spans="2:10" ht="12.75">
      <c r="B91" s="13" t="s">
        <v>107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25" t="s">
        <v>142</v>
      </c>
      <c r="J91" s="1" t="s">
        <v>24</v>
      </c>
    </row>
    <row r="92" spans="2:10" ht="12.75">
      <c r="B92" s="13" t="s">
        <v>93</v>
      </c>
      <c r="C92" s="13">
        <v>28</v>
      </c>
      <c r="D92" s="13">
        <v>6</v>
      </c>
      <c r="E92" s="13">
        <v>0</v>
      </c>
      <c r="F92" s="13">
        <v>0</v>
      </c>
      <c r="G92" s="13">
        <v>0</v>
      </c>
      <c r="H92" s="13">
        <v>0</v>
      </c>
      <c r="I92" s="25" t="s">
        <v>147</v>
      </c>
      <c r="J92" s="1" t="s">
        <v>20</v>
      </c>
    </row>
    <row r="93" spans="2:10" ht="12.75">
      <c r="B93" s="13" t="s">
        <v>90</v>
      </c>
      <c r="C93" s="13">
        <v>323</v>
      </c>
      <c r="D93" s="13">
        <v>102</v>
      </c>
      <c r="E93" s="13">
        <v>4</v>
      </c>
      <c r="F93" s="13">
        <v>1</v>
      </c>
      <c r="G93" s="13">
        <v>0</v>
      </c>
      <c r="H93" s="13">
        <v>0</v>
      </c>
      <c r="I93" s="25" t="s">
        <v>147</v>
      </c>
      <c r="J93" s="1" t="s">
        <v>20</v>
      </c>
    </row>
    <row r="94" spans="2:10" ht="12.75">
      <c r="B94" s="13" t="s">
        <v>72</v>
      </c>
      <c r="C94" s="13">
        <v>283</v>
      </c>
      <c r="D94" s="13">
        <v>99</v>
      </c>
      <c r="E94" s="13">
        <v>5</v>
      </c>
      <c r="F94" s="13">
        <v>0</v>
      </c>
      <c r="G94" s="13">
        <v>0</v>
      </c>
      <c r="H94" s="13">
        <v>0</v>
      </c>
      <c r="I94" s="25" t="s">
        <v>147</v>
      </c>
      <c r="J94" s="21" t="s">
        <v>20</v>
      </c>
    </row>
    <row r="95" spans="2:10" ht="12.75">
      <c r="B95" s="13" t="s">
        <v>113</v>
      </c>
      <c r="C95" s="13">
        <v>3</v>
      </c>
      <c r="D95" s="13">
        <v>2</v>
      </c>
      <c r="E95" s="13">
        <v>0</v>
      </c>
      <c r="F95" s="13">
        <v>0</v>
      </c>
      <c r="G95" s="13">
        <v>0</v>
      </c>
      <c r="H95" s="13">
        <v>0</v>
      </c>
      <c r="I95" s="25" t="s">
        <v>142</v>
      </c>
      <c r="J95" s="1" t="s">
        <v>24</v>
      </c>
    </row>
    <row r="96" spans="2:10" ht="12.75">
      <c r="B96" s="13" t="s">
        <v>141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25" t="s">
        <v>142</v>
      </c>
      <c r="J96" s="1" t="s">
        <v>24</v>
      </c>
    </row>
    <row r="97" spans="2:10" ht="12.75">
      <c r="B97" s="13" t="s">
        <v>109</v>
      </c>
      <c r="C97" s="13">
        <v>1</v>
      </c>
      <c r="D97" s="13">
        <v>1</v>
      </c>
      <c r="E97" s="13">
        <v>0</v>
      </c>
      <c r="F97" s="13">
        <v>0</v>
      </c>
      <c r="G97" s="13">
        <v>0</v>
      </c>
      <c r="H97" s="13">
        <v>0</v>
      </c>
      <c r="I97" s="25" t="s">
        <v>147</v>
      </c>
      <c r="J97" s="1" t="s">
        <v>37</v>
      </c>
    </row>
    <row r="98" spans="2:10" ht="12.75">
      <c r="B98" s="13" t="s">
        <v>94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25" t="s">
        <v>142</v>
      </c>
      <c r="J98" s="1" t="s">
        <v>24</v>
      </c>
    </row>
    <row r="99" spans="2:10" ht="12.75">
      <c r="B99" s="13" t="s">
        <v>115</v>
      </c>
      <c r="C99" s="13">
        <v>21</v>
      </c>
      <c r="D99" s="13">
        <v>6</v>
      </c>
      <c r="E99" s="13">
        <v>0</v>
      </c>
      <c r="F99" s="13">
        <v>0</v>
      </c>
      <c r="G99" s="13">
        <v>0</v>
      </c>
      <c r="H99" s="13">
        <v>0</v>
      </c>
      <c r="I99" s="25" t="s">
        <v>147</v>
      </c>
      <c r="J99" s="1" t="s">
        <v>29</v>
      </c>
    </row>
    <row r="100" spans="2:10" ht="12.75">
      <c r="B100" s="13" t="s">
        <v>103</v>
      </c>
      <c r="C100" s="13">
        <v>45</v>
      </c>
      <c r="D100" s="13">
        <v>10</v>
      </c>
      <c r="E100" s="13">
        <v>0</v>
      </c>
      <c r="F100" s="13">
        <v>0</v>
      </c>
      <c r="G100" s="13">
        <v>0</v>
      </c>
      <c r="H100" s="13">
        <v>0</v>
      </c>
      <c r="I100" s="25" t="s">
        <v>147</v>
      </c>
      <c r="J100" s="1" t="s">
        <v>20</v>
      </c>
    </row>
    <row r="101" spans="2:10" ht="12.75">
      <c r="B101" s="13" t="s">
        <v>120</v>
      </c>
      <c r="C101" s="13">
        <v>2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25" t="s">
        <v>142</v>
      </c>
      <c r="J101" s="1" t="s">
        <v>24</v>
      </c>
    </row>
    <row r="102" spans="2:10" ht="12.75">
      <c r="B102" s="13" t="s">
        <v>121</v>
      </c>
      <c r="C102" s="13">
        <v>53</v>
      </c>
      <c r="D102" s="13">
        <v>15</v>
      </c>
      <c r="E102" s="13">
        <v>0</v>
      </c>
      <c r="F102" s="13">
        <v>0</v>
      </c>
      <c r="G102" s="13">
        <v>0</v>
      </c>
      <c r="H102" s="13">
        <v>0</v>
      </c>
      <c r="I102" s="25" t="s">
        <v>142</v>
      </c>
      <c r="J102" s="1" t="s">
        <v>24</v>
      </c>
    </row>
    <row r="103" spans="2:10" ht="12.75">
      <c r="B103" s="13" t="s">
        <v>21</v>
      </c>
      <c r="C103" s="13">
        <v>84</v>
      </c>
      <c r="D103" s="13">
        <v>37</v>
      </c>
      <c r="E103" s="13">
        <v>0</v>
      </c>
      <c r="F103" s="13">
        <v>0</v>
      </c>
      <c r="G103" s="13">
        <v>0</v>
      </c>
      <c r="H103" s="13">
        <v>0</v>
      </c>
      <c r="I103" s="25" t="s">
        <v>147</v>
      </c>
      <c r="J103" s="1" t="s">
        <v>20</v>
      </c>
    </row>
    <row r="104" spans="2:10" ht="12.75">
      <c r="B104" s="13" t="s">
        <v>99</v>
      </c>
      <c r="C104" s="13">
        <v>46</v>
      </c>
      <c r="D104" s="13">
        <v>4</v>
      </c>
      <c r="E104" s="13">
        <v>0</v>
      </c>
      <c r="F104" s="13">
        <v>0</v>
      </c>
      <c r="G104" s="13">
        <v>0</v>
      </c>
      <c r="H104" s="13">
        <v>0</v>
      </c>
      <c r="I104" s="25" t="s">
        <v>147</v>
      </c>
      <c r="J104" s="1" t="s">
        <v>20</v>
      </c>
    </row>
    <row r="105" spans="2:10" ht="12.75">
      <c r="B105" s="13" t="s">
        <v>91</v>
      </c>
      <c r="C105" s="13">
        <v>133</v>
      </c>
      <c r="D105" s="13">
        <v>29</v>
      </c>
      <c r="E105" s="13">
        <v>0</v>
      </c>
      <c r="F105" s="13">
        <v>0</v>
      </c>
      <c r="G105" s="13">
        <v>0</v>
      </c>
      <c r="H105" s="13">
        <v>0</v>
      </c>
      <c r="I105" s="25" t="s">
        <v>147</v>
      </c>
      <c r="J105" s="1" t="s">
        <v>20</v>
      </c>
    </row>
    <row r="106" spans="2:10" ht="12.75">
      <c r="B106" s="13" t="s">
        <v>81</v>
      </c>
      <c r="C106" s="13">
        <v>32</v>
      </c>
      <c r="D106" s="13">
        <v>4</v>
      </c>
      <c r="E106" s="13">
        <v>0</v>
      </c>
      <c r="F106" s="13">
        <v>0</v>
      </c>
      <c r="G106" s="13">
        <v>0</v>
      </c>
      <c r="H106" s="13">
        <v>0</v>
      </c>
      <c r="I106" s="25" t="s">
        <v>147</v>
      </c>
      <c r="J106" s="1" t="s">
        <v>64</v>
      </c>
    </row>
    <row r="107" spans="2:10" ht="12.75">
      <c r="B107" s="13" t="s">
        <v>92</v>
      </c>
      <c r="C107" s="13">
        <v>1</v>
      </c>
      <c r="D107" s="13">
        <v>1</v>
      </c>
      <c r="E107" s="13">
        <v>0</v>
      </c>
      <c r="F107" s="13">
        <v>0</v>
      </c>
      <c r="G107" s="13">
        <v>0</v>
      </c>
      <c r="H107" s="13">
        <v>0</v>
      </c>
      <c r="I107" s="25" t="s">
        <v>147</v>
      </c>
      <c r="J107" s="1" t="s">
        <v>64</v>
      </c>
    </row>
    <row r="108" spans="2:10" ht="12.75">
      <c r="B108" s="13" t="s">
        <v>62</v>
      </c>
      <c r="C108" s="13">
        <v>111</v>
      </c>
      <c r="D108" s="13">
        <v>33</v>
      </c>
      <c r="E108" s="13">
        <v>1</v>
      </c>
      <c r="F108" s="13">
        <v>1</v>
      </c>
      <c r="G108" s="13">
        <v>1</v>
      </c>
      <c r="H108" s="13">
        <v>0</v>
      </c>
      <c r="I108" s="25" t="s">
        <v>147</v>
      </c>
      <c r="J108" s="1" t="s">
        <v>20</v>
      </c>
    </row>
    <row r="109" spans="2:10" ht="12.75">
      <c r="B109" s="13" t="s">
        <v>111</v>
      </c>
      <c r="C109" s="13">
        <v>80</v>
      </c>
      <c r="D109" s="13">
        <v>32</v>
      </c>
      <c r="E109" s="13">
        <v>0</v>
      </c>
      <c r="F109" s="13">
        <v>0</v>
      </c>
      <c r="G109" s="13">
        <v>1</v>
      </c>
      <c r="H109" s="13">
        <v>2</v>
      </c>
      <c r="I109" s="25" t="s">
        <v>142</v>
      </c>
      <c r="J109" s="1" t="s">
        <v>24</v>
      </c>
    </row>
    <row r="110" spans="2:10" ht="12.75">
      <c r="B110" s="13" t="s">
        <v>77</v>
      </c>
      <c r="C110" s="13">
        <v>140</v>
      </c>
      <c r="D110" s="13">
        <v>29</v>
      </c>
      <c r="E110" s="13">
        <v>1</v>
      </c>
      <c r="F110" s="13">
        <v>0</v>
      </c>
      <c r="G110" s="13">
        <v>0</v>
      </c>
      <c r="H110" s="13">
        <v>0</v>
      </c>
      <c r="I110" s="25" t="s">
        <v>147</v>
      </c>
      <c r="J110" s="1" t="s">
        <v>20</v>
      </c>
    </row>
    <row r="111" spans="2:10" ht="12.75">
      <c r="B111" s="13" t="s">
        <v>65</v>
      </c>
      <c r="C111" s="13">
        <v>95</v>
      </c>
      <c r="D111" s="13">
        <v>64</v>
      </c>
      <c r="E111" s="13">
        <v>0</v>
      </c>
      <c r="F111" s="13">
        <v>0</v>
      </c>
      <c r="G111" s="13">
        <v>0</v>
      </c>
      <c r="H111" s="13">
        <v>0</v>
      </c>
      <c r="I111" s="25" t="s">
        <v>147</v>
      </c>
      <c r="J111" s="1" t="s">
        <v>20</v>
      </c>
    </row>
    <row r="113" spans="2:8" ht="13.15">
      <c r="B113" s="21" t="s">
        <v>143</v>
      </c>
      <c r="C113" s="30">
        <f t="shared" ref="C113:H113" si="0">SUM(C3:C111)</f>
        <v>8054</v>
      </c>
      <c r="D113" s="30">
        <f t="shared" si="0"/>
        <v>2230</v>
      </c>
      <c r="E113" s="30">
        <f t="shared" si="0"/>
        <v>61</v>
      </c>
      <c r="F113" s="30">
        <f t="shared" si="0"/>
        <v>7</v>
      </c>
      <c r="G113" s="30">
        <f t="shared" si="0"/>
        <v>6</v>
      </c>
      <c r="H113" s="30">
        <f t="shared" si="0"/>
        <v>5</v>
      </c>
    </row>
    <row r="115" spans="2:8" ht="12.75">
      <c r="B115" s="21" t="s">
        <v>163</v>
      </c>
    </row>
  </sheetData>
  <autoFilter ref="B2:J111" xr:uid="{00000000-0009-0000-0000-000013000000}">
    <sortState xmlns:xlrd2="http://schemas.microsoft.com/office/spreadsheetml/2017/richdata2" ref="B2:J111">
      <sortCondition ref="B2:B111"/>
    </sortState>
  </autoFilter>
  <customSheetViews>
    <customSheetView guid="{D4D06763-5632-4CAF-A0BD-7BAD6B3784B6}" filter="1" showAutoFilter="1">
      <pageMargins left="0.7" right="0.7" top="0.75" bottom="0.75" header="0.3" footer="0.3"/>
      <autoFilter ref="B2:J112" xr:uid="{00000000-0000-0000-0000-000000000000}"/>
    </customSheetView>
  </customSheetViews>
  <conditionalFormatting sqref="B4:I112">
    <cfRule type="expression" dxfId="1" priority="1">
      <formula>$I4="N"</formula>
    </cfRule>
  </conditionalFormatting>
  <conditionalFormatting sqref="J1:J1000">
    <cfRule type="expression" dxfId="0" priority="2">
      <formula>AND(I1="Y",J1="")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2:AC114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14.3984375" defaultRowHeight="15.75" customHeight="1"/>
  <cols>
    <col min="1" max="1" width="5.53125" customWidth="1"/>
    <col min="2" max="2" width="30" customWidth="1"/>
    <col min="8" max="8" width="16.265625" customWidth="1"/>
  </cols>
  <sheetData>
    <row r="2" spans="1:29" ht="27.75" customHeight="1">
      <c r="A2" s="67"/>
      <c r="B2" s="74" t="str">
        <f>'Nov 9-15'!B2</f>
        <v>UNIT</v>
      </c>
      <c r="C2" s="74" t="str">
        <f>'Nov 9-15'!C2</f>
        <v>Availbility</v>
      </c>
      <c r="D2" s="74" t="str">
        <f>'Nov 9-15'!D2</f>
        <v>Unique Pageviews</v>
      </c>
      <c r="E2" s="75" t="s">
        <v>168</v>
      </c>
      <c r="F2" s="75" t="s">
        <v>169</v>
      </c>
      <c r="G2" s="75" t="s">
        <v>170</v>
      </c>
      <c r="H2" s="75" t="s">
        <v>171</v>
      </c>
      <c r="I2" s="75" t="s">
        <v>172</v>
      </c>
      <c r="J2" s="75" t="s">
        <v>173</v>
      </c>
      <c r="K2" s="75" t="s">
        <v>174</v>
      </c>
      <c r="L2" s="75" t="s">
        <v>175</v>
      </c>
      <c r="M2" s="46" t="s">
        <v>178</v>
      </c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</row>
    <row r="3" spans="1:29" ht="12.75">
      <c r="A3" s="21">
        <v>1</v>
      </c>
      <c r="B3" s="1" t="str">
        <f>'Nov 2-8'!B19</f>
        <v>12 7th Street</v>
      </c>
      <c r="C3" s="29" t="str">
        <f>'Nov 9-15'!C19</f>
        <v>N</v>
      </c>
      <c r="D3" s="29">
        <f>'Nov 9-15'!D19</f>
        <v>0</v>
      </c>
      <c r="E3" s="17">
        <f>IFERROR('Nov 2-8'!D19/'Nov 2-8'!C19," ")</f>
        <v>1</v>
      </c>
      <c r="F3" s="17">
        <f>IFERROR('Nov 2-8'!E19/'Nov 2-8'!C19," ")</f>
        <v>0</v>
      </c>
      <c r="G3" s="17">
        <f>IFERROR('Nov 2-8'!E19/'Nov 2-8'!D19," ")</f>
        <v>0</v>
      </c>
      <c r="H3" s="17">
        <f>IFERROR('Nov 2-8'!F19/'Nov 2-8'!C19," ")</f>
        <v>0</v>
      </c>
      <c r="I3" s="17" t="str">
        <f>IFERROR('Nov 2-8'!F19/'Nov 2-8'!E19," ")</f>
        <v xml:space="preserve"> </v>
      </c>
      <c r="J3" s="17" t="str">
        <f>IFERROR('Nov 2-8'!G19/'Nov 2-8'!F19," ")</f>
        <v xml:space="preserve"> </v>
      </c>
      <c r="K3" s="17">
        <f>IFERROR('Nov 2-8'!H19/'Nov 2-8'!C19," ")</f>
        <v>0</v>
      </c>
      <c r="L3" s="17" t="str">
        <f>IFERROR('Nov 2-8'!H19/'Nov 2-8'!G19," ")</f>
        <v xml:space="preserve"> </v>
      </c>
    </row>
    <row r="4" spans="1:29" ht="12.75">
      <c r="A4" s="1">
        <f t="shared" ref="A4:A111" si="0">A3+1</f>
        <v>2</v>
      </c>
      <c r="B4" s="1" t="str">
        <f>'Nov 2-8'!B104</f>
        <v>83 Highland Street Unit 3</v>
      </c>
      <c r="C4" s="29" t="str">
        <f>'Nov 9-15'!C104</f>
        <v>Y</v>
      </c>
      <c r="D4" s="29">
        <f>'Nov 9-15'!D104</f>
        <v>25</v>
      </c>
      <c r="E4" s="17">
        <f>IFERROR('Nov 2-8'!D104/'Nov 2-8'!C104," ")</f>
        <v>8.6956521739130432E-2</v>
      </c>
      <c r="F4" s="17">
        <f>IFERROR('Nov 2-8'!E104/'Nov 2-8'!C104," ")</f>
        <v>0</v>
      </c>
      <c r="G4" s="17">
        <f>IFERROR('Nov 2-8'!E104/'Nov 2-8'!D104," ")</f>
        <v>0</v>
      </c>
      <c r="H4" s="17">
        <f>IFERROR('Nov 2-8'!F104/'Nov 2-8'!C104," ")</f>
        <v>0</v>
      </c>
      <c r="I4" s="17" t="str">
        <f>IFERROR('Nov 2-8'!F104/'Nov 2-8'!E104," ")</f>
        <v xml:space="preserve"> </v>
      </c>
      <c r="J4" s="17" t="str">
        <f>IFERROR('Nov 2-8'!G104/'Nov 2-8'!F104," ")</f>
        <v xml:space="preserve"> </v>
      </c>
      <c r="K4" s="17">
        <f>IFERROR('Nov 2-8'!H104/'Nov 2-8'!C104," ")</f>
        <v>0</v>
      </c>
      <c r="L4" s="17" t="str">
        <f>IFERROR('Nov 2-8'!H104/'Nov 2-8'!G104," ")</f>
        <v xml:space="preserve"> </v>
      </c>
    </row>
    <row r="5" spans="1:29" ht="12.75">
      <c r="A5" s="1">
        <f t="shared" si="0"/>
        <v>3</v>
      </c>
      <c r="B5" s="1" t="str">
        <f>'Nov 2-8'!B105</f>
        <v>848 Huntington Avenue Unit 2</v>
      </c>
      <c r="C5" s="29" t="str">
        <f>'Nov 9-15'!C105</f>
        <v>Y</v>
      </c>
      <c r="D5" s="29">
        <f>'Nov 9-15'!D105</f>
        <v>53</v>
      </c>
      <c r="E5" s="17">
        <f>IFERROR('Nov 2-8'!D105/'Nov 2-8'!C105," ")</f>
        <v>0.21804511278195488</v>
      </c>
      <c r="F5" s="17">
        <f>IFERROR('Nov 2-8'!E105/'Nov 2-8'!C105," ")</f>
        <v>0</v>
      </c>
      <c r="G5" s="17">
        <f>IFERROR('Nov 2-8'!E105/'Nov 2-8'!D105," ")</f>
        <v>0</v>
      </c>
      <c r="H5" s="17">
        <f>IFERROR('Nov 2-8'!F105/'Nov 2-8'!C105," ")</f>
        <v>0</v>
      </c>
      <c r="I5" s="17" t="str">
        <f>IFERROR('Nov 2-8'!F105/'Nov 2-8'!E105," ")</f>
        <v xml:space="preserve"> </v>
      </c>
      <c r="J5" s="17" t="str">
        <f>IFERROR('Nov 2-8'!G105/'Nov 2-8'!F105," ")</f>
        <v xml:space="preserve"> </v>
      </c>
      <c r="K5" s="17">
        <f>IFERROR('Nov 2-8'!H105/'Nov 2-8'!C105," ")</f>
        <v>0</v>
      </c>
      <c r="L5" s="17" t="str">
        <f>IFERROR('Nov 2-8'!H105/'Nov 2-8'!G105," ")</f>
        <v xml:space="preserve"> </v>
      </c>
    </row>
    <row r="6" spans="1:29" ht="12.75">
      <c r="A6" s="1">
        <f t="shared" si="0"/>
        <v>4</v>
      </c>
      <c r="B6" s="1" t="str">
        <f>'Nov 2-8'!B65</f>
        <v>267 Main Street Unit 4</v>
      </c>
      <c r="C6" s="29" t="str">
        <f>'Nov 9-15'!C65</f>
        <v>Y</v>
      </c>
      <c r="D6" s="29">
        <f>'Nov 9-15'!D65</f>
        <v>55</v>
      </c>
      <c r="E6" s="17">
        <f>IFERROR('Nov 2-8'!D65/'Nov 2-8'!C65," ")</f>
        <v>0.36016949152542371</v>
      </c>
      <c r="F6" s="17">
        <f>IFERROR('Nov 2-8'!E65/'Nov 2-8'!C65," ")</f>
        <v>2.5423728813559324E-2</v>
      </c>
      <c r="G6" s="17">
        <f>IFERROR('Nov 2-8'!E65/'Nov 2-8'!D65," ")</f>
        <v>7.0588235294117646E-2</v>
      </c>
      <c r="H6" s="17">
        <f>IFERROR('Nov 2-8'!F65/'Nov 2-8'!C65," ")</f>
        <v>4.2372881355932203E-3</v>
      </c>
      <c r="I6" s="17">
        <f>IFERROR('Nov 2-8'!F65/'Nov 2-8'!E65," ")</f>
        <v>0.16666666666666666</v>
      </c>
      <c r="J6" s="17">
        <f>IFERROR('Nov 2-8'!G65/'Nov 2-8'!F65," ")</f>
        <v>0</v>
      </c>
      <c r="K6" s="17">
        <f>IFERROR('Nov 2-8'!H65/'Nov 2-8'!C65," ")</f>
        <v>0</v>
      </c>
      <c r="L6" s="17" t="str">
        <f>IFERROR('Nov 2-8'!H65/'Nov 2-8'!G65," ")</f>
        <v xml:space="preserve"> </v>
      </c>
    </row>
    <row r="7" spans="1:29" ht="12.75">
      <c r="A7" s="1">
        <f t="shared" si="0"/>
        <v>5</v>
      </c>
      <c r="B7" s="1" t="str">
        <f>'Nov 2-8'!B66</f>
        <v>275 Dorchester Street</v>
      </c>
      <c r="C7" s="29" t="str">
        <f>'Nov 9-15'!C66</f>
        <v>Y</v>
      </c>
      <c r="D7" s="29">
        <f>'Nov 9-15'!D66</f>
        <v>0</v>
      </c>
      <c r="E7" s="17" t="str">
        <f>IFERROR('Nov 2-8'!D66/'Nov 2-8'!C66," ")</f>
        <v xml:space="preserve"> </v>
      </c>
      <c r="F7" s="17" t="str">
        <f>IFERROR('Nov 2-8'!E66/'Nov 2-8'!C66," ")</f>
        <v xml:space="preserve"> </v>
      </c>
      <c r="G7" s="17" t="str">
        <f>IFERROR('Nov 2-8'!E66/'Nov 2-8'!D66," ")</f>
        <v xml:space="preserve"> </v>
      </c>
      <c r="H7" s="17" t="str">
        <f>IFERROR('Nov 2-8'!F66/'Nov 2-8'!C66," ")</f>
        <v xml:space="preserve"> </v>
      </c>
      <c r="I7" s="17" t="str">
        <f>IFERROR('Nov 2-8'!F66/'Nov 2-8'!E66," ")</f>
        <v xml:space="preserve"> </v>
      </c>
      <c r="J7" s="17" t="str">
        <f>IFERROR('Nov 2-8'!G66/'Nov 2-8'!F66," ")</f>
        <v xml:space="preserve"> </v>
      </c>
      <c r="K7" s="17" t="str">
        <f>IFERROR('Nov 2-8'!H66/'Nov 2-8'!C66," ")</f>
        <v xml:space="preserve"> </v>
      </c>
      <c r="L7" s="17" t="str">
        <f>IFERROR('Nov 2-8'!H66/'Nov 2-8'!G66," ")</f>
        <v xml:space="preserve"> </v>
      </c>
    </row>
    <row r="8" spans="1:29" ht="12.75">
      <c r="A8" s="1">
        <f t="shared" si="0"/>
        <v>6</v>
      </c>
      <c r="B8" s="1" t="str">
        <f>'Nov 2-8'!B67</f>
        <v>31 Plymouth Street Unit 2</v>
      </c>
      <c r="C8" s="29" t="str">
        <f>'Nov 9-15'!C67</f>
        <v>Y</v>
      </c>
      <c r="D8" s="29">
        <f>'Nov 9-15'!D67</f>
        <v>47</v>
      </c>
      <c r="E8" s="17">
        <f>IFERROR('Nov 2-8'!D67/'Nov 2-8'!C67," ")</f>
        <v>0.4375</v>
      </c>
      <c r="F8" s="17">
        <f>IFERROR('Nov 2-8'!E67/'Nov 2-8'!C67," ")</f>
        <v>7.8125E-3</v>
      </c>
      <c r="G8" s="17">
        <f>IFERROR('Nov 2-8'!E67/'Nov 2-8'!D67," ")</f>
        <v>1.7857142857142856E-2</v>
      </c>
      <c r="H8" s="17">
        <f>IFERROR('Nov 2-8'!F67/'Nov 2-8'!C67," ")</f>
        <v>0</v>
      </c>
      <c r="I8" s="17">
        <f>IFERROR('Nov 2-8'!F67/'Nov 2-8'!E67," ")</f>
        <v>0</v>
      </c>
      <c r="J8" s="17" t="str">
        <f>IFERROR('Nov 2-8'!G67/'Nov 2-8'!F67," ")</f>
        <v xml:space="preserve"> </v>
      </c>
      <c r="K8" s="17">
        <f>IFERROR('Nov 2-8'!H67/'Nov 2-8'!C67," ")</f>
        <v>0</v>
      </c>
      <c r="L8" s="17" t="str">
        <f>IFERROR('Nov 2-8'!H67/'Nov 2-8'!G67," ")</f>
        <v xml:space="preserve"> </v>
      </c>
    </row>
    <row r="9" spans="1:29" ht="12.75">
      <c r="A9" s="1">
        <f t="shared" si="0"/>
        <v>7</v>
      </c>
      <c r="B9" s="1" t="str">
        <f>'Nov 2-8'!B68</f>
        <v>31 Plymouth Street Unit 3</v>
      </c>
      <c r="C9" s="29" t="str">
        <f>'Nov 9-15'!C68</f>
        <v>Y</v>
      </c>
      <c r="D9" s="29">
        <f>'Nov 9-15'!D68</f>
        <v>26</v>
      </c>
      <c r="E9" s="17">
        <f>IFERROR('Nov 2-8'!D68/'Nov 2-8'!C68," ")</f>
        <v>0.2857142857142857</v>
      </c>
      <c r="F9" s="17">
        <f>IFERROR('Nov 2-8'!E68/'Nov 2-8'!C68," ")</f>
        <v>0</v>
      </c>
      <c r="G9" s="17">
        <f>IFERROR('Nov 2-8'!E68/'Nov 2-8'!D68," ")</f>
        <v>0</v>
      </c>
      <c r="H9" s="17">
        <f>IFERROR('Nov 2-8'!F68/'Nov 2-8'!C68," ")</f>
        <v>0</v>
      </c>
      <c r="I9" s="17" t="str">
        <f>IFERROR('Nov 2-8'!F68/'Nov 2-8'!E68," ")</f>
        <v xml:space="preserve"> </v>
      </c>
      <c r="J9" s="17" t="str">
        <f>IFERROR('Nov 2-8'!G68/'Nov 2-8'!F68," ")</f>
        <v xml:space="preserve"> </v>
      </c>
      <c r="K9" s="17">
        <f>IFERROR('Nov 2-8'!H68/'Nov 2-8'!C68," ")</f>
        <v>0</v>
      </c>
      <c r="L9" s="17" t="str">
        <f>IFERROR('Nov 2-8'!H68/'Nov 2-8'!G68," ")</f>
        <v xml:space="preserve"> </v>
      </c>
    </row>
    <row r="10" spans="1:29" ht="12.75">
      <c r="A10" s="1">
        <f t="shared" si="0"/>
        <v>8</v>
      </c>
      <c r="B10" s="1" t="str">
        <f>'Nov 2-8'!B69</f>
        <v>31 South Street Unit 1</v>
      </c>
      <c r="C10" s="29" t="str">
        <f>'Nov 9-15'!C69</f>
        <v>Y</v>
      </c>
      <c r="D10" s="29">
        <f>'Nov 9-15'!D69</f>
        <v>34</v>
      </c>
      <c r="E10" s="17">
        <f>IFERROR('Nov 2-8'!D69/'Nov 2-8'!C69," ")</f>
        <v>0.17204301075268819</v>
      </c>
      <c r="F10" s="17">
        <f>IFERROR('Nov 2-8'!E69/'Nov 2-8'!C69," ")</f>
        <v>1.0752688172043012E-2</v>
      </c>
      <c r="G10" s="17">
        <f>IFERROR('Nov 2-8'!E69/'Nov 2-8'!D69," ")</f>
        <v>6.25E-2</v>
      </c>
      <c r="H10" s="17">
        <f>IFERROR('Nov 2-8'!F69/'Nov 2-8'!C69," ")</f>
        <v>0</v>
      </c>
      <c r="I10" s="17">
        <f>IFERROR('Nov 2-8'!F69/'Nov 2-8'!E69," ")</f>
        <v>0</v>
      </c>
      <c r="J10" s="17" t="str">
        <f>IFERROR('Nov 2-8'!G69/'Nov 2-8'!F69," ")</f>
        <v xml:space="preserve"> </v>
      </c>
      <c r="K10" s="17">
        <f>IFERROR('Nov 2-8'!H69/'Nov 2-8'!C69," ")</f>
        <v>0</v>
      </c>
      <c r="L10" s="17" t="str">
        <f>IFERROR('Nov 2-8'!H69/'Nov 2-8'!G69," ")</f>
        <v xml:space="preserve"> </v>
      </c>
    </row>
    <row r="11" spans="1:29" ht="12.75">
      <c r="A11" s="1">
        <f t="shared" si="0"/>
        <v>9</v>
      </c>
      <c r="B11" s="1" t="str">
        <f>'Nov 2-8'!B70</f>
        <v>322.5 Western Avenue Unit 2</v>
      </c>
      <c r="C11" s="29" t="str">
        <f>'Nov 9-15'!C70</f>
        <v>Y</v>
      </c>
      <c r="D11" s="29">
        <f>'Nov 9-15'!D70</f>
        <v>89</v>
      </c>
      <c r="E11" s="17">
        <f>IFERROR('Nov 2-8'!D70/'Nov 2-8'!C70," ")</f>
        <v>0.21484375</v>
      </c>
      <c r="F11" s="17">
        <f>IFERROR('Nov 2-8'!E70/'Nov 2-8'!C70," ")</f>
        <v>0</v>
      </c>
      <c r="G11" s="17">
        <f>IFERROR('Nov 2-8'!E70/'Nov 2-8'!D70," ")</f>
        <v>0</v>
      </c>
      <c r="H11" s="17">
        <f>IFERROR('Nov 2-8'!F70/'Nov 2-8'!C70," ")</f>
        <v>0</v>
      </c>
      <c r="I11" s="17" t="str">
        <f>IFERROR('Nov 2-8'!F70/'Nov 2-8'!E70," ")</f>
        <v xml:space="preserve"> </v>
      </c>
      <c r="J11" s="17" t="str">
        <f>IFERROR('Nov 2-8'!G70/'Nov 2-8'!F70," ")</f>
        <v xml:space="preserve"> </v>
      </c>
      <c r="K11" s="17">
        <f>IFERROR('Nov 2-8'!H70/'Nov 2-8'!C70," ")</f>
        <v>0</v>
      </c>
      <c r="L11" s="17" t="str">
        <f>IFERROR('Nov 2-8'!H70/'Nov 2-8'!G70," ")</f>
        <v xml:space="preserve"> </v>
      </c>
    </row>
    <row r="12" spans="1:29" ht="12.75">
      <c r="A12" s="1">
        <f t="shared" si="0"/>
        <v>10</v>
      </c>
      <c r="B12" s="1" t="str">
        <f>'Nov 2-8'!B106</f>
        <v>9 Fairfield Street Unit 1L</v>
      </c>
      <c r="C12" s="29" t="str">
        <f>'Nov 9-15'!C106</f>
        <v>Y</v>
      </c>
      <c r="D12" s="29">
        <f>'Nov 9-15'!D106</f>
        <v>8</v>
      </c>
      <c r="E12" s="17">
        <f>IFERROR('Nov 2-8'!D106/'Nov 2-8'!C106," ")</f>
        <v>0.125</v>
      </c>
      <c r="F12" s="17">
        <f>IFERROR('Nov 2-8'!E106/'Nov 2-8'!C106," ")</f>
        <v>0</v>
      </c>
      <c r="G12" s="17">
        <f>IFERROR('Nov 2-8'!E106/'Nov 2-8'!D106," ")</f>
        <v>0</v>
      </c>
      <c r="H12" s="17">
        <f>IFERROR('Nov 2-8'!F106/'Nov 2-8'!C106," ")</f>
        <v>0</v>
      </c>
      <c r="I12" s="17" t="str">
        <f>IFERROR('Nov 2-8'!F106/'Nov 2-8'!E106," ")</f>
        <v xml:space="preserve"> </v>
      </c>
      <c r="J12" s="17" t="str">
        <f>IFERROR('Nov 2-8'!G106/'Nov 2-8'!F106," ")</f>
        <v xml:space="preserve"> </v>
      </c>
      <c r="K12" s="17">
        <f>IFERROR('Nov 2-8'!H106/'Nov 2-8'!C106," ")</f>
        <v>0</v>
      </c>
      <c r="L12" s="17" t="str">
        <f>IFERROR('Nov 2-8'!H106/'Nov 2-8'!G106," ")</f>
        <v xml:space="preserve"> </v>
      </c>
    </row>
    <row r="13" spans="1:29" ht="12.75">
      <c r="A13" s="1">
        <f t="shared" si="0"/>
        <v>11</v>
      </c>
      <c r="B13" s="1" t="str">
        <f>'Nov 2-8'!B71</f>
        <v>33 Merriam Street Unit 2</v>
      </c>
      <c r="C13" s="29" t="str">
        <f>'Nov 9-15'!C71</f>
        <v>Y</v>
      </c>
      <c r="D13" s="29">
        <f>'Nov 9-15'!D71</f>
        <v>58</v>
      </c>
      <c r="E13" s="17">
        <f>IFERROR('Nov 2-8'!D71/'Nov 2-8'!C71," ")</f>
        <v>0.43877551020408162</v>
      </c>
      <c r="F13" s="17">
        <f>IFERROR('Nov 2-8'!E71/'Nov 2-8'!C71," ")</f>
        <v>0</v>
      </c>
      <c r="G13" s="17">
        <f>IFERROR('Nov 2-8'!E71/'Nov 2-8'!D71," ")</f>
        <v>0</v>
      </c>
      <c r="H13" s="17">
        <f>IFERROR('Nov 2-8'!F71/'Nov 2-8'!C71," ")</f>
        <v>0</v>
      </c>
      <c r="I13" s="17" t="str">
        <f>IFERROR('Nov 2-8'!F71/'Nov 2-8'!E71," ")</f>
        <v xml:space="preserve"> </v>
      </c>
      <c r="J13" s="17" t="str">
        <f>IFERROR('Nov 2-8'!G71/'Nov 2-8'!F71," ")</f>
        <v xml:space="preserve"> </v>
      </c>
      <c r="K13" s="17">
        <f>IFERROR('Nov 2-8'!H71/'Nov 2-8'!C71," ")</f>
        <v>0</v>
      </c>
      <c r="L13" s="17" t="str">
        <f>IFERROR('Nov 2-8'!H71/'Nov 2-8'!G71," ")</f>
        <v xml:space="preserve"> </v>
      </c>
    </row>
    <row r="14" spans="1:29" ht="12.75">
      <c r="A14" s="1">
        <f t="shared" si="0"/>
        <v>12</v>
      </c>
      <c r="B14" s="1" t="str">
        <f>'Nov 2-8'!B72</f>
        <v>34 Cherokee Street Unit 3</v>
      </c>
      <c r="C14" s="29" t="str">
        <f>'Nov 9-15'!C72</f>
        <v>Y</v>
      </c>
      <c r="D14" s="29">
        <f>'Nov 9-15'!D72</f>
        <v>42</v>
      </c>
      <c r="E14" s="17">
        <f>IFERROR('Nov 2-8'!D72/'Nov 2-8'!C72," ")</f>
        <v>0.44166666666666665</v>
      </c>
      <c r="F14" s="17">
        <f>IFERROR('Nov 2-8'!E72/'Nov 2-8'!C72," ")</f>
        <v>2.5000000000000001E-2</v>
      </c>
      <c r="G14" s="17">
        <f>IFERROR('Nov 2-8'!E72/'Nov 2-8'!D72," ")</f>
        <v>5.6603773584905662E-2</v>
      </c>
      <c r="H14" s="17">
        <f>IFERROR('Nov 2-8'!F72/'Nov 2-8'!C72," ")</f>
        <v>0</v>
      </c>
      <c r="I14" s="17">
        <f>IFERROR('Nov 2-8'!F72/'Nov 2-8'!E72," ")</f>
        <v>0</v>
      </c>
      <c r="J14" s="17" t="str">
        <f>IFERROR('Nov 2-8'!G72/'Nov 2-8'!F72," ")</f>
        <v xml:space="preserve"> </v>
      </c>
      <c r="K14" s="17">
        <f>IFERROR('Nov 2-8'!H72/'Nov 2-8'!C72," ")</f>
        <v>0</v>
      </c>
      <c r="L14" s="17" t="str">
        <f>IFERROR('Nov 2-8'!H72/'Nov 2-8'!G72," ")</f>
        <v xml:space="preserve"> </v>
      </c>
    </row>
    <row r="15" spans="1:29" ht="12.75">
      <c r="A15" s="1">
        <f t="shared" si="0"/>
        <v>13</v>
      </c>
      <c r="B15" s="1" t="str">
        <f>'Nov 2-8'!B107</f>
        <v>9 Fairfield Street Unit 1R</v>
      </c>
      <c r="C15" s="29" t="str">
        <f>'Nov 9-15'!C107</f>
        <v>Y</v>
      </c>
      <c r="D15" s="29">
        <f>'Nov 9-15'!D107</f>
        <v>2</v>
      </c>
      <c r="E15" s="17">
        <f>IFERROR('Nov 2-8'!D107/'Nov 2-8'!C107," ")</f>
        <v>1</v>
      </c>
      <c r="F15" s="17">
        <f>IFERROR('Nov 2-8'!E107/'Nov 2-8'!C107," ")</f>
        <v>0</v>
      </c>
      <c r="G15" s="17">
        <f>IFERROR('Nov 2-8'!E107/'Nov 2-8'!D107," ")</f>
        <v>0</v>
      </c>
      <c r="H15" s="17">
        <f>IFERROR('Nov 2-8'!F107/'Nov 2-8'!C107," ")</f>
        <v>0</v>
      </c>
      <c r="I15" s="17" t="str">
        <f>IFERROR('Nov 2-8'!F107/'Nov 2-8'!E107," ")</f>
        <v xml:space="preserve"> </v>
      </c>
      <c r="J15" s="17" t="str">
        <f>IFERROR('Nov 2-8'!G107/'Nov 2-8'!F107," ")</f>
        <v xml:space="preserve"> </v>
      </c>
      <c r="K15" s="17">
        <f>IFERROR('Nov 2-8'!H107/'Nov 2-8'!C107," ")</f>
        <v>0</v>
      </c>
      <c r="L15" s="17" t="str">
        <f>IFERROR('Nov 2-8'!H107/'Nov 2-8'!G107," ")</f>
        <v xml:space="preserve"> </v>
      </c>
    </row>
    <row r="16" spans="1:29" ht="12.75">
      <c r="A16" s="1">
        <f t="shared" si="0"/>
        <v>14</v>
      </c>
      <c r="B16" s="1" t="str">
        <f>'Nov 2-8'!B73</f>
        <v>34 Circuit Street Unit 3</v>
      </c>
      <c r="C16" s="29" t="str">
        <f>'Nov 9-15'!C73</f>
        <v>Y</v>
      </c>
      <c r="D16" s="29">
        <f>'Nov 9-15'!D73</f>
        <v>31</v>
      </c>
      <c r="E16" s="17">
        <f>IFERROR('Nov 2-8'!D73/'Nov 2-8'!C73," ")</f>
        <v>0.14754098360655737</v>
      </c>
      <c r="F16" s="17">
        <f>IFERROR('Nov 2-8'!E73/'Nov 2-8'!C73," ")</f>
        <v>0</v>
      </c>
      <c r="G16" s="17">
        <f>IFERROR('Nov 2-8'!E73/'Nov 2-8'!D73," ")</f>
        <v>0</v>
      </c>
      <c r="H16" s="17">
        <f>IFERROR('Nov 2-8'!F73/'Nov 2-8'!C73," ")</f>
        <v>0</v>
      </c>
      <c r="I16" s="17" t="str">
        <f>IFERROR('Nov 2-8'!F73/'Nov 2-8'!E73," ")</f>
        <v xml:space="preserve"> </v>
      </c>
      <c r="J16" s="17" t="str">
        <f>IFERROR('Nov 2-8'!G73/'Nov 2-8'!F73," ")</f>
        <v xml:space="preserve"> </v>
      </c>
      <c r="K16" s="17">
        <f>IFERROR('Nov 2-8'!H73/'Nov 2-8'!C73," ")</f>
        <v>0</v>
      </c>
      <c r="L16" s="17" t="str">
        <f>IFERROR('Nov 2-8'!H73/'Nov 2-8'!G73," ")</f>
        <v xml:space="preserve"> </v>
      </c>
    </row>
    <row r="17" spans="1:12" ht="12.75">
      <c r="A17" s="1">
        <f t="shared" si="0"/>
        <v>15</v>
      </c>
      <c r="B17" s="1" t="str">
        <f>'Nov 2-8'!B74</f>
        <v>348 E 8th Street Unit 1</v>
      </c>
      <c r="C17" s="29" t="str">
        <f>'Nov 9-15'!C74</f>
        <v>Y</v>
      </c>
      <c r="D17" s="29">
        <f>'Nov 9-15'!D74</f>
        <v>9</v>
      </c>
      <c r="E17" s="17">
        <f>IFERROR('Nov 2-8'!D74/'Nov 2-8'!C74," ")</f>
        <v>0.16831683168316833</v>
      </c>
      <c r="F17" s="17">
        <f>IFERROR('Nov 2-8'!E74/'Nov 2-8'!C74," ")</f>
        <v>0</v>
      </c>
      <c r="G17" s="17">
        <f>IFERROR('Nov 2-8'!E74/'Nov 2-8'!D74," ")</f>
        <v>0</v>
      </c>
      <c r="H17" s="17">
        <f>IFERROR('Nov 2-8'!F74/'Nov 2-8'!C74," ")</f>
        <v>0</v>
      </c>
      <c r="I17" s="17" t="str">
        <f>IFERROR('Nov 2-8'!F74/'Nov 2-8'!E74," ")</f>
        <v xml:space="preserve"> </v>
      </c>
      <c r="J17" s="17" t="str">
        <f>IFERROR('Nov 2-8'!G74/'Nov 2-8'!F74," ")</f>
        <v xml:space="preserve"> </v>
      </c>
      <c r="K17" s="17">
        <f>IFERROR('Nov 2-8'!H74/'Nov 2-8'!C74," ")</f>
        <v>0</v>
      </c>
      <c r="L17" s="17" t="str">
        <f>IFERROR('Nov 2-8'!H74/'Nov 2-8'!G74," ")</f>
        <v xml:space="preserve"> </v>
      </c>
    </row>
    <row r="18" spans="1:12" ht="12.75">
      <c r="A18" s="1">
        <f t="shared" si="0"/>
        <v>16</v>
      </c>
      <c r="B18" s="1" t="str">
        <f>'Nov 2-8'!B75</f>
        <v>35 South Street Unit 7</v>
      </c>
      <c r="C18" s="29" t="str">
        <f>'Nov 9-15'!C75</f>
        <v>Y</v>
      </c>
      <c r="D18" s="29">
        <f>'Nov 9-15'!D75</f>
        <v>16</v>
      </c>
      <c r="E18" s="17">
        <f>IFERROR('Nov 2-8'!D75/'Nov 2-8'!C75," ")</f>
        <v>3.3333333333333333E-2</v>
      </c>
      <c r="F18" s="17">
        <f>IFERROR('Nov 2-8'!E75/'Nov 2-8'!C75," ")</f>
        <v>0</v>
      </c>
      <c r="G18" s="17">
        <f>IFERROR('Nov 2-8'!E75/'Nov 2-8'!D75," ")</f>
        <v>0</v>
      </c>
      <c r="H18" s="17">
        <f>IFERROR('Nov 2-8'!F75/'Nov 2-8'!C75," ")</f>
        <v>0</v>
      </c>
      <c r="I18" s="17" t="str">
        <f>IFERROR('Nov 2-8'!F75/'Nov 2-8'!E75," ")</f>
        <v xml:space="preserve"> </v>
      </c>
      <c r="J18" s="17" t="str">
        <f>IFERROR('Nov 2-8'!G75/'Nov 2-8'!F75," ")</f>
        <v xml:space="preserve"> </v>
      </c>
      <c r="K18" s="17">
        <f>IFERROR('Nov 2-8'!H75/'Nov 2-8'!C75," ")</f>
        <v>0</v>
      </c>
      <c r="L18" s="17" t="str">
        <f>IFERROR('Nov 2-8'!H75/'Nov 2-8'!G75," ")</f>
        <v xml:space="preserve"> </v>
      </c>
    </row>
    <row r="19" spans="1:12" ht="12.75">
      <c r="A19" s="1">
        <f t="shared" si="0"/>
        <v>17</v>
      </c>
      <c r="B19" s="1" t="str">
        <f>'Nov 2-8'!B20</f>
        <v>12 Estrella Street Unit 2</v>
      </c>
      <c r="C19" s="29" t="str">
        <f>'Nov 9-15'!C20</f>
        <v>Y</v>
      </c>
      <c r="D19" s="29">
        <f>'Nov 9-15'!D20</f>
        <v>43</v>
      </c>
      <c r="E19" s="17">
        <f>IFERROR('Nov 2-8'!D20/'Nov 2-8'!C20," ")</f>
        <v>0.20943952802359883</v>
      </c>
      <c r="F19" s="17">
        <f>IFERROR('Nov 2-8'!E20/'Nov 2-8'!C20," ")</f>
        <v>2.9498525073746312E-3</v>
      </c>
      <c r="G19" s="17">
        <f>IFERROR('Nov 2-8'!E20/'Nov 2-8'!D20," ")</f>
        <v>1.4084507042253521E-2</v>
      </c>
      <c r="H19" s="17">
        <f>IFERROR('Nov 2-8'!F20/'Nov 2-8'!C20," ")</f>
        <v>0</v>
      </c>
      <c r="I19" s="17">
        <f>IFERROR('Nov 2-8'!F20/'Nov 2-8'!E20," ")</f>
        <v>0</v>
      </c>
      <c r="J19" s="17" t="str">
        <f>IFERROR('Nov 2-8'!G20/'Nov 2-8'!F20," ")</f>
        <v xml:space="preserve"> </v>
      </c>
      <c r="K19" s="17">
        <f>IFERROR('Nov 2-8'!H20/'Nov 2-8'!C20," ")</f>
        <v>0</v>
      </c>
      <c r="L19" s="17" t="str">
        <f>IFERROR('Nov 2-8'!H20/'Nov 2-8'!G20," ")</f>
        <v xml:space="preserve"> </v>
      </c>
    </row>
    <row r="20" spans="1:12" ht="12.75">
      <c r="A20" s="1">
        <f t="shared" si="0"/>
        <v>18</v>
      </c>
      <c r="B20" s="1" t="str">
        <f>'Nov 2-8'!B21</f>
        <v>12 Stoneholm Street Unit 610</v>
      </c>
      <c r="C20" s="29" t="str">
        <f>'Nov 9-15'!C21</f>
        <v>N</v>
      </c>
      <c r="D20" s="29">
        <f>'Nov 9-15'!D21</f>
        <v>1</v>
      </c>
      <c r="E20" s="17">
        <f>IFERROR('Nov 2-8'!D21/'Nov 2-8'!C21," ")</f>
        <v>0.13402061855670103</v>
      </c>
      <c r="F20" s="17">
        <f>IFERROR('Nov 2-8'!E21/'Nov 2-8'!C21," ")</f>
        <v>0</v>
      </c>
      <c r="G20" s="17">
        <f>IFERROR('Nov 2-8'!E21/'Nov 2-8'!D21," ")</f>
        <v>0</v>
      </c>
      <c r="H20" s="17">
        <f>IFERROR('Nov 2-8'!F21/'Nov 2-8'!C21," ")</f>
        <v>0</v>
      </c>
      <c r="I20" s="17" t="str">
        <f>IFERROR('Nov 2-8'!F21/'Nov 2-8'!E21," ")</f>
        <v xml:space="preserve"> </v>
      </c>
      <c r="J20" s="17" t="str">
        <f>IFERROR('Nov 2-8'!G21/'Nov 2-8'!F21," ")</f>
        <v xml:space="preserve"> </v>
      </c>
      <c r="K20" s="17">
        <f>IFERROR('Nov 2-8'!H21/'Nov 2-8'!C21," ")</f>
        <v>0</v>
      </c>
      <c r="L20" s="17" t="str">
        <f>IFERROR('Nov 2-8'!H21/'Nov 2-8'!G21," ")</f>
        <v xml:space="preserve"> </v>
      </c>
    </row>
    <row r="21" spans="1:12" ht="12.75">
      <c r="A21" s="1">
        <f t="shared" si="0"/>
        <v>19</v>
      </c>
      <c r="B21" s="1" t="str">
        <f>'Nov 2-8'!B22</f>
        <v>12 Verndale Street Unit 1</v>
      </c>
      <c r="C21" s="29" t="str">
        <f>'Nov 9-15'!C22</f>
        <v>Y</v>
      </c>
      <c r="D21" s="29">
        <f>'Nov 9-15'!D22</f>
        <v>27</v>
      </c>
      <c r="E21" s="17">
        <f>IFERROR('Nov 2-8'!D22/'Nov 2-8'!C22," ")</f>
        <v>0.22839506172839505</v>
      </c>
      <c r="F21" s="17">
        <f>IFERROR('Nov 2-8'!E22/'Nov 2-8'!C22," ")</f>
        <v>0</v>
      </c>
      <c r="G21" s="17">
        <f>IFERROR('Nov 2-8'!E22/'Nov 2-8'!D22," ")</f>
        <v>0</v>
      </c>
      <c r="H21" s="17">
        <f>IFERROR('Nov 2-8'!F22/'Nov 2-8'!C22," ")</f>
        <v>0</v>
      </c>
      <c r="I21" s="17" t="str">
        <f>IFERROR('Nov 2-8'!F22/'Nov 2-8'!E22," ")</f>
        <v xml:space="preserve"> </v>
      </c>
      <c r="J21" s="17" t="str">
        <f>IFERROR('Nov 2-8'!G22/'Nov 2-8'!F22," ")</f>
        <v xml:space="preserve"> </v>
      </c>
      <c r="K21" s="17">
        <f>IFERROR('Nov 2-8'!H22/'Nov 2-8'!C22," ")</f>
        <v>0</v>
      </c>
      <c r="L21" s="17" t="str">
        <f>IFERROR('Nov 2-8'!H22/'Nov 2-8'!G22," ")</f>
        <v xml:space="preserve"> </v>
      </c>
    </row>
    <row r="22" spans="1:12" ht="12.75">
      <c r="A22" s="1">
        <f t="shared" si="0"/>
        <v>20</v>
      </c>
      <c r="B22" s="1" t="str">
        <f>'Nov 2-8'!B23</f>
        <v>12 Verndale Street Unit 2</v>
      </c>
      <c r="C22" s="29" t="str">
        <f>'Nov 9-15'!C23</f>
        <v>Y</v>
      </c>
      <c r="D22" s="29">
        <f>'Nov 9-15'!D23</f>
        <v>12</v>
      </c>
      <c r="E22" s="17">
        <f>IFERROR('Nov 2-8'!D23/'Nov 2-8'!C23," ")</f>
        <v>0.47368421052631576</v>
      </c>
      <c r="F22" s="17">
        <f>IFERROR('Nov 2-8'!E23/'Nov 2-8'!C23," ")</f>
        <v>0</v>
      </c>
      <c r="G22" s="17">
        <f>IFERROR('Nov 2-8'!E23/'Nov 2-8'!D23," ")</f>
        <v>0</v>
      </c>
      <c r="H22" s="17">
        <f>IFERROR('Nov 2-8'!F23/'Nov 2-8'!C23," ")</f>
        <v>0</v>
      </c>
      <c r="I22" s="17" t="str">
        <f>IFERROR('Nov 2-8'!F23/'Nov 2-8'!E23," ")</f>
        <v xml:space="preserve"> </v>
      </c>
      <c r="J22" s="17" t="str">
        <f>IFERROR('Nov 2-8'!G23/'Nov 2-8'!F23," ")</f>
        <v xml:space="preserve"> </v>
      </c>
      <c r="K22" s="17">
        <f>IFERROR('Nov 2-8'!H23/'Nov 2-8'!C23," ")</f>
        <v>0</v>
      </c>
      <c r="L22" s="17" t="str">
        <f>IFERROR('Nov 2-8'!H23/'Nov 2-8'!G23," ")</f>
        <v xml:space="preserve"> </v>
      </c>
    </row>
    <row r="23" spans="1:12" ht="12.75">
      <c r="A23" s="1">
        <f t="shared" si="0"/>
        <v>21</v>
      </c>
      <c r="B23" s="1" t="str">
        <f>'Nov 2-8'!B24</f>
        <v>122 Central Street Unit 2</v>
      </c>
      <c r="C23" s="29" t="str">
        <f>'Nov 9-15'!C24</f>
        <v>Y</v>
      </c>
      <c r="D23" s="29">
        <f>'Nov 9-15'!D24</f>
        <v>13</v>
      </c>
      <c r="E23" s="17">
        <f>IFERROR('Nov 2-8'!D24/'Nov 2-8'!C24," ")</f>
        <v>0.14925373134328357</v>
      </c>
      <c r="F23" s="17">
        <f>IFERROR('Nov 2-8'!E24/'Nov 2-8'!C24," ")</f>
        <v>0</v>
      </c>
      <c r="G23" s="17">
        <f>IFERROR('Nov 2-8'!E24/'Nov 2-8'!D24," ")</f>
        <v>0</v>
      </c>
      <c r="H23" s="17">
        <f>IFERROR('Nov 2-8'!F24/'Nov 2-8'!C24," ")</f>
        <v>1.4925373134328358E-2</v>
      </c>
      <c r="I23" s="17" t="str">
        <f>IFERROR('Nov 2-8'!F24/'Nov 2-8'!E24," ")</f>
        <v xml:space="preserve"> </v>
      </c>
      <c r="J23" s="17">
        <f>IFERROR('Nov 2-8'!G24/'Nov 2-8'!F24," ")</f>
        <v>0</v>
      </c>
      <c r="K23" s="17">
        <f>IFERROR('Nov 2-8'!H24/'Nov 2-8'!C24," ")</f>
        <v>0</v>
      </c>
      <c r="L23" s="17" t="str">
        <f>IFERROR('Nov 2-8'!H24/'Nov 2-8'!G24," ")</f>
        <v xml:space="preserve"> </v>
      </c>
    </row>
    <row r="24" spans="1:12" ht="12.75">
      <c r="A24" s="1">
        <f t="shared" si="0"/>
        <v>22</v>
      </c>
      <c r="B24" s="1" t="str">
        <f>'Nov 2-8'!B76</f>
        <v>357 Windsor Street Unit 2</v>
      </c>
      <c r="C24" s="29" t="str">
        <f>'Nov 9-15'!C76</f>
        <v>Y</v>
      </c>
      <c r="D24" s="29">
        <f>'Nov 9-15'!D76</f>
        <v>80</v>
      </c>
      <c r="E24" s="17">
        <f>IFERROR('Nov 2-8'!D76/'Nov 2-8'!C76," ")</f>
        <v>0.14018691588785046</v>
      </c>
      <c r="F24" s="17">
        <f>IFERROR('Nov 2-8'!E76/'Nov 2-8'!C76," ")</f>
        <v>0</v>
      </c>
      <c r="G24" s="17">
        <f>IFERROR('Nov 2-8'!E76/'Nov 2-8'!D76," ")</f>
        <v>0</v>
      </c>
      <c r="H24" s="17">
        <f>IFERROR('Nov 2-8'!F76/'Nov 2-8'!C76," ")</f>
        <v>0</v>
      </c>
      <c r="I24" s="17" t="str">
        <f>IFERROR('Nov 2-8'!F76/'Nov 2-8'!E76," ")</f>
        <v xml:space="preserve"> </v>
      </c>
      <c r="J24" s="17" t="str">
        <f>IFERROR('Nov 2-8'!G76/'Nov 2-8'!F76," ")</f>
        <v xml:space="preserve"> </v>
      </c>
      <c r="K24" s="17">
        <f>IFERROR('Nov 2-8'!H76/'Nov 2-8'!C76," ")</f>
        <v>0</v>
      </c>
      <c r="L24" s="17" t="str">
        <f>IFERROR('Nov 2-8'!H76/'Nov 2-8'!G76," ")</f>
        <v xml:space="preserve"> </v>
      </c>
    </row>
    <row r="25" spans="1:12" ht="12.75">
      <c r="A25" s="1">
        <f t="shared" si="0"/>
        <v>23</v>
      </c>
      <c r="B25" s="1" t="str">
        <f>'Nov 2-8'!B108</f>
        <v>95 Upland Road Unit 2</v>
      </c>
      <c r="C25" s="29" t="str">
        <f>'Nov 9-15'!C108</f>
        <v>Y</v>
      </c>
      <c r="D25" s="29">
        <f>'Nov 9-15'!D108</f>
        <v>19</v>
      </c>
      <c r="E25" s="17">
        <f>IFERROR('Nov 2-8'!D108/'Nov 2-8'!C108," ")</f>
        <v>0.29729729729729731</v>
      </c>
      <c r="F25" s="17">
        <f>IFERROR('Nov 2-8'!E108/'Nov 2-8'!C108," ")</f>
        <v>9.0090090090090089E-3</v>
      </c>
      <c r="G25" s="17">
        <f>IFERROR('Nov 2-8'!E108/'Nov 2-8'!D108," ")</f>
        <v>3.0303030303030304E-2</v>
      </c>
      <c r="H25" s="17">
        <f>IFERROR('Nov 2-8'!F108/'Nov 2-8'!C108," ")</f>
        <v>9.0090090090090089E-3</v>
      </c>
      <c r="I25" s="17">
        <f>IFERROR('Nov 2-8'!F108/'Nov 2-8'!E108," ")</f>
        <v>1</v>
      </c>
      <c r="J25" s="17">
        <f>IFERROR('Nov 2-8'!G108/'Nov 2-8'!F108," ")</f>
        <v>1</v>
      </c>
      <c r="K25" s="17">
        <f>IFERROR('Nov 2-8'!H108/'Nov 2-8'!C108," ")</f>
        <v>0</v>
      </c>
      <c r="L25" s="17">
        <f>IFERROR('Nov 2-8'!H108/'Nov 2-8'!G108," ")</f>
        <v>0</v>
      </c>
    </row>
    <row r="26" spans="1:12" ht="12.75">
      <c r="A26" s="1">
        <f t="shared" si="0"/>
        <v>24</v>
      </c>
      <c r="B26" s="1" t="str">
        <f>'Nov 2-8'!B77</f>
        <v>376 Prospect Street Unit 2</v>
      </c>
      <c r="C26" s="29" t="str">
        <f>'Nov 9-15'!C77</f>
        <v>Y</v>
      </c>
      <c r="D26" s="29">
        <f>'Nov 9-15'!D77</f>
        <v>63</v>
      </c>
      <c r="E26" s="17">
        <f>IFERROR('Nov 2-8'!D77/'Nov 2-8'!C77," ")</f>
        <v>0.17073170731707318</v>
      </c>
      <c r="F26" s="17">
        <f>IFERROR('Nov 2-8'!E77/'Nov 2-8'!C77," ")</f>
        <v>1.6260162601626018E-2</v>
      </c>
      <c r="G26" s="17">
        <f>IFERROR('Nov 2-8'!E77/'Nov 2-8'!D77," ")</f>
        <v>9.5238095238095233E-2</v>
      </c>
      <c r="H26" s="17">
        <f>IFERROR('Nov 2-8'!F77/'Nov 2-8'!C77," ")</f>
        <v>0</v>
      </c>
      <c r="I26" s="17">
        <f>IFERROR('Nov 2-8'!F77/'Nov 2-8'!E77," ")</f>
        <v>0</v>
      </c>
      <c r="J26" s="17" t="str">
        <f>IFERROR('Nov 2-8'!G77/'Nov 2-8'!F77," ")</f>
        <v xml:space="preserve"> </v>
      </c>
      <c r="K26" s="17">
        <f>IFERROR('Nov 2-8'!H77/'Nov 2-8'!C77," ")</f>
        <v>0</v>
      </c>
      <c r="L26" s="17" t="str">
        <f>IFERROR('Nov 2-8'!H77/'Nov 2-8'!G77," ")</f>
        <v xml:space="preserve"> </v>
      </c>
    </row>
    <row r="27" spans="1:12" ht="12.75">
      <c r="A27" s="1">
        <f t="shared" si="0"/>
        <v>25</v>
      </c>
      <c r="B27" s="1" t="str">
        <f>'Nov 2-8'!B78</f>
        <v>379 Broadway Street Unit 43</v>
      </c>
      <c r="C27" s="29" t="str">
        <f>'Nov 9-15'!C78</f>
        <v>Y</v>
      </c>
      <c r="D27" s="29">
        <f>'Nov 9-15'!D78</f>
        <v>20</v>
      </c>
      <c r="E27" s="17">
        <f>IFERROR('Nov 2-8'!D78/'Nov 2-8'!C78," ")</f>
        <v>2.5000000000000001E-2</v>
      </c>
      <c r="F27" s="17">
        <f>IFERROR('Nov 2-8'!E78/'Nov 2-8'!C78," ")</f>
        <v>0</v>
      </c>
      <c r="G27" s="17">
        <f>IFERROR('Nov 2-8'!E78/'Nov 2-8'!D78," ")</f>
        <v>0</v>
      </c>
      <c r="H27" s="17">
        <f>IFERROR('Nov 2-8'!F78/'Nov 2-8'!C78," ")</f>
        <v>0</v>
      </c>
      <c r="I27" s="17" t="str">
        <f>IFERROR('Nov 2-8'!F78/'Nov 2-8'!E78," ")</f>
        <v xml:space="preserve"> </v>
      </c>
      <c r="J27" s="17" t="str">
        <f>IFERROR('Nov 2-8'!G78/'Nov 2-8'!F78," ")</f>
        <v xml:space="preserve"> </v>
      </c>
      <c r="K27" s="17">
        <f>IFERROR('Nov 2-8'!H78/'Nov 2-8'!C78," ")</f>
        <v>0</v>
      </c>
      <c r="L27" s="17" t="str">
        <f>IFERROR('Nov 2-8'!H78/'Nov 2-8'!G78," ")</f>
        <v xml:space="preserve"> </v>
      </c>
    </row>
    <row r="28" spans="1:12" ht="12.75">
      <c r="A28" s="1">
        <f t="shared" si="0"/>
        <v>26</v>
      </c>
      <c r="B28" s="1" t="str">
        <f>'Nov 2-8'!B79</f>
        <v>379 Broadway Street Unit 7</v>
      </c>
      <c r="C28" s="29" t="str">
        <f>'Nov 9-15'!C79</f>
        <v>Y</v>
      </c>
      <c r="D28" s="29">
        <f>'Nov 9-15'!D79</f>
        <v>19</v>
      </c>
      <c r="E28" s="17">
        <f>IFERROR('Nov 2-8'!D79/'Nov 2-8'!C79," ")</f>
        <v>0.14545454545454545</v>
      </c>
      <c r="F28" s="17">
        <f>IFERROR('Nov 2-8'!E79/'Nov 2-8'!C79," ")</f>
        <v>0</v>
      </c>
      <c r="G28" s="17">
        <f>IFERROR('Nov 2-8'!E79/'Nov 2-8'!D79," ")</f>
        <v>0</v>
      </c>
      <c r="H28" s="17">
        <f>IFERROR('Nov 2-8'!F79/'Nov 2-8'!C79," ")</f>
        <v>1.8181818181818181E-2</v>
      </c>
      <c r="I28" s="17" t="str">
        <f>IFERROR('Nov 2-8'!F79/'Nov 2-8'!E79," ")</f>
        <v xml:space="preserve"> </v>
      </c>
      <c r="J28" s="17">
        <f>IFERROR('Nov 2-8'!G79/'Nov 2-8'!F79," ")</f>
        <v>0</v>
      </c>
      <c r="K28" s="17">
        <f>IFERROR('Nov 2-8'!H79/'Nov 2-8'!C79," ")</f>
        <v>0</v>
      </c>
      <c r="L28" s="17" t="str">
        <f>IFERROR('Nov 2-8'!H79/'Nov 2-8'!G79," ")</f>
        <v xml:space="preserve"> </v>
      </c>
    </row>
    <row r="29" spans="1:12" ht="12.75">
      <c r="A29" s="1">
        <f t="shared" si="0"/>
        <v>27</v>
      </c>
      <c r="B29" s="1" t="str">
        <f>'Nov 2-8'!B80</f>
        <v>38 Day Street Unit 42</v>
      </c>
      <c r="C29" s="29" t="str">
        <f>'Nov 9-15'!C80</f>
        <v>Y</v>
      </c>
      <c r="D29" s="29">
        <f>'Nov 9-15'!D80</f>
        <v>32</v>
      </c>
      <c r="E29" s="17">
        <f>IFERROR('Nov 2-8'!D80/'Nov 2-8'!C80," ")</f>
        <v>0.23655913978494625</v>
      </c>
      <c r="F29" s="17">
        <f>IFERROR('Nov 2-8'!E80/'Nov 2-8'!C80," ")</f>
        <v>1.0752688172043012E-2</v>
      </c>
      <c r="G29" s="17">
        <f>IFERROR('Nov 2-8'!E80/'Nov 2-8'!D80," ")</f>
        <v>4.5454545454545456E-2</v>
      </c>
      <c r="H29" s="17">
        <f>IFERROR('Nov 2-8'!F80/'Nov 2-8'!C80," ")</f>
        <v>0</v>
      </c>
      <c r="I29" s="17">
        <f>IFERROR('Nov 2-8'!F80/'Nov 2-8'!E80," ")</f>
        <v>0</v>
      </c>
      <c r="J29" s="17" t="str">
        <f>IFERROR('Nov 2-8'!G80/'Nov 2-8'!F80," ")</f>
        <v xml:space="preserve"> </v>
      </c>
      <c r="K29" s="17">
        <f>IFERROR('Nov 2-8'!H80/'Nov 2-8'!C80," ")</f>
        <v>5.3763440860215058E-3</v>
      </c>
      <c r="L29" s="17" t="str">
        <f>IFERROR('Nov 2-8'!H80/'Nov 2-8'!G80," ")</f>
        <v xml:space="preserve"> </v>
      </c>
    </row>
    <row r="30" spans="1:12" ht="12.75">
      <c r="A30" s="1">
        <f t="shared" si="0"/>
        <v>28</v>
      </c>
      <c r="B30" s="1" t="str">
        <f>'Nov 2-8'!B111</f>
        <v>99 Marion Street Unit 3</v>
      </c>
      <c r="C30" s="29" t="str">
        <f>'Nov 9-15'!C111</f>
        <v>Y</v>
      </c>
      <c r="D30" s="29">
        <f>'Nov 9-15'!D111</f>
        <v>6</v>
      </c>
      <c r="E30" s="17">
        <f>IFERROR('Nov 2-8'!D111/'Nov 2-8'!C111," ")</f>
        <v>0.67368421052631577</v>
      </c>
      <c r="F30" s="17">
        <f>IFERROR('Nov 2-8'!E111/'Nov 2-8'!C111," ")</f>
        <v>0</v>
      </c>
      <c r="G30" s="17">
        <f>IFERROR('Nov 2-8'!E111/'Nov 2-8'!D111," ")</f>
        <v>0</v>
      </c>
      <c r="H30" s="17">
        <f>IFERROR('Nov 2-8'!F111/'Nov 2-8'!C111," ")</f>
        <v>0</v>
      </c>
      <c r="I30" s="17" t="str">
        <f>IFERROR('Nov 2-8'!F111/'Nov 2-8'!E111," ")</f>
        <v xml:space="preserve"> </v>
      </c>
      <c r="J30" s="17" t="str">
        <f>IFERROR('Nov 2-8'!G111/'Nov 2-8'!F111," ")</f>
        <v xml:space="preserve"> </v>
      </c>
      <c r="K30" s="17">
        <f>IFERROR('Nov 2-8'!H111/'Nov 2-8'!C111," ")</f>
        <v>0</v>
      </c>
      <c r="L30" s="17" t="str">
        <f>IFERROR('Nov 2-8'!H111/'Nov 2-8'!G111," ")</f>
        <v xml:space="preserve"> </v>
      </c>
    </row>
    <row r="31" spans="1:12" ht="12.75">
      <c r="A31" s="1">
        <f t="shared" si="0"/>
        <v>29</v>
      </c>
      <c r="B31" s="1" t="str">
        <f>'Nov 2-8'!B109</f>
        <v>96 Hammond Street Unit 3</v>
      </c>
      <c r="C31" s="29" t="str">
        <f>'Nov 9-15'!C109</f>
        <v>N</v>
      </c>
      <c r="D31" s="29">
        <f>'Nov 9-15'!D109</f>
        <v>4</v>
      </c>
      <c r="E31" s="17">
        <f>IFERROR('Nov 2-8'!D109/'Nov 2-8'!C109," ")</f>
        <v>0.4</v>
      </c>
      <c r="F31" s="17">
        <f>IFERROR('Nov 2-8'!E109/'Nov 2-8'!C109," ")</f>
        <v>0</v>
      </c>
      <c r="G31" s="17">
        <f>IFERROR('Nov 2-8'!E109/'Nov 2-8'!D109," ")</f>
        <v>0</v>
      </c>
      <c r="H31" s="17">
        <f>IFERROR('Nov 2-8'!F109/'Nov 2-8'!C109," ")</f>
        <v>0</v>
      </c>
      <c r="I31" s="17" t="str">
        <f>IFERROR('Nov 2-8'!F109/'Nov 2-8'!E109," ")</f>
        <v xml:space="preserve"> </v>
      </c>
      <c r="J31" s="17" t="str">
        <f>IFERROR('Nov 2-8'!G109/'Nov 2-8'!F109," ")</f>
        <v xml:space="preserve"> </v>
      </c>
      <c r="K31" s="17">
        <f>IFERROR('Nov 2-8'!H109/'Nov 2-8'!C109," ")</f>
        <v>2.5000000000000001E-2</v>
      </c>
      <c r="L31" s="17">
        <f>IFERROR('Nov 2-8'!H109/'Nov 2-8'!G109," ")</f>
        <v>2</v>
      </c>
    </row>
    <row r="32" spans="1:12" ht="12.75">
      <c r="A32" s="1">
        <f t="shared" si="0"/>
        <v>30</v>
      </c>
      <c r="B32" s="1" t="str">
        <f>'Nov 2-8'!B110</f>
        <v>96 Sheridan Street Unit 3</v>
      </c>
      <c r="C32" s="29" t="str">
        <f>'Nov 9-15'!C110</f>
        <v>Y</v>
      </c>
      <c r="D32" s="29">
        <f>'Nov 9-15'!D110</f>
        <v>55</v>
      </c>
      <c r="E32" s="17">
        <f>IFERROR('Nov 2-8'!D110/'Nov 2-8'!C110," ")</f>
        <v>0.20714285714285716</v>
      </c>
      <c r="F32" s="17">
        <f>IFERROR('Nov 2-8'!E110/'Nov 2-8'!C110," ")</f>
        <v>7.1428571428571426E-3</v>
      </c>
      <c r="G32" s="17">
        <f>IFERROR('Nov 2-8'!E110/'Nov 2-8'!D110," ")</f>
        <v>3.4482758620689655E-2</v>
      </c>
      <c r="H32" s="17">
        <f>IFERROR('Nov 2-8'!F110/'Nov 2-8'!C110," ")</f>
        <v>0</v>
      </c>
      <c r="I32" s="17">
        <f>IFERROR('Nov 2-8'!F110/'Nov 2-8'!E110," ")</f>
        <v>0</v>
      </c>
      <c r="J32" s="17" t="str">
        <f>IFERROR('Nov 2-8'!G110/'Nov 2-8'!F110," ")</f>
        <v xml:space="preserve"> </v>
      </c>
      <c r="K32" s="17">
        <f>IFERROR('Nov 2-8'!H110/'Nov 2-8'!C110," ")</f>
        <v>0</v>
      </c>
      <c r="L32" s="17" t="str">
        <f>IFERROR('Nov 2-8'!H110/'Nov 2-8'!G110," ")</f>
        <v xml:space="preserve"> </v>
      </c>
    </row>
    <row r="33" spans="1:12" ht="12.75">
      <c r="A33" s="1">
        <f t="shared" si="0"/>
        <v>31</v>
      </c>
      <c r="B33" s="1" t="str">
        <f>'Nov 2-8'!B81</f>
        <v>383 Broadway Street Unit 41</v>
      </c>
      <c r="C33" s="29" t="str">
        <f>'Nov 9-15'!C81</f>
        <v>Y</v>
      </c>
      <c r="D33" s="29">
        <f>'Nov 9-15'!D81</f>
        <v>34</v>
      </c>
      <c r="E33" s="17">
        <f>IFERROR('Nov 2-8'!D81/'Nov 2-8'!C81," ")</f>
        <v>0.18666666666666668</v>
      </c>
      <c r="F33" s="17">
        <f>IFERROR('Nov 2-8'!E81/'Nov 2-8'!C81," ")</f>
        <v>0</v>
      </c>
      <c r="G33" s="17">
        <f>IFERROR('Nov 2-8'!E81/'Nov 2-8'!D81," ")</f>
        <v>0</v>
      </c>
      <c r="H33" s="17">
        <f>IFERROR('Nov 2-8'!F81/'Nov 2-8'!C81," ")</f>
        <v>0</v>
      </c>
      <c r="I33" s="17" t="str">
        <f>IFERROR('Nov 2-8'!F81/'Nov 2-8'!E81," ")</f>
        <v xml:space="preserve"> </v>
      </c>
      <c r="J33" s="17" t="str">
        <f>IFERROR('Nov 2-8'!G81/'Nov 2-8'!F81," ")</f>
        <v xml:space="preserve"> </v>
      </c>
      <c r="K33" s="17">
        <f>IFERROR('Nov 2-8'!H81/'Nov 2-8'!C81," ")</f>
        <v>0</v>
      </c>
      <c r="L33" s="17" t="str">
        <f>IFERROR('Nov 2-8'!H81/'Nov 2-8'!G81," ")</f>
        <v xml:space="preserve"> </v>
      </c>
    </row>
    <row r="34" spans="1:12" ht="12.75">
      <c r="A34" s="1">
        <f t="shared" si="0"/>
        <v>32</v>
      </c>
      <c r="B34" s="1" t="str">
        <f>'Nov 2-8'!B84</f>
        <v>40 Sudan Street Unit 3</v>
      </c>
      <c r="C34" s="29" t="str">
        <f>'Nov 9-15'!C84</f>
        <v>Y</v>
      </c>
      <c r="D34" s="29">
        <f>'Nov 9-15'!D84</f>
        <v>4</v>
      </c>
      <c r="E34" s="17">
        <f>IFERROR('Nov 2-8'!D84/'Nov 2-8'!C84," ")</f>
        <v>0.13636363636363635</v>
      </c>
      <c r="F34" s="17">
        <f>IFERROR('Nov 2-8'!E84/'Nov 2-8'!C84," ")</f>
        <v>0</v>
      </c>
      <c r="G34" s="17">
        <f>IFERROR('Nov 2-8'!E84/'Nov 2-8'!D84," ")</f>
        <v>0</v>
      </c>
      <c r="H34" s="17">
        <f>IFERROR('Nov 2-8'!F84/'Nov 2-8'!C84," ")</f>
        <v>0</v>
      </c>
      <c r="I34" s="17" t="str">
        <f>IFERROR('Nov 2-8'!F84/'Nov 2-8'!E84," ")</f>
        <v xml:space="preserve"> </v>
      </c>
      <c r="J34" s="17" t="str">
        <f>IFERROR('Nov 2-8'!G84/'Nov 2-8'!F84," ")</f>
        <v xml:space="preserve"> </v>
      </c>
      <c r="K34" s="17">
        <f>IFERROR('Nov 2-8'!H84/'Nov 2-8'!C84," ")</f>
        <v>0</v>
      </c>
      <c r="L34" s="17" t="str">
        <f>IFERROR('Nov 2-8'!H84/'Nov 2-8'!G84," ")</f>
        <v xml:space="preserve"> </v>
      </c>
    </row>
    <row r="35" spans="1:12" ht="12.75">
      <c r="A35" s="1">
        <f t="shared" si="0"/>
        <v>33</v>
      </c>
      <c r="B35" s="1" t="str">
        <f>'Nov 2-8'!B82</f>
        <v>4 Elko Street Unit B1</v>
      </c>
      <c r="C35" s="29" t="str">
        <f>'Nov 9-15'!C82</f>
        <v>Y</v>
      </c>
      <c r="D35" s="29">
        <f>'Nov 9-15'!D82</f>
        <v>17</v>
      </c>
      <c r="E35" s="17">
        <f>IFERROR('Nov 2-8'!D82/'Nov 2-8'!C82," ")</f>
        <v>0.26829268292682928</v>
      </c>
      <c r="F35" s="17">
        <f>IFERROR('Nov 2-8'!E82/'Nov 2-8'!C82," ")</f>
        <v>0</v>
      </c>
      <c r="G35" s="17">
        <f>IFERROR('Nov 2-8'!E82/'Nov 2-8'!D82," ")</f>
        <v>0</v>
      </c>
      <c r="H35" s="17">
        <f>IFERROR('Nov 2-8'!F82/'Nov 2-8'!C82," ")</f>
        <v>0</v>
      </c>
      <c r="I35" s="17" t="str">
        <f>IFERROR('Nov 2-8'!F82/'Nov 2-8'!E82," ")</f>
        <v xml:space="preserve"> </v>
      </c>
      <c r="J35" s="17" t="str">
        <f>IFERROR('Nov 2-8'!G82/'Nov 2-8'!F82," ")</f>
        <v xml:space="preserve"> </v>
      </c>
      <c r="K35" s="17">
        <f>IFERROR('Nov 2-8'!H82/'Nov 2-8'!C82," ")</f>
        <v>0</v>
      </c>
      <c r="L35" s="17" t="str">
        <f>IFERROR('Nov 2-8'!H82/'Nov 2-8'!G82," ")</f>
        <v xml:space="preserve"> </v>
      </c>
    </row>
    <row r="36" spans="1:12" ht="12.75">
      <c r="A36" s="1">
        <f t="shared" si="0"/>
        <v>34</v>
      </c>
      <c r="B36" s="1" t="str">
        <f>'Nov 2-8'!B83</f>
        <v>4 Litchfield Street Unit 2</v>
      </c>
      <c r="C36" s="29" t="str">
        <f>'Nov 9-15'!C83</f>
        <v>N</v>
      </c>
      <c r="D36" s="29">
        <f>'Nov 9-15'!D83</f>
        <v>1</v>
      </c>
      <c r="E36" s="17" t="str">
        <f>IFERROR('Nov 2-8'!D83/'Nov 2-8'!C83," ")</f>
        <v xml:space="preserve"> </v>
      </c>
      <c r="F36" s="17" t="str">
        <f>IFERROR('Nov 2-8'!E83/'Nov 2-8'!C83," ")</f>
        <v xml:space="preserve"> </v>
      </c>
      <c r="G36" s="17" t="str">
        <f>IFERROR('Nov 2-8'!E83/'Nov 2-8'!D83," ")</f>
        <v xml:space="preserve"> </v>
      </c>
      <c r="H36" s="17" t="str">
        <f>IFERROR('Nov 2-8'!F83/'Nov 2-8'!C83," ")</f>
        <v xml:space="preserve"> </v>
      </c>
      <c r="I36" s="17" t="str">
        <f>IFERROR('Nov 2-8'!F83/'Nov 2-8'!E83," ")</f>
        <v xml:space="preserve"> </v>
      </c>
      <c r="J36" s="17" t="str">
        <f>IFERROR('Nov 2-8'!G83/'Nov 2-8'!F83," ")</f>
        <v xml:space="preserve"> </v>
      </c>
      <c r="K36" s="17" t="str">
        <f>IFERROR('Nov 2-8'!H83/'Nov 2-8'!C83," ")</f>
        <v xml:space="preserve"> </v>
      </c>
      <c r="L36" s="17" t="str">
        <f>IFERROR('Nov 2-8'!H83/'Nov 2-8'!G83," ")</f>
        <v xml:space="preserve"> </v>
      </c>
    </row>
    <row r="37" spans="1:12" ht="12.75">
      <c r="A37" s="1">
        <f t="shared" si="0"/>
        <v>35</v>
      </c>
      <c r="B37" s="1" t="str">
        <f>'Nov 2-8'!B25</f>
        <v>1410 Columbia Road Unit 5B</v>
      </c>
      <c r="C37" s="29" t="str">
        <f>'Nov 9-15'!C25</f>
        <v>Y</v>
      </c>
      <c r="D37" s="29">
        <f>'Nov 9-15'!D25</f>
        <v>9</v>
      </c>
      <c r="E37" s="17">
        <f>IFERROR('Nov 2-8'!D25/'Nov 2-8'!C25," ")</f>
        <v>0.2</v>
      </c>
      <c r="F37" s="17">
        <f>IFERROR('Nov 2-8'!E25/'Nov 2-8'!C25," ")</f>
        <v>0</v>
      </c>
      <c r="G37" s="17">
        <f>IFERROR('Nov 2-8'!E25/'Nov 2-8'!D25," ")</f>
        <v>0</v>
      </c>
      <c r="H37" s="17">
        <f>IFERROR('Nov 2-8'!F25/'Nov 2-8'!C25," ")</f>
        <v>0</v>
      </c>
      <c r="I37" s="17" t="str">
        <f>IFERROR('Nov 2-8'!F25/'Nov 2-8'!E25," ")</f>
        <v xml:space="preserve"> </v>
      </c>
      <c r="J37" s="17" t="str">
        <f>IFERROR('Nov 2-8'!G25/'Nov 2-8'!F25," ")</f>
        <v xml:space="preserve"> </v>
      </c>
      <c r="K37" s="17">
        <f>IFERROR('Nov 2-8'!H25/'Nov 2-8'!C25," ")</f>
        <v>0</v>
      </c>
      <c r="L37" s="17" t="str">
        <f>IFERROR('Nov 2-8'!H25/'Nov 2-8'!G25," ")</f>
        <v xml:space="preserve"> </v>
      </c>
    </row>
    <row r="38" spans="1:12" ht="12.75">
      <c r="A38" s="1">
        <f t="shared" si="0"/>
        <v>36</v>
      </c>
      <c r="B38" s="1" t="str">
        <f>'Nov 2-8'!B26</f>
        <v>146 Hillside Street Unit 1</v>
      </c>
      <c r="C38" s="29" t="str">
        <f>'Nov 9-15'!C26</f>
        <v>Y</v>
      </c>
      <c r="D38" s="29">
        <f>'Nov 9-15'!D26</f>
        <v>15</v>
      </c>
      <c r="E38" s="17">
        <f>IFERROR('Nov 2-8'!D26/'Nov 2-8'!C26," ")</f>
        <v>0.2</v>
      </c>
      <c r="F38" s="17">
        <f>IFERROR('Nov 2-8'!E26/'Nov 2-8'!C26," ")</f>
        <v>0</v>
      </c>
      <c r="G38" s="17">
        <f>IFERROR('Nov 2-8'!E26/'Nov 2-8'!D26," ")</f>
        <v>0</v>
      </c>
      <c r="H38" s="17">
        <f>IFERROR('Nov 2-8'!F26/'Nov 2-8'!C26," ")</f>
        <v>0</v>
      </c>
      <c r="I38" s="17" t="str">
        <f>IFERROR('Nov 2-8'!F26/'Nov 2-8'!E26," ")</f>
        <v xml:space="preserve"> </v>
      </c>
      <c r="J38" s="17" t="str">
        <f>IFERROR('Nov 2-8'!G26/'Nov 2-8'!F26," ")</f>
        <v xml:space="preserve"> </v>
      </c>
      <c r="K38" s="17">
        <f>IFERROR('Nov 2-8'!H26/'Nov 2-8'!C26," ")</f>
        <v>0</v>
      </c>
      <c r="L38" s="17" t="str">
        <f>IFERROR('Nov 2-8'!H26/'Nov 2-8'!G26," ")</f>
        <v xml:space="preserve"> </v>
      </c>
    </row>
    <row r="39" spans="1:12" ht="12.75">
      <c r="A39" s="1">
        <f t="shared" si="0"/>
        <v>37</v>
      </c>
      <c r="B39" s="1" t="str">
        <f>'Nov 2-8'!B85</f>
        <v>42 Marcella Street Unit 1</v>
      </c>
      <c r="C39" s="29" t="str">
        <f>'Nov 9-15'!C85</f>
        <v>Y</v>
      </c>
      <c r="D39" s="29">
        <f>'Nov 9-15'!D85</f>
        <v>24</v>
      </c>
      <c r="E39" s="17">
        <f>IFERROR('Nov 2-8'!D85/'Nov 2-8'!C85," ")</f>
        <v>0.15277777777777779</v>
      </c>
      <c r="F39" s="17">
        <f>IFERROR('Nov 2-8'!E85/'Nov 2-8'!C85," ")</f>
        <v>0</v>
      </c>
      <c r="G39" s="17">
        <f>IFERROR('Nov 2-8'!E85/'Nov 2-8'!D85," ")</f>
        <v>0</v>
      </c>
      <c r="H39" s="17">
        <f>IFERROR('Nov 2-8'!F85/'Nov 2-8'!C85," ")</f>
        <v>0</v>
      </c>
      <c r="I39" s="17" t="str">
        <f>IFERROR('Nov 2-8'!F85/'Nov 2-8'!E85," ")</f>
        <v xml:space="preserve"> </v>
      </c>
      <c r="J39" s="17" t="str">
        <f>IFERROR('Nov 2-8'!G85/'Nov 2-8'!F85," ")</f>
        <v xml:space="preserve"> </v>
      </c>
      <c r="K39" s="17">
        <f>IFERROR('Nov 2-8'!H85/'Nov 2-8'!C85," ")</f>
        <v>0</v>
      </c>
      <c r="L39" s="17" t="str">
        <f>IFERROR('Nov 2-8'!H85/'Nov 2-8'!G85," ")</f>
        <v xml:space="preserve"> </v>
      </c>
    </row>
    <row r="40" spans="1:12" ht="12.75">
      <c r="A40" s="1">
        <f t="shared" si="0"/>
        <v>38</v>
      </c>
      <c r="B40" s="1" t="str">
        <f>'Nov 2-8'!B86</f>
        <v>45 Crescent Avenue Unit 1</v>
      </c>
      <c r="C40" s="29" t="str">
        <f>'Nov 9-15'!C86</f>
        <v>Y</v>
      </c>
      <c r="D40" s="29">
        <f>'Nov 9-15'!D86</f>
        <v>8</v>
      </c>
      <c r="E40" s="17">
        <f>IFERROR('Nov 2-8'!D86/'Nov 2-8'!C86," ")</f>
        <v>0.5714285714285714</v>
      </c>
      <c r="F40" s="17">
        <f>IFERROR('Nov 2-8'!E86/'Nov 2-8'!C86," ")</f>
        <v>7.1428571428571425E-2</v>
      </c>
      <c r="G40" s="17">
        <f>IFERROR('Nov 2-8'!E86/'Nov 2-8'!D86," ")</f>
        <v>0.125</v>
      </c>
      <c r="H40" s="17">
        <f>IFERROR('Nov 2-8'!F86/'Nov 2-8'!C86," ")</f>
        <v>0</v>
      </c>
      <c r="I40" s="17">
        <f>IFERROR('Nov 2-8'!F86/'Nov 2-8'!E86," ")</f>
        <v>0</v>
      </c>
      <c r="J40" s="17" t="str">
        <f>IFERROR('Nov 2-8'!G86/'Nov 2-8'!F86," ")</f>
        <v xml:space="preserve"> </v>
      </c>
      <c r="K40" s="17">
        <f>IFERROR('Nov 2-8'!H86/'Nov 2-8'!C86," ")</f>
        <v>0</v>
      </c>
      <c r="L40" s="17" t="str">
        <f>IFERROR('Nov 2-8'!H86/'Nov 2-8'!G86," ")</f>
        <v xml:space="preserve"> </v>
      </c>
    </row>
    <row r="41" spans="1:12" ht="12.75">
      <c r="A41" s="1">
        <f t="shared" si="0"/>
        <v>39</v>
      </c>
      <c r="B41" s="1" t="str">
        <f>'Nov 2-8'!B87</f>
        <v>45 Crescent Avenue Unit 3</v>
      </c>
      <c r="C41" s="29" t="str">
        <f>'Nov 9-15'!C87</f>
        <v>Y</v>
      </c>
      <c r="D41" s="29">
        <f>'Nov 9-15'!D87</f>
        <v>27</v>
      </c>
      <c r="E41" s="17">
        <f>IFERROR('Nov 2-8'!D87/'Nov 2-8'!C87," ")</f>
        <v>0.47928994082840237</v>
      </c>
      <c r="F41" s="17">
        <f>IFERROR('Nov 2-8'!E87/'Nov 2-8'!C87," ")</f>
        <v>5.9171597633136093E-3</v>
      </c>
      <c r="G41" s="17">
        <f>IFERROR('Nov 2-8'!E87/'Nov 2-8'!D87," ")</f>
        <v>1.2345679012345678E-2</v>
      </c>
      <c r="H41" s="17">
        <f>IFERROR('Nov 2-8'!F87/'Nov 2-8'!C87," ")</f>
        <v>0</v>
      </c>
      <c r="I41" s="17">
        <f>IFERROR('Nov 2-8'!F87/'Nov 2-8'!E87," ")</f>
        <v>0</v>
      </c>
      <c r="J41" s="17" t="str">
        <f>IFERROR('Nov 2-8'!G87/'Nov 2-8'!F87," ")</f>
        <v xml:space="preserve"> </v>
      </c>
      <c r="K41" s="17">
        <f>IFERROR('Nov 2-8'!H87/'Nov 2-8'!C87," ")</f>
        <v>0</v>
      </c>
      <c r="L41" s="17" t="str">
        <f>IFERROR('Nov 2-8'!H87/'Nov 2-8'!G87," ")</f>
        <v xml:space="preserve"> </v>
      </c>
    </row>
    <row r="42" spans="1:12" ht="12.75">
      <c r="A42" s="1">
        <f t="shared" si="0"/>
        <v>40</v>
      </c>
      <c r="B42" s="1" t="str">
        <f>'Nov 2-8'!B27</f>
        <v>147 Columbia Street Unit 3R</v>
      </c>
      <c r="C42" s="29" t="str">
        <f>'Nov 9-15'!C27</f>
        <v>Y</v>
      </c>
      <c r="D42" s="29">
        <f>'Nov 9-15'!D27</f>
        <v>34</v>
      </c>
      <c r="E42" s="17">
        <f>IFERROR('Nov 2-8'!D27/'Nov 2-8'!C27," ")</f>
        <v>0.22772277227722773</v>
      </c>
      <c r="F42" s="17">
        <f>IFERROR('Nov 2-8'!E27/'Nov 2-8'!C27," ")</f>
        <v>0</v>
      </c>
      <c r="G42" s="17">
        <f>IFERROR('Nov 2-8'!E27/'Nov 2-8'!D27," ")</f>
        <v>0</v>
      </c>
      <c r="H42" s="17">
        <f>IFERROR('Nov 2-8'!F27/'Nov 2-8'!C27," ")</f>
        <v>0</v>
      </c>
      <c r="I42" s="17" t="str">
        <f>IFERROR('Nov 2-8'!F27/'Nov 2-8'!E27," ")</f>
        <v xml:space="preserve"> </v>
      </c>
      <c r="J42" s="17" t="str">
        <f>IFERROR('Nov 2-8'!G27/'Nov 2-8'!F27," ")</f>
        <v xml:space="preserve"> </v>
      </c>
      <c r="K42" s="17">
        <f>IFERROR('Nov 2-8'!H27/'Nov 2-8'!C27," ")</f>
        <v>0</v>
      </c>
      <c r="L42" s="17" t="str">
        <f>IFERROR('Nov 2-8'!H27/'Nov 2-8'!G27," ")</f>
        <v xml:space="preserve"> </v>
      </c>
    </row>
    <row r="43" spans="1:12" ht="12.75">
      <c r="A43" s="1">
        <f t="shared" si="0"/>
        <v>41</v>
      </c>
      <c r="B43" s="1" t="str">
        <f>'Nov 2-8'!B28</f>
        <v>154 Magazine Street Unit 1</v>
      </c>
      <c r="C43" s="29" t="str">
        <f>'Nov 9-15'!C28</f>
        <v>Y</v>
      </c>
      <c r="D43" s="29">
        <f>'Nov 9-15'!D28</f>
        <v>43</v>
      </c>
      <c r="E43" s="17">
        <f>IFERROR('Nov 2-8'!D28/'Nov 2-8'!C28," ")</f>
        <v>0.52747252747252749</v>
      </c>
      <c r="F43" s="17">
        <f>IFERROR('Nov 2-8'!E28/'Nov 2-8'!C28," ")</f>
        <v>2.197802197802198E-2</v>
      </c>
      <c r="G43" s="17">
        <f>IFERROR('Nov 2-8'!E28/'Nov 2-8'!D28," ")</f>
        <v>4.1666666666666664E-2</v>
      </c>
      <c r="H43" s="17">
        <f>IFERROR('Nov 2-8'!F28/'Nov 2-8'!C28," ")</f>
        <v>0</v>
      </c>
      <c r="I43" s="17">
        <f>IFERROR('Nov 2-8'!F28/'Nov 2-8'!E28," ")</f>
        <v>0</v>
      </c>
      <c r="J43" s="17" t="str">
        <f>IFERROR('Nov 2-8'!G28/'Nov 2-8'!F28," ")</f>
        <v xml:space="preserve"> </v>
      </c>
      <c r="K43" s="17">
        <f>IFERROR('Nov 2-8'!H28/'Nov 2-8'!C28," ")</f>
        <v>0</v>
      </c>
      <c r="L43" s="17" t="str">
        <f>IFERROR('Nov 2-8'!H28/'Nov 2-8'!G28," ")</f>
        <v xml:space="preserve"> </v>
      </c>
    </row>
    <row r="44" spans="1:12" ht="12.75">
      <c r="A44" s="1">
        <f t="shared" si="0"/>
        <v>42</v>
      </c>
      <c r="B44" s="1" t="str">
        <f>'Nov 2-8'!B29</f>
        <v>154 Magazine Street Unit 2</v>
      </c>
      <c r="C44" s="29" t="str">
        <f>'Nov 9-15'!C29</f>
        <v>Y</v>
      </c>
      <c r="D44" s="29">
        <f>'Nov 9-15'!D29</f>
        <v>113</v>
      </c>
      <c r="E44" s="17">
        <f>IFERROR('Nov 2-8'!D29/'Nov 2-8'!C29," ")</f>
        <v>0.26829268292682928</v>
      </c>
      <c r="F44" s="17">
        <f>IFERROR('Nov 2-8'!E29/'Nov 2-8'!C29," ")</f>
        <v>0</v>
      </c>
      <c r="G44" s="17">
        <f>IFERROR('Nov 2-8'!E29/'Nov 2-8'!D29," ")</f>
        <v>0</v>
      </c>
      <c r="H44" s="17">
        <f>IFERROR('Nov 2-8'!F29/'Nov 2-8'!C29," ")</f>
        <v>0</v>
      </c>
      <c r="I44" s="17" t="str">
        <f>IFERROR('Nov 2-8'!F29/'Nov 2-8'!E29," ")</f>
        <v xml:space="preserve"> </v>
      </c>
      <c r="J44" s="17" t="str">
        <f>IFERROR('Nov 2-8'!G29/'Nov 2-8'!F29," ")</f>
        <v xml:space="preserve"> </v>
      </c>
      <c r="K44" s="17">
        <f>IFERROR('Nov 2-8'!H29/'Nov 2-8'!C29," ")</f>
        <v>0</v>
      </c>
      <c r="L44" s="17" t="str">
        <f>IFERROR('Nov 2-8'!H29/'Nov 2-8'!G29," ")</f>
        <v xml:space="preserve"> </v>
      </c>
    </row>
    <row r="45" spans="1:12" ht="12.75">
      <c r="A45" s="1">
        <f t="shared" si="0"/>
        <v>43</v>
      </c>
      <c r="B45" s="1" t="str">
        <f>'Nov 2-8'!B30</f>
        <v>1578 Beacon Street Unit 5</v>
      </c>
      <c r="C45" s="29" t="str">
        <f>'Nov 9-15'!C30</f>
        <v>Y</v>
      </c>
      <c r="D45" s="29">
        <f>'Nov 9-15'!D30</f>
        <v>6</v>
      </c>
      <c r="E45" s="17">
        <f>IFERROR('Nov 2-8'!D30/'Nov 2-8'!C30," ")</f>
        <v>0</v>
      </c>
      <c r="F45" s="17">
        <f>IFERROR('Nov 2-8'!E30/'Nov 2-8'!C30," ")</f>
        <v>0</v>
      </c>
      <c r="G45" s="17" t="str">
        <f>IFERROR('Nov 2-8'!E30/'Nov 2-8'!D30," ")</f>
        <v xml:space="preserve"> </v>
      </c>
      <c r="H45" s="17">
        <f>IFERROR('Nov 2-8'!F30/'Nov 2-8'!C30," ")</f>
        <v>0</v>
      </c>
      <c r="I45" s="17" t="str">
        <f>IFERROR('Nov 2-8'!F30/'Nov 2-8'!E30," ")</f>
        <v xml:space="preserve"> </v>
      </c>
      <c r="J45" s="17" t="str">
        <f>IFERROR('Nov 2-8'!G30/'Nov 2-8'!F30," ")</f>
        <v xml:space="preserve"> </v>
      </c>
      <c r="K45" s="17">
        <f>IFERROR('Nov 2-8'!H30/'Nov 2-8'!C30," ")</f>
        <v>0</v>
      </c>
      <c r="L45" s="17" t="str">
        <f>IFERROR('Nov 2-8'!H30/'Nov 2-8'!G30," ")</f>
        <v xml:space="preserve"> </v>
      </c>
    </row>
    <row r="46" spans="1:12" ht="12.75">
      <c r="A46" s="1">
        <f t="shared" si="0"/>
        <v>44</v>
      </c>
      <c r="B46" s="1" t="str">
        <f>'Nov 2-8'!B88</f>
        <v>49 Boylston Street Unit 1</v>
      </c>
      <c r="C46" s="29" t="str">
        <f>'Nov 9-15'!C88</f>
        <v>Y</v>
      </c>
      <c r="D46" s="29">
        <f>'Nov 9-15'!D88</f>
        <v>15</v>
      </c>
      <c r="E46" s="17">
        <f>IFERROR('Nov 2-8'!D88/'Nov 2-8'!C88," ")</f>
        <v>0.26666666666666666</v>
      </c>
      <c r="F46" s="17">
        <f>IFERROR('Nov 2-8'!E88/'Nov 2-8'!C88," ")</f>
        <v>0</v>
      </c>
      <c r="G46" s="17">
        <f>IFERROR('Nov 2-8'!E88/'Nov 2-8'!D88," ")</f>
        <v>0</v>
      </c>
      <c r="H46" s="17">
        <f>IFERROR('Nov 2-8'!F88/'Nov 2-8'!C88," ")</f>
        <v>0</v>
      </c>
      <c r="I46" s="17" t="str">
        <f>IFERROR('Nov 2-8'!F88/'Nov 2-8'!E88," ")</f>
        <v xml:space="preserve"> </v>
      </c>
      <c r="J46" s="17" t="str">
        <f>IFERROR('Nov 2-8'!G88/'Nov 2-8'!F88," ")</f>
        <v xml:space="preserve"> </v>
      </c>
      <c r="K46" s="17">
        <f>IFERROR('Nov 2-8'!H88/'Nov 2-8'!C88," ")</f>
        <v>0</v>
      </c>
      <c r="L46" s="17" t="str">
        <f>IFERROR('Nov 2-8'!H88/'Nov 2-8'!G88," ")</f>
        <v xml:space="preserve"> </v>
      </c>
    </row>
    <row r="47" spans="1:12" ht="12.75">
      <c r="A47" s="1">
        <f t="shared" si="0"/>
        <v>45</v>
      </c>
      <c r="B47" s="1" t="str">
        <f>'Nov 2-8'!B89</f>
        <v>49 Paulina Street Unit 2</v>
      </c>
      <c r="C47" s="29" t="str">
        <f>'Nov 9-15'!C89</f>
        <v>N</v>
      </c>
      <c r="D47" s="29">
        <f>'Nov 9-15'!D89</f>
        <v>0</v>
      </c>
      <c r="E47" s="17" t="str">
        <f>IFERROR('Nov 2-8'!D89/'Nov 2-8'!C89," ")</f>
        <v xml:space="preserve"> </v>
      </c>
      <c r="F47" s="17" t="str">
        <f>IFERROR('Nov 2-8'!E89/'Nov 2-8'!C89," ")</f>
        <v xml:space="preserve"> </v>
      </c>
      <c r="G47" s="17" t="str">
        <f>IFERROR('Nov 2-8'!E89/'Nov 2-8'!D89," ")</f>
        <v xml:space="preserve"> </v>
      </c>
      <c r="H47" s="17" t="str">
        <f>IFERROR('Nov 2-8'!F89/'Nov 2-8'!C89," ")</f>
        <v xml:space="preserve"> </v>
      </c>
      <c r="I47" s="17" t="str">
        <f>IFERROR('Nov 2-8'!F89/'Nov 2-8'!E89," ")</f>
        <v xml:space="preserve"> </v>
      </c>
      <c r="J47" s="17" t="str">
        <f>IFERROR('Nov 2-8'!G89/'Nov 2-8'!F89," ")</f>
        <v xml:space="preserve"> </v>
      </c>
      <c r="K47" s="17" t="str">
        <f>IFERROR('Nov 2-8'!H89/'Nov 2-8'!C89," ")</f>
        <v xml:space="preserve"> </v>
      </c>
      <c r="L47" s="17" t="str">
        <f>IFERROR('Nov 2-8'!H89/'Nov 2-8'!G89," ")</f>
        <v xml:space="preserve"> </v>
      </c>
    </row>
    <row r="48" spans="1:12" ht="12.75">
      <c r="A48" s="1">
        <f t="shared" si="0"/>
        <v>46</v>
      </c>
      <c r="B48" s="1" t="str">
        <f>'Nov 2-8'!B90</f>
        <v>49 Paulina Street Unit 3</v>
      </c>
      <c r="C48" s="29" t="str">
        <f>'Nov 9-15'!C90</f>
        <v>Y</v>
      </c>
      <c r="D48" s="29">
        <f>'Nov 9-15'!D90</f>
        <v>6</v>
      </c>
      <c r="E48" s="17">
        <f>IFERROR('Nov 2-8'!D90/'Nov 2-8'!C90," ")</f>
        <v>0.14285714285714285</v>
      </c>
      <c r="F48" s="17">
        <f>IFERROR('Nov 2-8'!E90/'Nov 2-8'!C90," ")</f>
        <v>0</v>
      </c>
      <c r="G48" s="17">
        <f>IFERROR('Nov 2-8'!E90/'Nov 2-8'!D90," ")</f>
        <v>0</v>
      </c>
      <c r="H48" s="17">
        <f>IFERROR('Nov 2-8'!F90/'Nov 2-8'!C90," ")</f>
        <v>0</v>
      </c>
      <c r="I48" s="17" t="str">
        <f>IFERROR('Nov 2-8'!F90/'Nov 2-8'!E90," ")</f>
        <v xml:space="preserve"> </v>
      </c>
      <c r="J48" s="17" t="str">
        <f>IFERROR('Nov 2-8'!G90/'Nov 2-8'!F90," ")</f>
        <v xml:space="preserve"> </v>
      </c>
      <c r="K48" s="17">
        <f>IFERROR('Nov 2-8'!H90/'Nov 2-8'!C90," ")</f>
        <v>0</v>
      </c>
      <c r="L48" s="17" t="str">
        <f>IFERROR('Nov 2-8'!H90/'Nov 2-8'!G90," ")</f>
        <v xml:space="preserve"> </v>
      </c>
    </row>
    <row r="49" spans="1:12" ht="12.75">
      <c r="A49" s="1">
        <f t="shared" si="0"/>
        <v>47</v>
      </c>
      <c r="B49" s="1" t="str">
        <f>'Nov 2-8'!B3</f>
        <v>10 7th Street</v>
      </c>
      <c r="C49" s="29" t="str">
        <f>'Nov 9-15'!C3</f>
        <v>Y</v>
      </c>
      <c r="D49" s="29">
        <f>'Nov 9-15'!D3</f>
        <v>34</v>
      </c>
      <c r="E49" s="17">
        <f>IFERROR('Nov 2-8'!D3/'Nov 2-8'!C3," ")</f>
        <v>0.23966942148760331</v>
      </c>
      <c r="F49" s="17">
        <f>IFERROR('Nov 2-8'!E3/'Nov 2-8'!C3," ")</f>
        <v>1.6528925619834711E-2</v>
      </c>
      <c r="G49" s="17">
        <f>IFERROR('Nov 2-8'!E3/'Nov 2-8'!D3," ")</f>
        <v>6.8965517241379309E-2</v>
      </c>
      <c r="H49" s="17">
        <f>IFERROR('Nov 2-8'!F3/'Nov 2-8'!C3," ")</f>
        <v>0</v>
      </c>
      <c r="I49" s="17">
        <f>IFERROR('Nov 2-8'!F3/'Nov 2-8'!E3," ")</f>
        <v>0</v>
      </c>
      <c r="J49" s="17" t="str">
        <f>IFERROR('Nov 2-8'!G3/'Nov 2-8'!F3," ")</f>
        <v xml:space="preserve"> </v>
      </c>
      <c r="K49" s="17">
        <f>IFERROR('Nov 2-8'!H3/'Nov 2-8'!C3," ")</f>
        <v>0</v>
      </c>
      <c r="L49" s="17" t="str">
        <f>IFERROR('Nov 2-8'!H3/'Nov 2-8'!G3," ")</f>
        <v xml:space="preserve"> </v>
      </c>
    </row>
    <row r="50" spans="1:12" ht="12.75">
      <c r="A50" s="1">
        <f t="shared" si="0"/>
        <v>48</v>
      </c>
      <c r="B50" s="1" t="str">
        <f>'Nov 2-8'!B4</f>
        <v>1008 Tremont Street Unit 3</v>
      </c>
      <c r="C50" s="29" t="str">
        <f>'Nov 9-15'!C4</f>
        <v>Y</v>
      </c>
      <c r="D50" s="29">
        <f>'Nov 9-15'!D4</f>
        <v>13</v>
      </c>
      <c r="E50" s="17">
        <f>IFERROR('Nov 2-8'!D4/'Nov 2-8'!C4," ")</f>
        <v>0.23333333333333334</v>
      </c>
      <c r="F50" s="17">
        <f>IFERROR('Nov 2-8'!E4/'Nov 2-8'!C4," ")</f>
        <v>0</v>
      </c>
      <c r="G50" s="17">
        <f>IFERROR('Nov 2-8'!E4/'Nov 2-8'!D4," ")</f>
        <v>0</v>
      </c>
      <c r="H50" s="17">
        <f>IFERROR('Nov 2-8'!F4/'Nov 2-8'!C4," ")</f>
        <v>0</v>
      </c>
      <c r="I50" s="17" t="str">
        <f>IFERROR('Nov 2-8'!F4/'Nov 2-8'!E4," ")</f>
        <v xml:space="preserve"> </v>
      </c>
      <c r="J50" s="17" t="str">
        <f>IFERROR('Nov 2-8'!G4/'Nov 2-8'!F4," ")</f>
        <v xml:space="preserve"> </v>
      </c>
      <c r="K50" s="17">
        <f>IFERROR('Nov 2-8'!H4/'Nov 2-8'!C4," ")</f>
        <v>0</v>
      </c>
      <c r="L50" s="17" t="str">
        <f>IFERROR('Nov 2-8'!H4/'Nov 2-8'!G4," ")</f>
        <v xml:space="preserve"> </v>
      </c>
    </row>
    <row r="51" spans="1:12" ht="12.75">
      <c r="A51" s="1">
        <f t="shared" si="0"/>
        <v>49</v>
      </c>
      <c r="B51" s="1" t="str">
        <f>'Nov 2-8'!B5</f>
        <v>1008 Tremont Street Unit 6</v>
      </c>
      <c r="C51" s="29" t="str">
        <f>'Nov 9-15'!C5</f>
        <v>N</v>
      </c>
      <c r="D51" s="29">
        <f>'Nov 9-15'!D5</f>
        <v>0</v>
      </c>
      <c r="E51" s="17">
        <f>IFERROR('Nov 2-8'!D5/'Nov 2-8'!C5," ")</f>
        <v>0.66666666666666663</v>
      </c>
      <c r="F51" s="17">
        <f>IFERROR('Nov 2-8'!E5/'Nov 2-8'!C5," ")</f>
        <v>0</v>
      </c>
      <c r="G51" s="17">
        <f>IFERROR('Nov 2-8'!E5/'Nov 2-8'!D5," ")</f>
        <v>0</v>
      </c>
      <c r="H51" s="17">
        <f>IFERROR('Nov 2-8'!F5/'Nov 2-8'!C5," ")</f>
        <v>0</v>
      </c>
      <c r="I51" s="17" t="str">
        <f>IFERROR('Nov 2-8'!F5/'Nov 2-8'!E5," ")</f>
        <v xml:space="preserve"> </v>
      </c>
      <c r="J51" s="17" t="str">
        <f>IFERROR('Nov 2-8'!G5/'Nov 2-8'!F5," ")</f>
        <v xml:space="preserve"> </v>
      </c>
      <c r="K51" s="17">
        <f>IFERROR('Nov 2-8'!H5/'Nov 2-8'!C5," ")</f>
        <v>0</v>
      </c>
      <c r="L51" s="17" t="str">
        <f>IFERROR('Nov 2-8'!H5/'Nov 2-8'!G5," ")</f>
        <v xml:space="preserve"> </v>
      </c>
    </row>
    <row r="52" spans="1:12" ht="12.75">
      <c r="A52" s="1">
        <f t="shared" si="0"/>
        <v>50</v>
      </c>
      <c r="B52" s="1" t="str">
        <f>'Nov 2-8'!B31</f>
        <v>1578 Beacon Street Unit 7</v>
      </c>
      <c r="C52" s="29" t="str">
        <f>'Nov 9-15'!C31</f>
        <v>Y</v>
      </c>
      <c r="D52" s="29">
        <f>'Nov 9-15'!D31</f>
        <v>15</v>
      </c>
      <c r="E52" s="17">
        <f>IFERROR('Nov 2-8'!D31/'Nov 2-8'!C31," ")</f>
        <v>0.35384615384615387</v>
      </c>
      <c r="F52" s="17">
        <f>IFERROR('Nov 2-8'!E31/'Nov 2-8'!C31," ")</f>
        <v>1.5384615384615385E-2</v>
      </c>
      <c r="G52" s="17">
        <f>IFERROR('Nov 2-8'!E31/'Nov 2-8'!D31," ")</f>
        <v>4.3478260869565216E-2</v>
      </c>
      <c r="H52" s="17">
        <f>IFERROR('Nov 2-8'!F31/'Nov 2-8'!C31," ")</f>
        <v>0</v>
      </c>
      <c r="I52" s="17">
        <f>IFERROR('Nov 2-8'!F31/'Nov 2-8'!E31," ")</f>
        <v>0</v>
      </c>
      <c r="J52" s="17" t="str">
        <f>IFERROR('Nov 2-8'!G31/'Nov 2-8'!F31," ")</f>
        <v xml:space="preserve"> </v>
      </c>
      <c r="K52" s="17">
        <f>IFERROR('Nov 2-8'!H31/'Nov 2-8'!C31," ")</f>
        <v>0</v>
      </c>
      <c r="L52" s="17" t="str">
        <f>IFERROR('Nov 2-8'!H31/'Nov 2-8'!G31," ")</f>
        <v xml:space="preserve"> </v>
      </c>
    </row>
    <row r="53" spans="1:12" ht="12.75">
      <c r="A53" s="1">
        <f t="shared" si="0"/>
        <v>51</v>
      </c>
      <c r="B53" s="1" t="str">
        <f>'Nov 2-8'!B32</f>
        <v>1578 Beacon Street Unit 8</v>
      </c>
      <c r="C53" s="29" t="str">
        <f>'Nov 9-15'!C32</f>
        <v>Y</v>
      </c>
      <c r="D53" s="29">
        <f>'Nov 9-15'!D32</f>
        <v>11</v>
      </c>
      <c r="E53" s="17">
        <f>IFERROR('Nov 2-8'!D32/'Nov 2-8'!C32," ")</f>
        <v>0.125</v>
      </c>
      <c r="F53" s="17">
        <f>IFERROR('Nov 2-8'!E32/'Nov 2-8'!C32," ")</f>
        <v>4.1666666666666664E-2</v>
      </c>
      <c r="G53" s="17">
        <f>IFERROR('Nov 2-8'!E32/'Nov 2-8'!D32," ")</f>
        <v>0.33333333333333331</v>
      </c>
      <c r="H53" s="17">
        <f>IFERROR('Nov 2-8'!F32/'Nov 2-8'!C32," ")</f>
        <v>0</v>
      </c>
      <c r="I53" s="17">
        <f>IFERROR('Nov 2-8'!F32/'Nov 2-8'!E32," ")</f>
        <v>0</v>
      </c>
      <c r="J53" s="17" t="str">
        <f>IFERROR('Nov 2-8'!G32/'Nov 2-8'!F32," ")</f>
        <v xml:space="preserve"> </v>
      </c>
      <c r="K53" s="17">
        <f>IFERROR('Nov 2-8'!H32/'Nov 2-8'!C32," ")</f>
        <v>0</v>
      </c>
      <c r="L53" s="17" t="str">
        <f>IFERROR('Nov 2-8'!H32/'Nov 2-8'!G32," ")</f>
        <v xml:space="preserve"> </v>
      </c>
    </row>
    <row r="54" spans="1:12" ht="12.75">
      <c r="A54" s="1">
        <f t="shared" si="0"/>
        <v>52</v>
      </c>
      <c r="B54" s="1" t="str">
        <f>'Nov 2-8'!B91</f>
        <v>5 Condor Street Unit 3</v>
      </c>
      <c r="C54" s="29" t="str">
        <f>'Nov 9-15'!C91</f>
        <v>N</v>
      </c>
      <c r="D54" s="29">
        <f>'Nov 9-15'!D91</f>
        <v>0</v>
      </c>
      <c r="E54" s="17" t="str">
        <f>IFERROR('Nov 2-8'!D91/'Nov 2-8'!C91," ")</f>
        <v xml:space="preserve"> </v>
      </c>
      <c r="F54" s="17" t="str">
        <f>IFERROR('Nov 2-8'!E91/'Nov 2-8'!C91," ")</f>
        <v xml:space="preserve"> </v>
      </c>
      <c r="G54" s="17" t="str">
        <f>IFERROR('Nov 2-8'!E91/'Nov 2-8'!D91," ")</f>
        <v xml:space="preserve"> </v>
      </c>
      <c r="H54" s="17" t="str">
        <f>IFERROR('Nov 2-8'!F91/'Nov 2-8'!C91," ")</f>
        <v xml:space="preserve"> </v>
      </c>
      <c r="I54" s="17" t="str">
        <f>IFERROR('Nov 2-8'!F91/'Nov 2-8'!E91," ")</f>
        <v xml:space="preserve"> </v>
      </c>
      <c r="J54" s="17" t="str">
        <f>IFERROR('Nov 2-8'!G91/'Nov 2-8'!F91," ")</f>
        <v xml:space="preserve"> </v>
      </c>
      <c r="K54" s="17" t="str">
        <f>IFERROR('Nov 2-8'!H91/'Nov 2-8'!C91," ")</f>
        <v xml:space="preserve"> </v>
      </c>
      <c r="L54" s="17" t="str">
        <f>IFERROR('Nov 2-8'!H91/'Nov 2-8'!G91," ")</f>
        <v xml:space="preserve"> </v>
      </c>
    </row>
    <row r="55" spans="1:12" ht="12.75">
      <c r="A55" s="1">
        <f t="shared" si="0"/>
        <v>53</v>
      </c>
      <c r="B55" s="1" t="str">
        <f>'Nov 2-8'!B33</f>
        <v>158 Boston Street Unit 2</v>
      </c>
      <c r="C55" s="29" t="str">
        <f>'Nov 9-15'!C33</f>
        <v>Y</v>
      </c>
      <c r="D55" s="29">
        <f>'Nov 9-15'!D33</f>
        <v>137</v>
      </c>
      <c r="E55" s="17">
        <f>IFERROR('Nov 2-8'!D33/'Nov 2-8'!C33," ")</f>
        <v>0.29879518072289157</v>
      </c>
      <c r="F55" s="17">
        <f>IFERROR('Nov 2-8'!E33/'Nov 2-8'!C33," ")</f>
        <v>1.2048192771084338E-2</v>
      </c>
      <c r="G55" s="17">
        <f>IFERROR('Nov 2-8'!E33/'Nov 2-8'!D33," ")</f>
        <v>4.0322580645161289E-2</v>
      </c>
      <c r="H55" s="17">
        <f>IFERROR('Nov 2-8'!F33/'Nov 2-8'!C33," ")</f>
        <v>0</v>
      </c>
      <c r="I55" s="17">
        <f>IFERROR('Nov 2-8'!F33/'Nov 2-8'!E33," ")</f>
        <v>0</v>
      </c>
      <c r="J55" s="17" t="str">
        <f>IFERROR('Nov 2-8'!G33/'Nov 2-8'!F33," ")</f>
        <v xml:space="preserve"> </v>
      </c>
      <c r="K55" s="17">
        <f>IFERROR('Nov 2-8'!H33/'Nov 2-8'!C33," ")</f>
        <v>0</v>
      </c>
      <c r="L55" s="17" t="str">
        <f>IFERROR('Nov 2-8'!H33/'Nov 2-8'!G33," ")</f>
        <v xml:space="preserve"> </v>
      </c>
    </row>
    <row r="56" spans="1:12" ht="12.75">
      <c r="A56" s="1">
        <f t="shared" si="0"/>
        <v>54</v>
      </c>
      <c r="B56" s="1" t="str">
        <f>'Nov 2-8'!B34</f>
        <v>158 Magazine Street Unit 27</v>
      </c>
      <c r="C56" s="29" t="str">
        <f>'Nov 9-15'!C34</f>
        <v>Y</v>
      </c>
      <c r="D56" s="29">
        <f>'Nov 9-15'!D34</f>
        <v>12</v>
      </c>
      <c r="E56" s="17">
        <f>IFERROR('Nov 2-8'!D34/'Nov 2-8'!C34," ")</f>
        <v>0.44230769230769229</v>
      </c>
      <c r="F56" s="17">
        <f>IFERROR('Nov 2-8'!E34/'Nov 2-8'!C34," ")</f>
        <v>3.8461538461538464E-2</v>
      </c>
      <c r="G56" s="17">
        <f>IFERROR('Nov 2-8'!E34/'Nov 2-8'!D34," ")</f>
        <v>8.6956521739130432E-2</v>
      </c>
      <c r="H56" s="17">
        <f>IFERROR('Nov 2-8'!F34/'Nov 2-8'!C34," ")</f>
        <v>0</v>
      </c>
      <c r="I56" s="17">
        <f>IFERROR('Nov 2-8'!F34/'Nov 2-8'!E34," ")</f>
        <v>0</v>
      </c>
      <c r="J56" s="17" t="str">
        <f>IFERROR('Nov 2-8'!G34/'Nov 2-8'!F34," ")</f>
        <v xml:space="preserve"> </v>
      </c>
      <c r="K56" s="17">
        <f>IFERROR('Nov 2-8'!H34/'Nov 2-8'!C34," ")</f>
        <v>0</v>
      </c>
      <c r="L56" s="17" t="str">
        <f>IFERROR('Nov 2-8'!H34/'Nov 2-8'!G34," ")</f>
        <v xml:space="preserve"> </v>
      </c>
    </row>
    <row r="57" spans="1:12" ht="12.75">
      <c r="A57" s="1">
        <f t="shared" si="0"/>
        <v>55</v>
      </c>
      <c r="B57" s="1" t="str">
        <f>'Nov 2-8'!B35</f>
        <v>158 Magazine Street Unit 6</v>
      </c>
      <c r="C57" s="29" t="str">
        <f>'Nov 9-15'!C35</f>
        <v>Y</v>
      </c>
      <c r="D57" s="29">
        <f>'Nov 9-15'!D35</f>
        <v>13</v>
      </c>
      <c r="E57" s="17">
        <f>IFERROR('Nov 2-8'!D35/'Nov 2-8'!C35," ")</f>
        <v>0.25714285714285712</v>
      </c>
      <c r="F57" s="17">
        <f>IFERROR('Nov 2-8'!E35/'Nov 2-8'!C35," ")</f>
        <v>2.8571428571428571E-2</v>
      </c>
      <c r="G57" s="17">
        <f>IFERROR('Nov 2-8'!E35/'Nov 2-8'!D35," ")</f>
        <v>0.1111111111111111</v>
      </c>
      <c r="H57" s="17">
        <f>IFERROR('Nov 2-8'!F35/'Nov 2-8'!C35," ")</f>
        <v>0</v>
      </c>
      <c r="I57" s="17">
        <f>IFERROR('Nov 2-8'!F35/'Nov 2-8'!E35," ")</f>
        <v>0</v>
      </c>
      <c r="J57" s="17" t="str">
        <f>IFERROR('Nov 2-8'!G35/'Nov 2-8'!F35," ")</f>
        <v xml:space="preserve"> </v>
      </c>
      <c r="K57" s="17">
        <f>IFERROR('Nov 2-8'!H35/'Nov 2-8'!C35," ")</f>
        <v>0</v>
      </c>
      <c r="L57" s="17" t="str">
        <f>IFERROR('Nov 2-8'!H35/'Nov 2-8'!G35," ")</f>
        <v xml:space="preserve"> </v>
      </c>
    </row>
    <row r="58" spans="1:12" ht="12.75">
      <c r="A58" s="1">
        <f t="shared" si="0"/>
        <v>56</v>
      </c>
      <c r="B58" s="1" t="str">
        <f>'Nov 2-8'!B92</f>
        <v>5 Mark Street Unit 1</v>
      </c>
      <c r="C58" s="29" t="str">
        <f>'Nov 9-15'!C92</f>
        <v>Y</v>
      </c>
      <c r="D58" s="29">
        <f>'Nov 9-15'!D92</f>
        <v>6</v>
      </c>
      <c r="E58" s="17">
        <f>IFERROR('Nov 2-8'!D92/'Nov 2-8'!C92," ")</f>
        <v>0.21428571428571427</v>
      </c>
      <c r="F58" s="17">
        <f>IFERROR('Nov 2-8'!E92/'Nov 2-8'!C92," ")</f>
        <v>0</v>
      </c>
      <c r="G58" s="17">
        <f>IFERROR('Nov 2-8'!E92/'Nov 2-8'!D92," ")</f>
        <v>0</v>
      </c>
      <c r="H58" s="17">
        <f>IFERROR('Nov 2-8'!F92/'Nov 2-8'!C92," ")</f>
        <v>0</v>
      </c>
      <c r="I58" s="17" t="str">
        <f>IFERROR('Nov 2-8'!F92/'Nov 2-8'!E92," ")</f>
        <v xml:space="preserve"> </v>
      </c>
      <c r="J58" s="17" t="str">
        <f>IFERROR('Nov 2-8'!G92/'Nov 2-8'!F92," ")</f>
        <v xml:space="preserve"> </v>
      </c>
      <c r="K58" s="17">
        <f>IFERROR('Nov 2-8'!H92/'Nov 2-8'!C92," ")</f>
        <v>0</v>
      </c>
      <c r="L58" s="17" t="str">
        <f>IFERROR('Nov 2-8'!H92/'Nov 2-8'!G92," ")</f>
        <v xml:space="preserve"> </v>
      </c>
    </row>
    <row r="59" spans="1:12" ht="12.75">
      <c r="A59" s="1">
        <f t="shared" si="0"/>
        <v>57</v>
      </c>
      <c r="B59" s="1" t="str">
        <f>'Nov 2-8'!B93</f>
        <v>5 Mark Street Unit 2</v>
      </c>
      <c r="C59" s="29" t="str">
        <f>'Nov 9-15'!C93</f>
        <v>Y</v>
      </c>
      <c r="D59" s="29">
        <f>'Nov 9-15'!D93</f>
        <v>69</v>
      </c>
      <c r="E59" s="17">
        <f>IFERROR('Nov 2-8'!D93/'Nov 2-8'!C93," ")</f>
        <v>0.31578947368421051</v>
      </c>
      <c r="F59" s="17">
        <f>IFERROR('Nov 2-8'!E93/'Nov 2-8'!C93," ")</f>
        <v>1.238390092879257E-2</v>
      </c>
      <c r="G59" s="17">
        <f>IFERROR('Nov 2-8'!E93/'Nov 2-8'!D93," ")</f>
        <v>3.9215686274509803E-2</v>
      </c>
      <c r="H59" s="17">
        <f>IFERROR('Nov 2-8'!F93/'Nov 2-8'!C93," ")</f>
        <v>3.0959752321981426E-3</v>
      </c>
      <c r="I59" s="17">
        <f>IFERROR('Nov 2-8'!F93/'Nov 2-8'!E93," ")</f>
        <v>0.25</v>
      </c>
      <c r="J59" s="17">
        <f>IFERROR('Nov 2-8'!G93/'Nov 2-8'!F93," ")</f>
        <v>0</v>
      </c>
      <c r="K59" s="17">
        <f>IFERROR('Nov 2-8'!H93/'Nov 2-8'!C93," ")</f>
        <v>0</v>
      </c>
      <c r="L59" s="17" t="str">
        <f>IFERROR('Nov 2-8'!H93/'Nov 2-8'!G93," ")</f>
        <v xml:space="preserve"> </v>
      </c>
    </row>
    <row r="60" spans="1:12" ht="12.75">
      <c r="A60" s="1">
        <f t="shared" si="0"/>
        <v>58</v>
      </c>
      <c r="B60" s="1" t="str">
        <f>'Nov 2-8'!B36</f>
        <v>158 Magazine Street Unit 7</v>
      </c>
      <c r="C60" s="29" t="str">
        <f>'Nov 9-15'!C36</f>
        <v>Y</v>
      </c>
      <c r="D60" s="29">
        <f>'Nov 9-15'!D36</f>
        <v>19</v>
      </c>
      <c r="E60" s="17">
        <f>IFERROR('Nov 2-8'!D36/'Nov 2-8'!C36," ")</f>
        <v>0.23943661971830985</v>
      </c>
      <c r="F60" s="17">
        <f>IFERROR('Nov 2-8'!E36/'Nov 2-8'!C36," ")</f>
        <v>2.8169014084507043E-2</v>
      </c>
      <c r="G60" s="17">
        <f>IFERROR('Nov 2-8'!E36/'Nov 2-8'!D36," ")</f>
        <v>0.11764705882352941</v>
      </c>
      <c r="H60" s="17">
        <f>IFERROR('Nov 2-8'!F36/'Nov 2-8'!C36," ")</f>
        <v>0</v>
      </c>
      <c r="I60" s="17">
        <f>IFERROR('Nov 2-8'!F36/'Nov 2-8'!E36," ")</f>
        <v>0</v>
      </c>
      <c r="J60" s="17" t="str">
        <f>IFERROR('Nov 2-8'!G36/'Nov 2-8'!F36," ")</f>
        <v xml:space="preserve"> </v>
      </c>
      <c r="K60" s="17">
        <f>IFERROR('Nov 2-8'!H36/'Nov 2-8'!C36," ")</f>
        <v>0</v>
      </c>
      <c r="L60" s="17" t="str">
        <f>IFERROR('Nov 2-8'!H36/'Nov 2-8'!G36," ")</f>
        <v xml:space="preserve"> </v>
      </c>
    </row>
    <row r="61" spans="1:12" ht="12.75">
      <c r="A61" s="1">
        <f t="shared" si="0"/>
        <v>59</v>
      </c>
      <c r="B61" s="1" t="str">
        <f>'Nov 2-8'!B37</f>
        <v>16A Forest Street Unit 33</v>
      </c>
      <c r="C61" s="29" t="str">
        <f>'Nov 9-15'!C37</f>
        <v>Y</v>
      </c>
      <c r="D61" s="29">
        <f>'Nov 9-15'!D37</f>
        <v>20</v>
      </c>
      <c r="E61" s="17">
        <f>IFERROR('Nov 2-8'!D37/'Nov 2-8'!C37," ")</f>
        <v>0.4935064935064935</v>
      </c>
      <c r="F61" s="17">
        <f>IFERROR('Nov 2-8'!E37/'Nov 2-8'!C37," ")</f>
        <v>0</v>
      </c>
      <c r="G61" s="17">
        <f>IFERROR('Nov 2-8'!E37/'Nov 2-8'!D37," ")</f>
        <v>0</v>
      </c>
      <c r="H61" s="17">
        <f>IFERROR('Nov 2-8'!F37/'Nov 2-8'!C37," ")</f>
        <v>0</v>
      </c>
      <c r="I61" s="17" t="str">
        <f>IFERROR('Nov 2-8'!F37/'Nov 2-8'!E37," ")</f>
        <v xml:space="preserve"> </v>
      </c>
      <c r="J61" s="17" t="str">
        <f>IFERROR('Nov 2-8'!G37/'Nov 2-8'!F37," ")</f>
        <v xml:space="preserve"> </v>
      </c>
      <c r="K61" s="17">
        <f>IFERROR('Nov 2-8'!H37/'Nov 2-8'!C37," ")</f>
        <v>0</v>
      </c>
      <c r="L61" s="17" t="str">
        <f>IFERROR('Nov 2-8'!H37/'Nov 2-8'!G37," ")</f>
        <v xml:space="preserve"> </v>
      </c>
    </row>
    <row r="62" spans="1:12" ht="12.75">
      <c r="A62" s="1">
        <f t="shared" si="0"/>
        <v>60</v>
      </c>
      <c r="B62" s="1" t="str">
        <f>'Nov 2-8'!B38</f>
        <v>17 Kenneson Road Unit 1</v>
      </c>
      <c r="C62" s="29" t="str">
        <f>'Nov 9-15'!C38</f>
        <v>N</v>
      </c>
      <c r="D62" s="29">
        <f>'Nov 9-15'!D38</f>
        <v>0</v>
      </c>
      <c r="E62" s="17">
        <f>IFERROR('Nov 2-8'!D38/'Nov 2-8'!C38," ")</f>
        <v>0.5</v>
      </c>
      <c r="F62" s="17">
        <f>IFERROR('Nov 2-8'!E38/'Nov 2-8'!C38," ")</f>
        <v>0</v>
      </c>
      <c r="G62" s="17">
        <f>IFERROR('Nov 2-8'!E38/'Nov 2-8'!D38," ")</f>
        <v>0</v>
      </c>
      <c r="H62" s="17">
        <f>IFERROR('Nov 2-8'!F38/'Nov 2-8'!C38," ")</f>
        <v>0</v>
      </c>
      <c r="I62" s="17" t="str">
        <f>IFERROR('Nov 2-8'!F38/'Nov 2-8'!E38," ")</f>
        <v xml:space="preserve"> </v>
      </c>
      <c r="J62" s="17" t="str">
        <f>IFERROR('Nov 2-8'!G38/'Nov 2-8'!F38," ")</f>
        <v xml:space="preserve"> </v>
      </c>
      <c r="K62" s="17">
        <f>IFERROR('Nov 2-8'!H38/'Nov 2-8'!C38," ")</f>
        <v>0</v>
      </c>
      <c r="L62" s="17" t="str">
        <f>IFERROR('Nov 2-8'!H38/'Nov 2-8'!G38," ")</f>
        <v xml:space="preserve"> </v>
      </c>
    </row>
    <row r="63" spans="1:12" ht="12.75">
      <c r="A63" s="1">
        <f t="shared" si="0"/>
        <v>61</v>
      </c>
      <c r="B63" s="1" t="str">
        <f>'Nov 2-8'!B39</f>
        <v>174 W 8th Street Unit 2</v>
      </c>
      <c r="C63" s="29" t="str">
        <f>'Nov 9-15'!C39</f>
        <v>N</v>
      </c>
      <c r="D63" s="29">
        <f>'Nov 9-15'!D39</f>
        <v>0</v>
      </c>
      <c r="E63" s="17" t="str">
        <f>IFERROR('Nov 2-8'!D39/'Nov 2-8'!C39," ")</f>
        <v xml:space="preserve"> </v>
      </c>
      <c r="F63" s="17" t="str">
        <f>IFERROR('Nov 2-8'!E39/'Nov 2-8'!C39," ")</f>
        <v xml:space="preserve"> </v>
      </c>
      <c r="G63" s="17" t="str">
        <f>IFERROR('Nov 2-8'!E39/'Nov 2-8'!D39," ")</f>
        <v xml:space="preserve"> </v>
      </c>
      <c r="H63" s="17" t="str">
        <f>IFERROR('Nov 2-8'!F39/'Nov 2-8'!C39," ")</f>
        <v xml:space="preserve"> </v>
      </c>
      <c r="I63" s="17" t="str">
        <f>IFERROR('Nov 2-8'!F39/'Nov 2-8'!E39," ")</f>
        <v xml:space="preserve"> </v>
      </c>
      <c r="J63" s="17" t="str">
        <f>IFERROR('Nov 2-8'!G39/'Nov 2-8'!F39," ")</f>
        <v xml:space="preserve"> </v>
      </c>
      <c r="K63" s="17" t="str">
        <f>IFERROR('Nov 2-8'!H39/'Nov 2-8'!C39," ")</f>
        <v xml:space="preserve"> </v>
      </c>
      <c r="L63" s="17" t="str">
        <f>IFERROR('Nov 2-8'!H39/'Nov 2-8'!G39," ")</f>
        <v xml:space="preserve"> </v>
      </c>
    </row>
    <row r="64" spans="1:12" ht="12.75">
      <c r="A64" s="1">
        <f t="shared" si="0"/>
        <v>62</v>
      </c>
      <c r="B64" s="1" t="str">
        <f>'Nov 2-8'!B40</f>
        <v>179 Massachusetts Avenue Unit 2</v>
      </c>
      <c r="C64" s="29" t="str">
        <f>'Nov 9-15'!C40</f>
        <v>Y</v>
      </c>
      <c r="D64" s="29">
        <f>'Nov 9-15'!D40</f>
        <v>29</v>
      </c>
      <c r="E64" s="17">
        <f>IFERROR('Nov 2-8'!D40/'Nov 2-8'!C40," ")</f>
        <v>0.1728395061728395</v>
      </c>
      <c r="F64" s="17">
        <f>IFERROR('Nov 2-8'!E40/'Nov 2-8'!C40," ")</f>
        <v>0</v>
      </c>
      <c r="G64" s="17">
        <f>IFERROR('Nov 2-8'!E40/'Nov 2-8'!D40," ")</f>
        <v>0</v>
      </c>
      <c r="H64" s="17">
        <f>IFERROR('Nov 2-8'!F40/'Nov 2-8'!C40," ")</f>
        <v>0</v>
      </c>
      <c r="I64" s="17" t="str">
        <f>IFERROR('Nov 2-8'!F40/'Nov 2-8'!E40," ")</f>
        <v xml:space="preserve"> </v>
      </c>
      <c r="J64" s="17" t="str">
        <f>IFERROR('Nov 2-8'!G40/'Nov 2-8'!F40," ")</f>
        <v xml:space="preserve"> </v>
      </c>
      <c r="K64" s="17">
        <f>IFERROR('Nov 2-8'!H40/'Nov 2-8'!C40," ")</f>
        <v>0</v>
      </c>
      <c r="L64" s="17" t="str">
        <f>IFERROR('Nov 2-8'!H40/'Nov 2-8'!G40," ")</f>
        <v xml:space="preserve"> </v>
      </c>
    </row>
    <row r="65" spans="1:12" ht="12.75">
      <c r="A65" s="1">
        <f t="shared" si="0"/>
        <v>63</v>
      </c>
      <c r="B65" s="1" t="str">
        <f>'Nov 2-8'!B94</f>
        <v>51 Clifton Street Unit 2</v>
      </c>
      <c r="C65" s="29" t="str">
        <f>'Nov 9-15'!C94</f>
        <v>Y</v>
      </c>
      <c r="D65" s="29">
        <f>'Nov 9-15'!D94</f>
        <v>134</v>
      </c>
      <c r="E65" s="17">
        <f>IFERROR('Nov 2-8'!D94/'Nov 2-8'!C94," ")</f>
        <v>0.34982332155477031</v>
      </c>
      <c r="F65" s="17">
        <f>IFERROR('Nov 2-8'!E94/'Nov 2-8'!C94," ")</f>
        <v>1.7667844522968199E-2</v>
      </c>
      <c r="G65" s="17">
        <f>IFERROR('Nov 2-8'!E94/'Nov 2-8'!D94," ")</f>
        <v>5.0505050505050504E-2</v>
      </c>
      <c r="H65" s="17">
        <f>IFERROR('Nov 2-8'!F94/'Nov 2-8'!C94," ")</f>
        <v>0</v>
      </c>
      <c r="I65" s="17">
        <f>IFERROR('Nov 2-8'!F94/'Nov 2-8'!E94," ")</f>
        <v>0</v>
      </c>
      <c r="J65" s="17" t="str">
        <f>IFERROR('Nov 2-8'!G94/'Nov 2-8'!F94," ")</f>
        <v xml:space="preserve"> </v>
      </c>
      <c r="K65" s="17">
        <f>IFERROR('Nov 2-8'!H94/'Nov 2-8'!C94," ")</f>
        <v>0</v>
      </c>
      <c r="L65" s="17" t="str">
        <f>IFERROR('Nov 2-8'!H94/'Nov 2-8'!G94," ")</f>
        <v xml:space="preserve"> </v>
      </c>
    </row>
    <row r="66" spans="1:12" ht="12.75">
      <c r="A66" s="1">
        <f t="shared" si="0"/>
        <v>64</v>
      </c>
      <c r="B66" s="1" t="str">
        <f>'Nov 2-8'!B95</f>
        <v>6 7th Street</v>
      </c>
      <c r="C66" s="29" t="str">
        <f>'Nov 9-15'!C95</f>
        <v>N</v>
      </c>
      <c r="D66" s="29">
        <f>'Nov 9-15'!D95</f>
        <v>0</v>
      </c>
      <c r="E66" s="17">
        <f>IFERROR('Nov 2-8'!D95/'Nov 2-8'!C95," ")</f>
        <v>0.66666666666666663</v>
      </c>
      <c r="F66" s="17">
        <f>IFERROR('Nov 2-8'!E95/'Nov 2-8'!C95," ")</f>
        <v>0</v>
      </c>
      <c r="G66" s="17">
        <f>IFERROR('Nov 2-8'!E95/'Nov 2-8'!D95," ")</f>
        <v>0</v>
      </c>
      <c r="H66" s="17">
        <f>IFERROR('Nov 2-8'!F95/'Nov 2-8'!C95," ")</f>
        <v>0</v>
      </c>
      <c r="I66" s="17" t="str">
        <f>IFERROR('Nov 2-8'!F95/'Nov 2-8'!E95," ")</f>
        <v xml:space="preserve"> </v>
      </c>
      <c r="J66" s="17" t="str">
        <f>IFERROR('Nov 2-8'!G95/'Nov 2-8'!F95," ")</f>
        <v xml:space="preserve"> </v>
      </c>
      <c r="K66" s="17">
        <f>IFERROR('Nov 2-8'!H95/'Nov 2-8'!C95," ")</f>
        <v>0</v>
      </c>
      <c r="L66" s="17" t="str">
        <f>IFERROR('Nov 2-8'!H95/'Nov 2-8'!G95," ")</f>
        <v xml:space="preserve"> </v>
      </c>
    </row>
    <row r="67" spans="1:12" ht="12.75">
      <c r="A67" s="1">
        <f t="shared" si="0"/>
        <v>65</v>
      </c>
      <c r="B67" s="1" t="str">
        <f>'Nov 2-8'!B41</f>
        <v>179 Massachusetts Avenue Unit 3</v>
      </c>
      <c r="C67" s="29" t="str">
        <f>'Nov 9-15'!C41</f>
        <v>N</v>
      </c>
      <c r="D67" s="29">
        <f>'Nov 9-15'!D41</f>
        <v>6</v>
      </c>
      <c r="E67" s="17">
        <f>IFERROR('Nov 2-8'!D41/'Nov 2-8'!C41," ")</f>
        <v>0.44354838709677419</v>
      </c>
      <c r="F67" s="17">
        <f>IFERROR('Nov 2-8'!E41/'Nov 2-8'!C41," ")</f>
        <v>1.6129032258064516E-2</v>
      </c>
      <c r="G67" s="17">
        <f>IFERROR('Nov 2-8'!E41/'Nov 2-8'!D41," ")</f>
        <v>3.6363636363636362E-2</v>
      </c>
      <c r="H67" s="17">
        <f>IFERROR('Nov 2-8'!F41/'Nov 2-8'!C41," ")</f>
        <v>8.0645161290322578E-3</v>
      </c>
      <c r="I67" s="17">
        <f>IFERROR('Nov 2-8'!F41/'Nov 2-8'!E41," ")</f>
        <v>0.5</v>
      </c>
      <c r="J67" s="17">
        <f>IFERROR('Nov 2-8'!G41/'Nov 2-8'!F41," ")</f>
        <v>0</v>
      </c>
      <c r="K67" s="17">
        <f>IFERROR('Nov 2-8'!H41/'Nov 2-8'!C41," ")</f>
        <v>8.0645161290322578E-3</v>
      </c>
      <c r="L67" s="17" t="str">
        <f>IFERROR('Nov 2-8'!H41/'Nov 2-8'!G41," ")</f>
        <v xml:space="preserve"> </v>
      </c>
    </row>
    <row r="68" spans="1:12" ht="12.75">
      <c r="A68" s="1">
        <f t="shared" si="0"/>
        <v>66</v>
      </c>
      <c r="B68" s="1" t="str">
        <f>'Nov 2-8'!B42</f>
        <v>18 Mount Hood Road Unit 1</v>
      </c>
      <c r="C68" s="29" t="str">
        <f>'Nov 9-15'!C42</f>
        <v>Y</v>
      </c>
      <c r="D68" s="29">
        <f>'Nov 9-15'!D42</f>
        <v>2</v>
      </c>
      <c r="E68" s="17">
        <f>IFERROR('Nov 2-8'!D42/'Nov 2-8'!C42," ")</f>
        <v>0</v>
      </c>
      <c r="F68" s="17">
        <f>IFERROR('Nov 2-8'!E42/'Nov 2-8'!C42," ")</f>
        <v>0</v>
      </c>
      <c r="G68" s="17" t="str">
        <f>IFERROR('Nov 2-8'!E42/'Nov 2-8'!D42," ")</f>
        <v xml:space="preserve"> </v>
      </c>
      <c r="H68" s="17">
        <f>IFERROR('Nov 2-8'!F42/'Nov 2-8'!C42," ")</f>
        <v>0</v>
      </c>
      <c r="I68" s="17" t="str">
        <f>IFERROR('Nov 2-8'!F42/'Nov 2-8'!E42," ")</f>
        <v xml:space="preserve"> </v>
      </c>
      <c r="J68" s="17" t="str">
        <f>IFERROR('Nov 2-8'!G42/'Nov 2-8'!F42," ")</f>
        <v xml:space="preserve"> </v>
      </c>
      <c r="K68" s="17">
        <f>IFERROR('Nov 2-8'!H42/'Nov 2-8'!C42," ")</f>
        <v>0</v>
      </c>
      <c r="L68" s="17" t="str">
        <f>IFERROR('Nov 2-8'!H42/'Nov 2-8'!G42," ")</f>
        <v xml:space="preserve"> </v>
      </c>
    </row>
    <row r="69" spans="1:12" ht="12.75">
      <c r="A69" s="1">
        <f t="shared" si="0"/>
        <v>67</v>
      </c>
      <c r="B69" s="1" t="str">
        <f>'Nov 2-8'!B43</f>
        <v>18 Mount Hood Road Unit 2</v>
      </c>
      <c r="C69" s="29" t="str">
        <f>'Nov 9-15'!C43</f>
        <v>N</v>
      </c>
      <c r="D69" s="29">
        <f>'Nov 9-15'!D43</f>
        <v>7</v>
      </c>
      <c r="E69" s="17">
        <f>IFERROR('Nov 2-8'!D43/'Nov 2-8'!C43," ")</f>
        <v>0.34482758620689657</v>
      </c>
      <c r="F69" s="17">
        <f>IFERROR('Nov 2-8'!E43/'Nov 2-8'!C43," ")</f>
        <v>0</v>
      </c>
      <c r="G69" s="17">
        <f>IFERROR('Nov 2-8'!E43/'Nov 2-8'!D43," ")</f>
        <v>0</v>
      </c>
      <c r="H69" s="17">
        <f>IFERROR('Nov 2-8'!F43/'Nov 2-8'!C43," ")</f>
        <v>0</v>
      </c>
      <c r="I69" s="17" t="str">
        <f>IFERROR('Nov 2-8'!F43/'Nov 2-8'!E43," ")</f>
        <v xml:space="preserve"> </v>
      </c>
      <c r="J69" s="17" t="str">
        <f>IFERROR('Nov 2-8'!G43/'Nov 2-8'!F43," ")</f>
        <v xml:space="preserve"> </v>
      </c>
      <c r="K69" s="17">
        <f>IFERROR('Nov 2-8'!H43/'Nov 2-8'!C43," ")</f>
        <v>0</v>
      </c>
      <c r="L69" s="17" t="str">
        <f>IFERROR('Nov 2-8'!H43/'Nov 2-8'!G43," ")</f>
        <v xml:space="preserve"> </v>
      </c>
    </row>
    <row r="70" spans="1:12" ht="12.75">
      <c r="A70" s="1">
        <f t="shared" si="0"/>
        <v>68</v>
      </c>
      <c r="B70" s="1" t="str">
        <f>'Nov 2-8'!B96</f>
        <v>64 Sudan Street Unit 3</v>
      </c>
      <c r="C70" s="29" t="str">
        <f>'Nov 9-15'!C96</f>
        <v>N</v>
      </c>
      <c r="D70" s="29">
        <f>'Nov 9-15'!D96</f>
        <v>0</v>
      </c>
      <c r="E70" s="17" t="str">
        <f>IFERROR('Nov 2-8'!D96/'Nov 2-8'!C96," ")</f>
        <v xml:space="preserve"> </v>
      </c>
      <c r="F70" s="17" t="str">
        <f>IFERROR('Nov 2-8'!E96/'Nov 2-8'!C96," ")</f>
        <v xml:space="preserve"> </v>
      </c>
      <c r="G70" s="17" t="str">
        <f>IFERROR('Nov 2-8'!E96/'Nov 2-8'!D96," ")</f>
        <v xml:space="preserve"> </v>
      </c>
      <c r="H70" s="17" t="str">
        <f>IFERROR('Nov 2-8'!F96/'Nov 2-8'!C96," ")</f>
        <v xml:space="preserve"> </v>
      </c>
      <c r="I70" s="17" t="str">
        <f>IFERROR('Nov 2-8'!F96/'Nov 2-8'!E96," ")</f>
        <v xml:space="preserve"> </v>
      </c>
      <c r="J70" s="17" t="str">
        <f>IFERROR('Nov 2-8'!G96/'Nov 2-8'!F96," ")</f>
        <v xml:space="preserve"> </v>
      </c>
      <c r="K70" s="17" t="str">
        <f>IFERROR('Nov 2-8'!H96/'Nov 2-8'!C96," ")</f>
        <v xml:space="preserve"> </v>
      </c>
      <c r="L70" s="17" t="str">
        <f>IFERROR('Nov 2-8'!H96/'Nov 2-8'!G96," ")</f>
        <v xml:space="preserve"> </v>
      </c>
    </row>
    <row r="71" spans="1:12" ht="12.75">
      <c r="A71" s="1">
        <f t="shared" si="0"/>
        <v>69</v>
      </c>
      <c r="B71" s="1" t="str">
        <f>'Nov 2-8'!B44</f>
        <v>19 Mercer Street Unit 1</v>
      </c>
      <c r="C71" s="29" t="str">
        <f>'Nov 9-15'!C44</f>
        <v>Y</v>
      </c>
      <c r="D71" s="29">
        <f>'Nov 9-15'!D44</f>
        <v>17</v>
      </c>
      <c r="E71" s="17">
        <f>IFERROR('Nov 2-8'!D44/'Nov 2-8'!C44," ")</f>
        <v>0.73333333333333328</v>
      </c>
      <c r="F71" s="17">
        <f>IFERROR('Nov 2-8'!E44/'Nov 2-8'!C44," ")</f>
        <v>0</v>
      </c>
      <c r="G71" s="17">
        <f>IFERROR('Nov 2-8'!E44/'Nov 2-8'!D44," ")</f>
        <v>0</v>
      </c>
      <c r="H71" s="17">
        <f>IFERROR('Nov 2-8'!F44/'Nov 2-8'!C44," ")</f>
        <v>0</v>
      </c>
      <c r="I71" s="17" t="str">
        <f>IFERROR('Nov 2-8'!F44/'Nov 2-8'!E44," ")</f>
        <v xml:space="preserve"> </v>
      </c>
      <c r="J71" s="17" t="str">
        <f>IFERROR('Nov 2-8'!G44/'Nov 2-8'!F44," ")</f>
        <v xml:space="preserve"> </v>
      </c>
      <c r="K71" s="17">
        <f>IFERROR('Nov 2-8'!H44/'Nov 2-8'!C44," ")</f>
        <v>0</v>
      </c>
      <c r="L71" s="17" t="str">
        <f>IFERROR('Nov 2-8'!H44/'Nov 2-8'!G44," ")</f>
        <v xml:space="preserve"> </v>
      </c>
    </row>
    <row r="72" spans="1:12" ht="12.75">
      <c r="A72" s="1">
        <f t="shared" si="0"/>
        <v>70</v>
      </c>
      <c r="B72" s="1" t="str">
        <f>'Nov 2-8'!B46</f>
        <v>192 Alleghany Street Unit 2</v>
      </c>
      <c r="C72" s="29" t="str">
        <f>'Nov 9-15'!C46</f>
        <v>N</v>
      </c>
      <c r="D72" s="29">
        <f>'Nov 9-15'!D46</f>
        <v>0</v>
      </c>
      <c r="E72" s="17">
        <f>IFERROR('Nov 2-8'!D46/'Nov 2-8'!C46," ")</f>
        <v>1</v>
      </c>
      <c r="F72" s="17">
        <f>IFERROR('Nov 2-8'!E46/'Nov 2-8'!C46," ")</f>
        <v>0</v>
      </c>
      <c r="G72" s="17">
        <f>IFERROR('Nov 2-8'!E46/'Nov 2-8'!D46," ")</f>
        <v>0</v>
      </c>
      <c r="H72" s="17">
        <f>IFERROR('Nov 2-8'!F46/'Nov 2-8'!C46," ")</f>
        <v>0</v>
      </c>
      <c r="I72" s="17" t="str">
        <f>IFERROR('Nov 2-8'!F46/'Nov 2-8'!E46," ")</f>
        <v xml:space="preserve"> </v>
      </c>
      <c r="J72" s="17" t="str">
        <f>IFERROR('Nov 2-8'!G46/'Nov 2-8'!F46," ")</f>
        <v xml:space="preserve"> </v>
      </c>
      <c r="K72" s="17">
        <f>IFERROR('Nov 2-8'!H46/'Nov 2-8'!C46," ")</f>
        <v>0</v>
      </c>
      <c r="L72" s="17" t="str">
        <f>IFERROR('Nov 2-8'!H46/'Nov 2-8'!G46," ")</f>
        <v xml:space="preserve"> </v>
      </c>
    </row>
    <row r="73" spans="1:12" ht="12.75">
      <c r="A73" s="1">
        <f t="shared" si="0"/>
        <v>71</v>
      </c>
      <c r="B73" s="1" t="str">
        <f>'Nov 2-8'!B45</f>
        <v>19 Wallingford Road Unit 1</v>
      </c>
      <c r="C73" s="29" t="str">
        <f>'Nov 9-15'!C45</f>
        <v>Y</v>
      </c>
      <c r="D73" s="29">
        <f>'Nov 9-15'!D45</f>
        <v>27</v>
      </c>
      <c r="E73" s="17">
        <f>IFERROR('Nov 2-8'!D45/'Nov 2-8'!C45," ")</f>
        <v>0.13513513513513514</v>
      </c>
      <c r="F73" s="17">
        <f>IFERROR('Nov 2-8'!E45/'Nov 2-8'!C45," ")</f>
        <v>0</v>
      </c>
      <c r="G73" s="17">
        <f>IFERROR('Nov 2-8'!E45/'Nov 2-8'!D45," ")</f>
        <v>0</v>
      </c>
      <c r="H73" s="17">
        <f>IFERROR('Nov 2-8'!F45/'Nov 2-8'!C45," ")</f>
        <v>0</v>
      </c>
      <c r="I73" s="17" t="str">
        <f>IFERROR('Nov 2-8'!F45/'Nov 2-8'!E45," ")</f>
        <v xml:space="preserve"> </v>
      </c>
      <c r="J73" s="17" t="str">
        <f>IFERROR('Nov 2-8'!G45/'Nov 2-8'!F45," ")</f>
        <v xml:space="preserve"> </v>
      </c>
      <c r="K73" s="17">
        <f>IFERROR('Nov 2-8'!H45/'Nov 2-8'!C45," ")</f>
        <v>0</v>
      </c>
      <c r="L73" s="17" t="str">
        <f>IFERROR('Nov 2-8'!H45/'Nov 2-8'!G45," ")</f>
        <v xml:space="preserve"> </v>
      </c>
    </row>
    <row r="74" spans="1:12" ht="12.75">
      <c r="A74" s="1">
        <f t="shared" si="0"/>
        <v>72</v>
      </c>
      <c r="B74" s="1" t="str">
        <f>'Nov 2-8'!B97</f>
        <v>7 Grant Street Unit 2</v>
      </c>
      <c r="C74" s="29" t="str">
        <f>'Nov 9-15'!C97</f>
        <v>Y</v>
      </c>
      <c r="D74" s="29">
        <f>'Nov 9-15'!D97</f>
        <v>9</v>
      </c>
      <c r="E74" s="17">
        <f>IFERROR('Nov 2-8'!D97/'Nov 2-8'!C97," ")</f>
        <v>1</v>
      </c>
      <c r="F74" s="17">
        <f>IFERROR('Nov 2-8'!E97/'Nov 2-8'!C97," ")</f>
        <v>0</v>
      </c>
      <c r="G74" s="17">
        <f>IFERROR('Nov 2-8'!E97/'Nov 2-8'!D97," ")</f>
        <v>0</v>
      </c>
      <c r="H74" s="17">
        <f>IFERROR('Nov 2-8'!F97/'Nov 2-8'!C97," ")</f>
        <v>0</v>
      </c>
      <c r="I74" s="17" t="str">
        <f>IFERROR('Nov 2-8'!F97/'Nov 2-8'!E97," ")</f>
        <v xml:space="preserve"> </v>
      </c>
      <c r="J74" s="17" t="str">
        <f>IFERROR('Nov 2-8'!G97/'Nov 2-8'!F97," ")</f>
        <v xml:space="preserve"> </v>
      </c>
      <c r="K74" s="17">
        <f>IFERROR('Nov 2-8'!H97/'Nov 2-8'!C97," ")</f>
        <v>0</v>
      </c>
      <c r="L74" s="17" t="str">
        <f>IFERROR('Nov 2-8'!H97/'Nov 2-8'!G97," ")</f>
        <v xml:space="preserve"> </v>
      </c>
    </row>
    <row r="75" spans="1:12" ht="12.75">
      <c r="A75" s="1">
        <f t="shared" si="0"/>
        <v>73</v>
      </c>
      <c r="B75" s="1" t="str">
        <f>'Nov 2-8'!B47</f>
        <v>192 Third Street Unit 1</v>
      </c>
      <c r="C75" s="29" t="str">
        <f>'Nov 9-15'!C47</f>
        <v>N</v>
      </c>
      <c r="D75" s="29">
        <f>'Nov 9-15'!D47</f>
        <v>11</v>
      </c>
      <c r="E75" s="17">
        <f>IFERROR('Nov 2-8'!D47/'Nov 2-8'!C47," ")</f>
        <v>0</v>
      </c>
      <c r="F75" s="17">
        <f>IFERROR('Nov 2-8'!E47/'Nov 2-8'!C47," ")</f>
        <v>0</v>
      </c>
      <c r="G75" s="17" t="str">
        <f>IFERROR('Nov 2-8'!E47/'Nov 2-8'!D47," ")</f>
        <v xml:space="preserve"> </v>
      </c>
      <c r="H75" s="17">
        <f>IFERROR('Nov 2-8'!F47/'Nov 2-8'!C47," ")</f>
        <v>0</v>
      </c>
      <c r="I75" s="17" t="str">
        <f>IFERROR('Nov 2-8'!F47/'Nov 2-8'!E47," ")</f>
        <v xml:space="preserve"> </v>
      </c>
      <c r="J75" s="17" t="str">
        <f>IFERROR('Nov 2-8'!G47/'Nov 2-8'!F47," ")</f>
        <v xml:space="preserve"> </v>
      </c>
      <c r="K75" s="17">
        <f>IFERROR('Nov 2-8'!H47/'Nov 2-8'!C47," ")</f>
        <v>0</v>
      </c>
      <c r="L75" s="17" t="str">
        <f>IFERROR('Nov 2-8'!H47/'Nov 2-8'!G47," ")</f>
        <v xml:space="preserve"> </v>
      </c>
    </row>
    <row r="76" spans="1:12" ht="12.75">
      <c r="A76" s="1">
        <f t="shared" si="0"/>
        <v>74</v>
      </c>
      <c r="B76" s="1" t="str">
        <f>'Nov 2-8'!B98</f>
        <v>76 King Street Unit 2</v>
      </c>
      <c r="C76" s="29" t="str">
        <f>'Nov 9-15'!C98</f>
        <v>N</v>
      </c>
      <c r="D76" s="29">
        <f>'Nov 9-15'!D98</f>
        <v>0</v>
      </c>
      <c r="E76" s="17" t="str">
        <f>IFERROR('Nov 2-8'!D98/'Nov 2-8'!C98," ")</f>
        <v xml:space="preserve"> </v>
      </c>
      <c r="F76" s="17" t="str">
        <f>IFERROR('Nov 2-8'!E98/'Nov 2-8'!C98," ")</f>
        <v xml:space="preserve"> </v>
      </c>
      <c r="G76" s="17" t="str">
        <f>IFERROR('Nov 2-8'!E98/'Nov 2-8'!D98," ")</f>
        <v xml:space="preserve"> </v>
      </c>
      <c r="H76" s="17" t="str">
        <f>IFERROR('Nov 2-8'!F98/'Nov 2-8'!C98," ")</f>
        <v xml:space="preserve"> </v>
      </c>
      <c r="I76" s="17" t="str">
        <f>IFERROR('Nov 2-8'!F98/'Nov 2-8'!E98," ")</f>
        <v xml:space="preserve"> </v>
      </c>
      <c r="J76" s="17" t="str">
        <f>IFERROR('Nov 2-8'!G98/'Nov 2-8'!F98," ")</f>
        <v xml:space="preserve"> </v>
      </c>
      <c r="K76" s="17" t="str">
        <f>IFERROR('Nov 2-8'!H98/'Nov 2-8'!C98," ")</f>
        <v xml:space="preserve"> </v>
      </c>
      <c r="L76" s="17" t="str">
        <f>IFERROR('Nov 2-8'!H98/'Nov 2-8'!G98," ")</f>
        <v xml:space="preserve"> </v>
      </c>
    </row>
    <row r="77" spans="1:12" ht="12.75">
      <c r="A77" s="1">
        <f t="shared" si="0"/>
        <v>75</v>
      </c>
      <c r="B77" s="1" t="str">
        <f>'Nov 2-8'!B99</f>
        <v>8 7th Street</v>
      </c>
      <c r="C77" s="29" t="str">
        <f>'Nov 9-15'!C99</f>
        <v>Y</v>
      </c>
      <c r="D77" s="29">
        <f>'Nov 9-15'!D99</f>
        <v>8</v>
      </c>
      <c r="E77" s="17">
        <f>IFERROR('Nov 2-8'!D99/'Nov 2-8'!C99," ")</f>
        <v>0.2857142857142857</v>
      </c>
      <c r="F77" s="17">
        <f>IFERROR('Nov 2-8'!E99/'Nov 2-8'!C99," ")</f>
        <v>0</v>
      </c>
      <c r="G77" s="17">
        <f>IFERROR('Nov 2-8'!E99/'Nov 2-8'!D99," ")</f>
        <v>0</v>
      </c>
      <c r="H77" s="17">
        <f>IFERROR('Nov 2-8'!F99/'Nov 2-8'!C99," ")</f>
        <v>0</v>
      </c>
      <c r="I77" s="17" t="str">
        <f>IFERROR('Nov 2-8'!F99/'Nov 2-8'!E99," ")</f>
        <v xml:space="preserve"> </v>
      </c>
      <c r="J77" s="17" t="str">
        <f>IFERROR('Nov 2-8'!G99/'Nov 2-8'!F99," ")</f>
        <v xml:space="preserve"> </v>
      </c>
      <c r="K77" s="17">
        <f>IFERROR('Nov 2-8'!H99/'Nov 2-8'!C99," ")</f>
        <v>0</v>
      </c>
      <c r="L77" s="17" t="str">
        <f>IFERROR('Nov 2-8'!H99/'Nov 2-8'!G99," ")</f>
        <v xml:space="preserve"> </v>
      </c>
    </row>
    <row r="78" spans="1:12" ht="12.75">
      <c r="A78" s="1">
        <f t="shared" si="0"/>
        <v>76</v>
      </c>
      <c r="B78" s="1" t="str">
        <f>'Nov 2-8'!B100</f>
        <v>8 Elko Street Unit 5</v>
      </c>
      <c r="C78" s="29" t="str">
        <f>'Nov 9-15'!C100</f>
        <v>Y</v>
      </c>
      <c r="D78" s="29">
        <f>'Nov 9-15'!D100</f>
        <v>18</v>
      </c>
      <c r="E78" s="17">
        <f>IFERROR('Nov 2-8'!D100/'Nov 2-8'!C100," ")</f>
        <v>0.22222222222222221</v>
      </c>
      <c r="F78" s="17">
        <f>IFERROR('Nov 2-8'!E100/'Nov 2-8'!C100," ")</f>
        <v>0</v>
      </c>
      <c r="G78" s="17">
        <f>IFERROR('Nov 2-8'!E100/'Nov 2-8'!D100," ")</f>
        <v>0</v>
      </c>
      <c r="H78" s="17">
        <f>IFERROR('Nov 2-8'!F100/'Nov 2-8'!C100," ")</f>
        <v>0</v>
      </c>
      <c r="I78" s="17" t="str">
        <f>IFERROR('Nov 2-8'!F100/'Nov 2-8'!E100," ")</f>
        <v xml:space="preserve"> </v>
      </c>
      <c r="J78" s="17" t="str">
        <f>IFERROR('Nov 2-8'!G100/'Nov 2-8'!F100," ")</f>
        <v xml:space="preserve"> </v>
      </c>
      <c r="K78" s="17">
        <f>IFERROR('Nov 2-8'!H100/'Nov 2-8'!C100," ")</f>
        <v>0</v>
      </c>
      <c r="L78" s="17" t="str">
        <f>IFERROR('Nov 2-8'!H100/'Nov 2-8'!G100," ")</f>
        <v xml:space="preserve"> </v>
      </c>
    </row>
    <row r="79" spans="1:12" ht="12.75">
      <c r="A79" s="1">
        <f t="shared" si="0"/>
        <v>77</v>
      </c>
      <c r="B79" s="1" t="str">
        <f>'Nov 2-8'!B101</f>
        <v>8 Elko Street Unit 6</v>
      </c>
      <c r="C79" s="29" t="str">
        <f>'Nov 9-15'!C101</f>
        <v>N</v>
      </c>
      <c r="D79" s="29">
        <f>'Nov 9-15'!D101</f>
        <v>0</v>
      </c>
      <c r="E79" s="17">
        <f>IFERROR('Nov 2-8'!D101/'Nov 2-8'!C101," ")</f>
        <v>0</v>
      </c>
      <c r="F79" s="17">
        <f>IFERROR('Nov 2-8'!E101/'Nov 2-8'!C101," ")</f>
        <v>0</v>
      </c>
      <c r="G79" s="17" t="str">
        <f>IFERROR('Nov 2-8'!E101/'Nov 2-8'!D101," ")</f>
        <v xml:space="preserve"> </v>
      </c>
      <c r="H79" s="17">
        <f>IFERROR('Nov 2-8'!F101/'Nov 2-8'!C101," ")</f>
        <v>0</v>
      </c>
      <c r="I79" s="17" t="str">
        <f>IFERROR('Nov 2-8'!F101/'Nov 2-8'!E101," ")</f>
        <v xml:space="preserve"> </v>
      </c>
      <c r="J79" s="17" t="str">
        <f>IFERROR('Nov 2-8'!G101/'Nov 2-8'!F101," ")</f>
        <v xml:space="preserve"> </v>
      </c>
      <c r="K79" s="17">
        <f>IFERROR('Nov 2-8'!H101/'Nov 2-8'!C101," ")</f>
        <v>0</v>
      </c>
      <c r="L79" s="17" t="str">
        <f>IFERROR('Nov 2-8'!H101/'Nov 2-8'!G101," ")</f>
        <v xml:space="preserve"> </v>
      </c>
    </row>
    <row r="80" spans="1:12" ht="12.75">
      <c r="A80" s="1">
        <f t="shared" si="0"/>
        <v>78</v>
      </c>
      <c r="B80" s="1" t="str">
        <f>'Nov 2-8'!B48</f>
        <v>192 Third Street Unit 2</v>
      </c>
      <c r="C80" s="29" t="str">
        <f>'Nov 9-15'!C48</f>
        <v>Y</v>
      </c>
      <c r="D80" s="29">
        <f>'Nov 9-15'!D48</f>
        <v>44</v>
      </c>
      <c r="E80" s="17">
        <f>IFERROR('Nov 2-8'!D48/'Nov 2-8'!C48," ")</f>
        <v>0.12299465240641712</v>
      </c>
      <c r="F80" s="17">
        <f>IFERROR('Nov 2-8'!E48/'Nov 2-8'!C48," ")</f>
        <v>1.06951871657754E-2</v>
      </c>
      <c r="G80" s="17">
        <f>IFERROR('Nov 2-8'!E48/'Nov 2-8'!D48," ")</f>
        <v>8.6956521739130432E-2</v>
      </c>
      <c r="H80" s="17">
        <f>IFERROR('Nov 2-8'!F48/'Nov 2-8'!C48," ")</f>
        <v>0</v>
      </c>
      <c r="I80" s="17">
        <f>IFERROR('Nov 2-8'!F48/'Nov 2-8'!E48," ")</f>
        <v>0</v>
      </c>
      <c r="J80" s="17" t="str">
        <f>IFERROR('Nov 2-8'!G48/'Nov 2-8'!F48," ")</f>
        <v xml:space="preserve"> </v>
      </c>
      <c r="K80" s="17">
        <f>IFERROR('Nov 2-8'!H48/'Nov 2-8'!C48," ")</f>
        <v>0</v>
      </c>
      <c r="L80" s="17" t="str">
        <f>IFERROR('Nov 2-8'!H48/'Nov 2-8'!G48," ")</f>
        <v xml:space="preserve"> </v>
      </c>
    </row>
    <row r="81" spans="1:12" ht="12.75">
      <c r="A81" s="1">
        <f t="shared" si="0"/>
        <v>79</v>
      </c>
      <c r="B81" s="1" t="str">
        <f>'Nov 2-8'!B102</f>
        <v>8 Hardwick Terrace Unit 1</v>
      </c>
      <c r="C81" s="29" t="str">
        <f>'Nov 9-15'!C102</f>
        <v>N</v>
      </c>
      <c r="D81" s="29">
        <f>'Nov 9-15'!D102</f>
        <v>0</v>
      </c>
      <c r="E81" s="17">
        <f>IFERROR('Nov 2-8'!D102/'Nov 2-8'!C102," ")</f>
        <v>0.28301886792452829</v>
      </c>
      <c r="F81" s="17">
        <f>IFERROR('Nov 2-8'!E102/'Nov 2-8'!C102," ")</f>
        <v>0</v>
      </c>
      <c r="G81" s="17">
        <f>IFERROR('Nov 2-8'!E102/'Nov 2-8'!D102," ")</f>
        <v>0</v>
      </c>
      <c r="H81" s="17">
        <f>IFERROR('Nov 2-8'!F102/'Nov 2-8'!C102," ")</f>
        <v>0</v>
      </c>
      <c r="I81" s="17" t="str">
        <f>IFERROR('Nov 2-8'!F102/'Nov 2-8'!E102," ")</f>
        <v xml:space="preserve"> </v>
      </c>
      <c r="J81" s="17" t="str">
        <f>IFERROR('Nov 2-8'!G102/'Nov 2-8'!F102," ")</f>
        <v xml:space="preserve"> </v>
      </c>
      <c r="K81" s="17">
        <f>IFERROR('Nov 2-8'!H102/'Nov 2-8'!C102," ")</f>
        <v>0</v>
      </c>
      <c r="L81" s="17" t="str">
        <f>IFERROR('Nov 2-8'!H102/'Nov 2-8'!G102," ")</f>
        <v xml:space="preserve"> </v>
      </c>
    </row>
    <row r="82" spans="1:12" ht="12.75">
      <c r="A82" s="1">
        <f t="shared" si="0"/>
        <v>80</v>
      </c>
      <c r="B82" s="1" t="str">
        <f>'Nov 2-8'!B6</f>
        <v>101 Heath Street Unit 1</v>
      </c>
      <c r="C82" s="29" t="str">
        <f>'Nov 9-15'!C6</f>
        <v>N</v>
      </c>
      <c r="D82" s="29">
        <f>'Nov 9-15'!D6</f>
        <v>0</v>
      </c>
      <c r="E82" s="17">
        <f>IFERROR('Nov 2-8'!D6/'Nov 2-8'!C6," ")</f>
        <v>0.5161290322580645</v>
      </c>
      <c r="F82" s="17">
        <f>IFERROR('Nov 2-8'!E6/'Nov 2-8'!C6," ")</f>
        <v>0</v>
      </c>
      <c r="G82" s="17">
        <f>IFERROR('Nov 2-8'!E6/'Nov 2-8'!D6," ")</f>
        <v>0</v>
      </c>
      <c r="H82" s="17">
        <f>IFERROR('Nov 2-8'!F6/'Nov 2-8'!C6," ")</f>
        <v>0</v>
      </c>
      <c r="I82" s="17" t="str">
        <f>IFERROR('Nov 2-8'!F6/'Nov 2-8'!E6," ")</f>
        <v xml:space="preserve"> </v>
      </c>
      <c r="J82" s="17" t="str">
        <f>IFERROR('Nov 2-8'!G6/'Nov 2-8'!F6," ")</f>
        <v xml:space="preserve"> </v>
      </c>
      <c r="K82" s="17">
        <f>IFERROR('Nov 2-8'!H6/'Nov 2-8'!C6," ")</f>
        <v>0</v>
      </c>
      <c r="L82" s="17" t="str">
        <f>IFERROR('Nov 2-8'!H6/'Nov 2-8'!G6," ")</f>
        <v xml:space="preserve"> </v>
      </c>
    </row>
    <row r="83" spans="1:12" ht="12.75">
      <c r="A83" s="1">
        <f t="shared" si="0"/>
        <v>81</v>
      </c>
      <c r="B83" s="1" t="str">
        <f>'Nov 2-8'!B7</f>
        <v>106 Hyde Park Avenue Unit 2</v>
      </c>
      <c r="C83" s="29" t="str">
        <f>'Nov 9-15'!C7</f>
        <v>Y</v>
      </c>
      <c r="D83" s="29">
        <f>'Nov 9-15'!D7</f>
        <v>13</v>
      </c>
      <c r="E83" s="17">
        <f>IFERROR('Nov 2-8'!D7/'Nov 2-8'!C7," ")</f>
        <v>0.11764705882352941</v>
      </c>
      <c r="F83" s="17">
        <f>IFERROR('Nov 2-8'!E7/'Nov 2-8'!C7," ")</f>
        <v>0</v>
      </c>
      <c r="G83" s="17">
        <f>IFERROR('Nov 2-8'!E7/'Nov 2-8'!D7," ")</f>
        <v>0</v>
      </c>
      <c r="H83" s="17">
        <f>IFERROR('Nov 2-8'!F7/'Nov 2-8'!C7," ")</f>
        <v>0</v>
      </c>
      <c r="I83" s="17" t="str">
        <f>IFERROR('Nov 2-8'!F7/'Nov 2-8'!E7," ")</f>
        <v xml:space="preserve"> </v>
      </c>
      <c r="J83" s="17" t="str">
        <f>IFERROR('Nov 2-8'!G7/'Nov 2-8'!F7," ")</f>
        <v xml:space="preserve"> </v>
      </c>
      <c r="K83" s="17">
        <f>IFERROR('Nov 2-8'!H7/'Nov 2-8'!C7," ")</f>
        <v>0</v>
      </c>
      <c r="L83" s="17" t="str">
        <f>IFERROR('Nov 2-8'!H7/'Nov 2-8'!G7," ")</f>
        <v xml:space="preserve"> </v>
      </c>
    </row>
    <row r="84" spans="1:12" ht="12.75">
      <c r="A84" s="1">
        <f t="shared" si="0"/>
        <v>82</v>
      </c>
      <c r="B84" s="1" t="str">
        <f>'Nov 2-8'!B49</f>
        <v>2 Montfern Avenue Unit 1</v>
      </c>
      <c r="C84" s="29" t="str">
        <f>'Nov 9-15'!C49</f>
        <v>Y</v>
      </c>
      <c r="D84" s="29">
        <f>'Nov 9-15'!D49</f>
        <v>8</v>
      </c>
      <c r="E84" s="17">
        <f>IFERROR('Nov 2-8'!D49/'Nov 2-8'!C49," ")</f>
        <v>0.12820512820512819</v>
      </c>
      <c r="F84" s="17">
        <f>IFERROR('Nov 2-8'!E49/'Nov 2-8'!C49," ")</f>
        <v>0</v>
      </c>
      <c r="G84" s="17">
        <f>IFERROR('Nov 2-8'!E49/'Nov 2-8'!D49," ")</f>
        <v>0</v>
      </c>
      <c r="H84" s="17">
        <f>IFERROR('Nov 2-8'!F49/'Nov 2-8'!C49," ")</f>
        <v>0</v>
      </c>
      <c r="I84" s="17" t="str">
        <f>IFERROR('Nov 2-8'!F49/'Nov 2-8'!E49," ")</f>
        <v xml:space="preserve"> </v>
      </c>
      <c r="J84" s="17" t="str">
        <f>IFERROR('Nov 2-8'!G49/'Nov 2-8'!F49," ")</f>
        <v xml:space="preserve"> </v>
      </c>
      <c r="K84" s="17">
        <f>IFERROR('Nov 2-8'!H49/'Nov 2-8'!C49," ")</f>
        <v>0</v>
      </c>
      <c r="L84" s="17" t="str">
        <f>IFERROR('Nov 2-8'!H49/'Nov 2-8'!G49," ")</f>
        <v xml:space="preserve"> </v>
      </c>
    </row>
    <row r="85" spans="1:12" ht="12.75">
      <c r="A85" s="1">
        <f t="shared" si="0"/>
        <v>83</v>
      </c>
      <c r="B85" s="1" t="str">
        <f>'Nov 2-8'!B50</f>
        <v>2 Montfern Avenue Unit 2</v>
      </c>
      <c r="C85" s="29" t="str">
        <f>'Nov 9-15'!C50</f>
        <v>Y</v>
      </c>
      <c r="D85" s="29">
        <f>'Nov 9-15'!D50</f>
        <v>9</v>
      </c>
      <c r="E85" s="17">
        <f>IFERROR('Nov 2-8'!D50/'Nov 2-8'!C50," ")</f>
        <v>9.0909090909090912E-2</v>
      </c>
      <c r="F85" s="17">
        <f>IFERROR('Nov 2-8'!E50/'Nov 2-8'!C50," ")</f>
        <v>0</v>
      </c>
      <c r="G85" s="17">
        <f>IFERROR('Nov 2-8'!E50/'Nov 2-8'!D50," ")</f>
        <v>0</v>
      </c>
      <c r="H85" s="17">
        <f>IFERROR('Nov 2-8'!F50/'Nov 2-8'!C50," ")</f>
        <v>0</v>
      </c>
      <c r="I85" s="17" t="str">
        <f>IFERROR('Nov 2-8'!F50/'Nov 2-8'!E50," ")</f>
        <v xml:space="preserve"> </v>
      </c>
      <c r="J85" s="17" t="str">
        <f>IFERROR('Nov 2-8'!G50/'Nov 2-8'!F50," ")</f>
        <v xml:space="preserve"> </v>
      </c>
      <c r="K85" s="17">
        <f>IFERROR('Nov 2-8'!H50/'Nov 2-8'!C50," ")</f>
        <v>0</v>
      </c>
      <c r="L85" s="17" t="str">
        <f>IFERROR('Nov 2-8'!H50/'Nov 2-8'!G50," ")</f>
        <v xml:space="preserve"> </v>
      </c>
    </row>
    <row r="86" spans="1:12" ht="12.75">
      <c r="A86" s="1">
        <f t="shared" si="0"/>
        <v>84</v>
      </c>
      <c r="B86" s="1" t="str">
        <f>'Nov 2-8'!B51</f>
        <v>2 Montfern Avenue Unit 3</v>
      </c>
      <c r="C86" s="29" t="str">
        <f>'Nov 9-15'!C51</f>
        <v>Y</v>
      </c>
      <c r="D86" s="29">
        <f>'Nov 9-15'!D51</f>
        <v>7</v>
      </c>
      <c r="E86" s="17">
        <f>IFERROR('Nov 2-8'!D51/'Nov 2-8'!C51," ")</f>
        <v>1</v>
      </c>
      <c r="F86" s="17">
        <f>IFERROR('Nov 2-8'!E51/'Nov 2-8'!C51," ")</f>
        <v>0</v>
      </c>
      <c r="G86" s="17">
        <f>IFERROR('Nov 2-8'!E51/'Nov 2-8'!D51," ")</f>
        <v>0</v>
      </c>
      <c r="H86" s="17">
        <f>IFERROR('Nov 2-8'!F51/'Nov 2-8'!C51," ")</f>
        <v>0</v>
      </c>
      <c r="I86" s="17" t="str">
        <f>IFERROR('Nov 2-8'!F51/'Nov 2-8'!E51," ")</f>
        <v xml:space="preserve"> </v>
      </c>
      <c r="J86" s="17" t="str">
        <f>IFERROR('Nov 2-8'!G51/'Nov 2-8'!F51," ")</f>
        <v xml:space="preserve"> </v>
      </c>
      <c r="K86" s="17">
        <f>IFERROR('Nov 2-8'!H51/'Nov 2-8'!C51," ")</f>
        <v>0</v>
      </c>
      <c r="L86" s="17" t="str">
        <f>IFERROR('Nov 2-8'!H51/'Nov 2-8'!G51," ")</f>
        <v xml:space="preserve"> </v>
      </c>
    </row>
    <row r="87" spans="1:12" ht="12.75">
      <c r="A87" s="1">
        <f t="shared" si="0"/>
        <v>85</v>
      </c>
      <c r="B87" s="1" t="str">
        <f>'Nov 2-8'!B52</f>
        <v>20 Reedsdale Street</v>
      </c>
      <c r="C87" s="29" t="str">
        <f>'Nov 9-15'!C52</f>
        <v>Y</v>
      </c>
      <c r="D87" s="29">
        <f>'Nov 9-15'!D52</f>
        <v>8</v>
      </c>
      <c r="E87" s="17">
        <f>IFERROR('Nov 2-8'!D52/'Nov 2-8'!C52," ")</f>
        <v>0.13513513513513514</v>
      </c>
      <c r="F87" s="17">
        <f>IFERROR('Nov 2-8'!E52/'Nov 2-8'!C52," ")</f>
        <v>1.3513513513513514E-2</v>
      </c>
      <c r="G87" s="17">
        <f>IFERROR('Nov 2-8'!E52/'Nov 2-8'!D52," ")</f>
        <v>0.1</v>
      </c>
      <c r="H87" s="17">
        <f>IFERROR('Nov 2-8'!F52/'Nov 2-8'!C52," ")</f>
        <v>0</v>
      </c>
      <c r="I87" s="17">
        <f>IFERROR('Nov 2-8'!F52/'Nov 2-8'!E52," ")</f>
        <v>0</v>
      </c>
      <c r="J87" s="17" t="str">
        <f>IFERROR('Nov 2-8'!G52/'Nov 2-8'!F52," ")</f>
        <v xml:space="preserve"> </v>
      </c>
      <c r="K87" s="17">
        <f>IFERROR('Nov 2-8'!H52/'Nov 2-8'!C52," ")</f>
        <v>0</v>
      </c>
      <c r="L87" s="17" t="str">
        <f>IFERROR('Nov 2-8'!H52/'Nov 2-8'!G52," ")</f>
        <v xml:space="preserve"> </v>
      </c>
    </row>
    <row r="88" spans="1:12" ht="12.75">
      <c r="A88" s="1">
        <f t="shared" si="0"/>
        <v>86</v>
      </c>
      <c r="B88" s="1" t="str">
        <f>'Nov 2-8'!B53</f>
        <v>20 Sudan Street Unit 1</v>
      </c>
      <c r="C88" s="29" t="str">
        <f>'Nov 9-15'!C53</f>
        <v>Y</v>
      </c>
      <c r="D88" s="29">
        <f>'Nov 9-15'!D53</f>
        <v>0</v>
      </c>
      <c r="E88" s="17">
        <f>IFERROR('Nov 2-8'!D53/'Nov 2-8'!C53," ")</f>
        <v>0</v>
      </c>
      <c r="F88" s="17">
        <f>IFERROR('Nov 2-8'!E53/'Nov 2-8'!C53," ")</f>
        <v>0</v>
      </c>
      <c r="G88" s="17" t="str">
        <f>IFERROR('Nov 2-8'!E53/'Nov 2-8'!D53," ")</f>
        <v xml:space="preserve"> </v>
      </c>
      <c r="H88" s="17">
        <f>IFERROR('Nov 2-8'!F53/'Nov 2-8'!C53," ")</f>
        <v>0</v>
      </c>
      <c r="I88" s="17" t="str">
        <f>IFERROR('Nov 2-8'!F53/'Nov 2-8'!E53," ")</f>
        <v xml:space="preserve"> </v>
      </c>
      <c r="J88" s="17" t="str">
        <f>IFERROR('Nov 2-8'!G53/'Nov 2-8'!F53," ")</f>
        <v xml:space="preserve"> </v>
      </c>
      <c r="K88" s="17">
        <f>IFERROR('Nov 2-8'!H53/'Nov 2-8'!C53," ")</f>
        <v>0</v>
      </c>
      <c r="L88" s="17" t="str">
        <f>IFERROR('Nov 2-8'!H53/'Nov 2-8'!G53," ")</f>
        <v xml:space="preserve"> </v>
      </c>
    </row>
    <row r="89" spans="1:12" ht="12.75">
      <c r="A89" s="1">
        <f t="shared" si="0"/>
        <v>87</v>
      </c>
      <c r="B89" s="1" t="str">
        <f>'Nov 2-8'!B54</f>
        <v>208 Cedar Street Unit 2</v>
      </c>
      <c r="C89" s="29" t="str">
        <f>'Nov 9-15'!C54</f>
        <v>N</v>
      </c>
      <c r="D89" s="29">
        <f>'Nov 9-15'!D54</f>
        <v>1</v>
      </c>
      <c r="E89" s="17" t="str">
        <f>IFERROR('Nov 2-8'!D54/'Nov 2-8'!C54," ")</f>
        <v xml:space="preserve"> </v>
      </c>
      <c r="F89" s="17" t="str">
        <f>IFERROR('Nov 2-8'!E54/'Nov 2-8'!C54," ")</f>
        <v xml:space="preserve"> </v>
      </c>
      <c r="G89" s="17" t="str">
        <f>IFERROR('Nov 2-8'!E54/'Nov 2-8'!D54," ")</f>
        <v xml:space="preserve"> </v>
      </c>
      <c r="H89" s="17" t="str">
        <f>IFERROR('Nov 2-8'!F54/'Nov 2-8'!C54," ")</f>
        <v xml:space="preserve"> </v>
      </c>
      <c r="I89" s="17" t="str">
        <f>IFERROR('Nov 2-8'!F54/'Nov 2-8'!E54," ")</f>
        <v xml:space="preserve"> </v>
      </c>
      <c r="J89" s="17" t="str">
        <f>IFERROR('Nov 2-8'!G54/'Nov 2-8'!F54," ")</f>
        <v xml:space="preserve"> </v>
      </c>
      <c r="K89" s="17" t="str">
        <f>IFERROR('Nov 2-8'!H54/'Nov 2-8'!C54," ")</f>
        <v xml:space="preserve"> </v>
      </c>
      <c r="L89" s="17" t="str">
        <f>IFERROR('Nov 2-8'!H54/'Nov 2-8'!G54," ")</f>
        <v xml:space="preserve"> </v>
      </c>
    </row>
    <row r="90" spans="1:12" ht="12.75">
      <c r="A90" s="1">
        <f t="shared" si="0"/>
        <v>88</v>
      </c>
      <c r="B90" s="1" t="str">
        <f>'Nov 2-8'!B55</f>
        <v>22 Austin Street Unit 1</v>
      </c>
      <c r="C90" s="29" t="str">
        <f>'Nov 9-15'!C55</f>
        <v>Y</v>
      </c>
      <c r="D90" s="29">
        <f>'Nov 9-15'!D55</f>
        <v>25</v>
      </c>
      <c r="E90" s="17">
        <f>IFERROR('Nov 2-8'!D55/'Nov 2-8'!C55," ")</f>
        <v>5.4054054054054057E-2</v>
      </c>
      <c r="F90" s="17">
        <f>IFERROR('Nov 2-8'!E55/'Nov 2-8'!C55," ")</f>
        <v>0</v>
      </c>
      <c r="G90" s="17">
        <f>IFERROR('Nov 2-8'!E55/'Nov 2-8'!D55," ")</f>
        <v>0</v>
      </c>
      <c r="H90" s="17">
        <f>IFERROR('Nov 2-8'!F55/'Nov 2-8'!C55," ")</f>
        <v>0</v>
      </c>
      <c r="I90" s="17" t="str">
        <f>IFERROR('Nov 2-8'!F55/'Nov 2-8'!E55," ")</f>
        <v xml:space="preserve"> </v>
      </c>
      <c r="J90" s="17" t="str">
        <f>IFERROR('Nov 2-8'!G55/'Nov 2-8'!F55," ")</f>
        <v xml:space="preserve"> </v>
      </c>
      <c r="K90" s="17">
        <f>IFERROR('Nov 2-8'!H55/'Nov 2-8'!C55," ")</f>
        <v>0</v>
      </c>
      <c r="L90" s="17" t="str">
        <f>IFERROR('Nov 2-8'!H55/'Nov 2-8'!G55," ")</f>
        <v xml:space="preserve"> </v>
      </c>
    </row>
    <row r="91" spans="1:12" ht="12.75">
      <c r="A91" s="1">
        <f t="shared" si="0"/>
        <v>89</v>
      </c>
      <c r="B91" s="1" t="str">
        <f>'Nov 2-8'!B8</f>
        <v>106 Hyde Park Avenue Unit 3</v>
      </c>
      <c r="C91" s="29" t="str">
        <f>'Nov 9-15'!C8</f>
        <v>Y</v>
      </c>
      <c r="D91" s="29">
        <f>'Nov 9-15'!D8</f>
        <v>30</v>
      </c>
      <c r="E91" s="17">
        <f>IFERROR('Nov 2-8'!D8/'Nov 2-8'!C8," ")</f>
        <v>0.41558441558441561</v>
      </c>
      <c r="F91" s="17">
        <f>IFERROR('Nov 2-8'!E8/'Nov 2-8'!C8," ")</f>
        <v>0</v>
      </c>
      <c r="G91" s="17">
        <f>IFERROR('Nov 2-8'!E8/'Nov 2-8'!D8," ")</f>
        <v>0</v>
      </c>
      <c r="H91" s="17">
        <f>IFERROR('Nov 2-8'!F8/'Nov 2-8'!C8," ")</f>
        <v>0</v>
      </c>
      <c r="I91" s="17" t="str">
        <f>IFERROR('Nov 2-8'!F8/'Nov 2-8'!E8," ")</f>
        <v xml:space="preserve"> </v>
      </c>
      <c r="J91" s="17" t="str">
        <f>IFERROR('Nov 2-8'!G8/'Nov 2-8'!F8," ")</f>
        <v xml:space="preserve"> </v>
      </c>
      <c r="K91" s="17">
        <f>IFERROR('Nov 2-8'!H8/'Nov 2-8'!C8," ")</f>
        <v>0</v>
      </c>
      <c r="L91" s="17" t="str">
        <f>IFERROR('Nov 2-8'!H8/'Nov 2-8'!G8," ")</f>
        <v xml:space="preserve"> </v>
      </c>
    </row>
    <row r="92" spans="1:12" ht="12.75">
      <c r="A92" s="1">
        <f t="shared" si="0"/>
        <v>90</v>
      </c>
      <c r="B92" s="1" t="str">
        <f>'Nov 2-8'!B9</f>
        <v>108 Central Street Unit 3L</v>
      </c>
      <c r="C92" s="29" t="str">
        <f>'Nov 9-15'!C9</f>
        <v>Y</v>
      </c>
      <c r="D92" s="29">
        <f>'Nov 9-15'!D9</f>
        <v>15</v>
      </c>
      <c r="E92" s="17">
        <f>IFERROR('Nov 2-8'!D9/'Nov 2-8'!C9," ")</f>
        <v>0.30357142857142855</v>
      </c>
      <c r="F92" s="17">
        <f>IFERROR('Nov 2-8'!E9/'Nov 2-8'!C9," ")</f>
        <v>0</v>
      </c>
      <c r="G92" s="17">
        <f>IFERROR('Nov 2-8'!E9/'Nov 2-8'!D9," ")</f>
        <v>0</v>
      </c>
      <c r="H92" s="17">
        <f>IFERROR('Nov 2-8'!F9/'Nov 2-8'!C9," ")</f>
        <v>0</v>
      </c>
      <c r="I92" s="17" t="str">
        <f>IFERROR('Nov 2-8'!F9/'Nov 2-8'!E9," ")</f>
        <v xml:space="preserve"> </v>
      </c>
      <c r="J92" s="17" t="str">
        <f>IFERROR('Nov 2-8'!G9/'Nov 2-8'!F9," ")</f>
        <v xml:space="preserve"> </v>
      </c>
      <c r="K92" s="17">
        <f>IFERROR('Nov 2-8'!H9/'Nov 2-8'!C9," ")</f>
        <v>0</v>
      </c>
      <c r="L92" s="17" t="str">
        <f>IFERROR('Nov 2-8'!H9/'Nov 2-8'!G9," ")</f>
        <v xml:space="preserve"> </v>
      </c>
    </row>
    <row r="93" spans="1:12" ht="12.75">
      <c r="A93" s="1">
        <f t="shared" si="0"/>
        <v>91</v>
      </c>
      <c r="B93" s="1" t="str">
        <f>'Nov 2-8'!B10</f>
        <v>108 Hyde Park Avenue Unit 2</v>
      </c>
      <c r="C93" s="29" t="str">
        <f>'Nov 9-15'!C10</f>
        <v>Y</v>
      </c>
      <c r="D93" s="29">
        <f>'Nov 9-15'!D10</f>
        <v>16</v>
      </c>
      <c r="E93" s="17">
        <f>IFERROR('Nov 2-8'!D10/'Nov 2-8'!C10," ")</f>
        <v>9.6385542168674704E-2</v>
      </c>
      <c r="F93" s="17">
        <f>IFERROR('Nov 2-8'!E10/'Nov 2-8'!C10," ")</f>
        <v>0</v>
      </c>
      <c r="G93" s="17">
        <f>IFERROR('Nov 2-8'!E10/'Nov 2-8'!D10," ")</f>
        <v>0</v>
      </c>
      <c r="H93" s="17">
        <f>IFERROR('Nov 2-8'!F10/'Nov 2-8'!C10," ")</f>
        <v>0</v>
      </c>
      <c r="I93" s="17" t="str">
        <f>IFERROR('Nov 2-8'!F10/'Nov 2-8'!E10," ")</f>
        <v xml:space="preserve"> </v>
      </c>
      <c r="J93" s="17" t="str">
        <f>IFERROR('Nov 2-8'!G10/'Nov 2-8'!F10," ")</f>
        <v xml:space="preserve"> </v>
      </c>
      <c r="K93" s="17">
        <f>IFERROR('Nov 2-8'!H10/'Nov 2-8'!C10," ")</f>
        <v>0</v>
      </c>
      <c r="L93" s="17" t="str">
        <f>IFERROR('Nov 2-8'!H10/'Nov 2-8'!G10," ")</f>
        <v xml:space="preserve"> </v>
      </c>
    </row>
    <row r="94" spans="1:12" ht="12.75">
      <c r="A94" s="1">
        <f t="shared" si="0"/>
        <v>92</v>
      </c>
      <c r="B94" s="1" t="str">
        <f>'Nov 2-8'!B56</f>
        <v>23 Granite Street Unit 3</v>
      </c>
      <c r="C94" s="29" t="str">
        <f>'Nov 9-15'!C56</f>
        <v>N</v>
      </c>
      <c r="D94" s="29">
        <f>'Nov 9-15'!D56</f>
        <v>0</v>
      </c>
      <c r="E94" s="17">
        <f>IFERROR('Nov 2-8'!D56/'Nov 2-8'!C56," ")</f>
        <v>0.27272727272727271</v>
      </c>
      <c r="F94" s="17">
        <f>IFERROR('Nov 2-8'!E56/'Nov 2-8'!C56," ")</f>
        <v>0</v>
      </c>
      <c r="G94" s="17">
        <f>IFERROR('Nov 2-8'!E56/'Nov 2-8'!D56," ")</f>
        <v>0</v>
      </c>
      <c r="H94" s="17">
        <f>IFERROR('Nov 2-8'!F56/'Nov 2-8'!C56," ")</f>
        <v>0</v>
      </c>
      <c r="I94" s="17" t="str">
        <f>IFERROR('Nov 2-8'!F56/'Nov 2-8'!E56," ")</f>
        <v xml:space="preserve"> </v>
      </c>
      <c r="J94" s="17" t="str">
        <f>IFERROR('Nov 2-8'!G56/'Nov 2-8'!F56," ")</f>
        <v xml:space="preserve"> </v>
      </c>
      <c r="K94" s="17">
        <f>IFERROR('Nov 2-8'!H56/'Nov 2-8'!C56," ")</f>
        <v>0</v>
      </c>
      <c r="L94" s="17" t="str">
        <f>IFERROR('Nov 2-8'!H56/'Nov 2-8'!G56," ")</f>
        <v xml:space="preserve"> </v>
      </c>
    </row>
    <row r="95" spans="1:12" ht="12.75">
      <c r="A95" s="1">
        <f t="shared" si="0"/>
        <v>93</v>
      </c>
      <c r="B95" s="1" t="str">
        <f>'Nov 2-8'!B11</f>
        <v>108 Hyde Park Avenue Unit 3</v>
      </c>
      <c r="C95" s="29" t="str">
        <f>'Nov 9-15'!C11</f>
        <v>Y</v>
      </c>
      <c r="D95" s="29">
        <f>'Nov 9-15'!D11</f>
        <v>2</v>
      </c>
      <c r="E95" s="17">
        <f>IFERROR('Nov 2-8'!D11/'Nov 2-8'!C11," ")</f>
        <v>0.2</v>
      </c>
      <c r="F95" s="17">
        <f>IFERROR('Nov 2-8'!E11/'Nov 2-8'!C11," ")</f>
        <v>0</v>
      </c>
      <c r="G95" s="17">
        <f>IFERROR('Nov 2-8'!E11/'Nov 2-8'!D11," ")</f>
        <v>0</v>
      </c>
      <c r="H95" s="17">
        <f>IFERROR('Nov 2-8'!F11/'Nov 2-8'!C11," ")</f>
        <v>0</v>
      </c>
      <c r="I95" s="17" t="str">
        <f>IFERROR('Nov 2-8'!F11/'Nov 2-8'!E11," ")</f>
        <v xml:space="preserve"> </v>
      </c>
      <c r="J95" s="17" t="str">
        <f>IFERROR('Nov 2-8'!G11/'Nov 2-8'!F11," ")</f>
        <v xml:space="preserve"> </v>
      </c>
      <c r="K95" s="17">
        <f>IFERROR('Nov 2-8'!H11/'Nov 2-8'!C11," ")</f>
        <v>0</v>
      </c>
      <c r="L95" s="17" t="str">
        <f>IFERROR('Nov 2-8'!H11/'Nov 2-8'!G11," ")</f>
        <v xml:space="preserve"> </v>
      </c>
    </row>
    <row r="96" spans="1:12" ht="12.75">
      <c r="A96" s="1">
        <f t="shared" si="0"/>
        <v>94</v>
      </c>
      <c r="B96" s="1" t="str">
        <f>'Nov 2-8'!B57</f>
        <v>23 Rogers Avenue Unit 1</v>
      </c>
      <c r="C96" s="29" t="str">
        <f>'Nov 9-15'!C57</f>
        <v>Y</v>
      </c>
      <c r="D96" s="29">
        <f>'Nov 9-15'!D57</f>
        <v>22</v>
      </c>
      <c r="E96" s="17">
        <f>IFERROR('Nov 2-8'!D57/'Nov 2-8'!C57," ")</f>
        <v>0.33108108108108109</v>
      </c>
      <c r="F96" s="17">
        <f>IFERROR('Nov 2-8'!E57/'Nov 2-8'!C57," ")</f>
        <v>6.7567567567567571E-3</v>
      </c>
      <c r="G96" s="17">
        <f>IFERROR('Nov 2-8'!E57/'Nov 2-8'!D57," ")</f>
        <v>2.0408163265306121E-2</v>
      </c>
      <c r="H96" s="17">
        <f>IFERROR('Nov 2-8'!F57/'Nov 2-8'!C57," ")</f>
        <v>6.7567567567567571E-3</v>
      </c>
      <c r="I96" s="17">
        <f>IFERROR('Nov 2-8'!F57/'Nov 2-8'!E57," ")</f>
        <v>1</v>
      </c>
      <c r="J96" s="17">
        <f>IFERROR('Nov 2-8'!G57/'Nov 2-8'!F57," ")</f>
        <v>1</v>
      </c>
      <c r="K96" s="17">
        <f>IFERROR('Nov 2-8'!H57/'Nov 2-8'!C57," ")</f>
        <v>6.7567567567567571E-3</v>
      </c>
      <c r="L96" s="17">
        <f>IFERROR('Nov 2-8'!H57/'Nov 2-8'!G57," ")</f>
        <v>1</v>
      </c>
    </row>
    <row r="97" spans="1:12" ht="12.75">
      <c r="A97" s="1">
        <f t="shared" si="0"/>
        <v>95</v>
      </c>
      <c r="B97" s="1" t="str">
        <f>'Nov 2-8'!B12</f>
        <v>1099 Cambridge Street Unit 1</v>
      </c>
      <c r="C97" s="29" t="str">
        <f>'Nov 9-15'!C12</f>
        <v>Y</v>
      </c>
      <c r="D97" s="29">
        <f>'Nov 9-15'!D12</f>
        <v>56</v>
      </c>
      <c r="E97" s="17">
        <f>IFERROR('Nov 2-8'!D12/'Nov 2-8'!C12," ")</f>
        <v>0.41949152542372881</v>
      </c>
      <c r="F97" s="17">
        <f>IFERROR('Nov 2-8'!E12/'Nov 2-8'!C12," ")</f>
        <v>2.1186440677966101E-2</v>
      </c>
      <c r="G97" s="17">
        <f>IFERROR('Nov 2-8'!E12/'Nov 2-8'!D12," ")</f>
        <v>5.0505050505050504E-2</v>
      </c>
      <c r="H97" s="17">
        <f>IFERROR('Nov 2-8'!F12/'Nov 2-8'!C12," ")</f>
        <v>0</v>
      </c>
      <c r="I97" s="17">
        <f>IFERROR('Nov 2-8'!F12/'Nov 2-8'!E12," ")</f>
        <v>0</v>
      </c>
      <c r="J97" s="17" t="str">
        <f>IFERROR('Nov 2-8'!G12/'Nov 2-8'!F12," ")</f>
        <v xml:space="preserve"> </v>
      </c>
      <c r="K97" s="17">
        <f>IFERROR('Nov 2-8'!H12/'Nov 2-8'!C12," ")</f>
        <v>0</v>
      </c>
      <c r="L97" s="17">
        <f>IFERROR('Nov 2-8'!H12/'Nov 2-8'!G12," ")</f>
        <v>0</v>
      </c>
    </row>
    <row r="98" spans="1:12" ht="12.75">
      <c r="A98" s="1">
        <f t="shared" si="0"/>
        <v>96</v>
      </c>
      <c r="B98" s="1" t="str">
        <f>'Nov 2-8'!B58</f>
        <v>231 Norfolk Street Unit 1</v>
      </c>
      <c r="C98" s="29" t="str">
        <f>'Nov 9-15'!C58</f>
        <v>Y</v>
      </c>
      <c r="D98" s="29">
        <f>'Nov 9-15'!D58</f>
        <v>30</v>
      </c>
      <c r="E98" s="17">
        <f>IFERROR('Nov 2-8'!D58/'Nov 2-8'!C58," ")</f>
        <v>0.2537313432835821</v>
      </c>
      <c r="F98" s="17">
        <f>IFERROR('Nov 2-8'!E58/'Nov 2-8'!C58," ")</f>
        <v>0</v>
      </c>
      <c r="G98" s="17">
        <f>IFERROR('Nov 2-8'!E58/'Nov 2-8'!D58," ")</f>
        <v>0</v>
      </c>
      <c r="H98" s="17">
        <f>IFERROR('Nov 2-8'!F58/'Nov 2-8'!C58," ")</f>
        <v>0</v>
      </c>
      <c r="I98" s="17" t="str">
        <f>IFERROR('Nov 2-8'!F58/'Nov 2-8'!E58," ")</f>
        <v xml:space="preserve"> </v>
      </c>
      <c r="J98" s="17" t="str">
        <f>IFERROR('Nov 2-8'!G58/'Nov 2-8'!F58," ")</f>
        <v xml:space="preserve"> </v>
      </c>
      <c r="K98" s="17">
        <f>IFERROR('Nov 2-8'!H58/'Nov 2-8'!C58," ")</f>
        <v>0</v>
      </c>
      <c r="L98" s="17" t="str">
        <f>IFERROR('Nov 2-8'!H58/'Nov 2-8'!G58," ")</f>
        <v xml:space="preserve"> </v>
      </c>
    </row>
    <row r="99" spans="1:12" ht="12.75">
      <c r="A99" s="1">
        <f t="shared" si="0"/>
        <v>97</v>
      </c>
      <c r="B99" s="1" t="str">
        <f>'Nov 2-8'!B13</f>
        <v>110 Hamilton Street Unit 2</v>
      </c>
      <c r="C99" s="29" t="str">
        <f>'Nov 9-15'!C13</f>
        <v>Y</v>
      </c>
      <c r="D99" s="29">
        <f>'Nov 9-15'!D13</f>
        <v>72</v>
      </c>
      <c r="E99" s="17">
        <f>IFERROR('Nov 2-8'!D13/'Nov 2-8'!C13," ")</f>
        <v>0.11864406779661017</v>
      </c>
      <c r="F99" s="17">
        <f>IFERROR('Nov 2-8'!E13/'Nov 2-8'!C13," ")</f>
        <v>1.6949152542372881E-2</v>
      </c>
      <c r="G99" s="17">
        <f>IFERROR('Nov 2-8'!E13/'Nov 2-8'!D13," ")</f>
        <v>0.14285714285714285</v>
      </c>
      <c r="H99" s="17">
        <f>IFERROR('Nov 2-8'!F13/'Nov 2-8'!C13," ")</f>
        <v>0</v>
      </c>
      <c r="I99" s="17">
        <f>IFERROR('Nov 2-8'!F13/'Nov 2-8'!E13," ")</f>
        <v>0</v>
      </c>
      <c r="J99" s="17" t="str">
        <f>IFERROR('Nov 2-8'!G13/'Nov 2-8'!F13," ")</f>
        <v xml:space="preserve"> </v>
      </c>
      <c r="K99" s="17">
        <f>IFERROR('Nov 2-8'!H13/'Nov 2-8'!C13," ")</f>
        <v>0</v>
      </c>
      <c r="L99" s="17" t="str">
        <f>IFERROR('Nov 2-8'!H13/'Nov 2-8'!G13," ")</f>
        <v xml:space="preserve"> </v>
      </c>
    </row>
    <row r="100" spans="1:12" ht="12.75">
      <c r="A100" s="1">
        <f t="shared" si="0"/>
        <v>98</v>
      </c>
      <c r="B100" s="1" t="str">
        <f>'Nov 2-8'!B14</f>
        <v>110 Hamilton Street Unit 3</v>
      </c>
      <c r="C100" s="29" t="str">
        <f>'Nov 9-15'!C14</f>
        <v>N</v>
      </c>
      <c r="D100" s="29">
        <f>'Nov 9-15'!D14</f>
        <v>0</v>
      </c>
      <c r="E100" s="17">
        <f>IFERROR('Nov 2-8'!D14/'Nov 2-8'!C14," ")</f>
        <v>1</v>
      </c>
      <c r="F100" s="17">
        <f>IFERROR('Nov 2-8'!E14/'Nov 2-8'!C14," ")</f>
        <v>0</v>
      </c>
      <c r="G100" s="17">
        <f>IFERROR('Nov 2-8'!E14/'Nov 2-8'!D14," ")</f>
        <v>0</v>
      </c>
      <c r="H100" s="17">
        <f>IFERROR('Nov 2-8'!F14/'Nov 2-8'!C14," ")</f>
        <v>0</v>
      </c>
      <c r="I100" s="17" t="str">
        <f>IFERROR('Nov 2-8'!F14/'Nov 2-8'!E14," ")</f>
        <v xml:space="preserve"> </v>
      </c>
      <c r="J100" s="17" t="str">
        <f>IFERROR('Nov 2-8'!G14/'Nov 2-8'!F14," ")</f>
        <v xml:space="preserve"> </v>
      </c>
      <c r="K100" s="17">
        <f>IFERROR('Nov 2-8'!H14/'Nov 2-8'!C14," ")</f>
        <v>0</v>
      </c>
      <c r="L100" s="17" t="str">
        <f>IFERROR('Nov 2-8'!H14/'Nov 2-8'!G14," ")</f>
        <v xml:space="preserve"> </v>
      </c>
    </row>
    <row r="101" spans="1:12" ht="12.75">
      <c r="A101" s="1">
        <f t="shared" si="0"/>
        <v>99</v>
      </c>
      <c r="B101" s="1" t="str">
        <f>'Nov 2-8'!B15</f>
        <v>1111 Boylston Street Unit 26</v>
      </c>
      <c r="C101" s="29" t="str">
        <f>'Nov 9-15'!C15</f>
        <v>Y</v>
      </c>
      <c r="D101" s="29">
        <f>'Nov 9-15'!D15</f>
        <v>40</v>
      </c>
      <c r="E101" s="17">
        <f>IFERROR('Nov 2-8'!D15/'Nov 2-8'!C15," ")</f>
        <v>0.10891089108910891</v>
      </c>
      <c r="F101" s="17">
        <f>IFERROR('Nov 2-8'!E15/'Nov 2-8'!C15," ")</f>
        <v>9.9009900990099011E-3</v>
      </c>
      <c r="G101" s="17">
        <f>IFERROR('Nov 2-8'!E15/'Nov 2-8'!D15," ")</f>
        <v>9.0909090909090912E-2</v>
      </c>
      <c r="H101" s="17">
        <f>IFERROR('Nov 2-8'!F15/'Nov 2-8'!C15," ")</f>
        <v>0</v>
      </c>
      <c r="I101" s="17">
        <f>IFERROR('Nov 2-8'!F15/'Nov 2-8'!E15," ")</f>
        <v>0</v>
      </c>
      <c r="J101" s="17" t="str">
        <f>IFERROR('Nov 2-8'!G15/'Nov 2-8'!F15," ")</f>
        <v xml:space="preserve"> </v>
      </c>
      <c r="K101" s="17">
        <f>IFERROR('Nov 2-8'!H15/'Nov 2-8'!C15," ")</f>
        <v>0</v>
      </c>
      <c r="L101" s="17" t="str">
        <f>IFERROR('Nov 2-8'!H15/'Nov 2-8'!G15," ")</f>
        <v xml:space="preserve"> </v>
      </c>
    </row>
    <row r="102" spans="1:12" ht="12.75">
      <c r="A102" s="1">
        <f t="shared" si="0"/>
        <v>100</v>
      </c>
      <c r="B102" s="1" t="str">
        <f>'Nov 2-8'!B16</f>
        <v>114 Thornton Street Unit 1</v>
      </c>
      <c r="C102" s="29" t="str">
        <f>'Nov 9-15'!C16</f>
        <v>Y</v>
      </c>
      <c r="D102" s="29">
        <f>'Nov 9-15'!D16</f>
        <v>22</v>
      </c>
      <c r="E102" s="17">
        <f>IFERROR('Nov 2-8'!D16/'Nov 2-8'!C16," ")</f>
        <v>0.75</v>
      </c>
      <c r="F102" s="17">
        <f>IFERROR('Nov 2-8'!E16/'Nov 2-8'!C16," ")</f>
        <v>0</v>
      </c>
      <c r="G102" s="17">
        <f>IFERROR('Nov 2-8'!E16/'Nov 2-8'!D16," ")</f>
        <v>0</v>
      </c>
      <c r="H102" s="17">
        <f>IFERROR('Nov 2-8'!F16/'Nov 2-8'!C16," ")</f>
        <v>0</v>
      </c>
      <c r="I102" s="17" t="str">
        <f>IFERROR('Nov 2-8'!F16/'Nov 2-8'!E16," ")</f>
        <v xml:space="preserve"> </v>
      </c>
      <c r="J102" s="17" t="str">
        <f>IFERROR('Nov 2-8'!G16/'Nov 2-8'!F16," ")</f>
        <v xml:space="preserve"> </v>
      </c>
      <c r="K102" s="17">
        <f>IFERROR('Nov 2-8'!H16/'Nov 2-8'!C16," ")</f>
        <v>0</v>
      </c>
      <c r="L102" s="17" t="str">
        <f>IFERROR('Nov 2-8'!H16/'Nov 2-8'!G16," ")</f>
        <v xml:space="preserve"> </v>
      </c>
    </row>
    <row r="103" spans="1:12" ht="12.75">
      <c r="A103" s="1">
        <f t="shared" si="0"/>
        <v>101</v>
      </c>
      <c r="B103" s="1" t="str">
        <f>'Nov 2-8'!B59</f>
        <v>231 Norfolk Street Unit 4</v>
      </c>
      <c r="C103" s="29" t="str">
        <f>'Nov 9-15'!C59</f>
        <v>N</v>
      </c>
      <c r="D103" s="29">
        <f>'Nov 9-15'!D59</f>
        <v>2</v>
      </c>
      <c r="E103" s="17">
        <f>IFERROR('Nov 2-8'!D59/'Nov 2-8'!C59," ")</f>
        <v>0.625</v>
      </c>
      <c r="F103" s="17">
        <f>IFERROR('Nov 2-8'!E59/'Nov 2-8'!C59," ")</f>
        <v>0</v>
      </c>
      <c r="G103" s="17">
        <f>IFERROR('Nov 2-8'!E59/'Nov 2-8'!D59," ")</f>
        <v>0</v>
      </c>
      <c r="H103" s="17">
        <f>IFERROR('Nov 2-8'!F59/'Nov 2-8'!C59," ")</f>
        <v>0</v>
      </c>
      <c r="I103" s="17" t="str">
        <f>IFERROR('Nov 2-8'!F59/'Nov 2-8'!E59," ")</f>
        <v xml:space="preserve"> </v>
      </c>
      <c r="J103" s="17" t="str">
        <f>IFERROR('Nov 2-8'!G59/'Nov 2-8'!F59," ")</f>
        <v xml:space="preserve"> </v>
      </c>
      <c r="K103" s="17">
        <f>IFERROR('Nov 2-8'!H59/'Nov 2-8'!C59," ")</f>
        <v>0</v>
      </c>
      <c r="L103" s="17" t="str">
        <f>IFERROR('Nov 2-8'!H59/'Nov 2-8'!G59," ")</f>
        <v xml:space="preserve"> </v>
      </c>
    </row>
    <row r="104" spans="1:12" ht="12.75">
      <c r="A104" s="1">
        <f t="shared" si="0"/>
        <v>102</v>
      </c>
      <c r="B104" s="1" t="str">
        <f>'Nov 2-8'!B60</f>
        <v>24 Ashford Street Unit 2</v>
      </c>
      <c r="C104" s="29" t="str">
        <f>'Nov 9-15'!C60</f>
        <v>N</v>
      </c>
      <c r="D104" s="29">
        <f>'Nov 9-15'!D60</f>
        <v>15</v>
      </c>
      <c r="E104" s="17">
        <f>IFERROR('Nov 2-8'!D60/'Nov 2-8'!C60," ")</f>
        <v>0.15476190476190477</v>
      </c>
      <c r="F104" s="17">
        <f>IFERROR('Nov 2-8'!E60/'Nov 2-8'!C60," ")</f>
        <v>0</v>
      </c>
      <c r="G104" s="17">
        <f>IFERROR('Nov 2-8'!E60/'Nov 2-8'!D60," ")</f>
        <v>0</v>
      </c>
      <c r="H104" s="17">
        <f>IFERROR('Nov 2-8'!F60/'Nov 2-8'!C60," ")</f>
        <v>0</v>
      </c>
      <c r="I104" s="17" t="str">
        <f>IFERROR('Nov 2-8'!F60/'Nov 2-8'!E60," ")</f>
        <v xml:space="preserve"> </v>
      </c>
      <c r="J104" s="17" t="str">
        <f>IFERROR('Nov 2-8'!G60/'Nov 2-8'!F60," ")</f>
        <v xml:space="preserve"> </v>
      </c>
      <c r="K104" s="17">
        <f>IFERROR('Nov 2-8'!H60/'Nov 2-8'!C60," ")</f>
        <v>0</v>
      </c>
      <c r="L104" s="17" t="str">
        <f>IFERROR('Nov 2-8'!H60/'Nov 2-8'!G60," ")</f>
        <v xml:space="preserve"> </v>
      </c>
    </row>
    <row r="105" spans="1:12" ht="12.75">
      <c r="A105" s="1">
        <f t="shared" si="0"/>
        <v>103</v>
      </c>
      <c r="B105" s="1" t="str">
        <f>'Nov 2-8'!B103</f>
        <v>83 Highland Street Unit 2</v>
      </c>
      <c r="C105" s="29" t="str">
        <f>'Nov 9-15'!C103</f>
        <v>Y</v>
      </c>
      <c r="D105" s="29">
        <f>'Nov 9-15'!D103</f>
        <v>29</v>
      </c>
      <c r="E105" s="17">
        <f>IFERROR('Nov 2-8'!D103/'Nov 2-8'!C103," ")</f>
        <v>0.44047619047619047</v>
      </c>
      <c r="F105" s="17">
        <f>IFERROR('Nov 2-8'!E103/'Nov 2-8'!C103," ")</f>
        <v>0</v>
      </c>
      <c r="G105" s="17">
        <f>IFERROR('Nov 2-8'!E103/'Nov 2-8'!D103," ")</f>
        <v>0</v>
      </c>
      <c r="H105" s="17">
        <f>IFERROR('Nov 2-8'!F103/'Nov 2-8'!C103," ")</f>
        <v>0</v>
      </c>
      <c r="I105" s="17" t="str">
        <f>IFERROR('Nov 2-8'!F103/'Nov 2-8'!E103," ")</f>
        <v xml:space="preserve"> </v>
      </c>
      <c r="J105" s="17" t="str">
        <f>IFERROR('Nov 2-8'!G103/'Nov 2-8'!F103," ")</f>
        <v xml:space="preserve"> </v>
      </c>
      <c r="K105" s="17">
        <f>IFERROR('Nov 2-8'!H103/'Nov 2-8'!C103," ")</f>
        <v>0</v>
      </c>
      <c r="L105" s="17" t="str">
        <f>IFERROR('Nov 2-8'!H103/'Nov 2-8'!G103," ")</f>
        <v xml:space="preserve"> </v>
      </c>
    </row>
    <row r="106" spans="1:12" ht="12.75">
      <c r="A106" s="1">
        <f t="shared" si="0"/>
        <v>104</v>
      </c>
      <c r="B106" s="1" t="str">
        <f>'Nov 2-8'!B17</f>
        <v>116 Thornton Street Unit 2</v>
      </c>
      <c r="C106" s="29" t="str">
        <f>'Nov 9-15'!C17</f>
        <v>Y</v>
      </c>
      <c r="D106" s="29">
        <f>'Nov 9-15'!D17</f>
        <v>26</v>
      </c>
      <c r="E106" s="17">
        <f>IFERROR('Nov 2-8'!D17/'Nov 2-8'!C17," ")</f>
        <v>8.8607594936708861E-2</v>
      </c>
      <c r="F106" s="17">
        <f>IFERROR('Nov 2-8'!E17/'Nov 2-8'!C17," ")</f>
        <v>0</v>
      </c>
      <c r="G106" s="17">
        <f>IFERROR('Nov 2-8'!E17/'Nov 2-8'!D17," ")</f>
        <v>0</v>
      </c>
      <c r="H106" s="17">
        <f>IFERROR('Nov 2-8'!F17/'Nov 2-8'!C17," ")</f>
        <v>0</v>
      </c>
      <c r="I106" s="17" t="str">
        <f>IFERROR('Nov 2-8'!F17/'Nov 2-8'!E17," ")</f>
        <v xml:space="preserve"> </v>
      </c>
      <c r="J106" s="17" t="str">
        <f>IFERROR('Nov 2-8'!G17/'Nov 2-8'!F17," ")</f>
        <v xml:space="preserve"> </v>
      </c>
      <c r="K106" s="17">
        <f>IFERROR('Nov 2-8'!H17/'Nov 2-8'!C17," ")</f>
        <v>0</v>
      </c>
      <c r="L106" s="17" t="str">
        <f>IFERROR('Nov 2-8'!H17/'Nov 2-8'!G17," ")</f>
        <v xml:space="preserve"> </v>
      </c>
    </row>
    <row r="107" spans="1:12" ht="12.75">
      <c r="A107" s="1">
        <f t="shared" si="0"/>
        <v>105</v>
      </c>
      <c r="B107" s="1" t="str">
        <f>'Nov 2-8'!B18</f>
        <v>116 Thornton Street Unit 3</v>
      </c>
      <c r="C107" s="29" t="str">
        <f>'Nov 9-15'!C18</f>
        <v>Y</v>
      </c>
      <c r="D107" s="29">
        <f>'Nov 9-15'!D18</f>
        <v>30</v>
      </c>
      <c r="E107" s="17">
        <f>IFERROR('Nov 2-8'!D18/'Nov 2-8'!C18," ")</f>
        <v>0.20652173913043478</v>
      </c>
      <c r="F107" s="17">
        <f>IFERROR('Nov 2-8'!E18/'Nov 2-8'!C18," ")</f>
        <v>1.0869565217391304E-2</v>
      </c>
      <c r="G107" s="17">
        <f>IFERROR('Nov 2-8'!E18/'Nov 2-8'!D18," ")</f>
        <v>5.2631578947368418E-2</v>
      </c>
      <c r="H107" s="17">
        <f>IFERROR('Nov 2-8'!F18/'Nov 2-8'!C18," ")</f>
        <v>0</v>
      </c>
      <c r="I107" s="17">
        <f>IFERROR('Nov 2-8'!F18/'Nov 2-8'!E18," ")</f>
        <v>0</v>
      </c>
      <c r="J107" s="17" t="str">
        <f>IFERROR('Nov 2-8'!G18/'Nov 2-8'!F18," ")</f>
        <v xml:space="preserve"> </v>
      </c>
      <c r="K107" s="17">
        <f>IFERROR('Nov 2-8'!H18/'Nov 2-8'!C18," ")</f>
        <v>0</v>
      </c>
      <c r="L107" s="17" t="str">
        <f>IFERROR('Nov 2-8'!H18/'Nov 2-8'!G18," ")</f>
        <v xml:space="preserve"> </v>
      </c>
    </row>
    <row r="108" spans="1:12" ht="12.75">
      <c r="A108" s="1">
        <f t="shared" si="0"/>
        <v>106</v>
      </c>
      <c r="B108" s="1" t="str">
        <f>'Nov 2-8'!B61</f>
        <v>25 Howes Street Unit 2</v>
      </c>
      <c r="C108" s="29" t="str">
        <f>'Nov 9-15'!C61</f>
        <v>N</v>
      </c>
      <c r="D108" s="29">
        <f>'Nov 9-15'!D61</f>
        <v>0</v>
      </c>
      <c r="E108" s="17">
        <f>IFERROR('Nov 2-8'!D61/'Nov 2-8'!C61," ")</f>
        <v>0.5</v>
      </c>
      <c r="F108" s="17">
        <f>IFERROR('Nov 2-8'!E61/'Nov 2-8'!C61," ")</f>
        <v>0</v>
      </c>
      <c r="G108" s="17">
        <f>IFERROR('Nov 2-8'!E61/'Nov 2-8'!D61," ")</f>
        <v>0</v>
      </c>
      <c r="H108" s="17">
        <f>IFERROR('Nov 2-8'!F61/'Nov 2-8'!C61," ")</f>
        <v>0</v>
      </c>
      <c r="I108" s="17" t="str">
        <f>IFERROR('Nov 2-8'!F61/'Nov 2-8'!E61," ")</f>
        <v xml:space="preserve"> </v>
      </c>
      <c r="J108" s="17" t="str">
        <f>IFERROR('Nov 2-8'!G61/'Nov 2-8'!F61," ")</f>
        <v xml:space="preserve"> </v>
      </c>
      <c r="K108" s="17">
        <f>IFERROR('Nov 2-8'!H61/'Nov 2-8'!C61," ")</f>
        <v>0</v>
      </c>
      <c r="L108" s="17" t="str">
        <f>IFERROR('Nov 2-8'!H61/'Nov 2-8'!G61," ")</f>
        <v xml:space="preserve"> </v>
      </c>
    </row>
    <row r="109" spans="1:12" ht="12.75">
      <c r="A109" s="1">
        <f t="shared" si="0"/>
        <v>107</v>
      </c>
      <c r="B109" s="1" t="str">
        <f>'Nov 2-8'!B62</f>
        <v>25 Howes Street Unit 3</v>
      </c>
      <c r="C109" s="29" t="str">
        <f>'Nov 9-15'!C62</f>
        <v>Y</v>
      </c>
      <c r="D109" s="29">
        <f>'Nov 9-15'!D62</f>
        <v>11</v>
      </c>
      <c r="E109" s="17">
        <f>IFERROR('Nov 2-8'!D62/'Nov 2-8'!C62," ")</f>
        <v>0.32558139534883723</v>
      </c>
      <c r="F109" s="17">
        <f>IFERROR('Nov 2-8'!E62/'Nov 2-8'!C62," ")</f>
        <v>0</v>
      </c>
      <c r="G109" s="17">
        <f>IFERROR('Nov 2-8'!E62/'Nov 2-8'!D62," ")</f>
        <v>0</v>
      </c>
      <c r="H109" s="17">
        <f>IFERROR('Nov 2-8'!F62/'Nov 2-8'!C62," ")</f>
        <v>0</v>
      </c>
      <c r="I109" s="17" t="str">
        <f>IFERROR('Nov 2-8'!F62/'Nov 2-8'!E62," ")</f>
        <v xml:space="preserve"> </v>
      </c>
      <c r="J109" s="17" t="str">
        <f>IFERROR('Nov 2-8'!G62/'Nov 2-8'!F62," ")</f>
        <v xml:space="preserve"> </v>
      </c>
      <c r="K109" s="17">
        <f>IFERROR('Nov 2-8'!H62/'Nov 2-8'!C62," ")</f>
        <v>0</v>
      </c>
      <c r="L109" s="17" t="str">
        <f>IFERROR('Nov 2-8'!H62/'Nov 2-8'!G62," ")</f>
        <v xml:space="preserve"> </v>
      </c>
    </row>
    <row r="110" spans="1:12" ht="12.75">
      <c r="A110" s="1">
        <f t="shared" si="0"/>
        <v>108</v>
      </c>
      <c r="B110" s="1" t="str">
        <f>'Nov 2-8'!B63</f>
        <v>26 Washington Terrace Unit 1</v>
      </c>
      <c r="C110" s="29" t="str">
        <f>'Nov 9-15'!C63</f>
        <v>N</v>
      </c>
      <c r="D110" s="29">
        <f>'Nov 9-15'!D63</f>
        <v>0</v>
      </c>
      <c r="E110" s="17" t="str">
        <f>IFERROR('Nov 2-8'!D63/'Nov 2-8'!C63," ")</f>
        <v xml:space="preserve"> </v>
      </c>
      <c r="F110" s="17" t="str">
        <f>IFERROR('Nov 2-8'!E63/'Nov 2-8'!C63," ")</f>
        <v xml:space="preserve"> </v>
      </c>
      <c r="G110" s="17" t="str">
        <f>IFERROR('Nov 2-8'!E63/'Nov 2-8'!D63," ")</f>
        <v xml:space="preserve"> </v>
      </c>
      <c r="H110" s="17" t="str">
        <f>IFERROR('Nov 2-8'!F63/'Nov 2-8'!C63," ")</f>
        <v xml:space="preserve"> </v>
      </c>
      <c r="I110" s="17" t="str">
        <f>IFERROR('Nov 2-8'!F63/'Nov 2-8'!E63," ")</f>
        <v xml:space="preserve"> </v>
      </c>
      <c r="J110" s="17" t="str">
        <f>IFERROR('Nov 2-8'!G63/'Nov 2-8'!F63," ")</f>
        <v xml:space="preserve"> </v>
      </c>
      <c r="K110" s="17" t="str">
        <f>IFERROR('Nov 2-8'!H63/'Nov 2-8'!C63," ")</f>
        <v xml:space="preserve"> </v>
      </c>
      <c r="L110" s="17" t="str">
        <f>IFERROR('Nov 2-8'!H63/'Nov 2-8'!G63," ")</f>
        <v xml:space="preserve"> </v>
      </c>
    </row>
    <row r="111" spans="1:12" ht="12.75">
      <c r="A111" s="1">
        <f t="shared" si="0"/>
        <v>109</v>
      </c>
      <c r="B111" s="1" t="str">
        <f>'Nov 2-8'!B64</f>
        <v>26 Washington Terrace Unit 2</v>
      </c>
      <c r="C111" s="29" t="str">
        <f>'Nov 9-15'!C64</f>
        <v>N</v>
      </c>
      <c r="D111" s="29">
        <f>'Nov 9-15'!D64</f>
        <v>0</v>
      </c>
      <c r="E111" s="17">
        <f>IFERROR('Nov 2-8'!D64/'Nov 2-8'!C64," ")</f>
        <v>0.5</v>
      </c>
      <c r="F111" s="17">
        <f>IFERROR('Nov 2-8'!E64/'Nov 2-8'!C64," ")</f>
        <v>0</v>
      </c>
      <c r="G111" s="17">
        <f>IFERROR('Nov 2-8'!E64/'Nov 2-8'!D64," ")</f>
        <v>0</v>
      </c>
      <c r="H111" s="17">
        <f>IFERROR('Nov 2-8'!F64/'Nov 2-8'!C64," ")</f>
        <v>0</v>
      </c>
      <c r="I111" s="17" t="str">
        <f>IFERROR('Nov 2-8'!F64/'Nov 2-8'!E64," ")</f>
        <v xml:space="preserve"> </v>
      </c>
      <c r="J111" s="17" t="str">
        <f>IFERROR('Nov 2-8'!G64/'Nov 2-8'!F64," ")</f>
        <v xml:space="preserve"> </v>
      </c>
      <c r="K111" s="17">
        <f>IFERROR('Nov 2-8'!H64/'Nov 2-8'!C64," ")</f>
        <v>0</v>
      </c>
      <c r="L111" s="17" t="str">
        <f>IFERROR('Nov 2-8'!H64/'Nov 2-8'!G64," ")</f>
        <v xml:space="preserve"> </v>
      </c>
    </row>
    <row r="112" spans="1:12" ht="12.75">
      <c r="B112" s="1">
        <f>'Nov 2-8'!B112</f>
        <v>0</v>
      </c>
      <c r="E112" s="17" t="str">
        <f>IFERROR('Nov 2-8'!D112/'Nov 2-8'!C112," ")</f>
        <v xml:space="preserve"> </v>
      </c>
      <c r="F112" s="17" t="str">
        <f>IFERROR('Nov 2-8'!E112/'Nov 2-8'!C112," ")</f>
        <v xml:space="preserve"> </v>
      </c>
      <c r="G112" s="17" t="str">
        <f>IFERROR('Nov 2-8'!E112/'Nov 2-8'!D112," ")</f>
        <v xml:space="preserve"> </v>
      </c>
      <c r="H112" s="17" t="str">
        <f>IFERROR('Nov 2-8'!F112/'Nov 2-8'!C112," ")</f>
        <v xml:space="preserve"> </v>
      </c>
      <c r="I112" s="17" t="str">
        <f>IFERROR('Nov 2-8'!F112/'Nov 2-8'!E112," ")</f>
        <v xml:space="preserve"> </v>
      </c>
      <c r="J112" s="17" t="str">
        <f>IFERROR('Nov 2-8'!G112/'Nov 2-8'!F112," ")</f>
        <v xml:space="preserve"> </v>
      </c>
      <c r="K112" s="17" t="str">
        <f>IFERROR('Nov 2-8'!H112/'Nov 2-8'!C112," ")</f>
        <v xml:space="preserve"> </v>
      </c>
      <c r="L112" s="17" t="str">
        <f>IFERROR('Nov 2-8'!H112/'Nov 2-8'!G112," ")</f>
        <v xml:space="preserve"> </v>
      </c>
    </row>
    <row r="113" spans="2:29" ht="13.15">
      <c r="B113" s="30" t="str">
        <f>'Nov 2-8'!B113</f>
        <v>TOTAL</v>
      </c>
      <c r="C113" s="30"/>
      <c r="D113" s="30"/>
      <c r="E113" s="33">
        <f>IFERROR('Nov 2-8'!D113/'Nov 2-8'!C113," ")</f>
        <v>0.27688105289297243</v>
      </c>
      <c r="F113" s="33">
        <f>IFERROR('Nov 2-8'!E113/'Nov 2-8'!C113," ")</f>
        <v>7.573876334740502E-3</v>
      </c>
      <c r="G113" s="33">
        <f>IFERROR('Nov 2-8'!E113/'Nov 2-8'!D113," ")</f>
        <v>2.7354260089686097E-2</v>
      </c>
      <c r="H113" s="33">
        <f>IFERROR('Nov 2-8'!F113/'Nov 2-8'!C113," ")</f>
        <v>8.6913334988825424E-4</v>
      </c>
      <c r="I113" s="33">
        <f>IFERROR('Nov 2-8'!F113/'Nov 2-8'!E113," ")</f>
        <v>0.11475409836065574</v>
      </c>
      <c r="J113" s="33">
        <f>IFERROR('Nov 2-8'!G113/'Nov 2-8'!F113," ")</f>
        <v>0.8571428571428571</v>
      </c>
      <c r="K113" s="33">
        <f>IFERROR('Nov 2-8'!H113/'Nov 2-8'!C113," ")</f>
        <v>6.2080953563446739E-4</v>
      </c>
      <c r="L113" s="33">
        <f>IFERROR('Nov 2-8'!H113/'Nov 2-8'!G113," ")</f>
        <v>0.83333333333333337</v>
      </c>
      <c r="M113" s="33">
        <f>'Nov 2-8'!H113/'Nov 2-8'!E113</f>
        <v>8.1967213114754092E-2</v>
      </c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</row>
    <row r="114" spans="2:29" ht="12.75">
      <c r="B114" s="1">
        <f>'Nov 9-15'!B114</f>
        <v>0</v>
      </c>
    </row>
  </sheetData>
  <autoFilter ref="B2:L111" xr:uid="{00000000-0009-0000-0000-000014000000}">
    <sortState xmlns:xlrd2="http://schemas.microsoft.com/office/spreadsheetml/2017/richdata2" ref="B2:L111">
      <sortCondition ref="B2:B1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Rooms Master</vt:lpstr>
      <vt:lpstr>Jan 4 - Jan 10</vt:lpstr>
      <vt:lpstr>Dec 28 - Jan 3</vt:lpstr>
      <vt:lpstr>Growth 21-27 vs 28-3</vt:lpstr>
      <vt:lpstr>Dec 21 - Dec 27</vt:lpstr>
      <vt:lpstr>Dec 14 - Dec 20</vt:lpstr>
      <vt:lpstr>Growth 7-13 vs 14-20</vt:lpstr>
      <vt:lpstr>Growth 30-6 vs 7-13</vt:lpstr>
      <vt:lpstr>Dec 7 - Dec 13</vt:lpstr>
      <vt:lpstr>Growth 23-29 vs 30-6</vt:lpstr>
      <vt:lpstr>Nov 30 - Dec 6</vt:lpstr>
      <vt:lpstr>Unit Pageviews Summary</vt:lpstr>
      <vt:lpstr>Growth 16-22 vs 23-29</vt:lpstr>
      <vt:lpstr>Nov 23-29</vt:lpstr>
      <vt:lpstr>Nov 23-29 Conversion</vt:lpstr>
      <vt:lpstr>Nov 16-22</vt:lpstr>
      <vt:lpstr>Nov 16-22 Conversion</vt:lpstr>
      <vt:lpstr>Nov 9-15 Conversion</vt:lpstr>
      <vt:lpstr>Nov 9-15</vt:lpstr>
      <vt:lpstr>Nov 2-8</vt:lpstr>
      <vt:lpstr>Nov 2-8 Conversion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LATITUDE E7470</cp:lastModifiedBy>
  <dcterms:modified xsi:type="dcterms:W3CDTF">2021-01-13T14:52:13Z</dcterms:modified>
</cp:coreProperties>
</file>