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phanieagbenorhevi/Desktop/mods/mods 2/itp/"/>
    </mc:Choice>
  </mc:AlternateContent>
  <xr:revisionPtr revIDLastSave="0" documentId="8_{36A39C8C-CCEE-E24B-9F67-44C24135580E}" xr6:coauthVersionLast="46" xr6:coauthVersionMax="46" xr10:uidLastSave="{00000000-0000-0000-0000-000000000000}"/>
  <bookViews>
    <workbookView xWindow="0" yWindow="460" windowWidth="28800" windowHeight="15840" tabRatio="883" xr2:uid="{00000000-000D-0000-FFFF-FFFF00000000}"/>
  </bookViews>
  <sheets>
    <sheet name="Information_Page" sheetId="42" r:id="rId1"/>
    <sheet name="Portfolio" sheetId="1" r:id="rId2"/>
    <sheet name="Q1_OffSet" sheetId="33" r:id="rId3"/>
    <sheet name="Q2-PivotTable" sheetId="49" r:id="rId4"/>
    <sheet name="Q3-CustomSort" sheetId="10" r:id="rId5"/>
    <sheet name="Q4-CF" sheetId="37" r:id="rId6"/>
    <sheet name="Q5-IF" sheetId="50" r:id="rId7"/>
    <sheet name="Q6-Large Cap Data" sheetId="17" r:id="rId8"/>
    <sheet name="Q7-Chart" sheetId="29" r:id="rId9"/>
    <sheet name="Q8-Subtotal" sheetId="28" r:id="rId10"/>
    <sheet name="Q9-Scatterplot" sheetId="27" r:id="rId11"/>
    <sheet name="Q10Vlookup" sheetId="38" r:id="rId12"/>
    <sheet name="Q11_ScenarioAnalysis" sheetId="40" r:id="rId13"/>
    <sheet name="Q12_FindReturn" sheetId="43" r:id="rId14"/>
    <sheet name="Q13-Solver" sheetId="45" r:id="rId15"/>
    <sheet name="Answer Report 1" sheetId="52" r:id="rId16"/>
    <sheet name="CONTROL SPW1" sheetId="48" r:id="rId17"/>
  </sheets>
  <definedNames>
    <definedName name="_xlnm._FilterDatabase" localSheetId="1" hidden="1">Portfolio!$B$10:$R$21</definedName>
    <definedName name="_xlnm._FilterDatabase" localSheetId="2" hidden="1">Q1_OffSet!$B$10:$R$21</definedName>
    <definedName name="_xlnm._FilterDatabase" localSheetId="13" hidden="1">Q12_FindReturn!$B$8:$R$22</definedName>
    <definedName name="Criteria5">'Q6-Large Cap Data'!$A$6:$Q$7</definedName>
    <definedName name="Database5">Portfolio!$B$10:$R$21</definedName>
    <definedName name="_xlnm.Extract" localSheetId="1">Portfolio!$B$25:$R$25</definedName>
    <definedName name="_xlnm.Print_Area" localSheetId="1">Portfolio!$A$10:$G$21</definedName>
    <definedName name="_xlnm.Print_Area" localSheetId="2">Q1_OffSet!$A$10:$G$21</definedName>
    <definedName name="solver_adj" localSheetId="14" hidden="1">'Q13-Solver'!$E$18:$E$28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itr" localSheetId="14" hidden="1">2147483647</definedName>
    <definedName name="solver_lhs1" localSheetId="14" hidden="1">'Q13-Solver'!$E$18:$E$28</definedName>
    <definedName name="solver_lhs2" localSheetId="14" hidden="1">'Q13-Solver'!$E$29</definedName>
    <definedName name="solver_lhs3" localSheetId="14" hidden="1">'Q13-Solver'!$G$29</definedName>
    <definedName name="solver_lin" localSheetId="14" hidden="1">2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3</definedName>
    <definedName name="solver_opt" localSheetId="14" hidden="1">'Q13-Solver'!$O$29</definedName>
    <definedName name="solver_pre" localSheetId="14" hidden="1">0.000001</definedName>
    <definedName name="solver_rbv" localSheetId="14" hidden="1">1</definedName>
    <definedName name="solver_rel1" localSheetId="14" hidden="1">3</definedName>
    <definedName name="solver_rel2" localSheetId="14" hidden="1">1</definedName>
    <definedName name="solver_rel3" localSheetId="14" hidden="1">1</definedName>
    <definedName name="solver_rhs1" localSheetId="14" hidden="1">'Q13-Solver'!$S$18:$S$28</definedName>
    <definedName name="solver_rhs2" localSheetId="14" hidden="1">1750</definedName>
    <definedName name="solver_rhs3" localSheetId="14" hidden="1">15600.4</definedName>
    <definedName name="solver_rlx" localSheetId="14" hidden="1">1</definedName>
    <definedName name="solver_rsd" localSheetId="14" hidden="1">0</definedName>
    <definedName name="solver_scl" localSheetId="14" hidden="1">2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1</definedName>
    <definedName name="solver_val" localSheetId="14" hidden="1">0</definedName>
    <definedName name="solver_ver" localSheetId="14" hidden="1">2</definedName>
  </definedNames>
  <calcPr calcId="191029"/>
  <pivotCaches>
    <pivotCache cacheId="7" r:id="rId18"/>
    <pivotCache cacheId="1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45" l="1"/>
  <c r="E29" i="45"/>
  <c r="D34" i="45"/>
  <c r="D33" i="45"/>
  <c r="D35" i="45" s="1"/>
  <c r="D32" i="45"/>
  <c r="D8" i="38"/>
  <c r="C8" i="38"/>
  <c r="B8" i="38"/>
  <c r="A8" i="38"/>
  <c r="E24" i="28"/>
  <c r="E19" i="28"/>
  <c r="E15" i="28"/>
  <c r="E25" i="28" s="1"/>
  <c r="D16" i="17"/>
  <c r="D14" i="17"/>
  <c r="D12" i="17"/>
  <c r="A8" i="50"/>
  <c r="A9" i="50"/>
  <c r="A10" i="50"/>
  <c r="A11" i="50"/>
  <c r="A12" i="50"/>
  <c r="A13" i="50"/>
  <c r="A14" i="50"/>
  <c r="A15" i="50"/>
  <c r="A16" i="50"/>
  <c r="A17" i="50"/>
  <c r="A7" i="50"/>
  <c r="C27" i="33"/>
  <c r="C26" i="33"/>
  <c r="C25" i="33"/>
  <c r="S12" i="33"/>
  <c r="S13" i="33"/>
  <c r="S14" i="33"/>
  <c r="S15" i="33"/>
  <c r="S16" i="33"/>
  <c r="S17" i="33"/>
  <c r="S18" i="33"/>
  <c r="S19" i="33"/>
  <c r="S20" i="33"/>
  <c r="S21" i="33"/>
  <c r="S11" i="33"/>
  <c r="Q17" i="50"/>
  <c r="P17" i="50"/>
  <c r="N17" i="50"/>
  <c r="L17" i="50"/>
  <c r="M17" i="50" s="1"/>
  <c r="O17" i="50" s="1"/>
  <c r="Q16" i="50"/>
  <c r="P16" i="50"/>
  <c r="N16" i="50"/>
  <c r="L16" i="50"/>
  <c r="M16" i="50" s="1"/>
  <c r="Q15" i="50"/>
  <c r="P15" i="50"/>
  <c r="N15" i="50"/>
  <c r="L15" i="50"/>
  <c r="M15" i="50" s="1"/>
  <c r="Q14" i="50"/>
  <c r="P14" i="50"/>
  <c r="N14" i="50"/>
  <c r="L14" i="50"/>
  <c r="M14" i="50" s="1"/>
  <c r="Q13" i="50"/>
  <c r="P13" i="50"/>
  <c r="N13" i="50"/>
  <c r="L13" i="50"/>
  <c r="M13" i="50" s="1"/>
  <c r="Q12" i="50"/>
  <c r="P12" i="50"/>
  <c r="N12" i="50"/>
  <c r="L12" i="50"/>
  <c r="M12" i="50" s="1"/>
  <c r="Q11" i="50"/>
  <c r="P11" i="50"/>
  <c r="N11" i="50"/>
  <c r="L11" i="50"/>
  <c r="M11" i="50" s="1"/>
  <c r="Q10" i="50"/>
  <c r="P10" i="50"/>
  <c r="N10" i="50"/>
  <c r="L10" i="50"/>
  <c r="M10" i="50" s="1"/>
  <c r="Q9" i="50"/>
  <c r="P9" i="50"/>
  <c r="N9" i="50"/>
  <c r="L9" i="50"/>
  <c r="M9" i="50" s="1"/>
  <c r="Q8" i="50"/>
  <c r="P8" i="50"/>
  <c r="N8" i="50"/>
  <c r="L8" i="50"/>
  <c r="M8" i="50" s="1"/>
  <c r="Q7" i="50"/>
  <c r="P7" i="50"/>
  <c r="N7" i="50"/>
  <c r="M7" i="50"/>
  <c r="L7" i="50"/>
  <c r="Q8" i="37"/>
  <c r="Q9" i="37"/>
  <c r="Q10" i="37"/>
  <c r="Q11" i="37"/>
  <c r="Q12" i="37"/>
  <c r="Q13" i="37"/>
  <c r="Q14" i="37"/>
  <c r="Q15" i="37"/>
  <c r="Q16" i="37"/>
  <c r="Q17" i="37"/>
  <c r="O7" i="50" l="1"/>
  <c r="O11" i="50"/>
  <c r="O15" i="50"/>
  <c r="O13" i="50"/>
  <c r="N18" i="50"/>
  <c r="R9" i="50" s="1"/>
  <c r="O14" i="50"/>
  <c r="O9" i="50"/>
  <c r="O10" i="50"/>
  <c r="O16" i="50"/>
  <c r="M18" i="50"/>
  <c r="O8" i="50"/>
  <c r="O12" i="50"/>
  <c r="R17" i="50" l="1"/>
  <c r="R12" i="50"/>
  <c r="R16" i="50"/>
  <c r="R13" i="50"/>
  <c r="R8" i="50"/>
  <c r="R11" i="50"/>
  <c r="R10" i="50"/>
  <c r="R14" i="50"/>
  <c r="R7" i="50"/>
  <c r="R15" i="50"/>
  <c r="O18" i="50"/>
  <c r="R18" i="50"/>
  <c r="Q11" i="33" l="1"/>
  <c r="Q13" i="10"/>
  <c r="P13" i="10"/>
  <c r="N13" i="10"/>
  <c r="L13" i="10"/>
  <c r="M13" i="10" s="1"/>
  <c r="P15" i="37"/>
  <c r="N15" i="37"/>
  <c r="L15" i="37"/>
  <c r="M15" i="37" s="1"/>
  <c r="Q21" i="28"/>
  <c r="P21" i="28"/>
  <c r="N21" i="28"/>
  <c r="M21" i="28"/>
  <c r="L21" i="28"/>
  <c r="Q21" i="38"/>
  <c r="P21" i="38"/>
  <c r="N21" i="38"/>
  <c r="L21" i="38"/>
  <c r="M21" i="38" s="1"/>
  <c r="L15" i="38"/>
  <c r="M15" i="38" s="1"/>
  <c r="L16" i="38"/>
  <c r="M16" i="38" s="1"/>
  <c r="L17" i="38"/>
  <c r="L18" i="38"/>
  <c r="L19" i="38"/>
  <c r="M19" i="38" s="1"/>
  <c r="L20" i="38"/>
  <c r="Q21" i="40"/>
  <c r="P21" i="40"/>
  <c r="N21" i="40"/>
  <c r="O21" i="40" s="1"/>
  <c r="L21" i="40"/>
  <c r="M21" i="40"/>
  <c r="Q19" i="45"/>
  <c r="P19" i="45"/>
  <c r="N19" i="45"/>
  <c r="L19" i="45"/>
  <c r="M19" i="45" s="1"/>
  <c r="Q19" i="43"/>
  <c r="P19" i="43"/>
  <c r="N19" i="43"/>
  <c r="L19" i="43"/>
  <c r="M19" i="43" s="1"/>
  <c r="Q12" i="1"/>
  <c r="Q13" i="1"/>
  <c r="Q14" i="1"/>
  <c r="Q15" i="1"/>
  <c r="Q16" i="1"/>
  <c r="Q17" i="1"/>
  <c r="Q18" i="1"/>
  <c r="Q19" i="1"/>
  <c r="Q20" i="1"/>
  <c r="Q21" i="1"/>
  <c r="Q11" i="1"/>
  <c r="Q18" i="33"/>
  <c r="P20" i="33"/>
  <c r="N20" i="33"/>
  <c r="L20" i="33"/>
  <c r="M20" i="33" s="1"/>
  <c r="Q20" i="33"/>
  <c r="P17" i="1"/>
  <c r="N17" i="1"/>
  <c r="L17" i="1"/>
  <c r="M17" i="1" s="1"/>
  <c r="Q20" i="45"/>
  <c r="Q21" i="45"/>
  <c r="Q22" i="45"/>
  <c r="Q23" i="45"/>
  <c r="Q24" i="45"/>
  <c r="Q25" i="45"/>
  <c r="Q26" i="45"/>
  <c r="Q27" i="45"/>
  <c r="Q28" i="45"/>
  <c r="Q18" i="45"/>
  <c r="Q12" i="43"/>
  <c r="Q13" i="43"/>
  <c r="Q14" i="43"/>
  <c r="Q15" i="43"/>
  <c r="Q16" i="43"/>
  <c r="Q17" i="43"/>
  <c r="Q18" i="43"/>
  <c r="Q20" i="43"/>
  <c r="Q21" i="43"/>
  <c r="Q11" i="43"/>
  <c r="Q15" i="40"/>
  <c r="Q16" i="40"/>
  <c r="Q17" i="40"/>
  <c r="Q18" i="40"/>
  <c r="Q19" i="40"/>
  <c r="Q20" i="40"/>
  <c r="Q22" i="40"/>
  <c r="Q23" i="40"/>
  <c r="Q24" i="40"/>
  <c r="Q14" i="40"/>
  <c r="Q15" i="38"/>
  <c r="Q16" i="38"/>
  <c r="Q17" i="38"/>
  <c r="Q18" i="38"/>
  <c r="Q19" i="38"/>
  <c r="Q20" i="38"/>
  <c r="Q22" i="38"/>
  <c r="Q23" i="38"/>
  <c r="Q24" i="38"/>
  <c r="Q14" i="38"/>
  <c r="Q12" i="28"/>
  <c r="Q13" i="28"/>
  <c r="Q14" i="28"/>
  <c r="Q16" i="28"/>
  <c r="Q17" i="28"/>
  <c r="Q18" i="28"/>
  <c r="Q20" i="28"/>
  <c r="Q22" i="28"/>
  <c r="Q23" i="28"/>
  <c r="Q11" i="28"/>
  <c r="Q7" i="37"/>
  <c r="Q7" i="10"/>
  <c r="Q17" i="10"/>
  <c r="Q9" i="10"/>
  <c r="Q12" i="10"/>
  <c r="Q10" i="10"/>
  <c r="Q11" i="10"/>
  <c r="Q16" i="10"/>
  <c r="Q14" i="10"/>
  <c r="Q15" i="10"/>
  <c r="Q8" i="10"/>
  <c r="Q12" i="33"/>
  <c r="Q13" i="33"/>
  <c r="Q14" i="33"/>
  <c r="Q15" i="33"/>
  <c r="Q16" i="33"/>
  <c r="Q17" i="33"/>
  <c r="Q19" i="33"/>
  <c r="Q21" i="33"/>
  <c r="P28" i="45"/>
  <c r="N28" i="45"/>
  <c r="L28" i="45"/>
  <c r="M28" i="45" s="1"/>
  <c r="P27" i="45"/>
  <c r="N27" i="45"/>
  <c r="L27" i="45"/>
  <c r="M27" i="45" s="1"/>
  <c r="P26" i="45"/>
  <c r="N26" i="45"/>
  <c r="L26" i="45"/>
  <c r="M26" i="45" s="1"/>
  <c r="P25" i="45"/>
  <c r="N25" i="45"/>
  <c r="L25" i="45"/>
  <c r="M25" i="45" s="1"/>
  <c r="P24" i="45"/>
  <c r="N24" i="45"/>
  <c r="L24" i="45"/>
  <c r="M24" i="45" s="1"/>
  <c r="P23" i="45"/>
  <c r="N23" i="45"/>
  <c r="L23" i="45"/>
  <c r="M23" i="45" s="1"/>
  <c r="P22" i="45"/>
  <c r="N22" i="45"/>
  <c r="L22" i="45"/>
  <c r="M22" i="45" s="1"/>
  <c r="P21" i="45"/>
  <c r="N21" i="45"/>
  <c r="L21" i="45"/>
  <c r="M21" i="45" s="1"/>
  <c r="P20" i="45"/>
  <c r="N20" i="45"/>
  <c r="L20" i="45"/>
  <c r="M20" i="45" s="1"/>
  <c r="P18" i="45"/>
  <c r="N18" i="45"/>
  <c r="L18" i="45"/>
  <c r="M18" i="45" s="1"/>
  <c r="P21" i="43"/>
  <c r="N21" i="43"/>
  <c r="L21" i="43"/>
  <c r="M21" i="43" s="1"/>
  <c r="P20" i="43"/>
  <c r="N20" i="43"/>
  <c r="L20" i="43"/>
  <c r="M20" i="43" s="1"/>
  <c r="O20" i="43" s="1"/>
  <c r="P18" i="43"/>
  <c r="N18" i="43"/>
  <c r="L18" i="43"/>
  <c r="M18" i="43" s="1"/>
  <c r="P17" i="43"/>
  <c r="N17" i="43"/>
  <c r="L17" i="43"/>
  <c r="M17" i="43" s="1"/>
  <c r="P16" i="43"/>
  <c r="N16" i="43"/>
  <c r="L16" i="43"/>
  <c r="M16" i="43"/>
  <c r="O16" i="43" s="1"/>
  <c r="P15" i="43"/>
  <c r="N15" i="43"/>
  <c r="L15" i="43"/>
  <c r="M15" i="43" s="1"/>
  <c r="O15" i="43" s="1"/>
  <c r="P14" i="43"/>
  <c r="N14" i="43"/>
  <c r="L14" i="43"/>
  <c r="M14" i="43" s="1"/>
  <c r="O14" i="43" s="1"/>
  <c r="P13" i="43"/>
  <c r="N13" i="43"/>
  <c r="L13" i="43"/>
  <c r="M13" i="43" s="1"/>
  <c r="P12" i="43"/>
  <c r="N12" i="43"/>
  <c r="L12" i="43"/>
  <c r="M12" i="43" s="1"/>
  <c r="O12" i="43" s="1"/>
  <c r="P11" i="43"/>
  <c r="N11" i="43"/>
  <c r="L11" i="43"/>
  <c r="M11" i="43" s="1"/>
  <c r="O11" i="43" s="1"/>
  <c r="P24" i="40"/>
  <c r="N24" i="40"/>
  <c r="L24" i="40"/>
  <c r="M24" i="40" s="1"/>
  <c r="O24" i="40" s="1"/>
  <c r="P23" i="40"/>
  <c r="N23" i="40"/>
  <c r="L23" i="40"/>
  <c r="M23" i="40" s="1"/>
  <c r="P22" i="40"/>
  <c r="N22" i="40"/>
  <c r="L22" i="40"/>
  <c r="M22" i="40" s="1"/>
  <c r="P20" i="40"/>
  <c r="N20" i="40"/>
  <c r="L20" i="40"/>
  <c r="M20" i="40" s="1"/>
  <c r="O20" i="40" s="1"/>
  <c r="P19" i="40"/>
  <c r="N19" i="40"/>
  <c r="L19" i="40"/>
  <c r="M19" i="40" s="1"/>
  <c r="P18" i="40"/>
  <c r="N18" i="40"/>
  <c r="L18" i="40"/>
  <c r="M18" i="40" s="1"/>
  <c r="P17" i="40"/>
  <c r="N17" i="40"/>
  <c r="L17" i="40"/>
  <c r="M17" i="40" s="1"/>
  <c r="P16" i="40"/>
  <c r="N16" i="40"/>
  <c r="L16" i="40"/>
  <c r="M16" i="40" s="1"/>
  <c r="P15" i="40"/>
  <c r="N15" i="40"/>
  <c r="L15" i="40"/>
  <c r="M15" i="40" s="1"/>
  <c r="P14" i="40"/>
  <c r="N14" i="40"/>
  <c r="L14" i="40"/>
  <c r="M14" i="40" s="1"/>
  <c r="O14" i="40" s="1"/>
  <c r="P24" i="38"/>
  <c r="N24" i="38"/>
  <c r="L24" i="38"/>
  <c r="M24" i="38" s="1"/>
  <c r="O24" i="38" s="1"/>
  <c r="P23" i="38"/>
  <c r="N23" i="38"/>
  <c r="L23" i="38"/>
  <c r="M23" i="38" s="1"/>
  <c r="O23" i="38" s="1"/>
  <c r="P22" i="38"/>
  <c r="N22" i="38"/>
  <c r="L22" i="38"/>
  <c r="M22" i="38" s="1"/>
  <c r="O22" i="38" s="1"/>
  <c r="P20" i="38"/>
  <c r="N20" i="38"/>
  <c r="M20" i="38"/>
  <c r="P19" i="38"/>
  <c r="N19" i="38"/>
  <c r="P18" i="38"/>
  <c r="N18" i="38"/>
  <c r="M18" i="38"/>
  <c r="P17" i="38"/>
  <c r="N17" i="38"/>
  <c r="M17" i="38"/>
  <c r="P16" i="38"/>
  <c r="N16" i="38"/>
  <c r="O16" i="38" s="1"/>
  <c r="P15" i="38"/>
  <c r="N15" i="38"/>
  <c r="P14" i="38"/>
  <c r="N14" i="38"/>
  <c r="L14" i="38"/>
  <c r="M14" i="38" s="1"/>
  <c r="P20" i="28"/>
  <c r="N20" i="28"/>
  <c r="L20" i="28"/>
  <c r="M20" i="28" s="1"/>
  <c r="P18" i="28"/>
  <c r="N18" i="28"/>
  <c r="L18" i="28"/>
  <c r="M18" i="28" s="1"/>
  <c r="P17" i="28"/>
  <c r="N17" i="28"/>
  <c r="L17" i="28"/>
  <c r="M17" i="28" s="1"/>
  <c r="O17" i="28" s="1"/>
  <c r="P22" i="28"/>
  <c r="N22" i="28"/>
  <c r="L22" i="28"/>
  <c r="M22" i="28"/>
  <c r="P13" i="28"/>
  <c r="N13" i="28"/>
  <c r="L13" i="28"/>
  <c r="M13" i="28" s="1"/>
  <c r="O13" i="28" s="1"/>
  <c r="P12" i="28"/>
  <c r="N12" i="28"/>
  <c r="L12" i="28"/>
  <c r="M12" i="28" s="1"/>
  <c r="O12" i="28" s="1"/>
  <c r="P23" i="28"/>
  <c r="N23" i="28"/>
  <c r="L23" i="28"/>
  <c r="M23" i="28" s="1"/>
  <c r="P16" i="28"/>
  <c r="N16" i="28"/>
  <c r="L16" i="28"/>
  <c r="M16" i="28" s="1"/>
  <c r="M19" i="28" s="1"/>
  <c r="P14" i="28"/>
  <c r="N14" i="28"/>
  <c r="L14" i="28"/>
  <c r="M14" i="28" s="1"/>
  <c r="O14" i="28" s="1"/>
  <c r="P11" i="28"/>
  <c r="N11" i="28"/>
  <c r="L11" i="28"/>
  <c r="M11" i="28"/>
  <c r="P17" i="37"/>
  <c r="N17" i="37"/>
  <c r="L17" i="37"/>
  <c r="M17" i="37" s="1"/>
  <c r="P16" i="37"/>
  <c r="N16" i="37"/>
  <c r="L16" i="37"/>
  <c r="M16" i="37" s="1"/>
  <c r="P14" i="37"/>
  <c r="N14" i="37"/>
  <c r="L14" i="37"/>
  <c r="M14" i="37" s="1"/>
  <c r="O14" i="37" s="1"/>
  <c r="P13" i="37"/>
  <c r="N13" i="37"/>
  <c r="L13" i="37"/>
  <c r="M13" i="37" s="1"/>
  <c r="P12" i="37"/>
  <c r="N12" i="37"/>
  <c r="L12" i="37"/>
  <c r="M12" i="37" s="1"/>
  <c r="O12" i="37" s="1"/>
  <c r="P11" i="37"/>
  <c r="N11" i="37"/>
  <c r="L11" i="37"/>
  <c r="M11" i="37" s="1"/>
  <c r="P10" i="37"/>
  <c r="N10" i="37"/>
  <c r="L10" i="37"/>
  <c r="M10" i="37" s="1"/>
  <c r="P9" i="37"/>
  <c r="N9" i="37"/>
  <c r="O9" i="37" s="1"/>
  <c r="L9" i="37"/>
  <c r="M9" i="37" s="1"/>
  <c r="P8" i="37"/>
  <c r="N8" i="37"/>
  <c r="L8" i="37"/>
  <c r="M8" i="37" s="1"/>
  <c r="O8" i="37" s="1"/>
  <c r="P7" i="37"/>
  <c r="N7" i="37"/>
  <c r="L7" i="37"/>
  <c r="M7" i="37" s="1"/>
  <c r="P15" i="10"/>
  <c r="N15" i="10"/>
  <c r="L15" i="10"/>
  <c r="M15" i="10" s="1"/>
  <c r="O15" i="10" s="1"/>
  <c r="P14" i="10"/>
  <c r="N14" i="10"/>
  <c r="L14" i="10"/>
  <c r="M14" i="10"/>
  <c r="O14" i="10" s="1"/>
  <c r="P16" i="10"/>
  <c r="N16" i="10"/>
  <c r="L16" i="10"/>
  <c r="M16" i="10" s="1"/>
  <c r="P11" i="10"/>
  <c r="N11" i="10"/>
  <c r="L11" i="10"/>
  <c r="M11" i="10" s="1"/>
  <c r="P10" i="10"/>
  <c r="N10" i="10"/>
  <c r="L10" i="10"/>
  <c r="M10" i="10" s="1"/>
  <c r="P12" i="10"/>
  <c r="N12" i="10"/>
  <c r="L12" i="10"/>
  <c r="M12" i="10" s="1"/>
  <c r="P9" i="10"/>
  <c r="N9" i="10"/>
  <c r="L9" i="10"/>
  <c r="M9" i="10" s="1"/>
  <c r="P17" i="10"/>
  <c r="N17" i="10"/>
  <c r="L17" i="10"/>
  <c r="M17" i="10" s="1"/>
  <c r="P7" i="10"/>
  <c r="N7" i="10"/>
  <c r="L7" i="10"/>
  <c r="M7" i="10" s="1"/>
  <c r="O7" i="10" s="1"/>
  <c r="P8" i="10"/>
  <c r="N8" i="10"/>
  <c r="L8" i="10"/>
  <c r="M8" i="10"/>
  <c r="P21" i="33"/>
  <c r="N21" i="33"/>
  <c r="L21" i="33"/>
  <c r="M21" i="33" s="1"/>
  <c r="P19" i="33"/>
  <c r="N19" i="33"/>
  <c r="L19" i="33"/>
  <c r="M19" i="33" s="1"/>
  <c r="O19" i="33" s="1"/>
  <c r="P18" i="33"/>
  <c r="N18" i="33"/>
  <c r="L18" i="33"/>
  <c r="M18" i="33"/>
  <c r="P17" i="33"/>
  <c r="N17" i="33"/>
  <c r="L17" i="33"/>
  <c r="M17" i="33" s="1"/>
  <c r="O17" i="33" s="1"/>
  <c r="P16" i="33"/>
  <c r="N16" i="33"/>
  <c r="L16" i="33"/>
  <c r="M16" i="33"/>
  <c r="P15" i="33"/>
  <c r="N15" i="33"/>
  <c r="L15" i="33"/>
  <c r="M15" i="33"/>
  <c r="P14" i="33"/>
  <c r="N14" i="33"/>
  <c r="L14" i="33"/>
  <c r="M14" i="33"/>
  <c r="P13" i="33"/>
  <c r="N13" i="33"/>
  <c r="L13" i="33"/>
  <c r="M13" i="33" s="1"/>
  <c r="P12" i="33"/>
  <c r="N12" i="33"/>
  <c r="L12" i="33"/>
  <c r="M12" i="33" s="1"/>
  <c r="P11" i="33"/>
  <c r="N11" i="33"/>
  <c r="L11" i="33"/>
  <c r="M11" i="33" s="1"/>
  <c r="O11" i="33" s="1"/>
  <c r="P21" i="1"/>
  <c r="N21" i="1"/>
  <c r="L21" i="1"/>
  <c r="M21" i="1" s="1"/>
  <c r="O21" i="1" s="1"/>
  <c r="P20" i="1"/>
  <c r="N20" i="1"/>
  <c r="L20" i="1"/>
  <c r="M20" i="1" s="1"/>
  <c r="O20" i="1" s="1"/>
  <c r="P19" i="1"/>
  <c r="N19" i="1"/>
  <c r="L19" i="1"/>
  <c r="M19" i="1" s="1"/>
  <c r="P18" i="1"/>
  <c r="N18" i="1"/>
  <c r="L18" i="1"/>
  <c r="M18" i="1" s="1"/>
  <c r="P16" i="1"/>
  <c r="N16" i="1"/>
  <c r="L16" i="1"/>
  <c r="M16" i="1" s="1"/>
  <c r="O16" i="1" s="1"/>
  <c r="P15" i="1"/>
  <c r="N15" i="1"/>
  <c r="L15" i="1"/>
  <c r="M15" i="1" s="1"/>
  <c r="P14" i="1"/>
  <c r="N14" i="1"/>
  <c r="L14" i="1"/>
  <c r="M14" i="1" s="1"/>
  <c r="P13" i="1"/>
  <c r="N13" i="1"/>
  <c r="L13" i="1"/>
  <c r="M13" i="1" s="1"/>
  <c r="P12" i="1"/>
  <c r="N12" i="1"/>
  <c r="L12" i="1"/>
  <c r="M12" i="1" s="1"/>
  <c r="P11" i="1"/>
  <c r="N11" i="1"/>
  <c r="L11" i="1"/>
  <c r="M11" i="1" s="1"/>
  <c r="O11" i="28"/>
  <c r="O8" i="10" l="1"/>
  <c r="O9" i="10"/>
  <c r="O16" i="10"/>
  <c r="O17" i="10"/>
  <c r="O13" i="10"/>
  <c r="O27" i="45"/>
  <c r="O20" i="45"/>
  <c r="O28" i="45"/>
  <c r="O21" i="45"/>
  <c r="O18" i="45"/>
  <c r="O17" i="40"/>
  <c r="O16" i="40"/>
  <c r="O15" i="40"/>
  <c r="M24" i="28"/>
  <c r="M15" i="28"/>
  <c r="M25" i="28" s="1"/>
  <c r="O20" i="28"/>
  <c r="O12" i="33"/>
  <c r="O11" i="1"/>
  <c r="O12" i="1"/>
  <c r="O13" i="1"/>
  <c r="O18" i="43"/>
  <c r="O19" i="38"/>
  <c r="O13" i="33"/>
  <c r="O18" i="33"/>
  <c r="O22" i="28"/>
  <c r="O15" i="38"/>
  <c r="O18" i="38"/>
  <c r="O26" i="45"/>
  <c r="O14" i="1"/>
  <c r="O19" i="1"/>
  <c r="N22" i="33"/>
  <c r="R20" i="33" s="1"/>
  <c r="O15" i="33"/>
  <c r="O16" i="33"/>
  <c r="O21" i="33"/>
  <c r="O7" i="37"/>
  <c r="O16" i="37"/>
  <c r="O17" i="37"/>
  <c r="O23" i="28"/>
  <c r="O19" i="40"/>
  <c r="O23" i="40"/>
  <c r="O13" i="43"/>
  <c r="O21" i="43"/>
  <c r="O20" i="33"/>
  <c r="O21" i="28"/>
  <c r="O10" i="37"/>
  <c r="O22" i="40"/>
  <c r="M18" i="37"/>
  <c r="O25" i="45"/>
  <c r="O19" i="43"/>
  <c r="O19" i="45"/>
  <c r="O15" i="37"/>
  <c r="O14" i="33"/>
  <c r="M18" i="10"/>
  <c r="O10" i="10"/>
  <c r="O11" i="10"/>
  <c r="N25" i="40"/>
  <c r="R24" i="40" s="1"/>
  <c r="O17" i="43"/>
  <c r="M22" i="33"/>
  <c r="N18" i="10"/>
  <c r="R13" i="10" s="1"/>
  <c r="O13" i="37"/>
  <c r="N18" i="37"/>
  <c r="R9" i="37" s="1"/>
  <c r="O21" i="38"/>
  <c r="O14" i="38"/>
  <c r="N25" i="38"/>
  <c r="R15" i="38" s="1"/>
  <c r="O17" i="38"/>
  <c r="M25" i="38"/>
  <c r="M29" i="45"/>
  <c r="O23" i="45"/>
  <c r="O24" i="45"/>
  <c r="O22" i="45"/>
  <c r="N29" i="45"/>
  <c r="R24" i="45" s="1"/>
  <c r="N22" i="43"/>
  <c r="M22" i="43"/>
  <c r="M25" i="40"/>
  <c r="O18" i="40"/>
  <c r="O25" i="38"/>
  <c r="R14" i="38"/>
  <c r="O20" i="38"/>
  <c r="O18" i="28"/>
  <c r="O16" i="28"/>
  <c r="N26" i="28"/>
  <c r="R18" i="28" s="1"/>
  <c r="R10" i="37"/>
  <c r="O11" i="37"/>
  <c r="R13" i="37"/>
  <c r="R16" i="10"/>
  <c r="O12" i="10"/>
  <c r="O15" i="1"/>
  <c r="N22" i="1"/>
  <c r="R21" i="1" s="1"/>
  <c r="O18" i="1"/>
  <c r="O17" i="1"/>
  <c r="M22" i="1"/>
  <c r="O22" i="1" s="1"/>
  <c r="R14" i="10" l="1"/>
  <c r="R17" i="10"/>
  <c r="O25" i="40"/>
  <c r="R19" i="40"/>
  <c r="R15" i="40"/>
  <c r="R17" i="40"/>
  <c r="R14" i="40"/>
  <c r="R23" i="40"/>
  <c r="R16" i="40"/>
  <c r="R22" i="40"/>
  <c r="R18" i="40"/>
  <c r="R20" i="40"/>
  <c r="R21" i="40"/>
  <c r="M26" i="28"/>
  <c r="O26" i="28" s="1"/>
  <c r="O22" i="33"/>
  <c r="R11" i="33"/>
  <c r="R19" i="33"/>
  <c r="R12" i="33"/>
  <c r="R15" i="33"/>
  <c r="R16" i="33"/>
  <c r="R18" i="33"/>
  <c r="R14" i="33"/>
  <c r="R17" i="33"/>
  <c r="R11" i="10"/>
  <c r="R8" i="10"/>
  <c r="R10" i="10"/>
  <c r="O18" i="10"/>
  <c r="R15" i="10"/>
  <c r="R7" i="10"/>
  <c r="R13" i="33"/>
  <c r="R12" i="10"/>
  <c r="R18" i="10" s="1"/>
  <c r="R9" i="10"/>
  <c r="R21" i="33"/>
  <c r="O18" i="37"/>
  <c r="R7" i="37"/>
  <c r="R18" i="37" s="1"/>
  <c r="R8" i="37"/>
  <c r="R16" i="37"/>
  <c r="R17" i="37"/>
  <c r="R14" i="37"/>
  <c r="R11" i="37"/>
  <c r="R17" i="1"/>
  <c r="R15" i="1"/>
  <c r="R15" i="37"/>
  <c r="R12" i="37"/>
  <c r="R20" i="38"/>
  <c r="R18" i="38"/>
  <c r="R19" i="38"/>
  <c r="R24" i="38"/>
  <c r="R21" i="38"/>
  <c r="R17" i="38"/>
  <c r="R22" i="38"/>
  <c r="R23" i="38"/>
  <c r="R16" i="38"/>
  <c r="R19" i="45"/>
  <c r="R27" i="45"/>
  <c r="R23" i="45"/>
  <c r="R20" i="45"/>
  <c r="R28" i="45"/>
  <c r="R25" i="45"/>
  <c r="O29" i="45"/>
  <c r="R26" i="45"/>
  <c r="R18" i="45"/>
  <c r="R21" i="45"/>
  <c r="R22" i="45"/>
  <c r="R15" i="43"/>
  <c r="O22" i="43"/>
  <c r="R19" i="43"/>
  <c r="R11" i="43"/>
  <c r="R21" i="43"/>
  <c r="R20" i="43"/>
  <c r="R12" i="43"/>
  <c r="R14" i="43"/>
  <c r="R16" i="43"/>
  <c r="R13" i="43"/>
  <c r="R18" i="43"/>
  <c r="R17" i="43"/>
  <c r="R20" i="28"/>
  <c r="R17" i="28"/>
  <c r="R11" i="28"/>
  <c r="R23" i="28"/>
  <c r="R21" i="28"/>
  <c r="R14" i="28"/>
  <c r="R16" i="28"/>
  <c r="R22" i="28"/>
  <c r="R12" i="28"/>
  <c r="R13" i="28"/>
  <c r="R11" i="1"/>
  <c r="R16" i="1"/>
  <c r="R12" i="1"/>
  <c r="R20" i="1"/>
  <c r="R13" i="1"/>
  <c r="R18" i="1"/>
  <c r="R19" i="1"/>
  <c r="R14" i="1"/>
  <c r="R25" i="40" l="1"/>
  <c r="R22" i="33"/>
  <c r="R25" i="38"/>
  <c r="R22" i="1"/>
  <c r="R29" i="45"/>
  <c r="R22" i="43"/>
  <c r="R26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saveData="1">
    <webPr parsePre="1" consecutive="1" xl2000="1" url="http://moneycentral.msn.com/investor/external/excel/quotes.asp?SYMBOL=[&quot;QUOTE&quot;,&quot;Enter stock, fund or other MSN MoneyCentral Investor symbols separated by commas.&quot;]" htmlFormat="all"/>
    <parameters count="1">
      <parameter name="QUOTE" prompt="Enter stock, fund or other MSN MoneyCentral Investor symbols separated by commas."/>
    </parameters>
  </connection>
</connections>
</file>

<file path=xl/sharedStrings.xml><?xml version="1.0" encoding="utf-8"?>
<sst xmlns="http://schemas.openxmlformats.org/spreadsheetml/2006/main" count="787" uniqueCount="189">
  <si>
    <t>Symbol</t>
  </si>
  <si>
    <t>Company</t>
  </si>
  <si>
    <t>Industry</t>
  </si>
  <si>
    <t>Shares Purchased</t>
  </si>
  <si>
    <t>Purchase Date</t>
  </si>
  <si>
    <t>Purchase Price</t>
  </si>
  <si>
    <t>International Business Machines</t>
  </si>
  <si>
    <t>Computers</t>
  </si>
  <si>
    <t>Retail</t>
  </si>
  <si>
    <t>NCR Corp.</t>
  </si>
  <si>
    <t>TJX Companies</t>
  </si>
  <si>
    <t>Market Capital</t>
  </si>
  <si>
    <t>Last Price</t>
  </si>
  <si>
    <t>Previous Close</t>
  </si>
  <si>
    <t>Earnings Per Share</t>
  </si>
  <si>
    <t>Commission</t>
  </si>
  <si>
    <t>Total Cost</t>
  </si>
  <si>
    <t>Portfolio Percentage</t>
  </si>
  <si>
    <t>Current Value</t>
  </si>
  <si>
    <t>Return</t>
  </si>
  <si>
    <t>P/E Ratio</t>
  </si>
  <si>
    <t>Capitalizataion Level</t>
  </si>
  <si>
    <t xml:space="preserve">IBM </t>
  </si>
  <si>
    <t xml:space="preserve">NCR </t>
  </si>
  <si>
    <t xml:space="preserve">TJX </t>
  </si>
  <si>
    <t xml:space="preserve">WMT </t>
  </si>
  <si>
    <t>Note: fill in the Summary details at the end of the table.</t>
  </si>
  <si>
    <t>Rank</t>
  </si>
  <si>
    <t>Rank1</t>
  </si>
  <si>
    <t>Rank2</t>
  </si>
  <si>
    <t>Rank3</t>
  </si>
  <si>
    <t>Name of the Stock</t>
  </si>
  <si>
    <t xml:space="preserve">You are required to use database functions to answer this question.  </t>
  </si>
  <si>
    <t>SYMBOL</t>
  </si>
  <si>
    <t>Q11- Scenario Analysis</t>
  </si>
  <si>
    <t>Case1</t>
  </si>
  <si>
    <t>Case2</t>
  </si>
  <si>
    <t>Case3</t>
  </si>
  <si>
    <t>X= Number of Shares in the each scenario and Y = Total Return of entire portfolio.</t>
  </si>
  <si>
    <t>Date Created:</t>
  </si>
  <si>
    <t>Created By:</t>
  </si>
  <si>
    <t>Q13-solver</t>
  </si>
  <si>
    <t xml:space="preserve">MSFT </t>
  </si>
  <si>
    <t>Microsoft</t>
  </si>
  <si>
    <t>Price on</t>
  </si>
  <si>
    <t>You are required to create "Database5" for this problem and solve it.</t>
  </si>
  <si>
    <t>Your Criteria  "Criteria5" should be entered below</t>
  </si>
  <si>
    <t>Q12-Find the Return</t>
  </si>
  <si>
    <t>Find the Additional Number of Shares to be bought in each company to Maximize the return,</t>
  </si>
  <si>
    <t>The Conditions are given below:</t>
  </si>
  <si>
    <t>Save the Solver Solution's answer sheet etc.,</t>
  </si>
  <si>
    <r>
      <t>Case 1</t>
    </r>
    <r>
      <rPr>
        <sz val="10"/>
        <rFont val="Times New Roman"/>
        <family val="1"/>
      </rPr>
      <t xml:space="preserve">: </t>
    </r>
  </si>
  <si>
    <r>
      <t>Case 2</t>
    </r>
    <r>
      <rPr>
        <sz val="10"/>
        <rFont val="Times New Roman"/>
        <family val="1"/>
      </rPr>
      <t xml:space="preserve">: </t>
    </r>
  </si>
  <si>
    <r>
      <t>Case 3</t>
    </r>
    <r>
      <rPr>
        <sz val="10"/>
        <rFont val="Times New Roman"/>
        <family val="1"/>
      </rPr>
      <t xml:space="preserve">: </t>
    </r>
  </si>
  <si>
    <t>KSS</t>
  </si>
  <si>
    <t>COUNT</t>
  </si>
  <si>
    <t>Capitalization Level</t>
  </si>
  <si>
    <t>Kohl's Corp</t>
  </si>
  <si>
    <t>Q4 -Conditional formatting to highlight the stock.</t>
  </si>
  <si>
    <t>User Access</t>
  </si>
  <si>
    <t>Include All Relevant Labels and Details</t>
  </si>
  <si>
    <t>Deleteting Control Sheet will result in 50 point deduction</t>
  </si>
  <si>
    <t>Final Exam - DSO 401 Total -130 Points</t>
  </si>
  <si>
    <t>Lowest P/E Ratio</t>
  </si>
  <si>
    <t>EPS</t>
  </si>
  <si>
    <t>Lowest EPS</t>
  </si>
  <si>
    <t>Highest Return</t>
  </si>
  <si>
    <t>M</t>
  </si>
  <si>
    <t xml:space="preserve">Macy's Inc </t>
  </si>
  <si>
    <t xml:space="preserve">Wal-Mart Stores Inc </t>
  </si>
  <si>
    <t>EBAY</t>
  </si>
  <si>
    <t>eBay Inc</t>
  </si>
  <si>
    <t>AMGM</t>
  </si>
  <si>
    <t xml:space="preserve">Amgen Inc </t>
  </si>
  <si>
    <t>Health Care</t>
  </si>
  <si>
    <t>LLY</t>
  </si>
  <si>
    <t xml:space="preserve">Eli Lilly and Co </t>
  </si>
  <si>
    <t>MDT</t>
  </si>
  <si>
    <t xml:space="preserve">Medtronic PLC </t>
  </si>
  <si>
    <t xml:space="preserve">Recommendations </t>
  </si>
  <si>
    <t>Q2 -Pivot Table</t>
  </si>
  <si>
    <t xml:space="preserve">Q10-Create a VLookup system </t>
  </si>
  <si>
    <t>Old Shares</t>
  </si>
  <si>
    <t xml:space="preserve"> Q1 - Ranking of investmests (based on Current Value) by using the Rank it, Match it and Offsett Method</t>
  </si>
  <si>
    <t xml:space="preserve">Good Luck </t>
  </si>
  <si>
    <t>DataTable</t>
  </si>
  <si>
    <t>Q9 ScatterPlot</t>
  </si>
  <si>
    <t>Q8-Create subtotal of investment based on the type of industry</t>
  </si>
  <si>
    <t>Q7-Chart to show the percentage of investment based on the Industry.</t>
  </si>
  <si>
    <t>Q6-Database Function</t>
  </si>
  <si>
    <t>Q5 -Conditional formatting to highlight the stock.</t>
  </si>
  <si>
    <t>Would investing in the computer industry have been a good idea? Discuss it with the support of a line graph.</t>
  </si>
  <si>
    <t>Spring 2021 Version A- W</t>
  </si>
  <si>
    <t>FPMay2021</t>
  </si>
  <si>
    <t>SP2021Wednesday</t>
  </si>
  <si>
    <t>Wednesday, May 5 2021</t>
  </si>
  <si>
    <t>Row Labels</t>
  </si>
  <si>
    <t>Grand Total</t>
  </si>
  <si>
    <t>Sum of Total Cost</t>
  </si>
  <si>
    <t>Sum of Current Value</t>
  </si>
  <si>
    <t>Sum of Earnings Per Share</t>
  </si>
  <si>
    <t>LARGE</t>
  </si>
  <si>
    <t>Computers Total</t>
  </si>
  <si>
    <t>Health Care Total</t>
  </si>
  <si>
    <t>Retail Total</t>
  </si>
  <si>
    <t>IBM</t>
  </si>
  <si>
    <t>NCR</t>
  </si>
  <si>
    <t>MSFT</t>
  </si>
  <si>
    <t>TJX</t>
  </si>
  <si>
    <t>WMT</t>
  </si>
  <si>
    <t>$E$14</t>
  </si>
  <si>
    <t>$E$15</t>
  </si>
  <si>
    <t>$E$16</t>
  </si>
  <si>
    <t>$E$17</t>
  </si>
  <si>
    <t>$O$25</t>
  </si>
  <si>
    <t>Created by Microsoft Office User on 5/5/2021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</si>
  <si>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</si>
  <si>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</si>
  <si>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</si>
  <si>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</si>
  <si>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</si>
  <si>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</si>
  <si>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</si>
  <si>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It would not be a good idea to invest in the computer industry. The more shares bought in the computer industry, the more the total return of the portfolio decreases.</t>
  </si>
  <si>
    <t>Initial total cost</t>
  </si>
  <si>
    <t>Initial shares purchased</t>
  </si>
  <si>
    <t>Maximum cost</t>
  </si>
  <si>
    <t>Maximum shares purchased</t>
  </si>
  <si>
    <t>Microsoft Excel 16.48 Answer Report</t>
  </si>
  <si>
    <t>Worksheet: [Final_EXAM_Spring2021A.xlsx]Q13-Solver</t>
  </si>
  <si>
    <t>Report Created: 5/5/21 6:00:41 PM</t>
  </si>
  <si>
    <t>Result: Solver found a solution.  All constraints and optimality conditions are satisfied.</t>
  </si>
  <si>
    <t>Solver Engine</t>
  </si>
  <si>
    <t>Engine: GRG Nonlinear</t>
  </si>
  <si>
    <t>Solution Time: 4763.29 Seconds.</t>
  </si>
  <si>
    <t>Iterations: 8 Subproblems: 0</t>
  </si>
  <si>
    <t>Solver Options</t>
  </si>
  <si>
    <t>Max Time Unlimited, Iterations Unlimited, Precision 0.000001</t>
  </si>
  <si>
    <t>Convergence 0.0001, Population Size 100, Random Seed 0, Derivatives Forward, Require Bounds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</si>
  <si>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</si>
  <si>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</si>
  <si>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</si>
  <si>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</si>
  <si>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</si>
  <si>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</si>
  <si>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</si>
  <si>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</si>
  <si>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</si>
  <si>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</si>
  <si>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</si>
  <si>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</si>
  <si>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</si>
  <si>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$O$29</t>
  </si>
  <si>
    <t>$E$18</t>
  </si>
  <si>
    <t>Computers Shares Purchased</t>
  </si>
  <si>
    <t>Contin</t>
  </si>
  <si>
    <t>$E$19</t>
  </si>
  <si>
    <t>$E$20</t>
  </si>
  <si>
    <t>$E$21</t>
  </si>
  <si>
    <t>$E$22</t>
  </si>
  <si>
    <t>Health Care Shares Purchased</t>
  </si>
  <si>
    <t>$E$23</t>
  </si>
  <si>
    <t>$E$24</t>
  </si>
  <si>
    <t>$E$25</t>
  </si>
  <si>
    <t>Retail Shares Purchased</t>
  </si>
  <si>
    <t>$E$26</t>
  </si>
  <si>
    <t>$E$27</t>
  </si>
  <si>
    <t>$E$28</t>
  </si>
  <si>
    <t>$E$29</t>
  </si>
  <si>
    <t>$E$29&lt;=1750</t>
  </si>
  <si>
    <t>Binding</t>
  </si>
  <si>
    <t>$G$29</t>
  </si>
  <si>
    <t>$G$29&lt;=15600.4</t>
  </si>
  <si>
    <t>Not Binding</t>
  </si>
  <si>
    <t>$E$18&gt;=$S$18</t>
  </si>
  <si>
    <t>$E$19&gt;=$S$19</t>
  </si>
  <si>
    <t>$E$20&gt;=$S$20</t>
  </si>
  <si>
    <t>$E$21&gt;=$S$21</t>
  </si>
  <si>
    <t>$E$22&gt;=$S$22</t>
  </si>
  <si>
    <t>$E$23&gt;=$S$23</t>
  </si>
  <si>
    <t>$E$24&gt;=$S$24</t>
  </si>
  <si>
    <t>$E$25&gt;=$S$25</t>
  </si>
  <si>
    <t>$E$26&gt;=$S$26</t>
  </si>
  <si>
    <t>$E$27&gt;=$S$27</t>
  </si>
  <si>
    <t>$E$28&gt;=$S$28</t>
  </si>
  <si>
    <t>No original shares can be sold</t>
  </si>
  <si>
    <t>Additional investment cannot exceed $15,000</t>
  </si>
  <si>
    <t>Additional shares cannot exceed 300</t>
  </si>
  <si>
    <t>Stephanie Agbenorhevi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</si>
</sst>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.00000_);_(* \(#,##0.00000\);_(* &quot;-&quot;??_);_(@_)"/>
    <numFmt numFmtId="166" formatCode="[$-409]d\-mmm\-yy;@"/>
  </numFmts>
  <fonts count="33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b/>
      <sz val="14"/>
      <color indexed="8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0"/>
      <color rgb="FF000000"/>
      <name val="Times New Roman"/>
      <family val="1"/>
    </font>
    <font>
      <sz val="18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color indexed="8"/>
      <name val="Arial"/>
      <family val="2"/>
    </font>
    <font>
      <sz val="13"/>
      <color rgb="FF000000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4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72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1" xfId="0" applyFill="1" applyBorder="1"/>
    <xf numFmtId="10" fontId="1" fillId="0" borderId="0" xfId="4" applyNumberFormat="1"/>
    <xf numFmtId="0" fontId="10" fillId="0" borderId="0" xfId="0" applyFont="1"/>
    <xf numFmtId="0" fontId="0" fillId="2" borderId="2" xfId="0" applyFill="1" applyBorder="1"/>
    <xf numFmtId="0" fontId="4" fillId="0" borderId="1" xfId="0" applyFont="1" applyFill="1" applyBorder="1"/>
    <xf numFmtId="8" fontId="0" fillId="0" borderId="0" xfId="0" applyNumberFormat="1"/>
    <xf numFmtId="10" fontId="0" fillId="0" borderId="0" xfId="4" applyNumberFormat="1" applyFont="1"/>
    <xf numFmtId="0" fontId="4" fillId="5" borderId="2" xfId="0" applyFont="1" applyFill="1" applyBorder="1"/>
    <xf numFmtId="0" fontId="0" fillId="5" borderId="2" xfId="0" applyFill="1" applyBorder="1"/>
    <xf numFmtId="0" fontId="0" fillId="2" borderId="7" xfId="0" applyFill="1" applyBorder="1"/>
    <xf numFmtId="0" fontId="2" fillId="5" borderId="8" xfId="0" applyFont="1" applyFill="1" applyBorder="1" applyAlignment="1">
      <alignment vertical="top" wrapText="1"/>
    </xf>
    <xf numFmtId="0" fontId="11" fillId="0" borderId="0" xfId="0" applyFont="1"/>
    <xf numFmtId="0" fontId="11" fillId="5" borderId="9" xfId="0" applyFont="1" applyFill="1" applyBorder="1" applyAlignment="1">
      <alignment wrapText="1"/>
    </xf>
    <xf numFmtId="10" fontId="0" fillId="0" borderId="0" xfId="0" applyNumberFormat="1"/>
    <xf numFmtId="0" fontId="4" fillId="8" borderId="0" xfId="0" applyFont="1" applyFill="1"/>
    <xf numFmtId="0" fontId="4" fillId="8" borderId="12" xfId="0" applyFont="1" applyFill="1" applyBorder="1"/>
    <xf numFmtId="0" fontId="4" fillId="8" borderId="13" xfId="0" applyFont="1" applyFill="1" applyBorder="1"/>
    <xf numFmtId="0" fontId="4" fillId="8" borderId="14" xfId="0" applyFont="1" applyFill="1" applyBorder="1"/>
    <xf numFmtId="0" fontId="0" fillId="8" borderId="0" xfId="0" applyFill="1"/>
    <xf numFmtId="0" fontId="0" fillId="8" borderId="5" xfId="0" applyFill="1" applyBorder="1"/>
    <xf numFmtId="0" fontId="0" fillId="8" borderId="6" xfId="0" applyFill="1" applyBorder="1"/>
    <xf numFmtId="0" fontId="18" fillId="8" borderId="4" xfId="0" applyFont="1" applyFill="1" applyBorder="1" applyAlignment="1">
      <alignment horizontal="left" vertical="center" indent="3"/>
    </xf>
    <xf numFmtId="0" fontId="18" fillId="8" borderId="5" xfId="0" applyFont="1" applyFill="1" applyBorder="1" applyAlignment="1">
      <alignment horizontal="left" vertical="center" indent="3"/>
    </xf>
    <xf numFmtId="0" fontId="10" fillId="8" borderId="5" xfId="0" applyFont="1" applyFill="1" applyBorder="1"/>
    <xf numFmtId="0" fontId="10" fillId="8" borderId="6" xfId="0" applyFont="1" applyFill="1" applyBorder="1"/>
    <xf numFmtId="0" fontId="19" fillId="8" borderId="0" xfId="0" applyFont="1" applyFill="1" applyAlignment="1">
      <alignment horizontal="left" vertical="center" indent="4"/>
    </xf>
    <xf numFmtId="0" fontId="6" fillId="8" borderId="0" xfId="0" applyFont="1" applyFill="1"/>
    <xf numFmtId="0" fontId="20" fillId="8" borderId="4" xfId="0" applyFont="1" applyFill="1" applyBorder="1" applyAlignment="1">
      <alignment horizontal="left" vertical="center" indent="3"/>
    </xf>
    <xf numFmtId="0" fontId="20" fillId="8" borderId="5" xfId="0" applyFont="1" applyFill="1" applyBorder="1" applyAlignment="1">
      <alignment horizontal="left" vertical="center" indent="3"/>
    </xf>
    <xf numFmtId="0" fontId="6" fillId="8" borderId="5" xfId="0" applyFont="1" applyFill="1" applyBorder="1"/>
    <xf numFmtId="0" fontId="6" fillId="8" borderId="6" xfId="0" applyFont="1" applyFill="1" applyBorder="1"/>
    <xf numFmtId="0" fontId="4" fillId="0" borderId="15" xfId="0" applyFont="1" applyFill="1" applyBorder="1"/>
    <xf numFmtId="0" fontId="10" fillId="8" borderId="4" xfId="0" applyFont="1" applyFill="1" applyBorder="1"/>
    <xf numFmtId="0" fontId="10" fillId="0" borderId="0" xfId="0" applyFont="1" applyFill="1" applyBorder="1"/>
    <xf numFmtId="0" fontId="8" fillId="8" borderId="4" xfId="0" applyFont="1" applyFill="1" applyBorder="1" applyAlignment="1">
      <alignment horizontal="left" indent="4"/>
    </xf>
    <xf numFmtId="0" fontId="12" fillId="8" borderId="4" xfId="0" applyFont="1" applyFill="1" applyBorder="1"/>
    <xf numFmtId="0" fontId="0" fillId="8" borderId="17" xfId="0" applyFill="1" applyBorder="1"/>
    <xf numFmtId="0" fontId="3" fillId="0" borderId="0" xfId="0" applyFont="1"/>
    <xf numFmtId="8" fontId="3" fillId="0" borderId="0" xfId="0" applyNumberFormat="1" applyFont="1"/>
    <xf numFmtId="10" fontId="3" fillId="0" borderId="0" xfId="4" applyNumberFormat="1" applyFont="1"/>
    <xf numFmtId="10" fontId="3" fillId="0" borderId="0" xfId="0" applyNumberFormat="1" applyFo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8" borderId="22" xfId="0" applyFont="1" applyFill="1" applyBorder="1"/>
    <xf numFmtId="0" fontId="11" fillId="9" borderId="0" xfId="0" applyFont="1" applyFill="1"/>
    <xf numFmtId="0" fontId="0" fillId="9" borderId="0" xfId="0" applyFill="1"/>
    <xf numFmtId="0" fontId="4" fillId="8" borderId="26" xfId="0" applyFont="1" applyFill="1" applyBorder="1"/>
    <xf numFmtId="0" fontId="4" fillId="8" borderId="27" xfId="0" applyFont="1" applyFill="1" applyBorder="1"/>
    <xf numFmtId="0" fontId="21" fillId="8" borderId="16" xfId="0" applyFont="1" applyFill="1" applyBorder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1" fillId="8" borderId="25" xfId="0" applyFont="1" applyFill="1" applyBorder="1"/>
    <xf numFmtId="0" fontId="0" fillId="8" borderId="26" xfId="0" applyFill="1" applyBorder="1"/>
    <xf numFmtId="0" fontId="0" fillId="8" borderId="27" xfId="0" applyFill="1" applyBorder="1"/>
    <xf numFmtId="0" fontId="11" fillId="8" borderId="16" xfId="0" applyFont="1" applyFill="1" applyBorder="1"/>
    <xf numFmtId="0" fontId="0" fillId="8" borderId="18" xfId="0" applyFill="1" applyBorder="1"/>
    <xf numFmtId="0" fontId="11" fillId="8" borderId="0" xfId="0" applyFont="1" applyFill="1" applyBorder="1"/>
    <xf numFmtId="0" fontId="0" fillId="8" borderId="28" xfId="0" applyFill="1" applyBorder="1"/>
    <xf numFmtId="166" fontId="0" fillId="8" borderId="29" xfId="0" applyNumberFormat="1" applyFill="1" applyBorder="1"/>
    <xf numFmtId="10" fontId="11" fillId="0" borderId="0" xfId="0" applyNumberFormat="1" applyFont="1"/>
    <xf numFmtId="0" fontId="21" fillId="8" borderId="25" xfId="0" applyFont="1" applyFill="1" applyBorder="1" applyAlignment="1">
      <alignment vertical="center"/>
    </xf>
    <xf numFmtId="0" fontId="13" fillId="8" borderId="4" xfId="0" applyFont="1" applyFill="1" applyBorder="1" applyAlignment="1"/>
    <xf numFmtId="0" fontId="13" fillId="8" borderId="5" xfId="0" applyFont="1" applyFill="1" applyBorder="1" applyAlignment="1"/>
    <xf numFmtId="0" fontId="0" fillId="8" borderId="0" xfId="0" applyFill="1" applyBorder="1"/>
    <xf numFmtId="0" fontId="11" fillId="12" borderId="30" xfId="0" applyFont="1" applyFill="1" applyBorder="1"/>
    <xf numFmtId="0" fontId="0" fillId="12" borderId="0" xfId="0" applyFill="1" applyBorder="1"/>
    <xf numFmtId="0" fontId="6" fillId="12" borderId="30" xfId="0" applyFont="1" applyFill="1" applyBorder="1"/>
    <xf numFmtId="0" fontId="1" fillId="0" borderId="0" xfId="0" applyFont="1"/>
    <xf numFmtId="0" fontId="22" fillId="0" borderId="36" xfId="0" applyFont="1" applyBorder="1"/>
    <xf numFmtId="0" fontId="22" fillId="0" borderId="37" xfId="0" applyFont="1" applyBorder="1"/>
    <xf numFmtId="0" fontId="0" fillId="0" borderId="0" xfId="0" applyAlignment="1">
      <alignment wrapText="1"/>
    </xf>
    <xf numFmtId="0" fontId="23" fillId="0" borderId="4" xfId="0" applyFont="1" applyBorder="1" applyAlignment="1"/>
    <xf numFmtId="0" fontId="23" fillId="0" borderId="5" xfId="0" applyFont="1" applyBorder="1" applyAlignment="1"/>
    <xf numFmtId="0" fontId="24" fillId="0" borderId="5" xfId="0" applyFont="1" applyBorder="1"/>
    <xf numFmtId="0" fontId="24" fillId="0" borderId="5" xfId="0" applyFont="1" applyBorder="1" applyAlignment="1"/>
    <xf numFmtId="0" fontId="24" fillId="0" borderId="6" xfId="0" applyFont="1" applyBorder="1" applyAlignment="1"/>
    <xf numFmtId="0" fontId="1" fillId="7" borderId="38" xfId="0" applyFont="1" applyFill="1" applyBorder="1" applyProtection="1">
      <protection hidden="1"/>
    </xf>
    <xf numFmtId="164" fontId="0" fillId="13" borderId="2" xfId="2" applyNumberFormat="1" applyFont="1" applyFill="1" applyBorder="1"/>
    <xf numFmtId="8" fontId="0" fillId="13" borderId="2" xfId="0" applyNumberFormat="1" applyFill="1" applyBorder="1"/>
    <xf numFmtId="164" fontId="0" fillId="13" borderId="2" xfId="0" applyNumberFormat="1" applyFill="1" applyBorder="1"/>
    <xf numFmtId="10" fontId="0" fillId="13" borderId="2" xfId="4" applyNumberFormat="1" applyFont="1" applyFill="1" applyBorder="1"/>
    <xf numFmtId="43" fontId="0" fillId="13" borderId="2" xfId="1" applyFont="1" applyFill="1" applyBorder="1"/>
    <xf numFmtId="0" fontId="5" fillId="13" borderId="10" xfId="0" applyFont="1" applyFill="1" applyBorder="1" applyAlignment="1">
      <alignment horizontal="center"/>
    </xf>
    <xf numFmtId="10" fontId="0" fillId="13" borderId="11" xfId="4" applyNumberFormat="1" applyFont="1" applyFill="1" applyBorder="1"/>
    <xf numFmtId="10" fontId="0" fillId="13" borderId="7" xfId="4" applyNumberFormat="1" applyFont="1" applyFill="1" applyBorder="1"/>
    <xf numFmtId="166" fontId="1" fillId="8" borderId="29" xfId="0" applyNumberFormat="1" applyFont="1" applyFill="1" applyBorder="1"/>
    <xf numFmtId="0" fontId="18" fillId="0" borderId="4" xfId="0" applyFont="1" applyFill="1" applyBorder="1" applyAlignment="1">
      <alignment horizontal="left" vertical="center" indent="3"/>
    </xf>
    <xf numFmtId="0" fontId="18" fillId="0" borderId="5" xfId="0" applyFont="1" applyFill="1" applyBorder="1" applyAlignment="1">
      <alignment horizontal="left" vertical="center" indent="3"/>
    </xf>
    <xf numFmtId="0" fontId="10" fillId="0" borderId="5" xfId="0" applyFont="1" applyFill="1" applyBorder="1"/>
    <xf numFmtId="0" fontId="10" fillId="0" borderId="6" xfId="0" applyFont="1" applyFill="1" applyBorder="1"/>
    <xf numFmtId="0" fontId="10" fillId="0" borderId="0" xfId="0" applyFont="1" applyFill="1"/>
    <xf numFmtId="164" fontId="0" fillId="0" borderId="2" xfId="2" applyNumberFormat="1" applyFont="1" applyFill="1" applyBorder="1"/>
    <xf numFmtId="8" fontId="0" fillId="0" borderId="2" xfId="0" applyNumberFormat="1" applyFill="1" applyBorder="1"/>
    <xf numFmtId="164" fontId="0" fillId="0" borderId="2" xfId="0" applyNumberFormat="1" applyFill="1" applyBorder="1"/>
    <xf numFmtId="10" fontId="0" fillId="0" borderId="2" xfId="4" applyNumberFormat="1" applyFont="1" applyFill="1" applyBorder="1"/>
    <xf numFmtId="43" fontId="0" fillId="0" borderId="2" xfId="1" applyFont="1" applyFill="1" applyBorder="1"/>
    <xf numFmtId="164" fontId="0" fillId="0" borderId="2" xfId="2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0" fontId="0" fillId="0" borderId="2" xfId="4" applyNumberFormat="1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164" fontId="0" fillId="13" borderId="2" xfId="2" applyNumberFormat="1" applyFont="1" applyFill="1" applyBorder="1" applyAlignment="1">
      <alignment vertical="center"/>
    </xf>
    <xf numFmtId="8" fontId="0" fillId="13" borderId="2" xfId="0" applyNumberFormat="1" applyFill="1" applyBorder="1" applyAlignment="1">
      <alignment vertical="center"/>
    </xf>
    <xf numFmtId="164" fontId="0" fillId="13" borderId="2" xfId="0" applyNumberFormat="1" applyFill="1" applyBorder="1" applyAlignment="1">
      <alignment vertical="center"/>
    </xf>
    <xf numFmtId="10" fontId="0" fillId="13" borderId="2" xfId="4" applyNumberFormat="1" applyFont="1" applyFill="1" applyBorder="1" applyAlignment="1">
      <alignment vertical="center"/>
    </xf>
    <xf numFmtId="43" fontId="0" fillId="13" borderId="2" xfId="1" applyFont="1" applyFill="1" applyBorder="1" applyAlignment="1">
      <alignment vertical="center"/>
    </xf>
    <xf numFmtId="165" fontId="6" fillId="13" borderId="3" xfId="1" applyNumberFormat="1" applyFont="1" applyFill="1" applyBorder="1"/>
    <xf numFmtId="44" fontId="6" fillId="13" borderId="3" xfId="2" applyFont="1" applyFill="1" applyBorder="1"/>
    <xf numFmtId="0" fontId="0" fillId="13" borderId="1" xfId="0" applyFill="1" applyBorder="1"/>
    <xf numFmtId="0" fontId="26" fillId="0" borderId="0" xfId="0" applyFont="1"/>
    <xf numFmtId="0" fontId="1" fillId="7" borderId="0" xfId="0" applyFont="1" applyFill="1" applyProtection="1">
      <protection hidden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right" vertical="top" wrapText="1"/>
    </xf>
    <xf numFmtId="14" fontId="2" fillId="3" borderId="2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2" fillId="12" borderId="2" xfId="0" applyFont="1" applyFill="1" applyBorder="1" applyAlignment="1">
      <alignment horizontal="right" vertical="top" wrapText="1"/>
    </xf>
    <xf numFmtId="14" fontId="2" fillId="12" borderId="2" xfId="0" applyNumberFormat="1" applyFont="1" applyFill="1" applyBorder="1" applyAlignment="1">
      <alignment horizontal="right" vertical="top" wrapText="1"/>
    </xf>
    <xf numFmtId="164" fontId="0" fillId="12" borderId="2" xfId="0" applyNumberFormat="1" applyFill="1" applyBorder="1" applyAlignment="1">
      <alignment horizontal="right" vertical="top" wrapText="1"/>
    </xf>
    <xf numFmtId="0" fontId="1" fillId="12" borderId="2" xfId="0" applyFont="1" applyFill="1" applyBorder="1" applyAlignment="1">
      <alignment horizontal="right" vertical="top" wrapText="1"/>
    </xf>
    <xf numFmtId="3" fontId="1" fillId="0" borderId="2" xfId="0" applyNumberFormat="1" applyFont="1" applyBorder="1" applyAlignment="1">
      <alignment horizontal="right" vertical="top" wrapText="1"/>
    </xf>
    <xf numFmtId="3" fontId="1" fillId="12" borderId="2" xfId="0" applyNumberFormat="1" applyFont="1" applyFill="1" applyBorder="1" applyAlignment="1">
      <alignment horizontal="right" vertical="top" wrapText="1"/>
    </xf>
    <xf numFmtId="0" fontId="5" fillId="13" borderId="2" xfId="0" applyFont="1" applyFill="1" applyBorder="1" applyAlignment="1">
      <alignment horizontal="center"/>
    </xf>
    <xf numFmtId="0" fontId="0" fillId="0" borderId="0" xfId="0" applyBorder="1"/>
    <xf numFmtId="166" fontId="0" fillId="8" borderId="39" xfId="0" applyNumberFormat="1" applyFill="1" applyBorder="1"/>
    <xf numFmtId="0" fontId="4" fillId="8" borderId="2" xfId="0" applyFont="1" applyFill="1" applyBorder="1"/>
    <xf numFmtId="0" fontId="4" fillId="8" borderId="40" xfId="0" applyFont="1" applyFill="1" applyBorder="1"/>
    <xf numFmtId="0" fontId="4" fillId="8" borderId="41" xfId="0" applyFont="1" applyFill="1" applyBorder="1"/>
    <xf numFmtId="0" fontId="4" fillId="8" borderId="42" xfId="0" applyFont="1" applyFill="1" applyBorder="1"/>
    <xf numFmtId="0" fontId="5" fillId="13" borderId="2" xfId="0" applyFont="1" applyFill="1" applyBorder="1" applyAlignment="1">
      <alignment horizontal="center" vertical="center"/>
    </xf>
    <xf numFmtId="0" fontId="3" fillId="0" borderId="0" xfId="0" applyFont="1" applyBorder="1"/>
    <xf numFmtId="0" fontId="4" fillId="8" borderId="40" xfId="0" applyFont="1" applyFill="1" applyBorder="1" applyAlignment="1">
      <alignment wrapText="1"/>
    </xf>
    <xf numFmtId="0" fontId="4" fillId="8" borderId="41" xfId="0" applyFont="1" applyFill="1" applyBorder="1" applyAlignment="1">
      <alignment wrapText="1"/>
    </xf>
    <xf numFmtId="0" fontId="4" fillId="8" borderId="42" xfId="0" applyFont="1" applyFill="1" applyBorder="1" applyAlignment="1">
      <alignment wrapText="1"/>
    </xf>
    <xf numFmtId="0" fontId="4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5" fillId="0" borderId="3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" fillId="3" borderId="43" xfId="0" applyFont="1" applyFill="1" applyBorder="1" applyAlignment="1">
      <alignment wrapText="1"/>
    </xf>
    <xf numFmtId="0" fontId="2" fillId="3" borderId="44" xfId="0" applyFont="1" applyFill="1" applyBorder="1" applyAlignment="1">
      <alignment vertical="top" wrapText="1"/>
    </xf>
    <xf numFmtId="0" fontId="2" fillId="3" borderId="44" xfId="0" applyFont="1" applyFill="1" applyBorder="1" applyAlignment="1">
      <alignment vertical="center" wrapText="1"/>
    </xf>
    <xf numFmtId="0" fontId="2" fillId="3" borderId="44" xfId="0" applyFont="1" applyFill="1" applyBorder="1" applyAlignment="1">
      <alignment horizontal="right" vertical="center" wrapText="1"/>
    </xf>
    <xf numFmtId="0" fontId="25" fillId="10" borderId="18" xfId="0" applyFont="1" applyFill="1" applyBorder="1" applyAlignment="1">
      <alignment vertical="center" wrapText="1"/>
    </xf>
    <xf numFmtId="0" fontId="2" fillId="3" borderId="44" xfId="0" applyFont="1" applyFill="1" applyBorder="1" applyAlignment="1">
      <alignment horizontal="right" vertical="top" wrapText="1"/>
    </xf>
    <xf numFmtId="0" fontId="2" fillId="3" borderId="43" xfId="0" applyFont="1" applyFill="1" applyBorder="1" applyAlignment="1">
      <alignment vertical="top" wrapText="1"/>
    </xf>
    <xf numFmtId="0" fontId="13" fillId="0" borderId="4" xfId="0" applyFont="1" applyFill="1" applyBorder="1" applyAlignment="1"/>
    <xf numFmtId="0" fontId="13" fillId="0" borderId="5" xfId="0" applyFont="1" applyFill="1" applyBorder="1" applyAlignment="1"/>
    <xf numFmtId="0" fontId="0" fillId="0" borderId="6" xfId="0" applyFill="1" applyBorder="1"/>
    <xf numFmtId="0" fontId="21" fillId="0" borderId="0" xfId="0" applyFont="1" applyFill="1" applyBorder="1" applyAlignment="1">
      <alignment horizontal="left" vertical="center" indent="4"/>
    </xf>
    <xf numFmtId="0" fontId="0" fillId="0" borderId="0" xfId="0" applyFill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6" fillId="0" borderId="25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7" fillId="11" borderId="19" xfId="3" applyFont="1" applyFill="1" applyBorder="1" applyAlignment="1">
      <alignment horizontal="center"/>
    </xf>
    <xf numFmtId="0" fontId="17" fillId="11" borderId="31" xfId="3" applyFont="1" applyFill="1" applyBorder="1" applyAlignment="1">
      <alignment horizontal="center"/>
    </xf>
    <xf numFmtId="0" fontId="17" fillId="11" borderId="20" xfId="3" applyFont="1" applyFill="1" applyBorder="1" applyAlignment="1">
      <alignment horizontal="center"/>
    </xf>
    <xf numFmtId="0" fontId="17" fillId="11" borderId="32" xfId="3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0" fillId="8" borderId="3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14" fontId="2" fillId="0" borderId="0" xfId="0" applyNumberFormat="1" applyFont="1" applyFill="1" applyBorder="1" applyAlignment="1">
      <alignment vertical="top" wrapText="1"/>
    </xf>
    <xf numFmtId="8" fontId="2" fillId="0" borderId="0" xfId="0" applyNumberFormat="1" applyFont="1" applyFill="1" applyBorder="1" applyAlignment="1">
      <alignment horizontal="right"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0" fillId="0" borderId="0" xfId="2" applyNumberFormat="1" applyFont="1" applyFill="1" applyBorder="1"/>
    <xf numFmtId="8" fontId="0" fillId="0" borderId="0" xfId="0" applyNumberFormat="1" applyFill="1" applyBorder="1"/>
    <xf numFmtId="164" fontId="0" fillId="0" borderId="0" xfId="0" applyNumberFormat="1" applyFill="1" applyBorder="1"/>
    <xf numFmtId="10" fontId="0" fillId="0" borderId="0" xfId="4" applyNumberFormat="1" applyFont="1" applyFill="1" applyBorder="1"/>
    <xf numFmtId="43" fontId="0" fillId="0" borderId="0" xfId="1" applyFont="1" applyFill="1" applyBorder="1"/>
    <xf numFmtId="0" fontId="5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right" vertical="top" wrapText="1"/>
    </xf>
    <xf numFmtId="164" fontId="0" fillId="0" borderId="0" xfId="0" applyNumberFormat="1" applyFill="1" applyBorder="1" applyAlignment="1">
      <alignment horizontal="right" vertical="top" wrapText="1"/>
    </xf>
    <xf numFmtId="0" fontId="1" fillId="0" borderId="0" xfId="0" applyFont="1" applyFill="1" applyBorder="1"/>
    <xf numFmtId="9" fontId="6" fillId="13" borderId="3" xfId="4" applyFont="1" applyFill="1" applyBorder="1"/>
    <xf numFmtId="0" fontId="27" fillId="3" borderId="2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right" vertical="top" wrapText="1"/>
    </xf>
    <xf numFmtId="14" fontId="2" fillId="3" borderId="0" xfId="0" applyNumberFormat="1" applyFont="1" applyFill="1" applyBorder="1" applyAlignment="1">
      <alignment vertical="top" wrapText="1"/>
    </xf>
    <xf numFmtId="8" fontId="2" fillId="3" borderId="0" xfId="0" applyNumberFormat="1" applyFont="1" applyFill="1" applyBorder="1" applyAlignment="1">
      <alignment horizontal="right" vertical="top" wrapText="1"/>
    </xf>
    <xf numFmtId="3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64" fontId="0" fillId="13" borderId="0" xfId="2" applyNumberFormat="1" applyFont="1" applyFill="1" applyBorder="1"/>
    <xf numFmtId="8" fontId="0" fillId="13" borderId="0" xfId="0" applyNumberFormat="1" applyFill="1" applyBorder="1"/>
    <xf numFmtId="164" fontId="0" fillId="13" borderId="0" xfId="0" applyNumberFormat="1" applyFill="1" applyBorder="1"/>
    <xf numFmtId="10" fontId="0" fillId="13" borderId="0" xfId="4" applyNumberFormat="1" applyFont="1" applyFill="1" applyBorder="1"/>
    <xf numFmtId="43" fontId="0" fillId="13" borderId="0" xfId="1" applyFont="1" applyFill="1" applyBorder="1"/>
    <xf numFmtId="0" fontId="5" fillId="1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vertical="top" wrapText="1"/>
    </xf>
    <xf numFmtId="0" fontId="28" fillId="0" borderId="0" xfId="0" applyFont="1"/>
    <xf numFmtId="0" fontId="1" fillId="8" borderId="3" xfId="0" applyFont="1" applyFill="1" applyBorder="1"/>
    <xf numFmtId="164" fontId="4" fillId="8" borderId="21" xfId="0" applyNumberFormat="1" applyFont="1" applyFill="1" applyBorder="1"/>
    <xf numFmtId="0" fontId="4" fillId="8" borderId="20" xfId="0" applyFont="1" applyFill="1" applyBorder="1" applyAlignment="1">
      <alignment wrapText="1"/>
    </xf>
    <xf numFmtId="0" fontId="0" fillId="0" borderId="0" xfId="0" applyFill="1" applyBorder="1" applyAlignment="1"/>
    <xf numFmtId="10" fontId="0" fillId="0" borderId="17" xfId="0" applyNumberFormat="1" applyFill="1" applyBorder="1" applyAlignment="1"/>
    <xf numFmtId="0" fontId="29" fillId="14" borderId="37" xfId="0" applyFont="1" applyFill="1" applyBorder="1" applyAlignment="1">
      <alignment horizontal="left"/>
    </xf>
    <xf numFmtId="0" fontId="29" fillId="14" borderId="26" xfId="0" applyFont="1" applyFill="1" applyBorder="1" applyAlignment="1">
      <alignment horizontal="left"/>
    </xf>
    <xf numFmtId="0" fontId="0" fillId="0" borderId="45" xfId="0" applyFill="1" applyBorder="1" applyAlignment="1"/>
    <xf numFmtId="0" fontId="30" fillId="15" borderId="0" xfId="0" applyFont="1" applyFill="1" applyBorder="1" applyAlignment="1">
      <alignment horizontal="left"/>
    </xf>
    <xf numFmtId="0" fontId="31" fillId="15" borderId="45" xfId="0" applyFont="1" applyFill="1" applyBorder="1" applyAlignment="1">
      <alignment horizontal="left"/>
    </xf>
    <xf numFmtId="0" fontId="30" fillId="15" borderId="17" xfId="0" applyFont="1" applyFill="1" applyBorder="1" applyAlignment="1">
      <alignment horizontal="left"/>
    </xf>
    <xf numFmtId="0" fontId="32" fillId="14" borderId="26" xfId="0" applyFont="1" applyFill="1" applyBorder="1" applyAlignment="1">
      <alignment horizontal="right"/>
    </xf>
    <xf numFmtId="0" fontId="32" fillId="14" borderId="37" xfId="0" applyFont="1" applyFill="1" applyBorder="1" applyAlignment="1">
      <alignment horizontal="right"/>
    </xf>
    <xf numFmtId="0" fontId="0" fillId="16" borderId="0" xfId="0" applyFill="1" applyBorder="1" applyAlignment="1"/>
    <xf numFmtId="0" fontId="3" fillId="0" borderId="0" xfId="0" applyFont="1" applyFill="1" applyBorder="1" applyAlignment="1">
      <alignment vertical="top" wrapText="1"/>
    </xf>
    <xf numFmtId="0" fontId="4" fillId="0" borderId="0" xfId="0" applyFont="1" applyAlignment="1">
      <alignment horizontal="center" wrapText="1"/>
    </xf>
    <xf numFmtId="0" fontId="2" fillId="8" borderId="2" xfId="0" applyFont="1" applyFill="1" applyBorder="1" applyAlignment="1">
      <alignment horizontal="right" vertical="top" wrapText="1"/>
    </xf>
    <xf numFmtId="0" fontId="1" fillId="0" borderId="0" xfId="0" applyFont="1" applyAlignment="1">
      <alignment wrapText="1"/>
    </xf>
    <xf numFmtId="4" fontId="0" fillId="0" borderId="0" xfId="0" applyNumberFormat="1"/>
    <xf numFmtId="0" fontId="0" fillId="0" borderId="47" xfId="0" applyFill="1" applyBorder="1" applyAlignment="1"/>
    <xf numFmtId="0" fontId="31" fillId="0" borderId="46" xfId="0" applyFont="1" applyFill="1" applyBorder="1" applyAlignment="1">
      <alignment horizontal="center"/>
    </xf>
    <xf numFmtId="0" fontId="0" fillId="0" borderId="48" xfId="0" applyFill="1" applyBorder="1" applyAlignment="1"/>
    <xf numFmtId="10" fontId="0" fillId="0" borderId="47" xfId="0" applyNumberFormat="1" applyFill="1" applyBorder="1" applyAlignment="1"/>
    <xf numFmtId="0" fontId="0" fillId="0" borderId="48" xfId="0" applyNumberFormat="1" applyFill="1" applyBorder="1" applyAlignment="1"/>
    <xf numFmtId="0" fontId="0" fillId="0" borderId="47" xfId="0" applyNumberFormat="1" applyFill="1" applyBorder="1" applyAlignment="1"/>
    <xf numFmtId="8" fontId="0" fillId="0" borderId="48" xfId="0" applyNumberFormat="1" applyFill="1" applyBorder="1" applyAlignment="1"/>
    <xf numFmtId="0" fontId="1" fillId="8" borderId="17" xfId="0" applyFont="1" applyFill="1" applyBorder="1"/>
    <xf numFmtId="0" fontId="1" fillId="8" borderId="0" xfId="0" applyFont="1" applyFill="1" applyBorder="1"/>
    <xf numFmtId="14" fontId="10" fillId="0" borderId="19" xfId="0" applyNumberFormat="1" applyFont="1" applyBorder="1" applyAlignment="1">
      <alignment horizontal="center"/>
    </xf>
    <xf numFmtId="9" fontId="3" fillId="11" borderId="0" xfId="4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 2" xfId="3" xr:uid="{00000000-0005-0000-0000-000003000000}"/>
    <cellStyle name="Percent" xfId="4" builtinId="5"/>
    <cellStyle name="Percent 2" xfId="5" xr:uid="{00000000-0005-0000-0000-000005000000}"/>
  </cellStyles>
  <dxfs count="2">
    <dxf>
      <font>
        <color rgb="FF006100"/>
      </font>
      <fill>
        <patternFill>
          <bgColor rgb="FFC6EFCE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[Agbenorhevi_Final_EXAM_Spring2021A.xlsx]Q7-Chart!PivotTable2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'Q7-Chart'!$I$15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'Q7-Chart'!$H$16:$H$19</c:f>
              <c:strCache>
                <c:ptCount val="3"/>
                <c:pt idx="0">
                  <c:v>Computers</c:v>
                </c:pt>
                <c:pt idx="1">
                  <c:v>Health Care</c:v>
                </c:pt>
                <c:pt idx="2">
                  <c:v>Retail</c:v>
                </c:pt>
              </c:strCache>
            </c:strRef>
          </c:cat>
          <c:val>
            <c:numRef>
              <c:f>'Q7-Chart'!$I$16:$I$19</c:f>
              <c:numCache>
                <c:formatCode>General</c:formatCode>
                <c:ptCount val="3"/>
                <c:pt idx="0">
                  <c:v>21529.5</c:v>
                </c:pt>
                <c:pt idx="1">
                  <c:v>19020.23</c:v>
                </c:pt>
                <c:pt idx="2">
                  <c:v>28872.5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8-B746-A4C3-742DAA420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Intitial Purchase Price vs Last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Portfolio!$G$10:$G$21</c:f>
              <c:strCache>
                <c:ptCount val="12"/>
                <c:pt idx="0">
                  <c:v>Purchase Price</c:v>
                </c:pt>
                <c:pt idx="1">
                  <c:v>$129.99 </c:v>
                </c:pt>
                <c:pt idx="2">
                  <c:v>$30.96 </c:v>
                </c:pt>
                <c:pt idx="3">
                  <c:v>$14.32 </c:v>
                </c:pt>
                <c:pt idx="4">
                  <c:v>$49.48</c:v>
                </c:pt>
                <c:pt idx="5">
                  <c:v>$105.48 </c:v>
                </c:pt>
                <c:pt idx="6">
                  <c:v>$35.46 </c:v>
                </c:pt>
                <c:pt idx="7">
                  <c:v>$44.21 </c:v>
                </c:pt>
                <c:pt idx="8">
                  <c:v>$58.48 </c:v>
                </c:pt>
                <c:pt idx="9">
                  <c:v>$48.01 </c:v>
                </c:pt>
                <c:pt idx="10">
                  <c:v>$29.48 </c:v>
                </c:pt>
                <c:pt idx="11">
                  <c:v>$54.53 </c:v>
                </c:pt>
              </c:strCache>
            </c:strRef>
          </c:xVal>
          <c:yVal>
            <c:numRef>
              <c:f>Portfolio!$I$10:$I$21</c:f>
              <c:numCache>
                <c:formatCode>General</c:formatCode>
                <c:ptCount val="12"/>
                <c:pt idx="0">
                  <c:v>0</c:v>
                </c:pt>
                <c:pt idx="1">
                  <c:v>147.93</c:v>
                </c:pt>
                <c:pt idx="2">
                  <c:v>51.9</c:v>
                </c:pt>
                <c:pt idx="3">
                  <c:v>35.89</c:v>
                </c:pt>
                <c:pt idx="4">
                  <c:v>24.55</c:v>
                </c:pt>
                <c:pt idx="5">
                  <c:v>162.72</c:v>
                </c:pt>
                <c:pt idx="6">
                  <c:v>77.38</c:v>
                </c:pt>
                <c:pt idx="7">
                  <c:v>78.44</c:v>
                </c:pt>
                <c:pt idx="8">
                  <c:v>45.53</c:v>
                </c:pt>
                <c:pt idx="9">
                  <c:v>76.92</c:v>
                </c:pt>
                <c:pt idx="10">
                  <c:v>41.27</c:v>
                </c:pt>
                <c:pt idx="11">
                  <c:v>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2645-AC10-1C0B00FE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20799"/>
        <c:axId val="1031239759"/>
      </c:scatterChart>
      <c:valAx>
        <c:axId val="10176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Purchase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39759"/>
        <c:crosses val="autoZero"/>
        <c:crossBetween val="midCat"/>
      </c:valAx>
      <c:valAx>
        <c:axId val="10312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207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Return per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Q11_ScenarioAnalysis!$N$37:$P$37</c:f>
              <c:strCach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Q11_ScenarioAnalysis!$N$37:$P$37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Q11_ScenarioAnalysis!$N$42:$P$42</c:f>
              <c:numCache>
                <c:formatCode>0.00%</c:formatCode>
                <c:ptCount val="3"/>
                <c:pt idx="0">
                  <c:v>0.26584941070700202</c:v>
                </c:pt>
                <c:pt idx="1">
                  <c:v>0.24485640117857099</c:v>
                </c:pt>
                <c:pt idx="2">
                  <c:v>0.23070665146741301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0-FC43-9706-7B42B9C8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362783"/>
        <c:axId val="1022620687"/>
      </c:lineChart>
      <c:catAx>
        <c:axId val="10273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20687"/>
        <c:crosses val="autoZero"/>
        <c:auto val="1"/>
        <c:lblAlgn val="ctr"/>
        <c:lblOffset val="100"/>
        <c:noMultiLvlLbl val="0"/>
      </c:catAx>
      <c:valAx>
        <c:axId val="10226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6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114300</xdr:rowOff>
    </xdr:from>
    <xdr:to>
      <xdr:col>6</xdr:col>
      <xdr:colOff>533400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03DF8-86D3-E849-A267-28E96AD4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25400</xdr:rowOff>
    </xdr:from>
    <xdr:to>
      <xdr:col>6</xdr:col>
      <xdr:colOff>590550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479A1-1581-E746-9D6A-8D89665B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34</xdr:row>
      <xdr:rowOff>63500</xdr:rowOff>
    </xdr:from>
    <xdr:to>
      <xdr:col>5</xdr:col>
      <xdr:colOff>196850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C5752-5ADC-5B49-85E8-1210A0A3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21.695595717596" createdVersion="7" refreshedVersion="7" minRefreshableVersion="3" recordCount="11" xr:uid="{FF0FBC8F-9C6D-DE41-9C68-A32DAEED7E94}">
  <cacheSource type="worksheet">
    <worksheetSource ref="B10:R21" sheet="Portfolio"/>
  </cacheSource>
  <cacheFields count="17">
    <cacheField name="Symbol" numFmtId="0">
      <sharedItems count="11">
        <s v="IBM "/>
        <s v="MSFT "/>
        <s v="NCR "/>
        <s v="EBAY"/>
        <s v="AMGM"/>
        <s v="LLY"/>
        <s v="MDT"/>
        <s v="KSS"/>
        <s v="TJX "/>
        <s v="M"/>
        <s v="WMT "/>
      </sharedItems>
    </cacheField>
    <cacheField name="Company" numFmtId="0">
      <sharedItems/>
    </cacheField>
    <cacheField name="Industry" numFmtId="0">
      <sharedItems/>
    </cacheField>
    <cacheField name="Shares Purchased" numFmtId="0">
      <sharedItems containsSemiMixedTypes="0" containsString="0" containsNumber="1" containsInteger="1" minValue="50" maxValue="200"/>
    </cacheField>
    <cacheField name="Purchase Date" numFmtId="14">
      <sharedItems containsSemiMixedTypes="0" containsNonDate="0" containsDate="1" containsString="0" minDate="2010-04-23T00:00:00" maxDate="2010-04-24T00:00:00"/>
    </cacheField>
    <cacheField name="Purchase Price" numFmtId="0">
      <sharedItems containsSemiMixedTypes="0" containsString="0" containsNumber="1" minValue="14.32" maxValue="129.99"/>
    </cacheField>
    <cacheField name="Market Capital" numFmtId="3">
      <sharedItems containsSemiMixedTypes="0" containsString="0" containsNumber="1" containsInteger="1" minValue="4504830000" maxValue="441180908733"/>
    </cacheField>
    <cacheField name="Last Price" numFmtId="0">
      <sharedItems containsSemiMixedTypes="0" containsString="0" containsNumber="1" minValue="24.55" maxValue="162.72"/>
    </cacheField>
    <cacheField name="Previous Close" numFmtId="0">
      <sharedItems containsSemiMixedTypes="0" containsString="0" containsNumber="1" minValue="24.7" maxValue="164.4"/>
    </cacheField>
    <cacheField name="Earnings Per Share" numFmtId="0">
      <sharedItems containsSemiMixedTypes="0" containsString="0" containsNumber="1" minValue="1.3" maxValue="13.42" count="11">
        <n v="13.42"/>
        <n v="1.3"/>
        <n v="1.49"/>
        <n v="1.42"/>
        <n v="9.06"/>
        <n v="2.2599999999999998"/>
        <n v="1.7"/>
        <n v="3.46"/>
        <n v="3.33"/>
        <n v="3.22"/>
        <n v="4.57"/>
      </sharedItems>
    </cacheField>
    <cacheField name="Commission" numFmtId="164">
      <sharedItems containsSemiMixedTypes="0" containsString="0" containsNumber="1" minValue="17.73" maxValue="25"/>
    </cacheField>
    <cacheField name="Total Cost" numFmtId="8">
      <sharedItems containsSemiMixedTypes="0" containsString="0" containsNumber="1" minValue="1790.73" maxValue="11721" count="11">
        <n v="6524.5"/>
        <n v="4669"/>
        <n v="2889"/>
        <n v="7446.9999999999991"/>
        <n v="10573"/>
        <n v="1790.73"/>
        <n v="6656.5"/>
        <n v="11721"/>
        <n v="7226.5"/>
        <n v="4447"/>
        <n v="5478"/>
      </sharedItems>
    </cacheField>
    <cacheField name="Current Value" numFmtId="164">
      <sharedItems containsSemiMixedTypes="0" containsString="0" containsNumber="1" minValue="3682.5" maxValue="16272" count="11">
        <n v="7396.5"/>
        <n v="7785"/>
        <n v="7178"/>
        <n v="3682.5"/>
        <n v="16272"/>
        <n v="3869"/>
        <n v="11766"/>
        <n v="9106"/>
        <n v="11538"/>
        <n v="6190.5000000000009"/>
        <n v="6856"/>
      </sharedItems>
    </cacheField>
    <cacheField name="Return" numFmtId="10">
      <sharedItems containsSemiMixedTypes="0" containsString="0" containsNumber="1" minValue="-0.50550557271384444" maxValue="1.4845967462789893"/>
    </cacheField>
    <cacheField name="P/E Ratio" numFmtId="43">
      <sharedItems containsSemiMixedTypes="0" containsString="0" containsNumber="1" minValue="11.023099850968704" maxValue="46.141176470588235"/>
    </cacheField>
    <cacheField name="Capitalizataion Level" numFmtId="0">
      <sharedItems/>
    </cacheField>
    <cacheField name="Portfolio Percentage" numFmtId="10">
      <sharedItems containsSemiMixedTypes="0" containsString="0" containsNumber="1" minValue="4.0184636537737545E-2" maxValue="0.17756535118589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21.71070625" createdVersion="7" refreshedVersion="7" minRefreshableVersion="3" recordCount="11" xr:uid="{52316A91-3A56-E041-8ECB-23FB5B83D9FD}">
  <cacheSource type="worksheet">
    <worksheetSource name="Database5"/>
  </cacheSource>
  <cacheFields count="17">
    <cacheField name="Symbol" numFmtId="0">
      <sharedItems/>
    </cacheField>
    <cacheField name="Company" numFmtId="0">
      <sharedItems/>
    </cacheField>
    <cacheField name="Industry" numFmtId="0">
      <sharedItems count="3">
        <s v="Computers"/>
        <s v="Health Care"/>
        <s v="Retail"/>
      </sharedItems>
    </cacheField>
    <cacheField name="Shares Purchased" numFmtId="0">
      <sharedItems containsSemiMixedTypes="0" containsString="0" containsNumber="1" containsInteger="1" minValue="50" maxValue="200"/>
    </cacheField>
    <cacheField name="Purchase Date" numFmtId="14">
      <sharedItems containsSemiMixedTypes="0" containsNonDate="0" containsDate="1" containsString="0" minDate="2010-04-23T00:00:00" maxDate="2010-04-24T00:00:00"/>
    </cacheField>
    <cacheField name="Purchase Price" numFmtId="0">
      <sharedItems containsSemiMixedTypes="0" containsString="0" containsNumber="1" minValue="14.32" maxValue="129.99"/>
    </cacheField>
    <cacheField name="Market Capital" numFmtId="3">
      <sharedItems containsSemiMixedTypes="0" containsString="0" containsNumber="1" containsInteger="1" minValue="4504830000" maxValue="441180908733"/>
    </cacheField>
    <cacheField name="Last Price" numFmtId="0">
      <sharedItems containsSemiMixedTypes="0" containsString="0" containsNumber="1" minValue="24.55" maxValue="162.72"/>
    </cacheField>
    <cacheField name="Previous Close" numFmtId="0">
      <sharedItems containsSemiMixedTypes="0" containsString="0" containsNumber="1" minValue="24.7" maxValue="164.4"/>
    </cacheField>
    <cacheField name="Earnings Per Share" numFmtId="0">
      <sharedItems containsSemiMixedTypes="0" containsString="0" containsNumber="1" minValue="1.3" maxValue="13.42"/>
    </cacheField>
    <cacheField name="Commission" numFmtId="164">
      <sharedItems containsSemiMixedTypes="0" containsString="0" containsNumber="1" minValue="17.73" maxValue="25"/>
    </cacheField>
    <cacheField name="Total Cost" numFmtId="8">
      <sharedItems containsSemiMixedTypes="0" containsString="0" containsNumber="1" minValue="1790.73" maxValue="11721" count="11">
        <n v="6524.5"/>
        <n v="4669"/>
        <n v="2889"/>
        <n v="7446.9999999999991"/>
        <n v="10573"/>
        <n v="1790.73"/>
        <n v="6656.5"/>
        <n v="11721"/>
        <n v="7226.5"/>
        <n v="4447"/>
        <n v="5478"/>
      </sharedItems>
    </cacheField>
    <cacheField name="Current Value" numFmtId="164">
      <sharedItems containsSemiMixedTypes="0" containsString="0" containsNumber="1" minValue="3682.5" maxValue="16272"/>
    </cacheField>
    <cacheField name="Return" numFmtId="10">
      <sharedItems containsSemiMixedTypes="0" containsString="0" containsNumber="1" minValue="-0.50550557271384444" maxValue="1.4845967462789893"/>
    </cacheField>
    <cacheField name="P/E Ratio" numFmtId="43">
      <sharedItems containsSemiMixedTypes="0" containsString="0" containsNumber="1" minValue="11.023099850968704" maxValue="46.141176470588235"/>
    </cacheField>
    <cacheField name="Capitalizataion Level" numFmtId="0">
      <sharedItems/>
    </cacheField>
    <cacheField name="Portfolio Percentage" numFmtId="10">
      <sharedItems containsSemiMixedTypes="0" containsString="0" containsNumber="1" minValue="4.0184636537737545E-2" maxValue="0.17756535118589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International Business Machines"/>
    <s v="Computers"/>
    <n v="50"/>
    <d v="2010-04-23T00:00:00"/>
    <n v="129.99"/>
    <n v="143459520609"/>
    <n v="147.93"/>
    <n v="149.31"/>
    <x v="0"/>
    <n v="25"/>
    <x v="0"/>
    <x v="0"/>
    <n v="0.13365008812935858"/>
    <n v="11.023099850968704"/>
    <s v="LARGE"/>
    <n v="8.0713011310624791E-2"/>
  </r>
  <r>
    <x v="1"/>
    <s v="Microsoft"/>
    <s v="Computers"/>
    <n v="150"/>
    <d v="2010-04-23T00:00:00"/>
    <n v="30.96"/>
    <n v="441180908733"/>
    <n v="51.9"/>
    <n v="55.79"/>
    <x v="1"/>
    <n v="25"/>
    <x v="1"/>
    <x v="1"/>
    <n v="0.66738059541657746"/>
    <n v="39.92307692307692"/>
    <s v="LARGE"/>
    <n v="8.4952449544137623E-2"/>
  </r>
  <r>
    <x v="2"/>
    <s v="NCR Corp."/>
    <s v="Computers"/>
    <n v="200"/>
    <d v="2010-04-23T00:00:00"/>
    <n v="14.32"/>
    <n v="4504830000"/>
    <n v="35.89"/>
    <n v="36.299999999999997"/>
    <x v="2"/>
    <n v="25"/>
    <x v="2"/>
    <x v="2"/>
    <n v="1.4845967462789893"/>
    <n v="24.087248322147651"/>
    <s v="SMALL"/>
    <n v="7.8328668314427724E-2"/>
  </r>
  <r>
    <x v="3"/>
    <s v="eBay Inc"/>
    <s v="Computers"/>
    <n v="150"/>
    <d v="2010-04-23T00:00:00"/>
    <n v="49.48"/>
    <n v="28211686296"/>
    <n v="24.55"/>
    <n v="24.7"/>
    <x v="3"/>
    <n v="25"/>
    <x v="3"/>
    <x v="3"/>
    <n v="-0.50550557271384444"/>
    <n v="17.2887323943662"/>
    <s v="LARGE"/>
    <n v="4.0184636537737545E-2"/>
  </r>
  <r>
    <x v="4"/>
    <s v="Amgen Inc "/>
    <s v="Health Care"/>
    <n v="100"/>
    <d v="2010-04-23T00:00:00"/>
    <n v="105.48"/>
    <n v="123606162095"/>
    <n v="162.72"/>
    <n v="164.4"/>
    <x v="4"/>
    <n v="25"/>
    <x v="4"/>
    <x v="4"/>
    <n v="0.5390144708219049"/>
    <n v="17.960264900662249"/>
    <s v="LARGE"/>
    <n v="0.17756535118589692"/>
  </r>
  <r>
    <x v="5"/>
    <s v="Eli Lilly and Co "/>
    <s v="Health Care"/>
    <n v="50"/>
    <d v="2010-04-23T00:00:00"/>
    <n v="35.46"/>
    <n v="85578452934"/>
    <n v="77.38"/>
    <n v="77.37"/>
    <x v="5"/>
    <n v="17.73"/>
    <x v="5"/>
    <x v="5"/>
    <n v="1.1605713870879473"/>
    <n v="34.23893805309735"/>
    <s v="LARGE"/>
    <n v="4.221978513632222E-2"/>
  </r>
  <r>
    <x v="6"/>
    <s v="Medtronic PLC "/>
    <s v="Health Care"/>
    <n v="150"/>
    <d v="2010-04-23T00:00:00"/>
    <n v="44.21"/>
    <n v="141417916147"/>
    <n v="78.44"/>
    <n v="78.55"/>
    <x v="6"/>
    <n v="25"/>
    <x v="6"/>
    <x v="6"/>
    <n v="0.7675955832644783"/>
    <n v="46.141176470588235"/>
    <s v="LARGE"/>
    <n v="0.1283944150721032"/>
  </r>
  <r>
    <x v="7"/>
    <s v="Kohl's Corp"/>
    <s v="Retail"/>
    <n v="200"/>
    <d v="2010-04-23T00:00:00"/>
    <n v="58.48"/>
    <n v="8412223535"/>
    <n v="45.53"/>
    <n v="45.43"/>
    <x v="7"/>
    <n v="25"/>
    <x v="7"/>
    <x v="7"/>
    <n v="-0.22310383073116627"/>
    <n v="13.158959537572255"/>
    <s v="MEDIUM"/>
    <n v="9.9367630770573825E-2"/>
  </r>
  <r>
    <x v="8"/>
    <s v="TJX Companies"/>
    <s v="Retail"/>
    <n v="150"/>
    <d v="2010-04-23T00:00:00"/>
    <n v="48.01"/>
    <n v="51026148620"/>
    <n v="76.92"/>
    <n v="77.040000000000006"/>
    <x v="8"/>
    <n v="25"/>
    <x v="8"/>
    <x v="8"/>
    <n v="0.59662353836573723"/>
    <n v="23.099099099099099"/>
    <s v="LARGE"/>
    <n v="0.12590640498911496"/>
  </r>
  <r>
    <x v="9"/>
    <s v="Macy's Inc "/>
    <s v="Retail"/>
    <n v="150"/>
    <d v="2010-04-23T00:00:00"/>
    <n v="29.48"/>
    <n v="12904283053"/>
    <n v="41.27"/>
    <n v="41.55"/>
    <x v="9"/>
    <n v="25"/>
    <x v="9"/>
    <x v="9"/>
    <n v="0.39206206431302021"/>
    <n v="12.816770186335404"/>
    <s v="LARGE"/>
    <n v="6.7552747450608103E-2"/>
  </r>
  <r>
    <x v="10"/>
    <s v="Wal-Mart Stores Inc "/>
    <s v="Retail"/>
    <n v="100"/>
    <d v="2010-04-23T00:00:00"/>
    <n v="54.53"/>
    <n v="215292624570"/>
    <n v="68.56"/>
    <n v="68.47"/>
    <x v="10"/>
    <n v="25"/>
    <x v="10"/>
    <x v="10"/>
    <n v="0.25155166119021538"/>
    <n v="15.002188183807439"/>
    <s v="LARGE"/>
    <n v="7.481489968845311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IBM "/>
    <s v="International Business Machines"/>
    <x v="0"/>
    <n v="50"/>
    <d v="2010-04-23T00:00:00"/>
    <n v="129.99"/>
    <n v="143459520609"/>
    <n v="147.93"/>
    <n v="149.31"/>
    <n v="13.42"/>
    <n v="25"/>
    <x v="0"/>
    <n v="7396.5"/>
    <n v="0.13365008812935858"/>
    <n v="11.023099850968704"/>
    <s v="LARGE"/>
    <n v="8.0713011310624791E-2"/>
  </r>
  <r>
    <s v="MSFT "/>
    <s v="Microsoft"/>
    <x v="0"/>
    <n v="150"/>
    <d v="2010-04-23T00:00:00"/>
    <n v="30.96"/>
    <n v="441180908733"/>
    <n v="51.9"/>
    <n v="55.79"/>
    <n v="1.3"/>
    <n v="25"/>
    <x v="1"/>
    <n v="7785"/>
    <n v="0.66738059541657746"/>
    <n v="39.92307692307692"/>
    <s v="LARGE"/>
    <n v="8.4952449544137623E-2"/>
  </r>
  <r>
    <s v="NCR "/>
    <s v="NCR Corp."/>
    <x v="0"/>
    <n v="200"/>
    <d v="2010-04-23T00:00:00"/>
    <n v="14.32"/>
    <n v="4504830000"/>
    <n v="35.89"/>
    <n v="36.299999999999997"/>
    <n v="1.49"/>
    <n v="25"/>
    <x v="2"/>
    <n v="7178"/>
    <n v="1.4845967462789893"/>
    <n v="24.087248322147651"/>
    <s v="SMALL"/>
    <n v="7.8328668314427724E-2"/>
  </r>
  <r>
    <s v="EBAY"/>
    <s v="eBay Inc"/>
    <x v="0"/>
    <n v="150"/>
    <d v="2010-04-23T00:00:00"/>
    <n v="49.48"/>
    <n v="28211686296"/>
    <n v="24.55"/>
    <n v="24.7"/>
    <n v="1.42"/>
    <n v="25"/>
    <x v="3"/>
    <n v="3682.5"/>
    <n v="-0.50550557271384444"/>
    <n v="17.2887323943662"/>
    <s v="LARGE"/>
    <n v="4.0184636537737545E-2"/>
  </r>
  <r>
    <s v="AMGM"/>
    <s v="Amgen Inc "/>
    <x v="1"/>
    <n v="100"/>
    <d v="2010-04-23T00:00:00"/>
    <n v="105.48"/>
    <n v="123606162095"/>
    <n v="162.72"/>
    <n v="164.4"/>
    <n v="9.06"/>
    <n v="25"/>
    <x v="4"/>
    <n v="16272"/>
    <n v="0.5390144708219049"/>
    <n v="17.960264900662249"/>
    <s v="LARGE"/>
    <n v="0.17756535118589692"/>
  </r>
  <r>
    <s v="LLY"/>
    <s v="Eli Lilly and Co "/>
    <x v="1"/>
    <n v="50"/>
    <d v="2010-04-23T00:00:00"/>
    <n v="35.46"/>
    <n v="85578452934"/>
    <n v="77.38"/>
    <n v="77.37"/>
    <n v="2.2599999999999998"/>
    <n v="17.73"/>
    <x v="5"/>
    <n v="3869"/>
    <n v="1.1605713870879473"/>
    <n v="34.23893805309735"/>
    <s v="LARGE"/>
    <n v="4.221978513632222E-2"/>
  </r>
  <r>
    <s v="MDT"/>
    <s v="Medtronic PLC "/>
    <x v="1"/>
    <n v="150"/>
    <d v="2010-04-23T00:00:00"/>
    <n v="44.21"/>
    <n v="141417916147"/>
    <n v="78.44"/>
    <n v="78.55"/>
    <n v="1.7"/>
    <n v="25"/>
    <x v="6"/>
    <n v="11766"/>
    <n v="0.7675955832644783"/>
    <n v="46.141176470588235"/>
    <s v="LARGE"/>
    <n v="0.1283944150721032"/>
  </r>
  <r>
    <s v="KSS"/>
    <s v="Kohl's Corp"/>
    <x v="2"/>
    <n v="200"/>
    <d v="2010-04-23T00:00:00"/>
    <n v="58.48"/>
    <n v="8412223535"/>
    <n v="45.53"/>
    <n v="45.43"/>
    <n v="3.46"/>
    <n v="25"/>
    <x v="7"/>
    <n v="9106"/>
    <n v="-0.22310383073116627"/>
    <n v="13.158959537572255"/>
    <s v="MEDIUM"/>
    <n v="9.9367630770573825E-2"/>
  </r>
  <r>
    <s v="TJX "/>
    <s v="TJX Companies"/>
    <x v="2"/>
    <n v="150"/>
    <d v="2010-04-23T00:00:00"/>
    <n v="48.01"/>
    <n v="51026148620"/>
    <n v="76.92"/>
    <n v="77.040000000000006"/>
    <n v="3.33"/>
    <n v="25"/>
    <x v="8"/>
    <n v="11538"/>
    <n v="0.59662353836573723"/>
    <n v="23.099099099099099"/>
    <s v="LARGE"/>
    <n v="0.12590640498911496"/>
  </r>
  <r>
    <s v="M"/>
    <s v="Macy's Inc "/>
    <x v="2"/>
    <n v="150"/>
    <d v="2010-04-23T00:00:00"/>
    <n v="29.48"/>
    <n v="12904283053"/>
    <n v="41.27"/>
    <n v="41.55"/>
    <n v="3.22"/>
    <n v="25"/>
    <x v="9"/>
    <n v="6190.5000000000009"/>
    <n v="0.39206206431302021"/>
    <n v="12.816770186335404"/>
    <s v="LARGE"/>
    <n v="6.7552747450608103E-2"/>
  </r>
  <r>
    <s v="WMT "/>
    <s v="Wal-Mart Stores Inc "/>
    <x v="2"/>
    <n v="100"/>
    <d v="2010-04-23T00:00:00"/>
    <n v="54.53"/>
    <n v="215292624570"/>
    <n v="68.56"/>
    <n v="68.47"/>
    <n v="4.57"/>
    <n v="25"/>
    <x v="10"/>
    <n v="6856"/>
    <n v="0.25155166119021538"/>
    <n v="15.002188183807439"/>
    <s v="LARGE"/>
    <n v="7.48148996884531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6BFBD-9CE5-C146-A140-F6BD9A572194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16" firstHeaderRow="0" firstDataRow="1" firstDataCol="1"/>
  <pivotFields count="17">
    <pivotField axis="axisRow" showAll="0">
      <items count="12">
        <item x="4"/>
        <item x="3"/>
        <item x="0"/>
        <item x="7"/>
        <item x="5"/>
        <item x="9"/>
        <item x="6"/>
        <item x="1"/>
        <item x="2"/>
        <item x="8"/>
        <item x="10"/>
        <item t="default"/>
      </items>
    </pivotField>
    <pivotField showAll="0"/>
    <pivotField showAll="0"/>
    <pivotField showAll="0"/>
    <pivotField numFmtId="14" showAll="0"/>
    <pivotField showAll="0"/>
    <pivotField numFmtId="3" showAll="0"/>
    <pivotField showAll="0"/>
    <pivotField showAll="0"/>
    <pivotField dataField="1" showAll="0">
      <items count="12">
        <item x="1"/>
        <item x="3"/>
        <item x="2"/>
        <item x="6"/>
        <item x="5"/>
        <item x="9"/>
        <item x="8"/>
        <item x="7"/>
        <item x="10"/>
        <item x="4"/>
        <item x="0"/>
        <item t="default"/>
      </items>
    </pivotField>
    <pivotField numFmtId="164" showAll="0"/>
    <pivotField dataField="1" numFmtId="8" showAll="0">
      <items count="12">
        <item x="5"/>
        <item x="2"/>
        <item x="9"/>
        <item x="1"/>
        <item x="10"/>
        <item x="0"/>
        <item x="6"/>
        <item x="8"/>
        <item x="3"/>
        <item x="4"/>
        <item x="7"/>
        <item t="default"/>
      </items>
    </pivotField>
    <pivotField dataField="1" numFmtId="164" showAll="0">
      <items count="12">
        <item x="3"/>
        <item x="5"/>
        <item x="9"/>
        <item x="10"/>
        <item x="2"/>
        <item x="0"/>
        <item x="1"/>
        <item x="7"/>
        <item x="8"/>
        <item x="6"/>
        <item x="4"/>
        <item t="default"/>
      </items>
    </pivotField>
    <pivotField numFmtId="10" showAll="0"/>
    <pivotField numFmtId="43" showAll="0"/>
    <pivotField showAll="0"/>
    <pivotField numFmtId="1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" fld="11" baseField="0" baseItem="0"/>
    <dataField name="Sum of Current Value" fld="12" baseField="0" baseItem="0"/>
    <dataField name="Sum of Earnings Per Share" fld="9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93556-0C3A-FC42-9A5F-6A92C97595E9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15:I19" firstHeaderRow="1" firstDataRow="1" firstDataCol="1"/>
  <pivotFields count="1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numFmtId="3" showAll="0"/>
    <pivotField showAll="0"/>
    <pivotField showAll="0"/>
    <pivotField showAll="0"/>
    <pivotField numFmtId="164" showAll="0"/>
    <pivotField dataField="1" numFmtId="8" showAll="0">
      <items count="12">
        <item x="5"/>
        <item x="2"/>
        <item x="9"/>
        <item x="1"/>
        <item x="10"/>
        <item x="0"/>
        <item x="6"/>
        <item x="8"/>
        <item x="3"/>
        <item x="4"/>
        <item x="7"/>
        <item t="default"/>
      </items>
    </pivotField>
    <pivotField numFmtId="164" showAll="0"/>
    <pivotField numFmtId="10" showAll="0"/>
    <pivotField numFmtId="43" showAll="0"/>
    <pivotField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Cos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17"/>
  <sheetViews>
    <sheetView tabSelected="1" workbookViewId="0">
      <selection activeCell="D11" sqref="D11:F11"/>
    </sheetView>
  </sheetViews>
  <sheetFormatPr baseColWidth="10" defaultColWidth="8.83203125" defaultRowHeight="13" x14ac:dyDescent="0.15"/>
  <cols>
    <col min="4" max="4" width="18" customWidth="1"/>
  </cols>
  <sheetData>
    <row r="1" spans="2:6" ht="14" thickBot="1" x14ac:dyDescent="0.2"/>
    <row r="2" spans="2:6" ht="14.25" customHeight="1" x14ac:dyDescent="0.15">
      <c r="B2" s="164" t="s">
        <v>62</v>
      </c>
      <c r="C2" s="165"/>
      <c r="D2" s="166"/>
    </row>
    <row r="3" spans="2:6" ht="46.5" customHeight="1" thickBot="1" x14ac:dyDescent="0.2">
      <c r="B3" s="167"/>
      <c r="C3" s="168"/>
      <c r="D3" s="169"/>
    </row>
    <row r="4" spans="2:6" ht="14" thickBot="1" x14ac:dyDescent="0.2"/>
    <row r="5" spans="2:6" ht="12.75" customHeight="1" x14ac:dyDescent="0.15">
      <c r="B5" s="170" t="s">
        <v>95</v>
      </c>
      <c r="C5" s="171"/>
      <c r="D5" s="172"/>
    </row>
    <row r="6" spans="2:6" ht="28.5" customHeight="1" thickBot="1" x14ac:dyDescent="0.2">
      <c r="B6" s="173"/>
      <c r="C6" s="174"/>
      <c r="D6" s="175"/>
    </row>
    <row r="7" spans="2:6" ht="14" thickBot="1" x14ac:dyDescent="0.2"/>
    <row r="8" spans="2:6" ht="19" thickBot="1" x14ac:dyDescent="0.2">
      <c r="B8" s="176"/>
      <c r="C8" s="177"/>
      <c r="D8" s="178"/>
      <c r="E8" s="117"/>
    </row>
    <row r="9" spans="2:6" ht="14" thickBot="1" x14ac:dyDescent="0.2"/>
    <row r="10" spans="2:6" ht="16" x14ac:dyDescent="0.2">
      <c r="B10" s="179" t="s">
        <v>39</v>
      </c>
      <c r="C10" s="180"/>
      <c r="D10" s="270">
        <v>44321</v>
      </c>
      <c r="E10" s="183"/>
      <c r="F10" s="184"/>
    </row>
    <row r="11" spans="2:6" ht="17" thickBot="1" x14ac:dyDescent="0.25">
      <c r="B11" s="181" t="s">
        <v>40</v>
      </c>
      <c r="C11" s="182"/>
      <c r="D11" s="185" t="s">
        <v>188</v>
      </c>
      <c r="E11" s="186"/>
      <c r="F11" s="187"/>
    </row>
    <row r="12" spans="2:6" ht="14" thickBot="1" x14ac:dyDescent="0.2"/>
    <row r="13" spans="2:6" ht="17" thickBot="1" x14ac:dyDescent="0.25">
      <c r="B13" s="161" t="s">
        <v>84</v>
      </c>
      <c r="C13" s="162"/>
      <c r="D13" s="163"/>
    </row>
    <row r="16" spans="2:6" ht="14" thickBot="1" x14ac:dyDescent="0.2"/>
    <row r="17" spans="2:11" ht="21" thickBot="1" x14ac:dyDescent="0.25">
      <c r="B17" s="77" t="s">
        <v>61</v>
      </c>
      <c r="C17" s="78"/>
      <c r="D17" s="78"/>
      <c r="E17" s="78"/>
      <c r="F17" s="78"/>
      <c r="G17" s="78"/>
      <c r="H17" s="79"/>
      <c r="I17" s="80"/>
      <c r="J17" s="80"/>
      <c r="K17" s="81"/>
    </row>
  </sheetData>
  <mergeCells count="8">
    <mergeCell ref="B13:D13"/>
    <mergeCell ref="B2:D3"/>
    <mergeCell ref="B5:D6"/>
    <mergeCell ref="B8:D8"/>
    <mergeCell ref="B10:C10"/>
    <mergeCell ref="B11:C11"/>
    <mergeCell ref="D10:F10"/>
    <mergeCell ref="D11:F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26"/>
  <sheetViews>
    <sheetView workbookViewId="0">
      <selection activeCell="E19" sqref="E19"/>
    </sheetView>
  </sheetViews>
  <sheetFormatPr baseColWidth="10" defaultColWidth="8.83203125" defaultRowHeight="13" outlineLevelRow="2" x14ac:dyDescent="0.15"/>
  <cols>
    <col min="3" max="3" width="18.83203125" customWidth="1"/>
    <col min="4" max="4" width="13.1640625" customWidth="1"/>
    <col min="5" max="5" width="17.83203125" bestFit="1" customWidth="1"/>
    <col min="6" max="7" width="9.33203125" bestFit="1" customWidth="1"/>
    <col min="8" max="8" width="19.1640625" customWidth="1"/>
    <col min="9" max="9" width="9.6640625" bestFit="1" customWidth="1"/>
    <col min="10" max="12" width="9.33203125" bestFit="1" customWidth="1"/>
    <col min="13" max="13" width="12.33203125" customWidth="1"/>
    <col min="14" max="14" width="13.6640625" bestFit="1" customWidth="1"/>
    <col min="15" max="16" width="9.33203125" bestFit="1" customWidth="1"/>
    <col min="17" max="17" width="14.5" customWidth="1"/>
    <col min="18" max="18" width="16" customWidth="1"/>
  </cols>
  <sheetData>
    <row r="1" spans="1:19" ht="19" thickBot="1" x14ac:dyDescent="0.25">
      <c r="A1" s="38" t="s">
        <v>87</v>
      </c>
      <c r="B1" s="22"/>
      <c r="C1" s="22"/>
      <c r="D1" s="22"/>
      <c r="E1" s="22"/>
      <c r="F1" s="22"/>
      <c r="G1" s="22"/>
      <c r="H1" s="23"/>
    </row>
    <row r="7" spans="1:19" ht="14" thickBot="1" x14ac:dyDescent="0.2"/>
    <row r="8" spans="1:19" x14ac:dyDescent="0.15">
      <c r="I8" s="63" t="s">
        <v>44</v>
      </c>
    </row>
    <row r="9" spans="1:19" x14ac:dyDescent="0.15">
      <c r="I9" s="132">
        <v>42886</v>
      </c>
    </row>
    <row r="10" spans="1:19" ht="28" x14ac:dyDescent="0.15">
      <c r="B10" s="142" t="s">
        <v>0</v>
      </c>
      <c r="C10" s="142" t="s">
        <v>1</v>
      </c>
      <c r="D10" s="143" t="s">
        <v>2</v>
      </c>
      <c r="E10" s="143" t="s">
        <v>3</v>
      </c>
      <c r="F10" s="143" t="s">
        <v>4</v>
      </c>
      <c r="G10" s="143" t="s">
        <v>5</v>
      </c>
      <c r="H10" s="143" t="s">
        <v>11</v>
      </c>
      <c r="I10" s="143" t="s">
        <v>12</v>
      </c>
      <c r="J10" s="143" t="s">
        <v>13</v>
      </c>
      <c r="K10" s="143" t="s">
        <v>14</v>
      </c>
      <c r="L10" s="143" t="s">
        <v>15</v>
      </c>
      <c r="M10" s="143" t="s">
        <v>16</v>
      </c>
      <c r="N10" s="143" t="s">
        <v>18</v>
      </c>
      <c r="O10" s="143" t="s">
        <v>19</v>
      </c>
      <c r="P10" s="143" t="s">
        <v>20</v>
      </c>
      <c r="Q10" s="143" t="s">
        <v>56</v>
      </c>
      <c r="R10" s="143" t="s">
        <v>17</v>
      </c>
      <c r="S10" s="76"/>
    </row>
    <row r="11" spans="1:19" ht="28" outlineLevel="2" x14ac:dyDescent="0.15">
      <c r="A11" s="131"/>
      <c r="B11" s="118" t="s">
        <v>22</v>
      </c>
      <c r="C11" s="119" t="s">
        <v>6</v>
      </c>
      <c r="D11" s="119" t="s">
        <v>7</v>
      </c>
      <c r="E11" s="120">
        <v>50</v>
      </c>
      <c r="F11" s="121">
        <v>40291</v>
      </c>
      <c r="G11" s="122">
        <v>129.99</v>
      </c>
      <c r="H11" s="128">
        <v>143459520609</v>
      </c>
      <c r="I11" s="123">
        <v>147.93</v>
      </c>
      <c r="J11" s="123">
        <v>149.31</v>
      </c>
      <c r="K11" s="123">
        <v>13.42</v>
      </c>
      <c r="L11" s="83">
        <f t="shared" ref="L11:L23" si="0">IF(E11*G11*0.01&lt;25,E11*G11*0.01,25)</f>
        <v>25</v>
      </c>
      <c r="M11" s="84">
        <f t="shared" ref="M11:M23" si="1">E11*G11+L11</f>
        <v>6524.5</v>
      </c>
      <c r="N11" s="85">
        <f t="shared" ref="N11:N23" si="2">I11*E11</f>
        <v>7396.5</v>
      </c>
      <c r="O11" s="86">
        <f t="shared" ref="O11:O26" si="3">(N11-M11)/M11</f>
        <v>0.13365008812935858</v>
      </c>
      <c r="P11" s="87">
        <f t="shared" ref="P11:P23" si="4">I11/K11</f>
        <v>11.023099850968704</v>
      </c>
      <c r="Q11" s="130" t="str">
        <f>IF(H11&lt;5000000000,"SMALL",IF(H11&gt;10000000000,"LARGE","MEDIUM"))</f>
        <v>LARGE</v>
      </c>
      <c r="R11" s="86">
        <f t="shared" ref="R11:R23" si="5">N11/$N$26</f>
        <v>8.0713011310624791E-2</v>
      </c>
    </row>
    <row r="12" spans="1:19" ht="14" outlineLevel="2" x14ac:dyDescent="0.15">
      <c r="B12" s="118" t="s">
        <v>42</v>
      </c>
      <c r="C12" s="119" t="s">
        <v>43</v>
      </c>
      <c r="D12" s="119" t="s">
        <v>7</v>
      </c>
      <c r="E12" s="120">
        <v>150</v>
      </c>
      <c r="F12" s="121">
        <v>40291</v>
      </c>
      <c r="G12" s="122">
        <v>30.96</v>
      </c>
      <c r="H12" s="128">
        <v>441180908733</v>
      </c>
      <c r="I12" s="123">
        <v>51.9</v>
      </c>
      <c r="J12" s="123">
        <v>55.79</v>
      </c>
      <c r="K12" s="123">
        <v>1.3</v>
      </c>
      <c r="L12" s="83">
        <f t="shared" si="0"/>
        <v>25</v>
      </c>
      <c r="M12" s="84">
        <f t="shared" si="1"/>
        <v>4669</v>
      </c>
      <c r="N12" s="85">
        <f t="shared" si="2"/>
        <v>7785</v>
      </c>
      <c r="O12" s="86">
        <f t="shared" si="3"/>
        <v>0.66738059541657746</v>
      </c>
      <c r="P12" s="87">
        <f t="shared" si="4"/>
        <v>39.92307692307692</v>
      </c>
      <c r="Q12" s="130" t="str">
        <f t="shared" ref="Q12:Q23" si="6">IF(H12&lt;5000000000,"SMALL",IF(H12&gt;10000000000,"LARGE","MEDIUM"))</f>
        <v>LARGE</v>
      </c>
      <c r="R12" s="86">
        <f t="shared" si="5"/>
        <v>8.4952449544137623E-2</v>
      </c>
    </row>
    <row r="13" spans="1:19" ht="14" outlineLevel="2" x14ac:dyDescent="0.15">
      <c r="B13" s="118" t="s">
        <v>23</v>
      </c>
      <c r="C13" s="119" t="s">
        <v>9</v>
      </c>
      <c r="D13" s="119" t="s">
        <v>7</v>
      </c>
      <c r="E13" s="120">
        <v>200</v>
      </c>
      <c r="F13" s="121">
        <v>40291</v>
      </c>
      <c r="G13" s="122">
        <v>14.32</v>
      </c>
      <c r="H13" s="128">
        <v>4504830000</v>
      </c>
      <c r="I13" s="123">
        <v>35.89</v>
      </c>
      <c r="J13" s="123">
        <v>36.299999999999997</v>
      </c>
      <c r="K13" s="123">
        <v>1.49</v>
      </c>
      <c r="L13" s="83">
        <f t="shared" si="0"/>
        <v>25</v>
      </c>
      <c r="M13" s="84">
        <f t="shared" si="1"/>
        <v>2889</v>
      </c>
      <c r="N13" s="85">
        <f t="shared" si="2"/>
        <v>7178</v>
      </c>
      <c r="O13" s="86">
        <f t="shared" si="3"/>
        <v>1.4845967462789893</v>
      </c>
      <c r="P13" s="87">
        <f t="shared" si="4"/>
        <v>24.087248322147651</v>
      </c>
      <c r="Q13" s="130" t="str">
        <f t="shared" si="6"/>
        <v>SMALL</v>
      </c>
      <c r="R13" s="86">
        <f t="shared" si="5"/>
        <v>7.8328668314427724E-2</v>
      </c>
    </row>
    <row r="14" spans="1:19" ht="14" outlineLevel="2" x14ac:dyDescent="0.15">
      <c r="B14" s="119" t="s">
        <v>70</v>
      </c>
      <c r="C14" s="119" t="s">
        <v>71</v>
      </c>
      <c r="D14" s="119" t="s">
        <v>7</v>
      </c>
      <c r="E14" s="124">
        <v>150</v>
      </c>
      <c r="F14" s="125">
        <v>40291</v>
      </c>
      <c r="G14" s="126">
        <v>49.48</v>
      </c>
      <c r="H14" s="129">
        <v>28211686296</v>
      </c>
      <c r="I14" s="127">
        <v>24.55</v>
      </c>
      <c r="J14" s="127">
        <v>24.7</v>
      </c>
      <c r="K14" s="127">
        <v>1.42</v>
      </c>
      <c r="L14" s="83">
        <f t="shared" si="0"/>
        <v>25</v>
      </c>
      <c r="M14" s="84">
        <f t="shared" si="1"/>
        <v>7446.9999999999991</v>
      </c>
      <c r="N14" s="85">
        <f t="shared" si="2"/>
        <v>3682.5</v>
      </c>
      <c r="O14" s="86">
        <f t="shared" si="3"/>
        <v>-0.50550557271384444</v>
      </c>
      <c r="P14" s="87">
        <f t="shared" si="4"/>
        <v>17.2887323943662</v>
      </c>
      <c r="Q14" s="130" t="str">
        <f t="shared" si="6"/>
        <v>LARGE</v>
      </c>
      <c r="R14" s="86">
        <f t="shared" si="5"/>
        <v>4.0184636537737545E-2</v>
      </c>
    </row>
    <row r="15" spans="1:19" outlineLevel="1" x14ac:dyDescent="0.15">
      <c r="B15" s="119"/>
      <c r="C15" s="119"/>
      <c r="D15" s="227" t="s">
        <v>102</v>
      </c>
      <c r="E15" s="124">
        <f>SUBTOTAL(9,E11:E14)</f>
        <v>550</v>
      </c>
      <c r="F15" s="125"/>
      <c r="G15" s="126"/>
      <c r="H15" s="129"/>
      <c r="I15" s="127"/>
      <c r="J15" s="127"/>
      <c r="K15" s="127"/>
      <c r="L15" s="83"/>
      <c r="M15" s="84">
        <f>SUBTOTAL(9,M11:M14)</f>
        <v>21529.5</v>
      </c>
      <c r="N15" s="85"/>
      <c r="O15" s="86"/>
      <c r="P15" s="87"/>
      <c r="Q15" s="130"/>
      <c r="R15" s="86"/>
    </row>
    <row r="16" spans="1:19" ht="17.25" customHeight="1" outlineLevel="2" x14ac:dyDescent="0.15">
      <c r="B16" s="118" t="s">
        <v>72</v>
      </c>
      <c r="C16" s="119" t="s">
        <v>73</v>
      </c>
      <c r="D16" s="145" t="s">
        <v>74</v>
      </c>
      <c r="E16" s="120">
        <v>100</v>
      </c>
      <c r="F16" s="121">
        <v>40291</v>
      </c>
      <c r="G16" s="122">
        <v>105.48</v>
      </c>
      <c r="H16" s="128">
        <v>123606162095</v>
      </c>
      <c r="I16" s="123">
        <v>162.72</v>
      </c>
      <c r="J16" s="123">
        <v>164.4</v>
      </c>
      <c r="K16" s="123">
        <v>9.06</v>
      </c>
      <c r="L16" s="83">
        <f t="shared" si="0"/>
        <v>25</v>
      </c>
      <c r="M16" s="84">
        <f t="shared" si="1"/>
        <v>10573</v>
      </c>
      <c r="N16" s="85">
        <f t="shared" si="2"/>
        <v>16272</v>
      </c>
      <c r="O16" s="86">
        <f t="shared" si="3"/>
        <v>0.5390144708219049</v>
      </c>
      <c r="P16" s="87">
        <f t="shared" si="4"/>
        <v>17.960264900662249</v>
      </c>
      <c r="Q16" s="130" t="str">
        <f t="shared" si="6"/>
        <v>LARGE</v>
      </c>
      <c r="R16" s="86">
        <f t="shared" si="5"/>
        <v>0.17756535118589692</v>
      </c>
    </row>
    <row r="17" spans="2:18" ht="15" customHeight="1" outlineLevel="2" x14ac:dyDescent="0.15">
      <c r="B17" s="118" t="s">
        <v>75</v>
      </c>
      <c r="C17" s="119" t="s">
        <v>76</v>
      </c>
      <c r="D17" s="119" t="s">
        <v>74</v>
      </c>
      <c r="E17" s="120">
        <v>50</v>
      </c>
      <c r="F17" s="121">
        <v>40291</v>
      </c>
      <c r="G17" s="122">
        <v>35.46</v>
      </c>
      <c r="H17" s="128">
        <v>85578452934</v>
      </c>
      <c r="I17" s="123">
        <v>77.38</v>
      </c>
      <c r="J17" s="123">
        <v>77.37</v>
      </c>
      <c r="K17" s="123">
        <v>2.2599999999999998</v>
      </c>
      <c r="L17" s="83">
        <f t="shared" si="0"/>
        <v>17.73</v>
      </c>
      <c r="M17" s="84">
        <f t="shared" si="1"/>
        <v>1790.73</v>
      </c>
      <c r="N17" s="85">
        <f t="shared" si="2"/>
        <v>3869</v>
      </c>
      <c r="O17" s="86">
        <f t="shared" si="3"/>
        <v>1.1605713870879473</v>
      </c>
      <c r="P17" s="87">
        <f t="shared" si="4"/>
        <v>34.23893805309735</v>
      </c>
      <c r="Q17" s="130" t="str">
        <f t="shared" si="6"/>
        <v>LARGE</v>
      </c>
      <c r="R17" s="86">
        <f t="shared" si="5"/>
        <v>4.221978513632222E-2</v>
      </c>
    </row>
    <row r="18" spans="2:18" ht="17.25" customHeight="1" outlineLevel="2" x14ac:dyDescent="0.15">
      <c r="B18" s="118" t="s">
        <v>77</v>
      </c>
      <c r="C18" s="119" t="s">
        <v>78</v>
      </c>
      <c r="D18" s="119" t="s">
        <v>74</v>
      </c>
      <c r="E18" s="120">
        <v>150</v>
      </c>
      <c r="F18" s="121">
        <v>40291</v>
      </c>
      <c r="G18" s="122">
        <v>44.21</v>
      </c>
      <c r="H18" s="128">
        <v>141417916147</v>
      </c>
      <c r="I18" s="123">
        <v>78.44</v>
      </c>
      <c r="J18" s="123">
        <v>78.55</v>
      </c>
      <c r="K18" s="123">
        <v>1.7</v>
      </c>
      <c r="L18" s="83">
        <f t="shared" si="0"/>
        <v>25</v>
      </c>
      <c r="M18" s="84">
        <f t="shared" si="1"/>
        <v>6656.5</v>
      </c>
      <c r="N18" s="85">
        <f t="shared" si="2"/>
        <v>11766</v>
      </c>
      <c r="O18" s="86">
        <f t="shared" si="3"/>
        <v>0.7675955832644783</v>
      </c>
      <c r="P18" s="87">
        <f t="shared" si="4"/>
        <v>46.141176470588235</v>
      </c>
      <c r="Q18" s="130" t="str">
        <f t="shared" si="6"/>
        <v>LARGE</v>
      </c>
      <c r="R18" s="86">
        <f t="shared" si="5"/>
        <v>0.1283944150721032</v>
      </c>
    </row>
    <row r="19" spans="2:18" ht="17.25" customHeight="1" outlineLevel="1" x14ac:dyDescent="0.15">
      <c r="B19" s="118"/>
      <c r="C19" s="119"/>
      <c r="D19" s="227" t="s">
        <v>103</v>
      </c>
      <c r="E19" s="120">
        <f>SUBTOTAL(9,E16:E18)</f>
        <v>300</v>
      </c>
      <c r="F19" s="121"/>
      <c r="G19" s="122"/>
      <c r="H19" s="128"/>
      <c r="I19" s="123"/>
      <c r="J19" s="123"/>
      <c r="K19" s="123"/>
      <c r="L19" s="83"/>
      <c r="M19" s="84">
        <f>SUBTOTAL(9,M16:M18)</f>
        <v>19020.23</v>
      </c>
      <c r="N19" s="85"/>
      <c r="O19" s="86"/>
      <c r="P19" s="87"/>
      <c r="Q19" s="130"/>
      <c r="R19" s="86"/>
    </row>
    <row r="20" spans="2:18" ht="14" outlineLevel="2" x14ac:dyDescent="0.15">
      <c r="B20" s="119" t="s">
        <v>54</v>
      </c>
      <c r="C20" s="119" t="s">
        <v>57</v>
      </c>
      <c r="D20" s="119" t="s">
        <v>8</v>
      </c>
      <c r="E20" s="120">
        <v>200</v>
      </c>
      <c r="F20" s="121">
        <v>40291</v>
      </c>
      <c r="G20" s="122">
        <v>58.48</v>
      </c>
      <c r="H20" s="128">
        <v>8412223535</v>
      </c>
      <c r="I20" s="123">
        <v>45.53</v>
      </c>
      <c r="J20" s="123">
        <v>45.43</v>
      </c>
      <c r="K20" s="123">
        <v>3.46</v>
      </c>
      <c r="L20" s="83">
        <f t="shared" si="0"/>
        <v>25</v>
      </c>
      <c r="M20" s="84">
        <f t="shared" si="1"/>
        <v>11721</v>
      </c>
      <c r="N20" s="85">
        <f t="shared" si="2"/>
        <v>9106</v>
      </c>
      <c r="O20" s="86">
        <f t="shared" si="3"/>
        <v>-0.22310383073116627</v>
      </c>
      <c r="P20" s="87">
        <f t="shared" si="4"/>
        <v>13.158959537572255</v>
      </c>
      <c r="Q20" s="130" t="str">
        <f t="shared" si="6"/>
        <v>MEDIUM</v>
      </c>
      <c r="R20" s="86">
        <f t="shared" si="5"/>
        <v>9.9367630770573825E-2</v>
      </c>
    </row>
    <row r="21" spans="2:18" ht="14" outlineLevel="2" x14ac:dyDescent="0.15">
      <c r="B21" s="119" t="s">
        <v>24</v>
      </c>
      <c r="C21" s="119" t="s">
        <v>10</v>
      </c>
      <c r="D21" s="119" t="s">
        <v>8</v>
      </c>
      <c r="E21" s="120">
        <v>150</v>
      </c>
      <c r="F21" s="121">
        <v>40291</v>
      </c>
      <c r="G21" s="122">
        <v>48.01</v>
      </c>
      <c r="H21" s="128">
        <v>51026148620</v>
      </c>
      <c r="I21" s="123">
        <v>76.92</v>
      </c>
      <c r="J21" s="123">
        <v>77.040000000000006</v>
      </c>
      <c r="K21" s="123">
        <v>3.33</v>
      </c>
      <c r="L21" s="83">
        <f t="shared" si="0"/>
        <v>25</v>
      </c>
      <c r="M21" s="84">
        <f t="shared" si="1"/>
        <v>7226.5</v>
      </c>
      <c r="N21" s="85">
        <f t="shared" si="2"/>
        <v>11538</v>
      </c>
      <c r="O21" s="86">
        <f t="shared" si="3"/>
        <v>0.59662353836573723</v>
      </c>
      <c r="P21" s="87">
        <f t="shared" si="4"/>
        <v>23.099099099099099</v>
      </c>
      <c r="Q21" s="130" t="str">
        <f t="shared" si="6"/>
        <v>LARGE</v>
      </c>
      <c r="R21" s="86">
        <f t="shared" si="5"/>
        <v>0.12590640498911496</v>
      </c>
    </row>
    <row r="22" spans="2:18" ht="14" outlineLevel="2" x14ac:dyDescent="0.15">
      <c r="B22" s="118" t="s">
        <v>67</v>
      </c>
      <c r="C22" s="119" t="s">
        <v>68</v>
      </c>
      <c r="D22" s="119" t="s">
        <v>8</v>
      </c>
      <c r="E22" s="120">
        <v>150</v>
      </c>
      <c r="F22" s="121">
        <v>40291</v>
      </c>
      <c r="G22" s="122">
        <v>29.48</v>
      </c>
      <c r="H22" s="128">
        <v>12904283053</v>
      </c>
      <c r="I22" s="123">
        <v>41.27</v>
      </c>
      <c r="J22" s="123">
        <v>41.55</v>
      </c>
      <c r="K22" s="123">
        <v>3.22</v>
      </c>
      <c r="L22" s="83">
        <f t="shared" si="0"/>
        <v>25</v>
      </c>
      <c r="M22" s="84">
        <f t="shared" si="1"/>
        <v>4447</v>
      </c>
      <c r="N22" s="85">
        <f t="shared" si="2"/>
        <v>6190.5000000000009</v>
      </c>
      <c r="O22" s="86">
        <f t="shared" si="3"/>
        <v>0.39206206431302021</v>
      </c>
      <c r="P22" s="87">
        <f t="shared" si="4"/>
        <v>12.816770186335404</v>
      </c>
      <c r="Q22" s="130" t="str">
        <f t="shared" si="6"/>
        <v>LARGE</v>
      </c>
      <c r="R22" s="86">
        <f t="shared" si="5"/>
        <v>6.7552747450608103E-2</v>
      </c>
    </row>
    <row r="23" spans="2:18" ht="14" outlineLevel="2" x14ac:dyDescent="0.15">
      <c r="B23" s="119" t="s">
        <v>25</v>
      </c>
      <c r="C23" s="119" t="s">
        <v>69</v>
      </c>
      <c r="D23" s="119" t="s">
        <v>8</v>
      </c>
      <c r="E23" s="120">
        <v>100</v>
      </c>
      <c r="F23" s="121">
        <v>40291</v>
      </c>
      <c r="G23" s="122">
        <v>54.53</v>
      </c>
      <c r="H23" s="128">
        <v>215292624570</v>
      </c>
      <c r="I23" s="123">
        <v>68.56</v>
      </c>
      <c r="J23" s="123">
        <v>68.47</v>
      </c>
      <c r="K23" s="123">
        <v>4.57</v>
      </c>
      <c r="L23" s="83">
        <f t="shared" si="0"/>
        <v>25</v>
      </c>
      <c r="M23" s="84">
        <f t="shared" si="1"/>
        <v>5478</v>
      </c>
      <c r="N23" s="85">
        <f t="shared" si="2"/>
        <v>6856</v>
      </c>
      <c r="O23" s="86">
        <f t="shared" si="3"/>
        <v>0.25155166119021538</v>
      </c>
      <c r="P23" s="87">
        <f t="shared" si="4"/>
        <v>15.002188183807439</v>
      </c>
      <c r="Q23" s="130" t="str">
        <f t="shared" si="6"/>
        <v>LARGE</v>
      </c>
      <c r="R23" s="86">
        <f t="shared" si="5"/>
        <v>7.4814899688453118E-2</v>
      </c>
    </row>
    <row r="24" spans="2:18" ht="14" outlineLevel="1" x14ac:dyDescent="0.15">
      <c r="B24" s="228"/>
      <c r="C24" s="228"/>
      <c r="D24" s="240" t="s">
        <v>104</v>
      </c>
      <c r="E24" s="229">
        <f>SUBTOTAL(9,E20:E23)</f>
        <v>600</v>
      </c>
      <c r="F24" s="230"/>
      <c r="G24" s="231"/>
      <c r="H24" s="232"/>
      <c r="I24" s="233"/>
      <c r="J24" s="233"/>
      <c r="K24" s="233"/>
      <c r="L24" s="234"/>
      <c r="M24" s="235">
        <f>SUBTOTAL(9,M20:M23)</f>
        <v>28872.5</v>
      </c>
      <c r="N24" s="236"/>
      <c r="O24" s="237"/>
      <c r="P24" s="238"/>
      <c r="Q24" s="239"/>
      <c r="R24" s="237"/>
    </row>
    <row r="25" spans="2:18" x14ac:dyDescent="0.15">
      <c r="B25" s="228"/>
      <c r="C25" s="228"/>
      <c r="D25" s="240" t="s">
        <v>97</v>
      </c>
      <c r="E25" s="229">
        <f>SUBTOTAL(9,E11:E23)</f>
        <v>1450</v>
      </c>
      <c r="F25" s="230"/>
      <c r="G25" s="231"/>
      <c r="H25" s="232"/>
      <c r="I25" s="233"/>
      <c r="J25" s="233"/>
      <c r="K25" s="233"/>
      <c r="L25" s="234"/>
      <c r="M25" s="235">
        <f>SUBTOTAL(9,M11:M23)</f>
        <v>69422.23000000001</v>
      </c>
      <c r="N25" s="236"/>
      <c r="O25" s="237"/>
      <c r="P25" s="238"/>
      <c r="Q25" s="239"/>
      <c r="R25" s="237"/>
    </row>
    <row r="26" spans="2:18" x14ac:dyDescent="0.15">
      <c r="M26" s="8">
        <f>SUM(M11:M23)</f>
        <v>109971.96</v>
      </c>
      <c r="N26" s="8">
        <f>SUM(N11:N23)</f>
        <v>91639.5</v>
      </c>
      <c r="O26" s="9">
        <f t="shared" si="3"/>
        <v>-0.16670122092940787</v>
      </c>
      <c r="R26" s="16">
        <f>SUM(R11:R23)</f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34"/>
  <sheetViews>
    <sheetView workbookViewId="0">
      <selection activeCell="C27" sqref="C27"/>
    </sheetView>
  </sheetViews>
  <sheetFormatPr baseColWidth="10" defaultColWidth="8.83203125" defaultRowHeight="13" x14ac:dyDescent="0.15"/>
  <cols>
    <col min="12" max="12" width="18.83203125" customWidth="1"/>
  </cols>
  <sheetData>
    <row r="1" spans="1:12" x14ac:dyDescent="0.15">
      <c r="A1" s="193" t="s">
        <v>86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5"/>
    </row>
    <row r="2" spans="1:12" x14ac:dyDescent="0.15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29" spans="1:7" x14ac:dyDescent="0.15">
      <c r="A29" s="159"/>
      <c r="B29" s="160"/>
      <c r="C29" s="160"/>
      <c r="D29" s="160"/>
      <c r="E29" s="160"/>
      <c r="F29" s="160"/>
      <c r="G29" s="160"/>
    </row>
    <row r="34" spans="1:13" ht="17" x14ac:dyDescent="0.2">
      <c r="A34" s="196" t="s">
        <v>85</v>
      </c>
      <c r="B34" s="197"/>
      <c r="M34" s="241"/>
    </row>
  </sheetData>
  <mergeCells count="2">
    <mergeCell ref="A1:L1"/>
    <mergeCell ref="A34:B34"/>
  </mergeCells>
  <phoneticPr fontId="3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25"/>
  <sheetViews>
    <sheetView workbookViewId="0">
      <selection activeCell="H5" sqref="H5"/>
    </sheetView>
  </sheetViews>
  <sheetFormatPr baseColWidth="10" defaultColWidth="8.83203125" defaultRowHeight="13" x14ac:dyDescent="0.15"/>
  <cols>
    <col min="1" max="1" width="19.1640625" customWidth="1"/>
    <col min="2" max="2" width="10" bestFit="1" customWidth="1"/>
    <col min="3" max="3" width="13.6640625" bestFit="1" customWidth="1"/>
    <col min="4" max="4" width="10.6640625" bestFit="1" customWidth="1"/>
    <col min="5" max="5" width="10.33203125" customWidth="1"/>
    <col min="6" max="7" width="9.33203125" bestFit="1" customWidth="1"/>
    <col min="8" max="8" width="18.5" bestFit="1" customWidth="1"/>
    <col min="9" max="9" width="9.6640625" bestFit="1" customWidth="1"/>
    <col min="10" max="11" width="9.33203125" bestFit="1" customWidth="1"/>
    <col min="12" max="12" width="12.1640625" customWidth="1"/>
    <col min="13" max="13" width="10.6640625" bestFit="1" customWidth="1"/>
    <col min="14" max="14" width="10.1640625" bestFit="1" customWidth="1"/>
    <col min="15" max="16" width="9.33203125" bestFit="1" customWidth="1"/>
    <col min="17" max="17" width="14.5" customWidth="1"/>
    <col min="18" max="18" width="11.5" customWidth="1"/>
  </cols>
  <sheetData>
    <row r="1" spans="1:19" ht="18" x14ac:dyDescent="0.2">
      <c r="A1" s="198" t="s">
        <v>81</v>
      </c>
      <c r="B1" s="199"/>
      <c r="C1" s="199"/>
      <c r="D1" s="199"/>
      <c r="E1" s="199"/>
      <c r="F1" s="50"/>
      <c r="G1" s="50"/>
      <c r="H1" s="50"/>
      <c r="I1" s="50"/>
      <c r="J1" s="51"/>
    </row>
    <row r="2" spans="1:19" ht="14" thickBot="1" x14ac:dyDescent="0.2">
      <c r="A2" s="52"/>
      <c r="B2" s="53"/>
      <c r="C2" s="53"/>
      <c r="D2" s="53"/>
      <c r="E2" s="53"/>
      <c r="F2" s="53"/>
      <c r="G2" s="53"/>
      <c r="H2" s="53"/>
      <c r="I2" s="53"/>
      <c r="J2" s="54"/>
    </row>
    <row r="4" spans="1:19" ht="14" thickBot="1" x14ac:dyDescent="0.2"/>
    <row r="5" spans="1:19" ht="14" thickBot="1" x14ac:dyDescent="0.2">
      <c r="A5" s="14" t="s">
        <v>33</v>
      </c>
      <c r="B5" s="242" t="s">
        <v>105</v>
      </c>
    </row>
    <row r="6" spans="1:19" ht="14" thickBot="1" x14ac:dyDescent="0.2"/>
    <row r="7" spans="1:19" x14ac:dyDescent="0.15">
      <c r="A7" s="44" t="s">
        <v>1</v>
      </c>
      <c r="B7" s="45" t="s">
        <v>16</v>
      </c>
      <c r="C7" s="45" t="s">
        <v>18</v>
      </c>
      <c r="D7" s="46" t="s">
        <v>64</v>
      </c>
    </row>
    <row r="8" spans="1:19" ht="29" thickBot="1" x14ac:dyDescent="0.2">
      <c r="A8" s="244" t="str">
        <f>VLOOKUP(B5,B13:R24,2,FALSE)</f>
        <v>International Business Machines</v>
      </c>
      <c r="B8" s="243">
        <f>VLOOKUP(B5,B13:R24,12,FALSE)</f>
        <v>6524.5</v>
      </c>
      <c r="C8" s="243">
        <f>VLOOKUP(B5,B13:R24,13,FALSE)</f>
        <v>7396.5</v>
      </c>
      <c r="D8" s="47">
        <f>VLOOKUP(B5,B13:R24,10,FALSE)</f>
        <v>13.42</v>
      </c>
    </row>
    <row r="10" spans="1:19" ht="14" thickBot="1" x14ac:dyDescent="0.2"/>
    <row r="11" spans="1:19" x14ac:dyDescent="0.15">
      <c r="I11" s="63" t="s">
        <v>44</v>
      </c>
    </row>
    <row r="12" spans="1:19" ht="14" thickBot="1" x14ac:dyDescent="0.2">
      <c r="I12" s="64">
        <v>42886</v>
      </c>
    </row>
    <row r="13" spans="1:19" ht="28" x14ac:dyDescent="0.15">
      <c r="A13" s="40"/>
      <c r="B13" s="134" t="s">
        <v>0</v>
      </c>
      <c r="C13" s="140" t="s">
        <v>1</v>
      </c>
      <c r="D13" s="140" t="s">
        <v>2</v>
      </c>
      <c r="E13" s="140" t="s">
        <v>3</v>
      </c>
      <c r="F13" s="140" t="s">
        <v>4</v>
      </c>
      <c r="G13" s="140" t="s">
        <v>5</v>
      </c>
      <c r="H13" s="140" t="s">
        <v>11</v>
      </c>
      <c r="I13" s="140" t="s">
        <v>12</v>
      </c>
      <c r="J13" s="140" t="s">
        <v>13</v>
      </c>
      <c r="K13" s="140" t="s">
        <v>14</v>
      </c>
      <c r="L13" s="140" t="s">
        <v>15</v>
      </c>
      <c r="M13" s="140" t="s">
        <v>16</v>
      </c>
      <c r="N13" s="140" t="s">
        <v>18</v>
      </c>
      <c r="O13" s="140" t="s">
        <v>19</v>
      </c>
      <c r="P13" s="140" t="s">
        <v>20</v>
      </c>
      <c r="Q13" s="140" t="s">
        <v>56</v>
      </c>
      <c r="R13" s="141" t="s">
        <v>17</v>
      </c>
      <c r="S13" s="76"/>
    </row>
    <row r="14" spans="1:19" ht="42" x14ac:dyDescent="0.15">
      <c r="A14" s="138"/>
      <c r="B14" s="118" t="s">
        <v>105</v>
      </c>
      <c r="C14" s="119" t="s">
        <v>6</v>
      </c>
      <c r="D14" s="119" t="s">
        <v>7</v>
      </c>
      <c r="E14" s="120">
        <v>50</v>
      </c>
      <c r="F14" s="121">
        <v>40291</v>
      </c>
      <c r="G14" s="122">
        <v>129.99</v>
      </c>
      <c r="H14" s="128">
        <v>143459520609</v>
      </c>
      <c r="I14" s="123">
        <v>147.93</v>
      </c>
      <c r="J14" s="123">
        <v>149.31</v>
      </c>
      <c r="K14" s="123">
        <v>13.42</v>
      </c>
      <c r="L14" s="83">
        <f t="shared" ref="L14:L24" si="0">IF(E14*G14*0.01&lt;25,E14*G14*0.01,25)</f>
        <v>25</v>
      </c>
      <c r="M14" s="84">
        <f t="shared" ref="M14:M24" si="1">E14*G14+L14</f>
        <v>6524.5</v>
      </c>
      <c r="N14" s="85">
        <f t="shared" ref="N14:N24" si="2">I14*E14</f>
        <v>7396.5</v>
      </c>
      <c r="O14" s="86">
        <f t="shared" ref="O14:O24" si="3">(N14-M14)/M14</f>
        <v>0.13365008812935858</v>
      </c>
      <c r="P14" s="87">
        <f t="shared" ref="P14:P24" si="4">I14/K14</f>
        <v>11.023099850968704</v>
      </c>
      <c r="Q14" s="130" t="str">
        <f>IF(H14&lt;5000000000,"SMALL",IF(H14&gt;10000000000,"LARGE","MEDIUM"))</f>
        <v>LARGE</v>
      </c>
      <c r="R14" s="86">
        <f>N14/$N$25</f>
        <v>8.0713011310624791E-2</v>
      </c>
    </row>
    <row r="15" spans="1:19" ht="14" x14ac:dyDescent="0.15">
      <c r="A15" s="40"/>
      <c r="B15" s="118" t="s">
        <v>107</v>
      </c>
      <c r="C15" s="119" t="s">
        <v>43</v>
      </c>
      <c r="D15" s="119" t="s">
        <v>7</v>
      </c>
      <c r="E15" s="120">
        <v>150</v>
      </c>
      <c r="F15" s="121">
        <v>40291</v>
      </c>
      <c r="G15" s="122">
        <v>30.96</v>
      </c>
      <c r="H15" s="128">
        <v>441180908733</v>
      </c>
      <c r="I15" s="123">
        <v>51.9</v>
      </c>
      <c r="J15" s="123">
        <v>55.79</v>
      </c>
      <c r="K15" s="123">
        <v>1.3</v>
      </c>
      <c r="L15" s="83">
        <f t="shared" si="0"/>
        <v>25</v>
      </c>
      <c r="M15" s="84">
        <f t="shared" si="1"/>
        <v>4669</v>
      </c>
      <c r="N15" s="85">
        <f t="shared" si="2"/>
        <v>7785</v>
      </c>
      <c r="O15" s="86">
        <f t="shared" si="3"/>
        <v>0.66738059541657746</v>
      </c>
      <c r="P15" s="87">
        <f t="shared" si="4"/>
        <v>39.92307692307692</v>
      </c>
      <c r="Q15" s="130" t="str">
        <f t="shared" ref="Q15:Q24" si="5">IF(H15&lt;5000000000,"SMALL",IF(H15&gt;10000000000,"LARGE","MEDIUM"))</f>
        <v>LARGE</v>
      </c>
      <c r="R15" s="86">
        <f t="shared" ref="R15:R24" si="6">N15/$N$25</f>
        <v>8.4952449544137623E-2</v>
      </c>
    </row>
    <row r="16" spans="1:19" ht="14" x14ac:dyDescent="0.15">
      <c r="A16" s="40"/>
      <c r="B16" s="118" t="s">
        <v>106</v>
      </c>
      <c r="C16" s="119" t="s">
        <v>9</v>
      </c>
      <c r="D16" s="119" t="s">
        <v>7</v>
      </c>
      <c r="E16" s="120">
        <v>200</v>
      </c>
      <c r="F16" s="121">
        <v>40291</v>
      </c>
      <c r="G16" s="122">
        <v>14.32</v>
      </c>
      <c r="H16" s="128">
        <v>4504830000</v>
      </c>
      <c r="I16" s="123">
        <v>35.89</v>
      </c>
      <c r="J16" s="123">
        <v>36.299999999999997</v>
      </c>
      <c r="K16" s="123">
        <v>1.49</v>
      </c>
      <c r="L16" s="83">
        <f t="shared" si="0"/>
        <v>25</v>
      </c>
      <c r="M16" s="84">
        <f t="shared" si="1"/>
        <v>2889</v>
      </c>
      <c r="N16" s="85">
        <f t="shared" si="2"/>
        <v>7178</v>
      </c>
      <c r="O16" s="86">
        <f t="shared" si="3"/>
        <v>1.4845967462789893</v>
      </c>
      <c r="P16" s="87">
        <f t="shared" si="4"/>
        <v>24.087248322147651</v>
      </c>
      <c r="Q16" s="130" t="str">
        <f t="shared" si="5"/>
        <v>SMALL</v>
      </c>
      <c r="R16" s="86">
        <f t="shared" si="6"/>
        <v>7.8328668314427724E-2</v>
      </c>
    </row>
    <row r="17" spans="1:18" ht="14" x14ac:dyDescent="0.15">
      <c r="A17" s="40"/>
      <c r="B17" s="119" t="s">
        <v>70</v>
      </c>
      <c r="C17" s="119" t="s">
        <v>71</v>
      </c>
      <c r="D17" s="119" t="s">
        <v>7</v>
      </c>
      <c r="E17" s="124">
        <v>150</v>
      </c>
      <c r="F17" s="125">
        <v>40291</v>
      </c>
      <c r="G17" s="126">
        <v>49.48</v>
      </c>
      <c r="H17" s="129">
        <v>28211686296</v>
      </c>
      <c r="I17" s="127">
        <v>24.55</v>
      </c>
      <c r="J17" s="127">
        <v>24.7</v>
      </c>
      <c r="K17" s="127">
        <v>1.42</v>
      </c>
      <c r="L17" s="83">
        <f t="shared" si="0"/>
        <v>25</v>
      </c>
      <c r="M17" s="84">
        <f t="shared" si="1"/>
        <v>7446.9999999999991</v>
      </c>
      <c r="N17" s="85">
        <f t="shared" si="2"/>
        <v>3682.5</v>
      </c>
      <c r="O17" s="86">
        <f t="shared" si="3"/>
        <v>-0.50550557271384444</v>
      </c>
      <c r="P17" s="87">
        <f t="shared" si="4"/>
        <v>17.2887323943662</v>
      </c>
      <c r="Q17" s="130" t="str">
        <f t="shared" si="5"/>
        <v>LARGE</v>
      </c>
      <c r="R17" s="86">
        <f t="shared" si="6"/>
        <v>4.0184636537737545E-2</v>
      </c>
    </row>
    <row r="18" spans="1:18" ht="14" x14ac:dyDescent="0.15">
      <c r="A18" s="40"/>
      <c r="B18" s="118" t="s">
        <v>72</v>
      </c>
      <c r="C18" s="119" t="s">
        <v>73</v>
      </c>
      <c r="D18" s="145" t="s">
        <v>74</v>
      </c>
      <c r="E18" s="120">
        <v>100</v>
      </c>
      <c r="F18" s="121">
        <v>40291</v>
      </c>
      <c r="G18" s="122">
        <v>105.48</v>
      </c>
      <c r="H18" s="128">
        <v>123606162095</v>
      </c>
      <c r="I18" s="123">
        <v>162.72</v>
      </c>
      <c r="J18" s="123">
        <v>164.4</v>
      </c>
      <c r="K18" s="123">
        <v>9.06</v>
      </c>
      <c r="L18" s="83">
        <f t="shared" si="0"/>
        <v>25</v>
      </c>
      <c r="M18" s="84">
        <f t="shared" si="1"/>
        <v>10573</v>
      </c>
      <c r="N18" s="85">
        <f t="shared" si="2"/>
        <v>16272</v>
      </c>
      <c r="O18" s="86">
        <f t="shared" si="3"/>
        <v>0.5390144708219049</v>
      </c>
      <c r="P18" s="87">
        <f t="shared" si="4"/>
        <v>17.960264900662249</v>
      </c>
      <c r="Q18" s="130" t="str">
        <f t="shared" si="5"/>
        <v>LARGE</v>
      </c>
      <c r="R18" s="86">
        <f t="shared" si="6"/>
        <v>0.17756535118589692</v>
      </c>
    </row>
    <row r="19" spans="1:18" ht="14" x14ac:dyDescent="0.15">
      <c r="A19" s="40"/>
      <c r="B19" s="118" t="s">
        <v>75</v>
      </c>
      <c r="C19" s="119" t="s">
        <v>76</v>
      </c>
      <c r="D19" s="119" t="s">
        <v>74</v>
      </c>
      <c r="E19" s="120">
        <v>50</v>
      </c>
      <c r="F19" s="121">
        <v>40291</v>
      </c>
      <c r="G19" s="122">
        <v>35.46</v>
      </c>
      <c r="H19" s="128">
        <v>85578452934</v>
      </c>
      <c r="I19" s="123">
        <v>77.38</v>
      </c>
      <c r="J19" s="123">
        <v>77.37</v>
      </c>
      <c r="K19" s="123">
        <v>2.2599999999999998</v>
      </c>
      <c r="L19" s="83">
        <f t="shared" si="0"/>
        <v>17.73</v>
      </c>
      <c r="M19" s="84">
        <f t="shared" si="1"/>
        <v>1790.73</v>
      </c>
      <c r="N19" s="85">
        <f t="shared" si="2"/>
        <v>3869</v>
      </c>
      <c r="O19" s="86">
        <f t="shared" si="3"/>
        <v>1.1605713870879473</v>
      </c>
      <c r="P19" s="87">
        <f t="shared" si="4"/>
        <v>34.23893805309735</v>
      </c>
      <c r="Q19" s="130" t="str">
        <f t="shared" si="5"/>
        <v>LARGE</v>
      </c>
      <c r="R19" s="86">
        <f t="shared" si="6"/>
        <v>4.221978513632222E-2</v>
      </c>
    </row>
    <row r="20" spans="1:18" ht="14" x14ac:dyDescent="0.15">
      <c r="A20" s="40"/>
      <c r="B20" s="118" t="s">
        <v>77</v>
      </c>
      <c r="C20" s="119" t="s">
        <v>78</v>
      </c>
      <c r="D20" s="119" t="s">
        <v>74</v>
      </c>
      <c r="E20" s="120">
        <v>150</v>
      </c>
      <c r="F20" s="121">
        <v>40291</v>
      </c>
      <c r="G20" s="122">
        <v>44.21</v>
      </c>
      <c r="H20" s="128">
        <v>141417916147</v>
      </c>
      <c r="I20" s="123">
        <v>78.44</v>
      </c>
      <c r="J20" s="123">
        <v>78.55</v>
      </c>
      <c r="K20" s="123">
        <v>1.7</v>
      </c>
      <c r="L20" s="83">
        <f t="shared" si="0"/>
        <v>25</v>
      </c>
      <c r="M20" s="84">
        <f t="shared" si="1"/>
        <v>6656.5</v>
      </c>
      <c r="N20" s="85">
        <f t="shared" si="2"/>
        <v>11766</v>
      </c>
      <c r="O20" s="86">
        <f t="shared" si="3"/>
        <v>0.7675955832644783</v>
      </c>
      <c r="P20" s="87">
        <f t="shared" si="4"/>
        <v>46.141176470588235</v>
      </c>
      <c r="Q20" s="130" t="str">
        <f t="shared" si="5"/>
        <v>LARGE</v>
      </c>
      <c r="R20" s="86">
        <f t="shared" si="6"/>
        <v>0.1283944150721032</v>
      </c>
    </row>
    <row r="21" spans="1:18" ht="14" x14ac:dyDescent="0.15">
      <c r="A21" s="40"/>
      <c r="B21" s="119" t="s">
        <v>54</v>
      </c>
      <c r="C21" s="119" t="s">
        <v>57</v>
      </c>
      <c r="D21" s="119" t="s">
        <v>8</v>
      </c>
      <c r="E21" s="120">
        <v>200</v>
      </c>
      <c r="F21" s="121">
        <v>40291</v>
      </c>
      <c r="G21" s="122">
        <v>58.48</v>
      </c>
      <c r="H21" s="128">
        <v>8412223535</v>
      </c>
      <c r="I21" s="123">
        <v>45.53</v>
      </c>
      <c r="J21" s="123">
        <v>45.43</v>
      </c>
      <c r="K21" s="123">
        <v>3.46</v>
      </c>
      <c r="L21" s="83">
        <f t="shared" si="0"/>
        <v>25</v>
      </c>
      <c r="M21" s="84">
        <f t="shared" si="1"/>
        <v>11721</v>
      </c>
      <c r="N21" s="85">
        <f t="shared" si="2"/>
        <v>9106</v>
      </c>
      <c r="O21" s="86">
        <f t="shared" si="3"/>
        <v>-0.22310383073116627</v>
      </c>
      <c r="P21" s="87">
        <f t="shared" si="4"/>
        <v>13.158959537572255</v>
      </c>
      <c r="Q21" s="130" t="str">
        <f t="shared" si="5"/>
        <v>MEDIUM</v>
      </c>
      <c r="R21" s="86">
        <f t="shared" si="6"/>
        <v>9.9367630770573825E-2</v>
      </c>
    </row>
    <row r="22" spans="1:18" ht="14" x14ac:dyDescent="0.15">
      <c r="A22" s="40"/>
      <c r="B22" s="119" t="s">
        <v>108</v>
      </c>
      <c r="C22" s="119" t="s">
        <v>10</v>
      </c>
      <c r="D22" s="119" t="s">
        <v>8</v>
      </c>
      <c r="E22" s="120">
        <v>150</v>
      </c>
      <c r="F22" s="121">
        <v>40291</v>
      </c>
      <c r="G22" s="122">
        <v>48.01</v>
      </c>
      <c r="H22" s="128">
        <v>51026148620</v>
      </c>
      <c r="I22" s="123">
        <v>76.92</v>
      </c>
      <c r="J22" s="123">
        <v>77.040000000000006</v>
      </c>
      <c r="K22" s="123">
        <v>3.33</v>
      </c>
      <c r="L22" s="83">
        <f t="shared" si="0"/>
        <v>25</v>
      </c>
      <c r="M22" s="84">
        <f t="shared" si="1"/>
        <v>7226.5</v>
      </c>
      <c r="N22" s="85">
        <f t="shared" si="2"/>
        <v>11538</v>
      </c>
      <c r="O22" s="86">
        <f t="shared" si="3"/>
        <v>0.59662353836573723</v>
      </c>
      <c r="P22" s="87">
        <f t="shared" si="4"/>
        <v>23.099099099099099</v>
      </c>
      <c r="Q22" s="130" t="str">
        <f t="shared" si="5"/>
        <v>LARGE</v>
      </c>
      <c r="R22" s="86">
        <f t="shared" si="6"/>
        <v>0.12590640498911496</v>
      </c>
    </row>
    <row r="23" spans="1:18" ht="14" x14ac:dyDescent="0.15">
      <c r="A23" s="40"/>
      <c r="B23" s="118" t="s">
        <v>67</v>
      </c>
      <c r="C23" s="119" t="s">
        <v>68</v>
      </c>
      <c r="D23" s="119" t="s">
        <v>8</v>
      </c>
      <c r="E23" s="120">
        <v>150</v>
      </c>
      <c r="F23" s="121">
        <v>40291</v>
      </c>
      <c r="G23" s="122">
        <v>29.48</v>
      </c>
      <c r="H23" s="128">
        <v>12904283053</v>
      </c>
      <c r="I23" s="123">
        <v>41.27</v>
      </c>
      <c r="J23" s="123">
        <v>41.55</v>
      </c>
      <c r="K23" s="123">
        <v>3.22</v>
      </c>
      <c r="L23" s="83">
        <f t="shared" si="0"/>
        <v>25</v>
      </c>
      <c r="M23" s="84">
        <f t="shared" si="1"/>
        <v>4447</v>
      </c>
      <c r="N23" s="85">
        <f t="shared" si="2"/>
        <v>6190.5000000000009</v>
      </c>
      <c r="O23" s="86">
        <f t="shared" si="3"/>
        <v>0.39206206431302021</v>
      </c>
      <c r="P23" s="87">
        <f t="shared" si="4"/>
        <v>12.816770186335404</v>
      </c>
      <c r="Q23" s="130" t="str">
        <f t="shared" si="5"/>
        <v>LARGE</v>
      </c>
      <c r="R23" s="86">
        <f t="shared" si="6"/>
        <v>6.7552747450608103E-2</v>
      </c>
    </row>
    <row r="24" spans="1:18" ht="28" x14ac:dyDescent="0.15">
      <c r="A24" s="40"/>
      <c r="B24" s="119" t="s">
        <v>109</v>
      </c>
      <c r="C24" s="119" t="s">
        <v>69</v>
      </c>
      <c r="D24" s="119" t="s">
        <v>8</v>
      </c>
      <c r="E24" s="120">
        <v>100</v>
      </c>
      <c r="F24" s="121">
        <v>40291</v>
      </c>
      <c r="G24" s="122">
        <v>54.53</v>
      </c>
      <c r="H24" s="128">
        <v>215292624570</v>
      </c>
      <c r="I24" s="123">
        <v>68.56</v>
      </c>
      <c r="J24" s="123">
        <v>68.47</v>
      </c>
      <c r="K24" s="123">
        <v>4.57</v>
      </c>
      <c r="L24" s="83">
        <f t="shared" si="0"/>
        <v>25</v>
      </c>
      <c r="M24" s="84">
        <f t="shared" si="1"/>
        <v>5478</v>
      </c>
      <c r="N24" s="85">
        <f t="shared" si="2"/>
        <v>6856</v>
      </c>
      <c r="O24" s="86">
        <f t="shared" si="3"/>
        <v>0.25155166119021538</v>
      </c>
      <c r="P24" s="87">
        <f t="shared" si="4"/>
        <v>15.002188183807439</v>
      </c>
      <c r="Q24" s="130" t="str">
        <f t="shared" si="5"/>
        <v>LARGE</v>
      </c>
      <c r="R24" s="86">
        <f t="shared" si="6"/>
        <v>7.4814899688453118E-2</v>
      </c>
    </row>
    <row r="25" spans="1:18" x14ac:dyDescent="0.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>
        <f>SUM(M14:M24)</f>
        <v>69422.23000000001</v>
      </c>
      <c r="N25" s="41">
        <f>SUM(N14:N24)</f>
        <v>91639.5</v>
      </c>
      <c r="O25" s="42">
        <f>(N25-M25)/M25</f>
        <v>0.32003106209639171</v>
      </c>
      <c r="P25" s="40"/>
      <c r="Q25" s="40"/>
      <c r="R25" s="43">
        <f>SUM(R14:R24)</f>
        <v>1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45"/>
  <sheetViews>
    <sheetView workbookViewId="0">
      <selection activeCell="I52" sqref="I52"/>
    </sheetView>
  </sheetViews>
  <sheetFormatPr baseColWidth="10" defaultColWidth="8.83203125" defaultRowHeight="13" x14ac:dyDescent="0.15"/>
  <cols>
    <col min="1" max="1" width="9.5" bestFit="1" customWidth="1"/>
    <col min="2" max="2" width="9.83203125" bestFit="1" customWidth="1"/>
    <col min="3" max="3" width="13.6640625" bestFit="1" customWidth="1"/>
    <col min="4" max="4" width="13.1640625" customWidth="1"/>
    <col min="5" max="5" width="11.6640625" customWidth="1"/>
    <col min="6" max="7" width="9.33203125" bestFit="1" customWidth="1"/>
    <col min="8" max="8" width="18.5" bestFit="1" customWidth="1"/>
    <col min="9" max="9" width="9.6640625" bestFit="1" customWidth="1"/>
    <col min="10" max="11" width="9.33203125" bestFit="1" customWidth="1"/>
    <col min="12" max="12" width="12.5" customWidth="1"/>
    <col min="13" max="13" width="10.6640625" bestFit="1" customWidth="1"/>
    <col min="14" max="14" width="10.1640625" bestFit="1" customWidth="1"/>
    <col min="15" max="16" width="9.33203125" bestFit="1" customWidth="1"/>
    <col min="17" max="17" width="15" customWidth="1"/>
    <col min="18" max="18" width="12" customWidth="1"/>
  </cols>
  <sheetData>
    <row r="1" spans="1:18" ht="14" thickBot="1" x14ac:dyDescent="0.2">
      <c r="A1" s="200" t="s">
        <v>34</v>
      </c>
      <c r="B1" s="201"/>
      <c r="C1" s="201"/>
    </row>
    <row r="4" spans="1:18" ht="14" thickBot="1" x14ac:dyDescent="0.2"/>
    <row r="5" spans="1:18" ht="14" thickBot="1" x14ac:dyDescent="0.2">
      <c r="B5" s="147" t="s">
        <v>0</v>
      </c>
      <c r="C5" s="148" t="s">
        <v>1</v>
      </c>
      <c r="D5" s="148" t="s">
        <v>2</v>
      </c>
      <c r="E5" s="148" t="s">
        <v>82</v>
      </c>
      <c r="F5" s="148" t="s">
        <v>35</v>
      </c>
      <c r="G5" s="148" t="s">
        <v>36</v>
      </c>
      <c r="H5" s="148" t="s">
        <v>37</v>
      </c>
    </row>
    <row r="6" spans="1:18" ht="43" thickBot="1" x14ac:dyDescent="0.2">
      <c r="B6" s="149" t="s">
        <v>22</v>
      </c>
      <c r="C6" s="150" t="s">
        <v>6</v>
      </c>
      <c r="D6" s="151" t="s">
        <v>7</v>
      </c>
      <c r="E6" s="152">
        <v>50</v>
      </c>
      <c r="F6" s="153">
        <v>200</v>
      </c>
      <c r="G6" s="153">
        <v>300</v>
      </c>
      <c r="H6" s="153">
        <v>400</v>
      </c>
    </row>
    <row r="7" spans="1:18" ht="15" thickBot="1" x14ac:dyDescent="0.2">
      <c r="B7" s="149" t="s">
        <v>42</v>
      </c>
      <c r="C7" s="150" t="s">
        <v>43</v>
      </c>
      <c r="D7" s="150" t="s">
        <v>7</v>
      </c>
      <c r="E7" s="154">
        <v>150</v>
      </c>
      <c r="F7" s="153">
        <v>200</v>
      </c>
      <c r="G7" s="153">
        <v>300</v>
      </c>
      <c r="H7" s="153">
        <v>400</v>
      </c>
    </row>
    <row r="8" spans="1:18" ht="15" thickBot="1" x14ac:dyDescent="0.2">
      <c r="B8" s="149" t="s">
        <v>23</v>
      </c>
      <c r="C8" s="150" t="s">
        <v>9</v>
      </c>
      <c r="D8" s="150" t="s">
        <v>7</v>
      </c>
      <c r="E8" s="154">
        <v>200</v>
      </c>
      <c r="F8" s="153">
        <v>200</v>
      </c>
      <c r="G8" s="153">
        <v>300</v>
      </c>
      <c r="H8" s="153">
        <v>400</v>
      </c>
    </row>
    <row r="9" spans="1:18" ht="15" thickBot="1" x14ac:dyDescent="0.2">
      <c r="B9" s="155" t="s">
        <v>70</v>
      </c>
      <c r="C9" s="150" t="s">
        <v>71</v>
      </c>
      <c r="D9" s="150" t="s">
        <v>7</v>
      </c>
      <c r="E9" s="154">
        <v>150</v>
      </c>
      <c r="F9" s="153">
        <v>200</v>
      </c>
      <c r="G9" s="153">
        <v>300</v>
      </c>
      <c r="H9" s="153">
        <v>400</v>
      </c>
    </row>
    <row r="10" spans="1:18" ht="14" thickBot="1" x14ac:dyDescent="0.2"/>
    <row r="11" spans="1:18" x14ac:dyDescent="0.15">
      <c r="I11" s="63" t="s">
        <v>44</v>
      </c>
    </row>
    <row r="12" spans="1:18" ht="14" thickBot="1" x14ac:dyDescent="0.2">
      <c r="I12" s="64">
        <v>42886</v>
      </c>
    </row>
    <row r="13" spans="1:18" ht="28" x14ac:dyDescent="0.15">
      <c r="A13" s="40"/>
      <c r="B13" s="139" t="s">
        <v>0</v>
      </c>
      <c r="C13" s="140" t="s">
        <v>1</v>
      </c>
      <c r="D13" s="140" t="s">
        <v>2</v>
      </c>
      <c r="E13" s="140" t="s">
        <v>3</v>
      </c>
      <c r="F13" s="140" t="s">
        <v>4</v>
      </c>
      <c r="G13" s="140" t="s">
        <v>5</v>
      </c>
      <c r="H13" s="140" t="s">
        <v>11</v>
      </c>
      <c r="I13" s="140" t="s">
        <v>12</v>
      </c>
      <c r="J13" s="140" t="s">
        <v>13</v>
      </c>
      <c r="K13" s="140" t="s">
        <v>14</v>
      </c>
      <c r="L13" s="140" t="s">
        <v>15</v>
      </c>
      <c r="M13" s="140" t="s">
        <v>16</v>
      </c>
      <c r="N13" s="140" t="s">
        <v>18</v>
      </c>
      <c r="O13" s="140" t="s">
        <v>19</v>
      </c>
      <c r="P13" s="140" t="s">
        <v>20</v>
      </c>
      <c r="Q13" s="140" t="s">
        <v>21</v>
      </c>
      <c r="R13" s="141" t="s">
        <v>17</v>
      </c>
    </row>
    <row r="14" spans="1:18" ht="42" x14ac:dyDescent="0.15">
      <c r="A14" s="138"/>
      <c r="B14" s="118" t="s">
        <v>22</v>
      </c>
      <c r="C14" s="119" t="s">
        <v>6</v>
      </c>
      <c r="D14" s="119" t="s">
        <v>7</v>
      </c>
      <c r="E14" s="120">
        <v>50</v>
      </c>
      <c r="F14" s="121">
        <v>40291</v>
      </c>
      <c r="G14" s="122">
        <v>129.99</v>
      </c>
      <c r="H14" s="128">
        <v>143459520609</v>
      </c>
      <c r="I14" s="123">
        <v>147.93</v>
      </c>
      <c r="J14" s="123">
        <v>149.31</v>
      </c>
      <c r="K14" s="123">
        <v>13.42</v>
      </c>
      <c r="L14" s="83">
        <f t="shared" ref="L14:L24" si="0">IF(E14*G14*0.01&lt;25,E14*G14*0.01,25)</f>
        <v>25</v>
      </c>
      <c r="M14" s="84">
        <f t="shared" ref="M14:M24" si="1">E14*G14+L14</f>
        <v>6524.5</v>
      </c>
      <c r="N14" s="85">
        <f t="shared" ref="N14:N24" si="2">I14*E14</f>
        <v>7396.5</v>
      </c>
      <c r="O14" s="86">
        <f t="shared" ref="O14:O24" si="3">(N14-M14)/M14</f>
        <v>0.13365008812935858</v>
      </c>
      <c r="P14" s="87">
        <f t="shared" ref="P14:P24" si="4">I14/K14</f>
        <v>11.023099850968704</v>
      </c>
      <c r="Q14" s="130" t="str">
        <f>IF(H14&lt;5000000000,"SMALL",IF(H14&gt;10000000000,"LARGE","MEDIUM"))</f>
        <v>LARGE</v>
      </c>
      <c r="R14" s="86">
        <f>N14/$N$25</f>
        <v>8.0713011310624791E-2</v>
      </c>
    </row>
    <row r="15" spans="1:18" ht="14" x14ac:dyDescent="0.15">
      <c r="A15" s="40"/>
      <c r="B15" s="118" t="s">
        <v>42</v>
      </c>
      <c r="C15" s="119" t="s">
        <v>43</v>
      </c>
      <c r="D15" s="119" t="s">
        <v>7</v>
      </c>
      <c r="E15" s="120">
        <v>150</v>
      </c>
      <c r="F15" s="121">
        <v>40291</v>
      </c>
      <c r="G15" s="122">
        <v>30.96</v>
      </c>
      <c r="H15" s="128">
        <v>441180908733</v>
      </c>
      <c r="I15" s="123">
        <v>51.9</v>
      </c>
      <c r="J15" s="123">
        <v>55.79</v>
      </c>
      <c r="K15" s="123">
        <v>1.3</v>
      </c>
      <c r="L15" s="83">
        <f t="shared" si="0"/>
        <v>25</v>
      </c>
      <c r="M15" s="84">
        <f t="shared" si="1"/>
        <v>4669</v>
      </c>
      <c r="N15" s="85">
        <f t="shared" si="2"/>
        <v>7785</v>
      </c>
      <c r="O15" s="86">
        <f t="shared" si="3"/>
        <v>0.66738059541657746</v>
      </c>
      <c r="P15" s="87">
        <f t="shared" si="4"/>
        <v>39.92307692307692</v>
      </c>
      <c r="Q15" s="130" t="str">
        <f t="shared" ref="Q15:Q24" si="5">IF(H15&lt;5000000000,"SMALL",IF(H15&gt;10000000000,"LARGE","MEDIUM"))</f>
        <v>LARGE</v>
      </c>
      <c r="R15" s="86">
        <f t="shared" ref="R15:R24" si="6">N15/$N$25</f>
        <v>8.4952449544137623E-2</v>
      </c>
    </row>
    <row r="16" spans="1:18" ht="14" x14ac:dyDescent="0.15">
      <c r="A16" s="40"/>
      <c r="B16" s="118" t="s">
        <v>23</v>
      </c>
      <c r="C16" s="119" t="s">
        <v>9</v>
      </c>
      <c r="D16" s="119" t="s">
        <v>7</v>
      </c>
      <c r="E16" s="120">
        <v>200</v>
      </c>
      <c r="F16" s="121">
        <v>40291</v>
      </c>
      <c r="G16" s="122">
        <v>14.32</v>
      </c>
      <c r="H16" s="128">
        <v>4504830000</v>
      </c>
      <c r="I16" s="123">
        <v>35.89</v>
      </c>
      <c r="J16" s="123">
        <v>36.299999999999997</v>
      </c>
      <c r="K16" s="123">
        <v>1.49</v>
      </c>
      <c r="L16" s="83">
        <f t="shared" si="0"/>
        <v>25</v>
      </c>
      <c r="M16" s="84">
        <f t="shared" si="1"/>
        <v>2889</v>
      </c>
      <c r="N16" s="85">
        <f t="shared" si="2"/>
        <v>7178</v>
      </c>
      <c r="O16" s="86">
        <f t="shared" si="3"/>
        <v>1.4845967462789893</v>
      </c>
      <c r="P16" s="87">
        <f t="shared" si="4"/>
        <v>24.087248322147651</v>
      </c>
      <c r="Q16" s="130" t="str">
        <f t="shared" si="5"/>
        <v>SMALL</v>
      </c>
      <c r="R16" s="86">
        <f t="shared" si="6"/>
        <v>7.8328668314427724E-2</v>
      </c>
    </row>
    <row r="17" spans="1:18" ht="14" x14ac:dyDescent="0.15">
      <c r="A17" s="40"/>
      <c r="B17" s="119" t="s">
        <v>70</v>
      </c>
      <c r="C17" s="119" t="s">
        <v>71</v>
      </c>
      <c r="D17" s="119" t="s">
        <v>7</v>
      </c>
      <c r="E17" s="124">
        <v>150</v>
      </c>
      <c r="F17" s="125">
        <v>40291</v>
      </c>
      <c r="G17" s="126">
        <v>49.48</v>
      </c>
      <c r="H17" s="129">
        <v>28211686296</v>
      </c>
      <c r="I17" s="127">
        <v>24.55</v>
      </c>
      <c r="J17" s="127">
        <v>24.7</v>
      </c>
      <c r="K17" s="127">
        <v>1.42</v>
      </c>
      <c r="L17" s="83">
        <f t="shared" si="0"/>
        <v>25</v>
      </c>
      <c r="M17" s="84">
        <f t="shared" si="1"/>
        <v>7446.9999999999991</v>
      </c>
      <c r="N17" s="85">
        <f t="shared" si="2"/>
        <v>3682.5</v>
      </c>
      <c r="O17" s="86">
        <f t="shared" si="3"/>
        <v>-0.50550557271384444</v>
      </c>
      <c r="P17" s="87">
        <f t="shared" si="4"/>
        <v>17.2887323943662</v>
      </c>
      <c r="Q17" s="130" t="str">
        <f t="shared" si="5"/>
        <v>LARGE</v>
      </c>
      <c r="R17" s="86">
        <f t="shared" si="6"/>
        <v>4.0184636537737545E-2</v>
      </c>
    </row>
    <row r="18" spans="1:18" ht="14" x14ac:dyDescent="0.15">
      <c r="A18" s="40"/>
      <c r="B18" s="118" t="s">
        <v>72</v>
      </c>
      <c r="C18" s="119" t="s">
        <v>73</v>
      </c>
      <c r="D18" s="145" t="s">
        <v>74</v>
      </c>
      <c r="E18" s="120">
        <v>100</v>
      </c>
      <c r="F18" s="121">
        <v>40291</v>
      </c>
      <c r="G18" s="122">
        <v>105.48</v>
      </c>
      <c r="H18" s="128">
        <v>123606162095</v>
      </c>
      <c r="I18" s="123">
        <v>162.72</v>
      </c>
      <c r="J18" s="123">
        <v>164.4</v>
      </c>
      <c r="K18" s="123">
        <v>9.06</v>
      </c>
      <c r="L18" s="83">
        <f t="shared" si="0"/>
        <v>25</v>
      </c>
      <c r="M18" s="84">
        <f t="shared" si="1"/>
        <v>10573</v>
      </c>
      <c r="N18" s="85">
        <f t="shared" si="2"/>
        <v>16272</v>
      </c>
      <c r="O18" s="86">
        <f t="shared" si="3"/>
        <v>0.5390144708219049</v>
      </c>
      <c r="P18" s="87">
        <f t="shared" si="4"/>
        <v>17.960264900662249</v>
      </c>
      <c r="Q18" s="130" t="str">
        <f t="shared" si="5"/>
        <v>LARGE</v>
      </c>
      <c r="R18" s="86">
        <f t="shared" si="6"/>
        <v>0.17756535118589692</v>
      </c>
    </row>
    <row r="19" spans="1:18" ht="14" x14ac:dyDescent="0.15">
      <c r="A19" s="40"/>
      <c r="B19" s="118" t="s">
        <v>75</v>
      </c>
      <c r="C19" s="119" t="s">
        <v>76</v>
      </c>
      <c r="D19" s="119" t="s">
        <v>74</v>
      </c>
      <c r="E19" s="120">
        <v>50</v>
      </c>
      <c r="F19" s="121">
        <v>40291</v>
      </c>
      <c r="G19" s="122">
        <v>35.46</v>
      </c>
      <c r="H19" s="128">
        <v>85578452934</v>
      </c>
      <c r="I19" s="123">
        <v>77.38</v>
      </c>
      <c r="J19" s="123">
        <v>77.37</v>
      </c>
      <c r="K19" s="123">
        <v>2.2599999999999998</v>
      </c>
      <c r="L19" s="83">
        <f t="shared" si="0"/>
        <v>17.73</v>
      </c>
      <c r="M19" s="84">
        <f t="shared" si="1"/>
        <v>1790.73</v>
      </c>
      <c r="N19" s="85">
        <f t="shared" si="2"/>
        <v>3869</v>
      </c>
      <c r="O19" s="86">
        <f t="shared" si="3"/>
        <v>1.1605713870879473</v>
      </c>
      <c r="P19" s="87">
        <f t="shared" si="4"/>
        <v>34.23893805309735</v>
      </c>
      <c r="Q19" s="130" t="str">
        <f t="shared" si="5"/>
        <v>LARGE</v>
      </c>
      <c r="R19" s="86">
        <f t="shared" si="6"/>
        <v>4.221978513632222E-2</v>
      </c>
    </row>
    <row r="20" spans="1:18" ht="14" x14ac:dyDescent="0.15">
      <c r="A20" s="40"/>
      <c r="B20" s="118" t="s">
        <v>77</v>
      </c>
      <c r="C20" s="119" t="s">
        <v>78</v>
      </c>
      <c r="D20" s="119" t="s">
        <v>74</v>
      </c>
      <c r="E20" s="120">
        <v>150</v>
      </c>
      <c r="F20" s="121">
        <v>40291</v>
      </c>
      <c r="G20" s="122">
        <v>44.21</v>
      </c>
      <c r="H20" s="128">
        <v>141417916147</v>
      </c>
      <c r="I20" s="123">
        <v>78.44</v>
      </c>
      <c r="J20" s="123">
        <v>78.55</v>
      </c>
      <c r="K20" s="123">
        <v>1.7</v>
      </c>
      <c r="L20" s="83">
        <f t="shared" si="0"/>
        <v>25</v>
      </c>
      <c r="M20" s="84">
        <f t="shared" si="1"/>
        <v>6656.5</v>
      </c>
      <c r="N20" s="85">
        <f t="shared" si="2"/>
        <v>11766</v>
      </c>
      <c r="O20" s="86">
        <f t="shared" si="3"/>
        <v>0.7675955832644783</v>
      </c>
      <c r="P20" s="87">
        <f t="shared" si="4"/>
        <v>46.141176470588235</v>
      </c>
      <c r="Q20" s="130" t="str">
        <f>IF(H20&lt;5000000000,"SMALL",IF(H20&gt;10000000000,"LARGE","MEDIUM"))</f>
        <v>LARGE</v>
      </c>
      <c r="R20" s="86">
        <f t="shared" si="6"/>
        <v>0.1283944150721032</v>
      </c>
    </row>
    <row r="21" spans="1:18" ht="14" x14ac:dyDescent="0.15">
      <c r="A21" s="40"/>
      <c r="B21" s="119" t="s">
        <v>54</v>
      </c>
      <c r="C21" s="119" t="s">
        <v>57</v>
      </c>
      <c r="D21" s="119" t="s">
        <v>8</v>
      </c>
      <c r="E21" s="120">
        <v>200</v>
      </c>
      <c r="F21" s="121">
        <v>40291</v>
      </c>
      <c r="G21" s="122">
        <v>58.48</v>
      </c>
      <c r="H21" s="128">
        <v>8412223535</v>
      </c>
      <c r="I21" s="123">
        <v>45.53</v>
      </c>
      <c r="J21" s="123">
        <v>45.43</v>
      </c>
      <c r="K21" s="123">
        <v>3.46</v>
      </c>
      <c r="L21" s="83">
        <f t="shared" si="0"/>
        <v>25</v>
      </c>
      <c r="M21" s="84">
        <f t="shared" si="1"/>
        <v>11721</v>
      </c>
      <c r="N21" s="85">
        <f t="shared" si="2"/>
        <v>9106</v>
      </c>
      <c r="O21" s="86">
        <f t="shared" si="3"/>
        <v>-0.22310383073116627</v>
      </c>
      <c r="P21" s="87">
        <f t="shared" si="4"/>
        <v>13.158959537572255</v>
      </c>
      <c r="Q21" s="130" t="str">
        <f>IF(H21&lt;5000000000,"SMALL",IF(H21&gt;10000000000,"LARGE","MEDIUM"))</f>
        <v>MEDIUM</v>
      </c>
      <c r="R21" s="86">
        <f t="shared" si="6"/>
        <v>9.9367630770573825E-2</v>
      </c>
    </row>
    <row r="22" spans="1:18" ht="14" x14ac:dyDescent="0.15">
      <c r="A22" s="40"/>
      <c r="B22" s="119" t="s">
        <v>24</v>
      </c>
      <c r="C22" s="119" t="s">
        <v>10</v>
      </c>
      <c r="D22" s="119" t="s">
        <v>8</v>
      </c>
      <c r="E22" s="120">
        <v>150</v>
      </c>
      <c r="F22" s="121">
        <v>40291</v>
      </c>
      <c r="G22" s="122">
        <v>48.01</v>
      </c>
      <c r="H22" s="128">
        <v>51026148620</v>
      </c>
      <c r="I22" s="123">
        <v>76.92</v>
      </c>
      <c r="J22" s="123">
        <v>77.040000000000006</v>
      </c>
      <c r="K22" s="123">
        <v>3.33</v>
      </c>
      <c r="L22" s="83">
        <f t="shared" si="0"/>
        <v>25</v>
      </c>
      <c r="M22" s="84">
        <f t="shared" si="1"/>
        <v>7226.5</v>
      </c>
      <c r="N22" s="85">
        <f t="shared" si="2"/>
        <v>11538</v>
      </c>
      <c r="O22" s="86">
        <f t="shared" si="3"/>
        <v>0.59662353836573723</v>
      </c>
      <c r="P22" s="87">
        <f t="shared" si="4"/>
        <v>23.099099099099099</v>
      </c>
      <c r="Q22" s="130" t="str">
        <f t="shared" si="5"/>
        <v>LARGE</v>
      </c>
      <c r="R22" s="86">
        <f t="shared" si="6"/>
        <v>0.12590640498911496</v>
      </c>
    </row>
    <row r="23" spans="1:18" ht="14" x14ac:dyDescent="0.15">
      <c r="A23" s="40"/>
      <c r="B23" s="118" t="s">
        <v>67</v>
      </c>
      <c r="C23" s="119" t="s">
        <v>68</v>
      </c>
      <c r="D23" s="119" t="s">
        <v>8</v>
      </c>
      <c r="E23" s="120">
        <v>150</v>
      </c>
      <c r="F23" s="121">
        <v>40291</v>
      </c>
      <c r="G23" s="122">
        <v>29.48</v>
      </c>
      <c r="H23" s="128">
        <v>12904283053</v>
      </c>
      <c r="I23" s="123">
        <v>41.27</v>
      </c>
      <c r="J23" s="123">
        <v>41.55</v>
      </c>
      <c r="K23" s="123">
        <v>3.22</v>
      </c>
      <c r="L23" s="83">
        <f t="shared" si="0"/>
        <v>25</v>
      </c>
      <c r="M23" s="84">
        <f t="shared" si="1"/>
        <v>4447</v>
      </c>
      <c r="N23" s="85">
        <f t="shared" si="2"/>
        <v>6190.5000000000009</v>
      </c>
      <c r="O23" s="86">
        <f t="shared" si="3"/>
        <v>0.39206206431302021</v>
      </c>
      <c r="P23" s="87">
        <f t="shared" si="4"/>
        <v>12.816770186335404</v>
      </c>
      <c r="Q23" s="130" t="str">
        <f t="shared" si="5"/>
        <v>LARGE</v>
      </c>
      <c r="R23" s="86">
        <f t="shared" si="6"/>
        <v>6.7552747450608103E-2</v>
      </c>
    </row>
    <row r="24" spans="1:18" ht="28" x14ac:dyDescent="0.15">
      <c r="A24" s="40"/>
      <c r="B24" s="119" t="s">
        <v>25</v>
      </c>
      <c r="C24" s="119" t="s">
        <v>69</v>
      </c>
      <c r="D24" s="119" t="s">
        <v>8</v>
      </c>
      <c r="E24" s="120">
        <v>100</v>
      </c>
      <c r="F24" s="121">
        <v>40291</v>
      </c>
      <c r="G24" s="122">
        <v>54.53</v>
      </c>
      <c r="H24" s="128">
        <v>215292624570</v>
      </c>
      <c r="I24" s="123">
        <v>68.56</v>
      </c>
      <c r="J24" s="123">
        <v>68.47</v>
      </c>
      <c r="K24" s="123">
        <v>4.57</v>
      </c>
      <c r="L24" s="83">
        <f t="shared" si="0"/>
        <v>25</v>
      </c>
      <c r="M24" s="84">
        <f t="shared" si="1"/>
        <v>5478</v>
      </c>
      <c r="N24" s="85">
        <f t="shared" si="2"/>
        <v>6856</v>
      </c>
      <c r="O24" s="86">
        <f t="shared" si="3"/>
        <v>0.25155166119021538</v>
      </c>
      <c r="P24" s="87">
        <f t="shared" si="4"/>
        <v>15.002188183807439</v>
      </c>
      <c r="Q24" s="130" t="str">
        <f t="shared" si="5"/>
        <v>LARGE</v>
      </c>
      <c r="R24" s="86">
        <f t="shared" si="6"/>
        <v>7.4814899688453118E-2</v>
      </c>
    </row>
    <row r="25" spans="1:18" x14ac:dyDescent="0.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>
        <f>SUM(M14:M24)</f>
        <v>69422.23000000001</v>
      </c>
      <c r="N25" s="41">
        <f>SUM(N14:N24)</f>
        <v>91639.5</v>
      </c>
      <c r="O25" s="42">
        <f>(N25-M25)/M25</f>
        <v>0.32003106209639171</v>
      </c>
      <c r="P25" s="40"/>
      <c r="Q25" s="40"/>
      <c r="R25" s="43">
        <f>SUM(R14:R24)</f>
        <v>1</v>
      </c>
    </row>
    <row r="27" spans="1:18" x14ac:dyDescent="0.15">
      <c r="A27" s="55" t="s">
        <v>51</v>
      </c>
      <c r="B27" s="16">
        <v>0.26579999999999998</v>
      </c>
    </row>
    <row r="29" spans="1:18" x14ac:dyDescent="0.15">
      <c r="A29" s="55" t="s">
        <v>52</v>
      </c>
      <c r="B29" s="16">
        <v>0.24490000000000001</v>
      </c>
    </row>
    <row r="31" spans="1:18" x14ac:dyDescent="0.15">
      <c r="A31" s="55" t="s">
        <v>53</v>
      </c>
      <c r="B31">
        <v>23.07</v>
      </c>
    </row>
    <row r="32" spans="1:18" ht="14" thickBot="1" x14ac:dyDescent="0.2"/>
    <row r="33" spans="1:16" ht="14" x14ac:dyDescent="0.15">
      <c r="A33" s="66" t="s">
        <v>91</v>
      </c>
      <c r="B33" s="58"/>
      <c r="C33" s="58"/>
      <c r="D33" s="58"/>
      <c r="E33" s="58"/>
      <c r="F33" s="58"/>
      <c r="G33" s="58"/>
      <c r="H33" s="59"/>
      <c r="K33" s="248" t="s">
        <v>116</v>
      </c>
      <c r="L33" s="248"/>
      <c r="M33" s="253"/>
      <c r="N33" s="253"/>
      <c r="O33" s="253"/>
      <c r="P33" s="253"/>
    </row>
    <row r="34" spans="1:16" ht="15" thickBot="1" x14ac:dyDescent="0.2">
      <c r="A34" s="52" t="s">
        <v>38</v>
      </c>
      <c r="B34" s="39"/>
      <c r="C34" s="39"/>
      <c r="D34" s="39"/>
      <c r="E34" s="39"/>
      <c r="F34" s="39"/>
      <c r="G34" s="39"/>
      <c r="H34" s="61"/>
      <c r="K34" s="247"/>
      <c r="L34" s="247"/>
      <c r="M34" s="254" t="s">
        <v>118</v>
      </c>
      <c r="N34" s="254" t="s">
        <v>35</v>
      </c>
      <c r="O34" s="254" t="s">
        <v>36</v>
      </c>
      <c r="P34" s="254" t="s">
        <v>37</v>
      </c>
    </row>
    <row r="35" spans="1:16" ht="48" x14ac:dyDescent="0.15">
      <c r="G35" s="257" t="s">
        <v>123</v>
      </c>
      <c r="H35" s="257"/>
      <c r="I35" s="257"/>
      <c r="K35" s="250"/>
      <c r="L35" s="250"/>
      <c r="M35" s="245"/>
      <c r="N35" s="256" t="s">
        <v>115</v>
      </c>
      <c r="O35" s="256" t="s">
        <v>115</v>
      </c>
      <c r="P35" s="256" t="s">
        <v>115</v>
      </c>
    </row>
    <row r="36" spans="1:16" x14ac:dyDescent="0.15">
      <c r="G36" s="257"/>
      <c r="H36" s="257"/>
      <c r="I36" s="257"/>
      <c r="K36" s="251" t="s">
        <v>117</v>
      </c>
      <c r="L36" s="251"/>
      <c r="M36" s="249"/>
      <c r="N36" s="249"/>
      <c r="O36" s="249"/>
      <c r="P36" s="249"/>
    </row>
    <row r="37" spans="1:16" x14ac:dyDescent="0.15">
      <c r="G37" s="257"/>
      <c r="H37" s="257"/>
      <c r="I37" s="257"/>
      <c r="K37" s="250"/>
      <c r="L37" s="250" t="s">
        <v>110</v>
      </c>
      <c r="M37" s="245">
        <v>50</v>
      </c>
      <c r="N37" s="255">
        <v>200</v>
      </c>
      <c r="O37" s="255">
        <v>300</v>
      </c>
      <c r="P37" s="255">
        <v>400</v>
      </c>
    </row>
    <row r="38" spans="1:16" x14ac:dyDescent="0.15">
      <c r="K38" s="250"/>
      <c r="L38" s="250" t="s">
        <v>111</v>
      </c>
      <c r="M38" s="245">
        <v>150</v>
      </c>
      <c r="N38" s="255">
        <v>200</v>
      </c>
      <c r="O38" s="255">
        <v>300</v>
      </c>
      <c r="P38" s="255">
        <v>400</v>
      </c>
    </row>
    <row r="39" spans="1:16" x14ac:dyDescent="0.15">
      <c r="K39" s="250"/>
      <c r="L39" s="250" t="s">
        <v>112</v>
      </c>
      <c r="M39" s="245">
        <v>200</v>
      </c>
      <c r="N39" s="255">
        <v>200</v>
      </c>
      <c r="O39" s="255">
        <v>300</v>
      </c>
      <c r="P39" s="255">
        <v>400</v>
      </c>
    </row>
    <row r="40" spans="1:16" x14ac:dyDescent="0.15">
      <c r="K40" s="250"/>
      <c r="L40" s="250" t="s">
        <v>113</v>
      </c>
      <c r="M40" s="245">
        <v>150</v>
      </c>
      <c r="N40" s="255">
        <v>200</v>
      </c>
      <c r="O40" s="255">
        <v>300</v>
      </c>
      <c r="P40" s="255">
        <v>400</v>
      </c>
    </row>
    <row r="41" spans="1:16" x14ac:dyDescent="0.15">
      <c r="K41" s="251" t="s">
        <v>119</v>
      </c>
      <c r="L41" s="251"/>
      <c r="M41" s="249"/>
      <c r="N41" s="249"/>
      <c r="O41" s="249"/>
      <c r="P41" s="249"/>
    </row>
    <row r="42" spans="1:16" ht="14" thickBot="1" x14ac:dyDescent="0.2">
      <c r="K42" s="252"/>
      <c r="L42" s="252" t="s">
        <v>114</v>
      </c>
      <c r="M42" s="246">
        <v>0.32003106209639198</v>
      </c>
      <c r="N42" s="246">
        <v>0.26584941070700202</v>
      </c>
      <c r="O42" s="246">
        <v>0.24485640117857099</v>
      </c>
      <c r="P42" s="246">
        <v>0.23070665146741301</v>
      </c>
    </row>
    <row r="43" spans="1:16" x14ac:dyDescent="0.15">
      <c r="K43" t="s">
        <v>120</v>
      </c>
    </row>
    <row r="44" spans="1:16" x14ac:dyDescent="0.15">
      <c r="K44" t="s">
        <v>121</v>
      </c>
    </row>
    <row r="45" spans="1:16" x14ac:dyDescent="0.15">
      <c r="K45" t="s">
        <v>122</v>
      </c>
    </row>
  </sheetData>
  <scenarios current="0" sqref="O25">
    <scenario name="Case1" locked="1" count="4" user="Microsoft Office User" comment="Created by Microsoft Office User on 5/5/2021">
      <inputCells r="E14" val="200"/>
      <inputCells r="E15" val="200"/>
      <inputCells r="E16" val="200"/>
      <inputCells r="E17" val="200"/>
    </scenario>
    <scenario name="Case2" locked="1" count="4" user="Microsoft Office User" comment="Created by Microsoft Office User on 5/5/2021">
      <inputCells r="E14" val="300"/>
      <inputCells r="E15" val="300"/>
      <inputCells r="E16" val="300"/>
      <inputCells r="E17" val="300"/>
    </scenario>
    <scenario name="Case3" locked="1" count="4" user="Microsoft Office User" comment="Created by Microsoft Office User on 5/5/2021">
      <inputCells r="E14" val="400"/>
      <inputCells r="E15" val="400"/>
      <inputCells r="E16" val="400"/>
      <inputCells r="E17" val="400"/>
    </scenario>
  </scenarios>
  <mergeCells count="2">
    <mergeCell ref="A1:C1"/>
    <mergeCell ref="G35:I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S31"/>
  <sheetViews>
    <sheetView workbookViewId="0">
      <selection activeCell="J28" sqref="J28"/>
    </sheetView>
  </sheetViews>
  <sheetFormatPr baseColWidth="10" defaultColWidth="8.83203125" defaultRowHeight="13" x14ac:dyDescent="0.15"/>
  <cols>
    <col min="1" max="1" width="9.5" bestFit="1" customWidth="1"/>
    <col min="2" max="2" width="10" bestFit="1" customWidth="1"/>
    <col min="3" max="3" width="20" customWidth="1"/>
    <col min="4" max="4" width="12.5" customWidth="1"/>
    <col min="5" max="5" width="12" customWidth="1"/>
    <col min="6" max="6" width="10.1640625" customWidth="1"/>
    <col min="7" max="7" width="9.33203125" bestFit="1" customWidth="1"/>
    <col min="8" max="8" width="18.5" bestFit="1" customWidth="1"/>
    <col min="9" max="9" width="9.6640625" bestFit="1" customWidth="1"/>
    <col min="10" max="11" width="9.33203125" bestFit="1" customWidth="1"/>
    <col min="12" max="12" width="11.83203125" customWidth="1"/>
    <col min="13" max="13" width="10.6640625" bestFit="1" customWidth="1"/>
    <col min="14" max="14" width="10.1640625" bestFit="1" customWidth="1"/>
    <col min="15" max="16" width="9.33203125" bestFit="1" customWidth="1"/>
    <col min="17" max="17" width="13.1640625" customWidth="1"/>
    <col min="18" max="18" width="15.5" customWidth="1"/>
  </cols>
  <sheetData>
    <row r="1" spans="1:19" ht="14" thickBot="1" x14ac:dyDescent="0.2">
      <c r="A1" s="200" t="s">
        <v>47</v>
      </c>
      <c r="B1" s="201"/>
      <c r="C1" s="201"/>
    </row>
    <row r="3" spans="1:19" ht="14" thickBot="1" x14ac:dyDescent="0.2"/>
    <row r="4" spans="1:19" x14ac:dyDescent="0.15">
      <c r="A4" s="57"/>
      <c r="B4" s="58"/>
      <c r="C4" s="58"/>
      <c r="D4" s="58"/>
      <c r="E4" s="58"/>
      <c r="F4" s="58"/>
      <c r="G4" s="58"/>
      <c r="H4" s="59"/>
    </row>
    <row r="5" spans="1:19" ht="14" thickBot="1" x14ac:dyDescent="0.2">
      <c r="A5" s="60"/>
      <c r="B5" s="39"/>
      <c r="C5" s="39"/>
      <c r="D5" s="39"/>
      <c r="E5" s="39"/>
      <c r="F5" s="39"/>
      <c r="G5" s="39"/>
      <c r="H5" s="61"/>
    </row>
    <row r="7" spans="1:19" ht="14" thickBot="1" x14ac:dyDescent="0.2"/>
    <row r="8" spans="1:19" x14ac:dyDescent="0.15">
      <c r="I8" s="63" t="s">
        <v>44</v>
      </c>
    </row>
    <row r="9" spans="1:19" ht="14" thickBot="1" x14ac:dyDescent="0.2">
      <c r="I9" s="64">
        <v>42886</v>
      </c>
    </row>
    <row r="10" spans="1:19" ht="28" x14ac:dyDescent="0.15">
      <c r="A10" s="40"/>
      <c r="B10" s="139" t="s">
        <v>0</v>
      </c>
      <c r="C10" s="140" t="s">
        <v>1</v>
      </c>
      <c r="D10" s="140" t="s">
        <v>2</v>
      </c>
      <c r="E10" s="140" t="s">
        <v>3</v>
      </c>
      <c r="F10" s="140" t="s">
        <v>4</v>
      </c>
      <c r="G10" s="140" t="s">
        <v>5</v>
      </c>
      <c r="H10" s="140" t="s">
        <v>11</v>
      </c>
      <c r="I10" s="140" t="s">
        <v>12</v>
      </c>
      <c r="J10" s="140" t="s">
        <v>13</v>
      </c>
      <c r="K10" s="140" t="s">
        <v>14</v>
      </c>
      <c r="L10" s="140" t="s">
        <v>15</v>
      </c>
      <c r="M10" s="140" t="s">
        <v>16</v>
      </c>
      <c r="N10" s="140" t="s">
        <v>18</v>
      </c>
      <c r="O10" s="140" t="s">
        <v>19</v>
      </c>
      <c r="P10" s="140" t="s">
        <v>20</v>
      </c>
      <c r="Q10" s="140" t="s">
        <v>56</v>
      </c>
      <c r="R10" s="141" t="s">
        <v>17</v>
      </c>
      <c r="S10" s="76"/>
    </row>
    <row r="11" spans="1:19" ht="28" x14ac:dyDescent="0.15">
      <c r="A11" s="138"/>
      <c r="B11" s="118" t="s">
        <v>22</v>
      </c>
      <c r="C11" s="119" t="s">
        <v>6</v>
      </c>
      <c r="D11" s="119" t="s">
        <v>7</v>
      </c>
      <c r="E11" s="120">
        <v>50</v>
      </c>
      <c r="F11" s="121">
        <v>40291</v>
      </c>
      <c r="G11" s="122">
        <v>129.99</v>
      </c>
      <c r="H11" s="128">
        <v>143459520609</v>
      </c>
      <c r="I11" s="123">
        <v>147.93</v>
      </c>
      <c r="J11" s="123">
        <v>149.31</v>
      </c>
      <c r="K11" s="123">
        <v>13.42</v>
      </c>
      <c r="L11" s="107">
        <f t="shared" ref="L11:L21" si="0">IF(E11*G11*0.01&lt;25,E11*G11*0.01,25)</f>
        <v>25</v>
      </c>
      <c r="M11" s="108">
        <f t="shared" ref="M11:M21" si="1">E11*G11+L11</f>
        <v>6524.5</v>
      </c>
      <c r="N11" s="109">
        <f t="shared" ref="N11:N21" si="2">I11*E11</f>
        <v>7396.5</v>
      </c>
      <c r="O11" s="110">
        <f t="shared" ref="O11:O21" si="3">(N11-M11)/M11</f>
        <v>0.13365008812935858</v>
      </c>
      <c r="P11" s="111">
        <f t="shared" ref="P11:P21" si="4">I11/K11</f>
        <v>11.023099850968704</v>
      </c>
      <c r="Q11" s="137" t="str">
        <f>IF(H11&lt;5000000000,"SMALL",IF(H11&gt;10000000000,"LARGE","MEDIUM"))</f>
        <v>LARGE</v>
      </c>
      <c r="R11" s="110">
        <f t="shared" ref="R11:R21" si="5">N11/$N$22</f>
        <v>8.5744045465972529E-2</v>
      </c>
    </row>
    <row r="12" spans="1:19" ht="14" x14ac:dyDescent="0.15">
      <c r="A12" s="40"/>
      <c r="B12" s="118" t="s">
        <v>42</v>
      </c>
      <c r="C12" s="119" t="s">
        <v>43</v>
      </c>
      <c r="D12" s="119" t="s">
        <v>7</v>
      </c>
      <c r="E12" s="120">
        <v>150</v>
      </c>
      <c r="F12" s="121">
        <v>40291</v>
      </c>
      <c r="G12" s="122">
        <v>30.96</v>
      </c>
      <c r="H12" s="128">
        <v>441180908733</v>
      </c>
      <c r="I12" s="123">
        <v>51.9</v>
      </c>
      <c r="J12" s="123">
        <v>55.79</v>
      </c>
      <c r="K12" s="123">
        <v>1.3</v>
      </c>
      <c r="L12" s="107">
        <f t="shared" si="0"/>
        <v>25</v>
      </c>
      <c r="M12" s="108">
        <f t="shared" si="1"/>
        <v>4669</v>
      </c>
      <c r="N12" s="109">
        <f t="shared" si="2"/>
        <v>7785</v>
      </c>
      <c r="O12" s="110">
        <f t="shared" si="3"/>
        <v>0.66738059541657746</v>
      </c>
      <c r="P12" s="111">
        <f t="shared" si="4"/>
        <v>39.92307692307692</v>
      </c>
      <c r="Q12" s="137" t="str">
        <f t="shared" ref="Q12:Q21" si="6">IF(H12&lt;5000000000,"SMALL",IF(H12&gt;10000000000,"LARGE","MEDIUM"))</f>
        <v>LARGE</v>
      </c>
      <c r="R12" s="110">
        <f t="shared" si="5"/>
        <v>9.0247737977772746E-2</v>
      </c>
    </row>
    <row r="13" spans="1:19" ht="14" x14ac:dyDescent="0.15">
      <c r="A13" s="40"/>
      <c r="B13" s="118" t="s">
        <v>23</v>
      </c>
      <c r="C13" s="119" t="s">
        <v>9</v>
      </c>
      <c r="D13" s="119" t="s">
        <v>7</v>
      </c>
      <c r="E13" s="120">
        <v>200</v>
      </c>
      <c r="F13" s="121">
        <v>40291</v>
      </c>
      <c r="G13" s="122">
        <v>14.32</v>
      </c>
      <c r="H13" s="128">
        <v>4504830000</v>
      </c>
      <c r="I13" s="123">
        <v>35.89</v>
      </c>
      <c r="J13" s="123">
        <v>36.299999999999997</v>
      </c>
      <c r="K13" s="123">
        <v>1.49</v>
      </c>
      <c r="L13" s="107">
        <f t="shared" si="0"/>
        <v>25</v>
      </c>
      <c r="M13" s="108">
        <f t="shared" si="1"/>
        <v>2889</v>
      </c>
      <c r="N13" s="109">
        <f t="shared" si="2"/>
        <v>7178</v>
      </c>
      <c r="O13" s="110">
        <f t="shared" si="3"/>
        <v>1.4845967462789893</v>
      </c>
      <c r="P13" s="111">
        <f t="shared" si="4"/>
        <v>24.087248322147651</v>
      </c>
      <c r="Q13" s="137" t="str">
        <f t="shared" si="6"/>
        <v>SMALL</v>
      </c>
      <c r="R13" s="110">
        <f t="shared" si="5"/>
        <v>8.3211080694213582E-2</v>
      </c>
    </row>
    <row r="14" spans="1:19" ht="14" x14ac:dyDescent="0.15">
      <c r="A14" s="40"/>
      <c r="B14" s="119" t="s">
        <v>70</v>
      </c>
      <c r="C14" s="119" t="s">
        <v>71</v>
      </c>
      <c r="D14" s="119" t="s">
        <v>7</v>
      </c>
      <c r="E14" s="124">
        <v>150</v>
      </c>
      <c r="F14" s="125">
        <v>40291</v>
      </c>
      <c r="G14" s="126">
        <v>49.48</v>
      </c>
      <c r="H14" s="129">
        <v>28211686296</v>
      </c>
      <c r="I14" s="127">
        <v>24.55</v>
      </c>
      <c r="J14" s="127">
        <v>24.7</v>
      </c>
      <c r="K14" s="127">
        <v>1.42</v>
      </c>
      <c r="L14" s="107">
        <f t="shared" si="0"/>
        <v>25</v>
      </c>
      <c r="M14" s="108">
        <f t="shared" si="1"/>
        <v>7446.9999999999991</v>
      </c>
      <c r="N14" s="109">
        <f t="shared" si="2"/>
        <v>3682.5</v>
      </c>
      <c r="O14" s="110">
        <f t="shared" si="3"/>
        <v>-0.50550557271384444</v>
      </c>
      <c r="P14" s="111">
        <f t="shared" si="4"/>
        <v>17.2887323943662</v>
      </c>
      <c r="Q14" s="137" t="str">
        <f t="shared" si="6"/>
        <v>LARGE</v>
      </c>
      <c r="R14" s="110">
        <f t="shared" si="5"/>
        <v>4.2689440604129499E-2</v>
      </c>
    </row>
    <row r="15" spans="1:19" ht="14" x14ac:dyDescent="0.15">
      <c r="A15" s="40"/>
      <c r="B15" s="118" t="s">
        <v>72</v>
      </c>
      <c r="C15" s="119" t="s">
        <v>73</v>
      </c>
      <c r="D15" s="145" t="s">
        <v>74</v>
      </c>
      <c r="E15" s="120">
        <v>100</v>
      </c>
      <c r="F15" s="121">
        <v>40291</v>
      </c>
      <c r="G15" s="122">
        <v>105.48</v>
      </c>
      <c r="H15" s="128">
        <v>123606162095</v>
      </c>
      <c r="I15" s="123">
        <v>162.72</v>
      </c>
      <c r="J15" s="123">
        <v>164.4</v>
      </c>
      <c r="K15" s="123">
        <v>9.06</v>
      </c>
      <c r="L15" s="107">
        <f t="shared" si="0"/>
        <v>25</v>
      </c>
      <c r="M15" s="108">
        <f t="shared" si="1"/>
        <v>10573</v>
      </c>
      <c r="N15" s="109">
        <f t="shared" si="2"/>
        <v>16272</v>
      </c>
      <c r="O15" s="110">
        <f t="shared" si="3"/>
        <v>0.5390144708219049</v>
      </c>
      <c r="P15" s="111">
        <f t="shared" si="4"/>
        <v>17.960264900662249</v>
      </c>
      <c r="Q15" s="137" t="str">
        <f t="shared" si="6"/>
        <v>LARGE</v>
      </c>
      <c r="R15" s="110">
        <f t="shared" si="5"/>
        <v>0.18863342227030419</v>
      </c>
    </row>
    <row r="16" spans="1:19" ht="14" x14ac:dyDescent="0.15">
      <c r="A16" s="40"/>
      <c r="B16" s="118" t="s">
        <v>75</v>
      </c>
      <c r="C16" s="119" t="s">
        <v>76</v>
      </c>
      <c r="D16" s="119" t="s">
        <v>74</v>
      </c>
      <c r="E16" s="120">
        <v>50</v>
      </c>
      <c r="F16" s="121">
        <v>40291</v>
      </c>
      <c r="G16" s="122">
        <v>35.46</v>
      </c>
      <c r="H16" s="128">
        <v>85578452934</v>
      </c>
      <c r="I16" s="123">
        <v>77.38</v>
      </c>
      <c r="J16" s="123">
        <v>77.37</v>
      </c>
      <c r="K16" s="123">
        <v>2.2599999999999998</v>
      </c>
      <c r="L16" s="107">
        <f t="shared" si="0"/>
        <v>17.73</v>
      </c>
      <c r="M16" s="108">
        <f t="shared" si="1"/>
        <v>1790.73</v>
      </c>
      <c r="N16" s="109">
        <f t="shared" si="2"/>
        <v>3869</v>
      </c>
      <c r="O16" s="110">
        <f t="shared" si="3"/>
        <v>1.1605713870879473</v>
      </c>
      <c r="P16" s="111">
        <f t="shared" si="4"/>
        <v>34.23893805309735</v>
      </c>
      <c r="Q16" s="137" t="str">
        <f t="shared" si="6"/>
        <v>LARGE</v>
      </c>
      <c r="R16" s="110">
        <f t="shared" si="5"/>
        <v>4.4851444860115962E-2</v>
      </c>
    </row>
    <row r="17" spans="1:18" ht="14" x14ac:dyDescent="0.15">
      <c r="A17" s="40"/>
      <c r="B17" s="118" t="s">
        <v>77</v>
      </c>
      <c r="C17" s="119" t="s">
        <v>78</v>
      </c>
      <c r="D17" s="119" t="s">
        <v>74</v>
      </c>
      <c r="E17" s="120">
        <v>150</v>
      </c>
      <c r="F17" s="121">
        <v>40291</v>
      </c>
      <c r="G17" s="122">
        <v>44.21</v>
      </c>
      <c r="H17" s="128">
        <v>141417916147</v>
      </c>
      <c r="I17" s="123">
        <v>78.44</v>
      </c>
      <c r="J17" s="123">
        <v>78.55</v>
      </c>
      <c r="K17" s="123">
        <v>1.7</v>
      </c>
      <c r="L17" s="107">
        <f t="shared" si="0"/>
        <v>25</v>
      </c>
      <c r="M17" s="108">
        <f t="shared" si="1"/>
        <v>6656.5</v>
      </c>
      <c r="N17" s="109">
        <f t="shared" si="2"/>
        <v>11766</v>
      </c>
      <c r="O17" s="110">
        <f t="shared" si="3"/>
        <v>0.7675955832644783</v>
      </c>
      <c r="P17" s="111">
        <f t="shared" si="4"/>
        <v>46.141176470588235</v>
      </c>
      <c r="Q17" s="137" t="str">
        <f t="shared" si="6"/>
        <v>LARGE</v>
      </c>
      <c r="R17" s="110">
        <f t="shared" si="5"/>
        <v>0.13639754464309237</v>
      </c>
    </row>
    <row r="18" spans="1:18" ht="14" x14ac:dyDescent="0.15">
      <c r="A18" s="40"/>
      <c r="B18" s="119" t="s">
        <v>54</v>
      </c>
      <c r="C18" s="119" t="s">
        <v>57</v>
      </c>
      <c r="D18" s="119" t="s">
        <v>8</v>
      </c>
      <c r="E18" s="258">
        <v>81.903138426944992</v>
      </c>
      <c r="F18" s="121">
        <v>40291</v>
      </c>
      <c r="G18" s="122">
        <v>58.48</v>
      </c>
      <c r="H18" s="128">
        <v>8412223535</v>
      </c>
      <c r="I18" s="123">
        <v>45.53</v>
      </c>
      <c r="J18" s="123">
        <v>45.43</v>
      </c>
      <c r="K18" s="123">
        <v>3.46</v>
      </c>
      <c r="L18" s="107">
        <f t="shared" si="0"/>
        <v>25</v>
      </c>
      <c r="M18" s="108">
        <f t="shared" si="1"/>
        <v>4814.695535207743</v>
      </c>
      <c r="N18" s="109">
        <f>I18*E18</f>
        <v>3729.0498925788056</v>
      </c>
      <c r="O18" s="110">
        <f>(N18-M18)/M18</f>
        <v>-0.22548583491730476</v>
      </c>
      <c r="P18" s="111">
        <f t="shared" si="4"/>
        <v>13.158959537572255</v>
      </c>
      <c r="Q18" s="137" t="str">
        <f t="shared" si="6"/>
        <v>MEDIUM</v>
      </c>
      <c r="R18" s="110">
        <f>N18/$N$22</f>
        <v>4.3229070984135344E-2</v>
      </c>
    </row>
    <row r="19" spans="1:18" ht="14" x14ac:dyDescent="0.15">
      <c r="A19" s="40"/>
      <c r="B19" s="119" t="s">
        <v>24</v>
      </c>
      <c r="C19" s="119" t="s">
        <v>10</v>
      </c>
      <c r="D19" s="119" t="s">
        <v>8</v>
      </c>
      <c r="E19" s="120">
        <v>150</v>
      </c>
      <c r="F19" s="121">
        <v>40291</v>
      </c>
      <c r="G19" s="122">
        <v>48.01</v>
      </c>
      <c r="H19" s="128">
        <v>51026148620</v>
      </c>
      <c r="I19" s="123">
        <v>76.92</v>
      </c>
      <c r="J19" s="123">
        <v>77.040000000000006</v>
      </c>
      <c r="K19" s="123">
        <v>3.33</v>
      </c>
      <c r="L19" s="107">
        <f t="shared" si="0"/>
        <v>25</v>
      </c>
      <c r="M19" s="108">
        <f t="shared" si="1"/>
        <v>7226.5</v>
      </c>
      <c r="N19" s="109">
        <f>I19*E19</f>
        <v>11538</v>
      </c>
      <c r="O19" s="110">
        <f>(N19-M19)/M19</f>
        <v>0.59662353836573723</v>
      </c>
      <c r="P19" s="111">
        <f t="shared" si="4"/>
        <v>23.099099099099099</v>
      </c>
      <c r="Q19" s="137" t="str">
        <f t="shared" si="6"/>
        <v>LARGE</v>
      </c>
      <c r="R19" s="110">
        <f>N19/$N$22</f>
        <v>0.13375445096821348</v>
      </c>
    </row>
    <row r="20" spans="1:18" ht="14" x14ac:dyDescent="0.15">
      <c r="A20" s="40"/>
      <c r="B20" s="118" t="s">
        <v>67</v>
      </c>
      <c r="C20" s="119" t="s">
        <v>68</v>
      </c>
      <c r="D20" s="119" t="s">
        <v>8</v>
      </c>
      <c r="E20" s="120">
        <v>150</v>
      </c>
      <c r="F20" s="121">
        <v>40291</v>
      </c>
      <c r="G20" s="122">
        <v>29.48</v>
      </c>
      <c r="H20" s="128">
        <v>12904283053</v>
      </c>
      <c r="I20" s="123">
        <v>41.27</v>
      </c>
      <c r="J20" s="123">
        <v>41.55</v>
      </c>
      <c r="K20" s="123">
        <v>3.22</v>
      </c>
      <c r="L20" s="107">
        <f t="shared" si="0"/>
        <v>25</v>
      </c>
      <c r="M20" s="108">
        <f t="shared" si="1"/>
        <v>4447</v>
      </c>
      <c r="N20" s="109">
        <f t="shared" si="2"/>
        <v>6190.5000000000009</v>
      </c>
      <c r="O20" s="110">
        <f t="shared" si="3"/>
        <v>0.39206206431302021</v>
      </c>
      <c r="P20" s="111">
        <f t="shared" si="4"/>
        <v>12.816770186335404</v>
      </c>
      <c r="Q20" s="137" t="str">
        <f t="shared" si="6"/>
        <v>LARGE</v>
      </c>
      <c r="R20" s="110">
        <f t="shared" si="5"/>
        <v>7.1763471027797343E-2</v>
      </c>
    </row>
    <row r="21" spans="1:18" ht="14" x14ac:dyDescent="0.15">
      <c r="A21" s="40"/>
      <c r="B21" s="119" t="s">
        <v>25</v>
      </c>
      <c r="C21" s="119" t="s">
        <v>69</v>
      </c>
      <c r="D21" s="119" t="s">
        <v>8</v>
      </c>
      <c r="E21" s="120">
        <v>100</v>
      </c>
      <c r="F21" s="121">
        <v>40291</v>
      </c>
      <c r="G21" s="122">
        <v>54.53</v>
      </c>
      <c r="H21" s="128">
        <v>215292624570</v>
      </c>
      <c r="I21" s="123">
        <v>68.56</v>
      </c>
      <c r="J21" s="123">
        <v>68.47</v>
      </c>
      <c r="K21" s="123">
        <v>4.57</v>
      </c>
      <c r="L21" s="107">
        <f t="shared" si="0"/>
        <v>25</v>
      </c>
      <c r="M21" s="108">
        <f t="shared" si="1"/>
        <v>5478</v>
      </c>
      <c r="N21" s="109">
        <f t="shared" si="2"/>
        <v>6856</v>
      </c>
      <c r="O21" s="110">
        <f t="shared" si="3"/>
        <v>0.25155166119021538</v>
      </c>
      <c r="P21" s="111">
        <f t="shared" si="4"/>
        <v>15.002188183807439</v>
      </c>
      <c r="Q21" s="137" t="str">
        <f t="shared" si="6"/>
        <v>LARGE</v>
      </c>
      <c r="R21" s="110">
        <f t="shared" si="5"/>
        <v>7.9478290504253049E-2</v>
      </c>
    </row>
    <row r="22" spans="1:18" x14ac:dyDescent="0.1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>
        <f>SUM(M11:M21)</f>
        <v>62515.925535207745</v>
      </c>
      <c r="N22" s="41">
        <f>SUM(N11:N21)</f>
        <v>86262.549892578798</v>
      </c>
      <c r="O22" s="271">
        <f>(N22-M22)/M22</f>
        <v>0.3798492008887786</v>
      </c>
      <c r="P22" s="40"/>
      <c r="Q22" s="40"/>
      <c r="R22" s="43">
        <f>SUM(R11:R21)</f>
        <v>1</v>
      </c>
    </row>
    <row r="24" spans="1:18" x14ac:dyDescent="0.15">
      <c r="A24" s="55"/>
    </row>
    <row r="26" spans="1:18" x14ac:dyDescent="0.15">
      <c r="A26" s="55"/>
    </row>
    <row r="28" spans="1:18" x14ac:dyDescent="0.15">
      <c r="A28" s="55"/>
    </row>
    <row r="30" spans="1:18" x14ac:dyDescent="0.15">
      <c r="A30" s="56"/>
    </row>
    <row r="31" spans="1:18" x14ac:dyDescent="0.15">
      <c r="A31" s="56"/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S35"/>
  <sheetViews>
    <sheetView topLeftCell="A6" workbookViewId="0">
      <selection activeCell="Q10" sqref="Q10"/>
    </sheetView>
  </sheetViews>
  <sheetFormatPr baseColWidth="10" defaultColWidth="8.83203125" defaultRowHeight="13" x14ac:dyDescent="0.15"/>
  <cols>
    <col min="3" max="3" width="19.5" customWidth="1"/>
    <col min="4" max="4" width="14.6640625" customWidth="1"/>
    <col min="5" max="5" width="9.1640625" bestFit="1" customWidth="1"/>
    <col min="8" max="8" width="18.5" bestFit="1" customWidth="1"/>
    <col min="9" max="9" width="9.6640625" bestFit="1" customWidth="1"/>
    <col min="13" max="13" width="10.6640625" bestFit="1" customWidth="1"/>
    <col min="14" max="14" width="13.6640625" bestFit="1" customWidth="1"/>
    <col min="15" max="15" width="8.33203125" bestFit="1" customWidth="1"/>
    <col min="16" max="16" width="9.33203125" bestFit="1" customWidth="1"/>
    <col min="18" max="18" width="19.5" customWidth="1"/>
    <col min="19" max="19" width="16.83203125" customWidth="1"/>
  </cols>
  <sheetData>
    <row r="1" spans="1:9" ht="14" thickBot="1" x14ac:dyDescent="0.2">
      <c r="A1" s="200" t="s">
        <v>41</v>
      </c>
      <c r="B1" s="201"/>
      <c r="C1" s="201"/>
    </row>
    <row r="3" spans="1:9" ht="14" thickBot="1" x14ac:dyDescent="0.2"/>
    <row r="4" spans="1:9" x14ac:dyDescent="0.15">
      <c r="A4" s="57" t="s">
        <v>48</v>
      </c>
      <c r="B4" s="58"/>
      <c r="C4" s="58"/>
      <c r="D4" s="58"/>
      <c r="E4" s="58"/>
      <c r="F4" s="58"/>
      <c r="G4" s="58"/>
      <c r="H4" s="58"/>
    </row>
    <row r="5" spans="1:9" x14ac:dyDescent="0.15">
      <c r="A5" s="70"/>
      <c r="B5" s="71"/>
      <c r="C5" s="71"/>
      <c r="D5" s="71"/>
      <c r="E5" s="71"/>
      <c r="F5" s="71"/>
      <c r="G5" s="71"/>
      <c r="H5" s="71"/>
    </row>
    <row r="6" spans="1:9" x14ac:dyDescent="0.15">
      <c r="A6" s="70"/>
      <c r="B6" s="71"/>
      <c r="C6" s="71"/>
      <c r="D6" s="71"/>
      <c r="E6" s="71"/>
      <c r="F6" s="71"/>
      <c r="G6" s="71"/>
      <c r="H6" s="71"/>
    </row>
    <row r="7" spans="1:9" ht="16" x14ac:dyDescent="0.2">
      <c r="A7" s="72" t="s">
        <v>49</v>
      </c>
      <c r="B7" s="71"/>
      <c r="C7" s="71"/>
      <c r="D7" s="71"/>
      <c r="E7" s="71"/>
      <c r="F7" s="71"/>
      <c r="G7" s="71"/>
      <c r="H7" s="71"/>
    </row>
    <row r="8" spans="1:9" ht="14" thickBot="1" x14ac:dyDescent="0.2">
      <c r="A8" s="60">
        <v>1</v>
      </c>
      <c r="B8" s="268" t="s">
        <v>185</v>
      </c>
      <c r="C8" s="39"/>
      <c r="D8" s="39"/>
      <c r="E8" s="39"/>
      <c r="F8" s="39"/>
      <c r="G8" s="39"/>
      <c r="H8" s="39"/>
    </row>
    <row r="9" spans="1:9" ht="14" thickBot="1" x14ac:dyDescent="0.2">
      <c r="A9" s="60">
        <v>2</v>
      </c>
      <c r="B9" s="268" t="s">
        <v>186</v>
      </c>
      <c r="C9" s="39"/>
      <c r="D9" s="39"/>
      <c r="E9" s="39"/>
      <c r="F9" s="39"/>
      <c r="G9" s="39"/>
      <c r="H9" s="39"/>
    </row>
    <row r="10" spans="1:9" ht="14" thickBot="1" x14ac:dyDescent="0.2">
      <c r="A10" s="60">
        <v>3</v>
      </c>
      <c r="B10" s="269" t="s">
        <v>187</v>
      </c>
      <c r="C10" s="69"/>
      <c r="D10" s="69"/>
      <c r="E10" s="69"/>
      <c r="F10" s="69"/>
      <c r="G10" s="69"/>
      <c r="H10" s="69"/>
    </row>
    <row r="11" spans="1:9" x14ac:dyDescent="0.15">
      <c r="A11" s="62" t="s">
        <v>50</v>
      </c>
      <c r="B11" s="21"/>
      <c r="C11" s="21"/>
      <c r="D11" s="21"/>
      <c r="E11" s="21"/>
      <c r="F11" s="21"/>
      <c r="G11" s="21"/>
      <c r="H11" s="21"/>
    </row>
    <row r="13" spans="1:9" ht="14" thickBot="1" x14ac:dyDescent="0.2"/>
    <row r="14" spans="1:9" ht="15" thickBot="1" x14ac:dyDescent="0.2">
      <c r="B14" s="1"/>
      <c r="D14" s="67" t="s">
        <v>26</v>
      </c>
      <c r="E14" s="68"/>
      <c r="F14" s="68"/>
      <c r="G14" s="23"/>
      <c r="H14" s="23"/>
    </row>
    <row r="15" spans="1:9" x14ac:dyDescent="0.15">
      <c r="I15" s="63" t="s">
        <v>44</v>
      </c>
    </row>
    <row r="16" spans="1:9" x14ac:dyDescent="0.15">
      <c r="I16" s="132">
        <v>42886</v>
      </c>
    </row>
    <row r="17" spans="1:19" x14ac:dyDescent="0.15">
      <c r="B17" s="133" t="s">
        <v>0</v>
      </c>
      <c r="C17" s="133" t="s">
        <v>1</v>
      </c>
      <c r="D17" s="133" t="s">
        <v>2</v>
      </c>
      <c r="E17" s="133" t="s">
        <v>3</v>
      </c>
      <c r="F17" s="133" t="s">
        <v>4</v>
      </c>
      <c r="G17" s="133" t="s">
        <v>5</v>
      </c>
      <c r="H17" s="133" t="s">
        <v>11</v>
      </c>
      <c r="I17" s="133" t="s">
        <v>12</v>
      </c>
      <c r="J17" s="133" t="s">
        <v>13</v>
      </c>
      <c r="K17" s="133" t="s">
        <v>14</v>
      </c>
      <c r="L17" s="133" t="s">
        <v>15</v>
      </c>
      <c r="M17" s="133" t="s">
        <v>16</v>
      </c>
      <c r="N17" s="133" t="s">
        <v>18</v>
      </c>
      <c r="O17" s="133" t="s">
        <v>19</v>
      </c>
      <c r="P17" s="133" t="s">
        <v>20</v>
      </c>
      <c r="Q17" s="133" t="s">
        <v>21</v>
      </c>
      <c r="R17" s="133" t="s">
        <v>17</v>
      </c>
      <c r="S17" s="133" t="s">
        <v>3</v>
      </c>
    </row>
    <row r="18" spans="1:19" ht="28" x14ac:dyDescent="0.15">
      <c r="A18" s="131"/>
      <c r="B18" s="118" t="s">
        <v>22</v>
      </c>
      <c r="C18" s="119" t="s">
        <v>6</v>
      </c>
      <c r="D18" s="119" t="s">
        <v>7</v>
      </c>
      <c r="E18" s="120">
        <v>50</v>
      </c>
      <c r="F18" s="121">
        <v>40291</v>
      </c>
      <c r="G18" s="122">
        <v>129.99</v>
      </c>
      <c r="H18" s="128">
        <v>143459520609</v>
      </c>
      <c r="I18" s="123">
        <v>147.93</v>
      </c>
      <c r="J18" s="123">
        <v>149.31</v>
      </c>
      <c r="K18" s="123">
        <v>13.42</v>
      </c>
      <c r="L18" s="107">
        <f t="shared" ref="L18:L28" si="0">IF(E18*G18*0.01&lt;25,E18*G18*0.01,25)</f>
        <v>25</v>
      </c>
      <c r="M18" s="108">
        <f t="shared" ref="M18:M28" si="1">E18*G18+L18</f>
        <v>6524.5</v>
      </c>
      <c r="N18" s="109">
        <f t="shared" ref="N18:N28" si="2">I18*E18</f>
        <v>7396.5</v>
      </c>
      <c r="O18" s="110">
        <f t="shared" ref="O18:O29" si="3">(N18-M18)/M18</f>
        <v>0.13365008812935858</v>
      </c>
      <c r="P18" s="111">
        <f t="shared" ref="P18:P28" si="4">I18/K18</f>
        <v>11.023099850968704</v>
      </c>
      <c r="Q18" s="137" t="str">
        <f>IF(H18&lt;5000000000,"SMALL",IF(H18&gt;10000000000,"LARGE","MEDIUM"))</f>
        <v>LARGE</v>
      </c>
      <c r="R18" s="110">
        <f t="shared" ref="R18:R28" si="5">N18/$N$29</f>
        <v>6.4399430578954933E-2</v>
      </c>
      <c r="S18" s="120">
        <v>50</v>
      </c>
    </row>
    <row r="19" spans="1:19" ht="14" x14ac:dyDescent="0.15">
      <c r="A19" s="131"/>
      <c r="B19" s="118" t="s">
        <v>42</v>
      </c>
      <c r="C19" s="119" t="s">
        <v>43</v>
      </c>
      <c r="D19" s="119" t="s">
        <v>7</v>
      </c>
      <c r="E19" s="120">
        <v>150</v>
      </c>
      <c r="F19" s="121">
        <v>40291</v>
      </c>
      <c r="G19" s="122">
        <v>30.96</v>
      </c>
      <c r="H19" s="128">
        <v>441180908733</v>
      </c>
      <c r="I19" s="123">
        <v>51.9</v>
      </c>
      <c r="J19" s="123">
        <v>55.79</v>
      </c>
      <c r="K19" s="123">
        <v>1.3</v>
      </c>
      <c r="L19" s="107">
        <f t="shared" si="0"/>
        <v>25</v>
      </c>
      <c r="M19" s="108">
        <f t="shared" si="1"/>
        <v>4669</v>
      </c>
      <c r="N19" s="109">
        <f t="shared" si="2"/>
        <v>7785</v>
      </c>
      <c r="O19" s="110">
        <f t="shared" si="3"/>
        <v>0.66738059541657746</v>
      </c>
      <c r="P19" s="111">
        <f t="shared" si="4"/>
        <v>39.92307692307692</v>
      </c>
      <c r="Q19" s="137" t="str">
        <f>IF(H19&lt;5000000000,"SMALL",IF(H19&gt;10000000000,"LARGE","MEDIUM"))</f>
        <v>LARGE</v>
      </c>
      <c r="R19" s="110">
        <f t="shared" si="5"/>
        <v>6.7782000548524859E-2</v>
      </c>
      <c r="S19" s="120">
        <v>150</v>
      </c>
    </row>
    <row r="20" spans="1:19" ht="14" x14ac:dyDescent="0.15">
      <c r="B20" s="118" t="s">
        <v>23</v>
      </c>
      <c r="C20" s="119" t="s">
        <v>9</v>
      </c>
      <c r="D20" s="119" t="s">
        <v>7</v>
      </c>
      <c r="E20" s="120">
        <v>200</v>
      </c>
      <c r="F20" s="121">
        <v>40291</v>
      </c>
      <c r="G20" s="122">
        <v>14.32</v>
      </c>
      <c r="H20" s="128">
        <v>4504830000</v>
      </c>
      <c r="I20" s="123">
        <v>35.89</v>
      </c>
      <c r="J20" s="123">
        <v>36.299999999999997</v>
      </c>
      <c r="K20" s="123">
        <v>1.49</v>
      </c>
      <c r="L20" s="107">
        <f t="shared" si="0"/>
        <v>25</v>
      </c>
      <c r="M20" s="108">
        <f t="shared" si="1"/>
        <v>2889</v>
      </c>
      <c r="N20" s="109">
        <f t="shared" si="2"/>
        <v>7178</v>
      </c>
      <c r="O20" s="110">
        <f t="shared" si="3"/>
        <v>1.4845967462789893</v>
      </c>
      <c r="P20" s="111">
        <f t="shared" si="4"/>
        <v>24.087248322147651</v>
      </c>
      <c r="Q20" s="137" t="str">
        <f t="shared" ref="Q20:Q28" si="6">IF(H20&lt;5000000000,"SMALL",IF(H20&gt;10000000000,"LARGE","MEDIUM"))</f>
        <v>SMALL</v>
      </c>
      <c r="R20" s="110">
        <f t="shared" si="5"/>
        <v>6.2497007056815858E-2</v>
      </c>
      <c r="S20" s="120">
        <v>200</v>
      </c>
    </row>
    <row r="21" spans="1:19" ht="14" x14ac:dyDescent="0.15">
      <c r="B21" s="119" t="s">
        <v>70</v>
      </c>
      <c r="C21" s="119" t="s">
        <v>71</v>
      </c>
      <c r="D21" s="119" t="s">
        <v>7</v>
      </c>
      <c r="E21" s="124">
        <v>150</v>
      </c>
      <c r="F21" s="125">
        <v>40291</v>
      </c>
      <c r="G21" s="126">
        <v>49.48</v>
      </c>
      <c r="H21" s="129">
        <v>28211686296</v>
      </c>
      <c r="I21" s="127">
        <v>24.55</v>
      </c>
      <c r="J21" s="127">
        <v>24.7</v>
      </c>
      <c r="K21" s="127">
        <v>1.42</v>
      </c>
      <c r="L21" s="107">
        <f t="shared" si="0"/>
        <v>25</v>
      </c>
      <c r="M21" s="108">
        <f t="shared" si="1"/>
        <v>7446.9999999999991</v>
      </c>
      <c r="N21" s="109">
        <f t="shared" si="2"/>
        <v>3682.5</v>
      </c>
      <c r="O21" s="110">
        <f t="shared" si="3"/>
        <v>-0.50550557271384444</v>
      </c>
      <c r="P21" s="111">
        <f t="shared" si="4"/>
        <v>17.2887323943662</v>
      </c>
      <c r="Q21" s="137" t="str">
        <f t="shared" si="6"/>
        <v>LARGE</v>
      </c>
      <c r="R21" s="110">
        <f t="shared" si="5"/>
        <v>3.2062584074494901E-2</v>
      </c>
      <c r="S21" s="124">
        <v>150</v>
      </c>
    </row>
    <row r="22" spans="1:19" ht="14" x14ac:dyDescent="0.15">
      <c r="B22" s="118" t="s">
        <v>72</v>
      </c>
      <c r="C22" s="119" t="s">
        <v>73</v>
      </c>
      <c r="D22" s="145" t="s">
        <v>74</v>
      </c>
      <c r="E22" s="120">
        <v>100</v>
      </c>
      <c r="F22" s="121">
        <v>40291</v>
      </c>
      <c r="G22" s="122">
        <v>105.48</v>
      </c>
      <c r="H22" s="128">
        <v>123606162095</v>
      </c>
      <c r="I22" s="123">
        <v>162.72</v>
      </c>
      <c r="J22" s="123">
        <v>164.4</v>
      </c>
      <c r="K22" s="123">
        <v>9.06</v>
      </c>
      <c r="L22" s="107">
        <f t="shared" si="0"/>
        <v>25</v>
      </c>
      <c r="M22" s="108">
        <f t="shared" si="1"/>
        <v>10573</v>
      </c>
      <c r="N22" s="109">
        <f t="shared" si="2"/>
        <v>16272</v>
      </c>
      <c r="O22" s="110">
        <f t="shared" si="3"/>
        <v>0.5390144708219049</v>
      </c>
      <c r="P22" s="111">
        <f t="shared" si="4"/>
        <v>17.960264900662249</v>
      </c>
      <c r="Q22" s="137" t="str">
        <f t="shared" si="6"/>
        <v>LARGE</v>
      </c>
      <c r="R22" s="110">
        <f t="shared" si="5"/>
        <v>0.14167613525055833</v>
      </c>
      <c r="S22" s="120">
        <v>100</v>
      </c>
    </row>
    <row r="23" spans="1:19" ht="14" x14ac:dyDescent="0.15">
      <c r="B23" s="118" t="s">
        <v>75</v>
      </c>
      <c r="C23" s="119" t="s">
        <v>76</v>
      </c>
      <c r="D23" s="119" t="s">
        <v>74</v>
      </c>
      <c r="E23" s="120">
        <v>350</v>
      </c>
      <c r="F23" s="121">
        <v>40291</v>
      </c>
      <c r="G23" s="122">
        <v>35.46</v>
      </c>
      <c r="H23" s="128">
        <v>85578452934</v>
      </c>
      <c r="I23" s="123">
        <v>77.38</v>
      </c>
      <c r="J23" s="123">
        <v>77.37</v>
      </c>
      <c r="K23" s="123">
        <v>2.2599999999999998</v>
      </c>
      <c r="L23" s="107">
        <f t="shared" si="0"/>
        <v>25</v>
      </c>
      <c r="M23" s="108">
        <f t="shared" si="1"/>
        <v>12436</v>
      </c>
      <c r="N23" s="109">
        <f t="shared" si="2"/>
        <v>27083</v>
      </c>
      <c r="O23" s="110">
        <f t="shared" si="3"/>
        <v>1.1777902862656804</v>
      </c>
      <c r="P23" s="111">
        <f t="shared" si="4"/>
        <v>34.23893805309735</v>
      </c>
      <c r="Q23" s="137" t="str">
        <f t="shared" si="6"/>
        <v>LARGE</v>
      </c>
      <c r="R23" s="110">
        <f t="shared" si="5"/>
        <v>0.23580474256335243</v>
      </c>
      <c r="S23" s="120">
        <v>50</v>
      </c>
    </row>
    <row r="24" spans="1:19" ht="14" x14ac:dyDescent="0.15">
      <c r="B24" s="118" t="s">
        <v>77</v>
      </c>
      <c r="C24" s="119" t="s">
        <v>78</v>
      </c>
      <c r="D24" s="119" t="s">
        <v>74</v>
      </c>
      <c r="E24" s="120">
        <v>150</v>
      </c>
      <c r="F24" s="121">
        <v>40291</v>
      </c>
      <c r="G24" s="122">
        <v>44.21</v>
      </c>
      <c r="H24" s="128">
        <v>141417916147</v>
      </c>
      <c r="I24" s="123">
        <v>78.44</v>
      </c>
      <c r="J24" s="123">
        <v>78.55</v>
      </c>
      <c r="K24" s="123">
        <v>1.7</v>
      </c>
      <c r="L24" s="107">
        <f t="shared" si="0"/>
        <v>25</v>
      </c>
      <c r="M24" s="108">
        <f t="shared" si="1"/>
        <v>6656.5</v>
      </c>
      <c r="N24" s="109">
        <f t="shared" si="2"/>
        <v>11766</v>
      </c>
      <c r="O24" s="110">
        <f t="shared" si="3"/>
        <v>0.7675955832644783</v>
      </c>
      <c r="P24" s="111">
        <f t="shared" si="4"/>
        <v>46.141176470588235</v>
      </c>
      <c r="Q24" s="137" t="str">
        <f t="shared" si="6"/>
        <v>LARGE</v>
      </c>
      <c r="R24" s="110">
        <f t="shared" si="5"/>
        <v>0.10244354764983218</v>
      </c>
      <c r="S24" s="120">
        <v>150</v>
      </c>
    </row>
    <row r="25" spans="1:19" ht="14" x14ac:dyDescent="0.15">
      <c r="B25" s="119" t="s">
        <v>54</v>
      </c>
      <c r="C25" s="119" t="s">
        <v>57</v>
      </c>
      <c r="D25" s="119" t="s">
        <v>8</v>
      </c>
      <c r="E25" s="120">
        <v>200</v>
      </c>
      <c r="F25" s="121">
        <v>40291</v>
      </c>
      <c r="G25" s="122">
        <v>58.48</v>
      </c>
      <c r="H25" s="128">
        <v>8412223535</v>
      </c>
      <c r="I25" s="123">
        <v>45.53</v>
      </c>
      <c r="J25" s="123">
        <v>45.43</v>
      </c>
      <c r="K25" s="123">
        <v>3.46</v>
      </c>
      <c r="L25" s="107">
        <f t="shared" si="0"/>
        <v>25</v>
      </c>
      <c r="M25" s="108">
        <f t="shared" si="1"/>
        <v>11721</v>
      </c>
      <c r="N25" s="109">
        <f t="shared" si="2"/>
        <v>9106</v>
      </c>
      <c r="O25" s="110">
        <f t="shared" si="3"/>
        <v>-0.22310383073116627</v>
      </c>
      <c r="P25" s="111">
        <f t="shared" si="4"/>
        <v>13.158959537572255</v>
      </c>
      <c r="Q25" s="137" t="str">
        <f t="shared" si="6"/>
        <v>MEDIUM</v>
      </c>
      <c r="R25" s="110">
        <f t="shared" si="5"/>
        <v>7.928360911944346E-2</v>
      </c>
      <c r="S25" s="120">
        <v>200</v>
      </c>
    </row>
    <row r="26" spans="1:19" ht="14" x14ac:dyDescent="0.15">
      <c r="B26" s="119" t="s">
        <v>24</v>
      </c>
      <c r="C26" s="119" t="s">
        <v>10</v>
      </c>
      <c r="D26" s="119" t="s">
        <v>8</v>
      </c>
      <c r="E26" s="120">
        <v>150</v>
      </c>
      <c r="F26" s="121">
        <v>40291</v>
      </c>
      <c r="G26" s="122">
        <v>48.01</v>
      </c>
      <c r="H26" s="128">
        <v>51026148620</v>
      </c>
      <c r="I26" s="123">
        <v>76.92</v>
      </c>
      <c r="J26" s="123">
        <v>77.040000000000006</v>
      </c>
      <c r="K26" s="123">
        <v>3.33</v>
      </c>
      <c r="L26" s="107">
        <f t="shared" si="0"/>
        <v>25</v>
      </c>
      <c r="M26" s="108">
        <f t="shared" si="1"/>
        <v>7226.5</v>
      </c>
      <c r="N26" s="109">
        <f t="shared" si="2"/>
        <v>11538</v>
      </c>
      <c r="O26" s="110">
        <f t="shared" si="3"/>
        <v>0.59662353836573723</v>
      </c>
      <c r="P26" s="111">
        <f t="shared" si="4"/>
        <v>23.099099099099099</v>
      </c>
      <c r="Q26" s="137" t="str">
        <f t="shared" si="6"/>
        <v>LARGE</v>
      </c>
      <c r="R26" s="110">
        <f t="shared" si="5"/>
        <v>0.10045841006151314</v>
      </c>
      <c r="S26" s="120">
        <v>150</v>
      </c>
    </row>
    <row r="27" spans="1:19" ht="14" x14ac:dyDescent="0.15">
      <c r="B27" s="118" t="s">
        <v>67</v>
      </c>
      <c r="C27" s="119" t="s">
        <v>68</v>
      </c>
      <c r="D27" s="119" t="s">
        <v>8</v>
      </c>
      <c r="E27" s="120">
        <v>150</v>
      </c>
      <c r="F27" s="121">
        <v>40291</v>
      </c>
      <c r="G27" s="122">
        <v>29.48</v>
      </c>
      <c r="H27" s="128">
        <v>12904283053</v>
      </c>
      <c r="I27" s="123">
        <v>41.27</v>
      </c>
      <c r="J27" s="123">
        <v>41.55</v>
      </c>
      <c r="K27" s="123">
        <v>3.22</v>
      </c>
      <c r="L27" s="107">
        <f t="shared" si="0"/>
        <v>25</v>
      </c>
      <c r="M27" s="108">
        <f t="shared" si="1"/>
        <v>4447</v>
      </c>
      <c r="N27" s="109">
        <f t="shared" si="2"/>
        <v>6190.5000000000009</v>
      </c>
      <c r="O27" s="110">
        <f t="shared" si="3"/>
        <v>0.39206206431302021</v>
      </c>
      <c r="P27" s="111">
        <f t="shared" si="4"/>
        <v>12.816770186335404</v>
      </c>
      <c r="Q27" s="137" t="str">
        <f t="shared" si="6"/>
        <v>LARGE</v>
      </c>
      <c r="R27" s="110">
        <f t="shared" si="5"/>
        <v>5.3899097546004263E-2</v>
      </c>
      <c r="S27" s="120">
        <v>150</v>
      </c>
    </row>
    <row r="28" spans="1:19" ht="14" x14ac:dyDescent="0.15">
      <c r="B28" s="119" t="s">
        <v>25</v>
      </c>
      <c r="C28" s="119" t="s">
        <v>69</v>
      </c>
      <c r="D28" s="119" t="s">
        <v>8</v>
      </c>
      <c r="E28" s="120">
        <v>100</v>
      </c>
      <c r="F28" s="121">
        <v>40291</v>
      </c>
      <c r="G28" s="122">
        <v>54.53</v>
      </c>
      <c r="H28" s="128">
        <v>215292624570</v>
      </c>
      <c r="I28" s="123">
        <v>68.56</v>
      </c>
      <c r="J28" s="123">
        <v>68.47</v>
      </c>
      <c r="K28" s="123">
        <v>4.57</v>
      </c>
      <c r="L28" s="107">
        <f t="shared" si="0"/>
        <v>25</v>
      </c>
      <c r="M28" s="108">
        <f t="shared" si="1"/>
        <v>5478</v>
      </c>
      <c r="N28" s="109">
        <f t="shared" si="2"/>
        <v>6856</v>
      </c>
      <c r="O28" s="110">
        <f t="shared" si="3"/>
        <v>0.25155166119021538</v>
      </c>
      <c r="P28" s="111">
        <f t="shared" si="4"/>
        <v>15.002188183807439</v>
      </c>
      <c r="Q28" s="137" t="str">
        <f t="shared" si="6"/>
        <v>LARGE</v>
      </c>
      <c r="R28" s="110">
        <f t="shared" si="5"/>
        <v>5.9693435550505644E-2</v>
      </c>
      <c r="S28" s="120">
        <v>100</v>
      </c>
    </row>
    <row r="29" spans="1:19" x14ac:dyDescent="0.15">
      <c r="E29">
        <f>SUM(E18:E28)</f>
        <v>1750</v>
      </c>
      <c r="G29" s="8">
        <f>SUM(G18:G28)</f>
        <v>600.4</v>
      </c>
      <c r="M29" s="8">
        <f>SUM(M18:M28)</f>
        <v>80067.5</v>
      </c>
      <c r="N29" s="8">
        <f>SUM(N18:N28)</f>
        <v>114853.5</v>
      </c>
      <c r="O29" s="9">
        <f t="shared" si="3"/>
        <v>0.43445842570331283</v>
      </c>
      <c r="R29" s="16">
        <f>SUM(R18:R28)</f>
        <v>1</v>
      </c>
    </row>
    <row r="32" spans="1:19" x14ac:dyDescent="0.15">
      <c r="C32" s="73" t="s">
        <v>124</v>
      </c>
      <c r="D32" s="8">
        <f>SUM(G18:G28)</f>
        <v>600.4</v>
      </c>
    </row>
    <row r="33" spans="3:5" x14ac:dyDescent="0.15">
      <c r="C33" s="73" t="s">
        <v>125</v>
      </c>
      <c r="D33">
        <f>SUM(E18:E28)</f>
        <v>1750</v>
      </c>
    </row>
    <row r="34" spans="3:5" x14ac:dyDescent="0.15">
      <c r="C34" s="73" t="s">
        <v>126</v>
      </c>
      <c r="D34" s="8">
        <f>D32+15000</f>
        <v>15600.4</v>
      </c>
      <c r="E34" s="260"/>
    </row>
    <row r="35" spans="3:5" ht="28" x14ac:dyDescent="0.15">
      <c r="C35" s="259" t="s">
        <v>127</v>
      </c>
      <c r="D35">
        <f>D33+300</f>
        <v>2050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D40C-E35F-CD46-98C5-2C679E56B4D0}">
  <dimension ref="A1:G48"/>
  <sheetViews>
    <sheetView showGridLines="0" workbookViewId="0">
      <selection activeCell="A5" sqref="A5:I48"/>
    </sheetView>
  </sheetViews>
  <sheetFormatPr baseColWidth="10" defaultRowHeight="13" x14ac:dyDescent="0.15"/>
  <cols>
    <col min="1" max="1" width="2.33203125" customWidth="1"/>
    <col min="2" max="2" width="6.5" bestFit="1" customWidth="1"/>
    <col min="3" max="3" width="25.5" bestFit="1" customWidth="1"/>
    <col min="4" max="4" width="12.83203125" bestFit="1" customWidth="1"/>
    <col min="5" max="5" width="15" bestFit="1" customWidth="1"/>
    <col min="6" max="6" width="10.1640625" bestFit="1" customWidth="1"/>
    <col min="7" max="7" width="6.1640625" bestFit="1" customWidth="1"/>
  </cols>
  <sheetData>
    <row r="1" spans="1:5" x14ac:dyDescent="0.15">
      <c r="A1" s="1" t="s">
        <v>128</v>
      </c>
    </row>
    <row r="2" spans="1:5" x14ac:dyDescent="0.15">
      <c r="A2" s="1" t="s">
        <v>129</v>
      </c>
    </row>
    <row r="3" spans="1:5" x14ac:dyDescent="0.15">
      <c r="A3" s="1" t="s">
        <v>130</v>
      </c>
    </row>
    <row r="4" spans="1:5" x14ac:dyDescent="0.15">
      <c r="A4" s="1" t="s">
        <v>131</v>
      </c>
    </row>
    <row r="5" spans="1:5" x14ac:dyDescent="0.15">
      <c r="A5" s="1" t="s">
        <v>132</v>
      </c>
    </row>
    <row r="6" spans="1:5" x14ac:dyDescent="0.15">
      <c r="A6" s="1"/>
      <c r="B6" t="s">
        <v>133</v>
      </c>
    </row>
    <row r="7" spans="1:5" x14ac:dyDescent="0.15">
      <c r="A7" s="1"/>
      <c r="B7" t="s">
        <v>134</v>
      </c>
    </row>
    <row r="8" spans="1:5" x14ac:dyDescent="0.15">
      <c r="A8" s="1"/>
      <c r="B8" t="s">
        <v>135</v>
      </c>
    </row>
    <row r="9" spans="1:5" x14ac:dyDescent="0.15">
      <c r="A9" s="1" t="s">
        <v>136</v>
      </c>
    </row>
    <row r="10" spans="1:5" x14ac:dyDescent="0.15">
      <c r="B10" t="s">
        <v>137</v>
      </c>
    </row>
    <row r="11" spans="1:5" x14ac:dyDescent="0.15">
      <c r="B11" t="s">
        <v>138</v>
      </c>
    </row>
    <row r="12" spans="1:5" x14ac:dyDescent="0.15">
      <c r="B12" t="s">
        <v>139</v>
      </c>
    </row>
    <row r="14" spans="1:5" ht="14" thickBot="1" x14ac:dyDescent="0.2">
      <c r="A14" t="s">
        <v>140</v>
      </c>
    </row>
    <row r="15" spans="1:5" ht="14" thickBot="1" x14ac:dyDescent="0.2">
      <c r="B15" s="262" t="s">
        <v>141</v>
      </c>
      <c r="C15" s="262" t="s">
        <v>142</v>
      </c>
      <c r="D15" s="262" t="s">
        <v>143</v>
      </c>
      <c r="E15" s="262" t="s">
        <v>144</v>
      </c>
    </row>
    <row r="16" spans="1:5" ht="14" thickBot="1" x14ac:dyDescent="0.2">
      <c r="B16" s="261" t="s">
        <v>152</v>
      </c>
      <c r="C16" s="261" t="s">
        <v>19</v>
      </c>
      <c r="D16" s="264">
        <v>0.32003106209639171</v>
      </c>
      <c r="E16" s="264">
        <v>0.43445842570331283</v>
      </c>
    </row>
    <row r="19" spans="1:6" ht="14" thickBot="1" x14ac:dyDescent="0.2">
      <c r="A19" t="s">
        <v>145</v>
      </c>
    </row>
    <row r="20" spans="1:6" ht="14" thickBot="1" x14ac:dyDescent="0.2">
      <c r="B20" s="262" t="s">
        <v>141</v>
      </c>
      <c r="C20" s="262" t="s">
        <v>142</v>
      </c>
      <c r="D20" s="262" t="s">
        <v>143</v>
      </c>
      <c r="E20" s="262" t="s">
        <v>144</v>
      </c>
      <c r="F20" s="262" t="s">
        <v>146</v>
      </c>
    </row>
    <row r="21" spans="1:6" x14ac:dyDescent="0.15">
      <c r="B21" s="263" t="s">
        <v>153</v>
      </c>
      <c r="C21" s="263" t="s">
        <v>154</v>
      </c>
      <c r="D21" s="265">
        <v>50</v>
      </c>
      <c r="E21" s="265">
        <v>50</v>
      </c>
      <c r="F21" s="263" t="s">
        <v>155</v>
      </c>
    </row>
    <row r="22" spans="1:6" x14ac:dyDescent="0.15">
      <c r="B22" s="263" t="s">
        <v>156</v>
      </c>
      <c r="C22" s="263" t="s">
        <v>154</v>
      </c>
      <c r="D22" s="265">
        <v>150</v>
      </c>
      <c r="E22" s="265">
        <v>150</v>
      </c>
      <c r="F22" s="263" t="s">
        <v>155</v>
      </c>
    </row>
    <row r="23" spans="1:6" x14ac:dyDescent="0.15">
      <c r="B23" s="263" t="s">
        <v>157</v>
      </c>
      <c r="C23" s="263" t="s">
        <v>154</v>
      </c>
      <c r="D23" s="265">
        <v>200</v>
      </c>
      <c r="E23" s="265">
        <v>200</v>
      </c>
      <c r="F23" s="263" t="s">
        <v>155</v>
      </c>
    </row>
    <row r="24" spans="1:6" x14ac:dyDescent="0.15">
      <c r="B24" s="263" t="s">
        <v>158</v>
      </c>
      <c r="C24" s="263" t="s">
        <v>154</v>
      </c>
      <c r="D24" s="265">
        <v>150</v>
      </c>
      <c r="E24" s="265">
        <v>150</v>
      </c>
      <c r="F24" s="263" t="s">
        <v>155</v>
      </c>
    </row>
    <row r="25" spans="1:6" x14ac:dyDescent="0.15">
      <c r="B25" s="263" t="s">
        <v>159</v>
      </c>
      <c r="C25" s="263" t="s">
        <v>160</v>
      </c>
      <c r="D25" s="265">
        <v>100</v>
      </c>
      <c r="E25" s="265">
        <v>100</v>
      </c>
      <c r="F25" s="263" t="s">
        <v>155</v>
      </c>
    </row>
    <row r="26" spans="1:6" x14ac:dyDescent="0.15">
      <c r="B26" s="263" t="s">
        <v>161</v>
      </c>
      <c r="C26" s="263" t="s">
        <v>160</v>
      </c>
      <c r="D26" s="265">
        <v>50</v>
      </c>
      <c r="E26" s="265">
        <v>350</v>
      </c>
      <c r="F26" s="263" t="s">
        <v>155</v>
      </c>
    </row>
    <row r="27" spans="1:6" x14ac:dyDescent="0.15">
      <c r="B27" s="263" t="s">
        <v>162</v>
      </c>
      <c r="C27" s="263" t="s">
        <v>160</v>
      </c>
      <c r="D27" s="265">
        <v>150</v>
      </c>
      <c r="E27" s="265">
        <v>150</v>
      </c>
      <c r="F27" s="263" t="s">
        <v>155</v>
      </c>
    </row>
    <row r="28" spans="1:6" x14ac:dyDescent="0.15">
      <c r="B28" s="263" t="s">
        <v>163</v>
      </c>
      <c r="C28" s="263" t="s">
        <v>164</v>
      </c>
      <c r="D28" s="265">
        <v>200</v>
      </c>
      <c r="E28" s="265">
        <v>200</v>
      </c>
      <c r="F28" s="263" t="s">
        <v>155</v>
      </c>
    </row>
    <row r="29" spans="1:6" x14ac:dyDescent="0.15">
      <c r="B29" s="263" t="s">
        <v>165</v>
      </c>
      <c r="C29" s="263" t="s">
        <v>164</v>
      </c>
      <c r="D29" s="265">
        <v>150</v>
      </c>
      <c r="E29" s="265">
        <v>150</v>
      </c>
      <c r="F29" s="263" t="s">
        <v>155</v>
      </c>
    </row>
    <row r="30" spans="1:6" x14ac:dyDescent="0.15">
      <c r="B30" s="263" t="s">
        <v>166</v>
      </c>
      <c r="C30" s="263" t="s">
        <v>164</v>
      </c>
      <c r="D30" s="265">
        <v>150</v>
      </c>
      <c r="E30" s="265">
        <v>150</v>
      </c>
      <c r="F30" s="263" t="s">
        <v>155</v>
      </c>
    </row>
    <row r="31" spans="1:6" ht="14" thickBot="1" x14ac:dyDescent="0.2">
      <c r="B31" s="261" t="s">
        <v>167</v>
      </c>
      <c r="C31" s="261" t="s">
        <v>164</v>
      </c>
      <c r="D31" s="266">
        <v>100</v>
      </c>
      <c r="E31" s="266">
        <v>100</v>
      </c>
      <c r="F31" s="261" t="s">
        <v>155</v>
      </c>
    </row>
    <row r="34" spans="1:7" ht="14" thickBot="1" x14ac:dyDescent="0.2">
      <c r="A34" t="s">
        <v>147</v>
      </c>
    </row>
    <row r="35" spans="1:7" ht="14" thickBot="1" x14ac:dyDescent="0.2">
      <c r="B35" s="262" t="s">
        <v>141</v>
      </c>
      <c r="C35" s="262" t="s">
        <v>142</v>
      </c>
      <c r="D35" s="262" t="s">
        <v>148</v>
      </c>
      <c r="E35" s="262" t="s">
        <v>149</v>
      </c>
      <c r="F35" s="262" t="s">
        <v>150</v>
      </c>
      <c r="G35" s="262" t="s">
        <v>151</v>
      </c>
    </row>
    <row r="36" spans="1:7" x14ac:dyDescent="0.15">
      <c r="B36" s="263" t="s">
        <v>168</v>
      </c>
      <c r="C36" s="263" t="s">
        <v>3</v>
      </c>
      <c r="D36" s="265">
        <v>1750</v>
      </c>
      <c r="E36" s="263" t="s">
        <v>169</v>
      </c>
      <c r="F36" s="263" t="s">
        <v>170</v>
      </c>
      <c r="G36" s="263">
        <v>0</v>
      </c>
    </row>
    <row r="37" spans="1:7" x14ac:dyDescent="0.15">
      <c r="B37" s="263" t="s">
        <v>171</v>
      </c>
      <c r="C37" s="263" t="s">
        <v>5</v>
      </c>
      <c r="D37" s="267">
        <v>600.4</v>
      </c>
      <c r="E37" s="263" t="s">
        <v>172</v>
      </c>
      <c r="F37" s="263" t="s">
        <v>173</v>
      </c>
      <c r="G37" s="263">
        <v>15000</v>
      </c>
    </row>
    <row r="38" spans="1:7" x14ac:dyDescent="0.15">
      <c r="B38" s="263" t="s">
        <v>153</v>
      </c>
      <c r="C38" s="263" t="s">
        <v>154</v>
      </c>
      <c r="D38" s="265">
        <v>50</v>
      </c>
      <c r="E38" s="263" t="s">
        <v>174</v>
      </c>
      <c r="F38" s="263" t="s">
        <v>170</v>
      </c>
      <c r="G38" s="265">
        <v>0</v>
      </c>
    </row>
    <row r="39" spans="1:7" x14ac:dyDescent="0.15">
      <c r="B39" s="263" t="s">
        <v>156</v>
      </c>
      <c r="C39" s="263" t="s">
        <v>154</v>
      </c>
      <c r="D39" s="265">
        <v>150</v>
      </c>
      <c r="E39" s="263" t="s">
        <v>175</v>
      </c>
      <c r="F39" s="263" t="s">
        <v>170</v>
      </c>
      <c r="G39" s="265">
        <v>0</v>
      </c>
    </row>
    <row r="40" spans="1:7" x14ac:dyDescent="0.15">
      <c r="B40" s="263" t="s">
        <v>157</v>
      </c>
      <c r="C40" s="263" t="s">
        <v>154</v>
      </c>
      <c r="D40" s="265">
        <v>200</v>
      </c>
      <c r="E40" s="263" t="s">
        <v>176</v>
      </c>
      <c r="F40" s="263" t="s">
        <v>170</v>
      </c>
      <c r="G40" s="265">
        <v>0</v>
      </c>
    </row>
    <row r="41" spans="1:7" x14ac:dyDescent="0.15">
      <c r="B41" s="263" t="s">
        <v>158</v>
      </c>
      <c r="C41" s="263" t="s">
        <v>154</v>
      </c>
      <c r="D41" s="265">
        <v>150</v>
      </c>
      <c r="E41" s="263" t="s">
        <v>177</v>
      </c>
      <c r="F41" s="263" t="s">
        <v>170</v>
      </c>
      <c r="G41" s="265">
        <v>0</v>
      </c>
    </row>
    <row r="42" spans="1:7" x14ac:dyDescent="0.15">
      <c r="B42" s="263" t="s">
        <v>159</v>
      </c>
      <c r="C42" s="263" t="s">
        <v>160</v>
      </c>
      <c r="D42" s="265">
        <v>100</v>
      </c>
      <c r="E42" s="263" t="s">
        <v>178</v>
      </c>
      <c r="F42" s="263" t="s">
        <v>170</v>
      </c>
      <c r="G42" s="265">
        <v>0</v>
      </c>
    </row>
    <row r="43" spans="1:7" x14ac:dyDescent="0.15">
      <c r="B43" s="263" t="s">
        <v>161</v>
      </c>
      <c r="C43" s="263" t="s">
        <v>160</v>
      </c>
      <c r="D43" s="265">
        <v>350</v>
      </c>
      <c r="E43" s="263" t="s">
        <v>179</v>
      </c>
      <c r="F43" s="263" t="s">
        <v>173</v>
      </c>
      <c r="G43" s="265">
        <v>300</v>
      </c>
    </row>
    <row r="44" spans="1:7" x14ac:dyDescent="0.15">
      <c r="B44" s="263" t="s">
        <v>162</v>
      </c>
      <c r="C44" s="263" t="s">
        <v>160</v>
      </c>
      <c r="D44" s="265">
        <v>150</v>
      </c>
      <c r="E44" s="263" t="s">
        <v>180</v>
      </c>
      <c r="F44" s="263" t="s">
        <v>170</v>
      </c>
      <c r="G44" s="265">
        <v>0</v>
      </c>
    </row>
    <row r="45" spans="1:7" x14ac:dyDescent="0.15">
      <c r="B45" s="263" t="s">
        <v>163</v>
      </c>
      <c r="C45" s="263" t="s">
        <v>164</v>
      </c>
      <c r="D45" s="265">
        <v>200</v>
      </c>
      <c r="E45" s="263" t="s">
        <v>181</v>
      </c>
      <c r="F45" s="263" t="s">
        <v>170</v>
      </c>
      <c r="G45" s="265">
        <v>0</v>
      </c>
    </row>
    <row r="46" spans="1:7" x14ac:dyDescent="0.15">
      <c r="B46" s="263" t="s">
        <v>165</v>
      </c>
      <c r="C46" s="263" t="s">
        <v>164</v>
      </c>
      <c r="D46" s="265">
        <v>150</v>
      </c>
      <c r="E46" s="263" t="s">
        <v>182</v>
      </c>
      <c r="F46" s="263" t="s">
        <v>170</v>
      </c>
      <c r="G46" s="265">
        <v>0</v>
      </c>
    </row>
    <row r="47" spans="1:7" x14ac:dyDescent="0.15">
      <c r="B47" s="263" t="s">
        <v>166</v>
      </c>
      <c r="C47" s="263" t="s">
        <v>164</v>
      </c>
      <c r="D47" s="265">
        <v>150</v>
      </c>
      <c r="E47" s="263" t="s">
        <v>183</v>
      </c>
      <c r="F47" s="263" t="s">
        <v>170</v>
      </c>
      <c r="G47" s="265">
        <v>0</v>
      </c>
    </row>
    <row r="48" spans="1:7" ht="14" thickBot="1" x14ac:dyDescent="0.2">
      <c r="B48" s="261" t="s">
        <v>167</v>
      </c>
      <c r="C48" s="261" t="s">
        <v>164</v>
      </c>
      <c r="D48" s="266">
        <v>100</v>
      </c>
      <c r="E48" s="261" t="s">
        <v>184</v>
      </c>
      <c r="F48" s="261" t="s">
        <v>170</v>
      </c>
      <c r="G48" s="26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0000"/>
  </sheetPr>
  <dimension ref="A7:C11"/>
  <sheetViews>
    <sheetView workbookViewId="0">
      <selection activeCell="W35" sqref="W35"/>
    </sheetView>
  </sheetViews>
  <sheetFormatPr baseColWidth="10" defaultColWidth="8.83203125" defaultRowHeight="13" x14ac:dyDescent="0.15"/>
  <cols>
    <col min="2" max="2" width="14.6640625" customWidth="1"/>
    <col min="3" max="3" width="22" customWidth="1"/>
  </cols>
  <sheetData>
    <row r="7" spans="1:3" ht="23" x14ac:dyDescent="0.25">
      <c r="A7" s="202" t="s">
        <v>92</v>
      </c>
      <c r="B7" s="203"/>
      <c r="C7" s="204"/>
    </row>
    <row r="8" spans="1:3" ht="23" x14ac:dyDescent="0.25">
      <c r="A8" s="74" t="s">
        <v>55</v>
      </c>
      <c r="B8" s="75"/>
      <c r="C8" s="82" t="s">
        <v>93</v>
      </c>
    </row>
    <row r="11" spans="1:3" ht="25" x14ac:dyDescent="0.25">
      <c r="A11" s="115" t="s">
        <v>59</v>
      </c>
      <c r="B11" s="115"/>
      <c r="C11" s="116" t="s">
        <v>94</v>
      </c>
    </row>
  </sheetData>
  <sheetProtection algorithmName="SHA-512" hashValue="6bcKZcAA3xJUZsQ0gwV1p4m8jRGHmObbk6f3ZCsGOmW0U4+dTBp9UF9f13Mjb452s93cOgigmooxsxKpEQ748g==" saltValue="rAS0ejUYA9KkEcLtg/cs/g==" spinCount="100000" sheet="1" objects="1" scenarios="1"/>
  <mergeCells count="1"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34"/>
  <sheetViews>
    <sheetView topLeftCell="C1" zoomScale="84" zoomScaleNormal="84" workbookViewId="0">
      <selection activeCell="F33" sqref="F33"/>
    </sheetView>
  </sheetViews>
  <sheetFormatPr baseColWidth="10" defaultColWidth="8.83203125" defaultRowHeight="13" x14ac:dyDescent="0.15"/>
  <cols>
    <col min="2" max="2" width="10.5" customWidth="1"/>
    <col min="3" max="3" width="35.83203125" customWidth="1"/>
    <col min="4" max="4" width="17.33203125" customWidth="1"/>
    <col min="5" max="5" width="17.6640625" customWidth="1"/>
    <col min="6" max="6" width="15.33203125" customWidth="1"/>
    <col min="7" max="7" width="14.83203125" bestFit="1" customWidth="1"/>
    <col min="8" max="8" width="21" customWidth="1"/>
    <col min="9" max="9" width="10" bestFit="1" customWidth="1"/>
    <col min="10" max="10" width="14.5" bestFit="1" customWidth="1"/>
    <col min="11" max="11" width="18.83203125" bestFit="1" customWidth="1"/>
    <col min="12" max="12" width="12" bestFit="1" customWidth="1"/>
    <col min="13" max="13" width="11.6640625" bestFit="1" customWidth="1"/>
    <col min="14" max="14" width="13.6640625" bestFit="1" customWidth="1"/>
    <col min="15" max="15" width="13.6640625" customWidth="1"/>
    <col min="16" max="16" width="9.33203125" bestFit="1" customWidth="1"/>
    <col min="17" max="17" width="20.6640625" customWidth="1"/>
    <col min="18" max="18" width="20" bestFit="1" customWidth="1"/>
  </cols>
  <sheetData>
    <row r="1" spans="1:18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17</v>
      </c>
    </row>
    <row r="2" spans="1:18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6" spans="1:18" ht="14" thickBot="1" x14ac:dyDescent="0.2"/>
    <row r="7" spans="1:18" ht="15" thickBot="1" x14ac:dyDescent="0.2">
      <c r="B7" s="1"/>
      <c r="D7" s="156"/>
      <c r="E7" s="157"/>
      <c r="F7" s="157"/>
      <c r="G7" s="158"/>
    </row>
    <row r="8" spans="1:18" x14ac:dyDescent="0.15">
      <c r="I8" s="63" t="s">
        <v>44</v>
      </c>
    </row>
    <row r="9" spans="1:18" x14ac:dyDescent="0.15">
      <c r="I9" s="132">
        <v>42886</v>
      </c>
    </row>
    <row r="10" spans="1:18" x14ac:dyDescent="0.15">
      <c r="B10" s="133" t="s">
        <v>0</v>
      </c>
      <c r="C10" s="133" t="s">
        <v>1</v>
      </c>
      <c r="D10" s="133" t="s">
        <v>2</v>
      </c>
      <c r="E10" s="133" t="s">
        <v>3</v>
      </c>
      <c r="F10" s="133" t="s">
        <v>4</v>
      </c>
      <c r="G10" s="133" t="s">
        <v>5</v>
      </c>
      <c r="H10" s="133" t="s">
        <v>11</v>
      </c>
      <c r="I10" s="133" t="s">
        <v>12</v>
      </c>
      <c r="J10" s="133" t="s">
        <v>13</v>
      </c>
      <c r="K10" s="133" t="s">
        <v>14</v>
      </c>
      <c r="L10" s="133" t="s">
        <v>15</v>
      </c>
      <c r="M10" s="133" t="s">
        <v>16</v>
      </c>
      <c r="N10" s="133" t="s">
        <v>18</v>
      </c>
      <c r="O10" s="133" t="s">
        <v>19</v>
      </c>
      <c r="P10" s="133" t="s">
        <v>20</v>
      </c>
      <c r="Q10" s="133" t="s">
        <v>21</v>
      </c>
      <c r="R10" s="133" t="s">
        <v>17</v>
      </c>
    </row>
    <row r="11" spans="1:18" ht="14" x14ac:dyDescent="0.15">
      <c r="A11" s="131"/>
      <c r="B11" s="118" t="s">
        <v>22</v>
      </c>
      <c r="C11" s="119" t="s">
        <v>6</v>
      </c>
      <c r="D11" s="119" t="s">
        <v>7</v>
      </c>
      <c r="E11" s="120">
        <v>50</v>
      </c>
      <c r="F11" s="121">
        <v>40291</v>
      </c>
      <c r="G11" s="122">
        <v>129.99</v>
      </c>
      <c r="H11" s="128">
        <v>143459520609</v>
      </c>
      <c r="I11" s="123">
        <v>147.93</v>
      </c>
      <c r="J11" s="123">
        <v>149.31</v>
      </c>
      <c r="K11" s="123">
        <v>13.42</v>
      </c>
      <c r="L11" s="83">
        <f t="shared" ref="L11:L21" si="0">IF(E11*G11*0.01&lt;25,E11*G11*0.01,25)</f>
        <v>25</v>
      </c>
      <c r="M11" s="84">
        <f t="shared" ref="M11:M21" si="1">E11*G11+L11</f>
        <v>6524.5</v>
      </c>
      <c r="N11" s="85">
        <f t="shared" ref="N11:N21" si="2">I11*E11</f>
        <v>7396.5</v>
      </c>
      <c r="O11" s="86">
        <f t="shared" ref="O11:O22" si="3">(N11-M11)/M11</f>
        <v>0.13365008812935858</v>
      </c>
      <c r="P11" s="87">
        <f t="shared" ref="P11:P21" si="4">I11/K11</f>
        <v>11.023099850968704</v>
      </c>
      <c r="Q11" s="130" t="str">
        <f>IF(H11&lt;5000000000,"SMALL",IF(H11&gt;10000000000,"LARGE","MEDIUM"))</f>
        <v>LARGE</v>
      </c>
      <c r="R11" s="86">
        <f t="shared" ref="R11:R21" si="5">N11/$N$22</f>
        <v>8.0713011310624791E-2</v>
      </c>
    </row>
    <row r="12" spans="1:18" ht="14" x14ac:dyDescent="0.15">
      <c r="B12" s="118" t="s">
        <v>42</v>
      </c>
      <c r="C12" s="119" t="s">
        <v>43</v>
      </c>
      <c r="D12" s="119" t="s">
        <v>7</v>
      </c>
      <c r="E12" s="120">
        <v>150</v>
      </c>
      <c r="F12" s="121">
        <v>40291</v>
      </c>
      <c r="G12" s="122">
        <v>30.96</v>
      </c>
      <c r="H12" s="128">
        <v>441180908733</v>
      </c>
      <c r="I12" s="123">
        <v>51.9</v>
      </c>
      <c r="J12" s="123">
        <v>55.79</v>
      </c>
      <c r="K12" s="123">
        <v>1.3</v>
      </c>
      <c r="L12" s="83">
        <f t="shared" si="0"/>
        <v>25</v>
      </c>
      <c r="M12" s="84">
        <f t="shared" si="1"/>
        <v>4669</v>
      </c>
      <c r="N12" s="85">
        <f t="shared" si="2"/>
        <v>7785</v>
      </c>
      <c r="O12" s="86">
        <f t="shared" si="3"/>
        <v>0.66738059541657746</v>
      </c>
      <c r="P12" s="87">
        <f t="shared" si="4"/>
        <v>39.92307692307692</v>
      </c>
      <c r="Q12" s="130" t="str">
        <f t="shared" ref="Q12:Q21" si="6">IF(H12&lt;5000000000,"SMALL",IF(H12&gt;10000000000,"LARGE","MEDIUM"))</f>
        <v>LARGE</v>
      </c>
      <c r="R12" s="86">
        <f t="shared" si="5"/>
        <v>8.4952449544137623E-2</v>
      </c>
    </row>
    <row r="13" spans="1:18" ht="14" x14ac:dyDescent="0.15">
      <c r="B13" s="118" t="s">
        <v>23</v>
      </c>
      <c r="C13" s="119" t="s">
        <v>9</v>
      </c>
      <c r="D13" s="119" t="s">
        <v>7</v>
      </c>
      <c r="E13" s="120">
        <v>200</v>
      </c>
      <c r="F13" s="121">
        <v>40291</v>
      </c>
      <c r="G13" s="122">
        <v>14.32</v>
      </c>
      <c r="H13" s="128">
        <v>4504830000</v>
      </c>
      <c r="I13" s="123">
        <v>35.89</v>
      </c>
      <c r="J13" s="123">
        <v>36.299999999999997</v>
      </c>
      <c r="K13" s="123">
        <v>1.49</v>
      </c>
      <c r="L13" s="83">
        <f t="shared" si="0"/>
        <v>25</v>
      </c>
      <c r="M13" s="84">
        <f t="shared" si="1"/>
        <v>2889</v>
      </c>
      <c r="N13" s="85">
        <f t="shared" si="2"/>
        <v>7178</v>
      </c>
      <c r="O13" s="86">
        <f t="shared" si="3"/>
        <v>1.4845967462789893</v>
      </c>
      <c r="P13" s="87">
        <f t="shared" si="4"/>
        <v>24.087248322147651</v>
      </c>
      <c r="Q13" s="130" t="str">
        <f t="shared" si="6"/>
        <v>SMALL</v>
      </c>
      <c r="R13" s="86">
        <f t="shared" si="5"/>
        <v>7.8328668314427724E-2</v>
      </c>
    </row>
    <row r="14" spans="1:18" ht="14" x14ac:dyDescent="0.15">
      <c r="B14" s="119" t="s">
        <v>70</v>
      </c>
      <c r="C14" s="119" t="s">
        <v>71</v>
      </c>
      <c r="D14" s="119" t="s">
        <v>7</v>
      </c>
      <c r="E14" s="124">
        <v>150</v>
      </c>
      <c r="F14" s="125">
        <v>40291</v>
      </c>
      <c r="G14" s="126">
        <v>49.48</v>
      </c>
      <c r="H14" s="129">
        <v>28211686296</v>
      </c>
      <c r="I14" s="127">
        <v>24.55</v>
      </c>
      <c r="J14" s="127">
        <v>24.7</v>
      </c>
      <c r="K14" s="127">
        <v>1.42</v>
      </c>
      <c r="L14" s="83">
        <f t="shared" si="0"/>
        <v>25</v>
      </c>
      <c r="M14" s="84">
        <f t="shared" si="1"/>
        <v>7446.9999999999991</v>
      </c>
      <c r="N14" s="85">
        <f t="shared" si="2"/>
        <v>3682.5</v>
      </c>
      <c r="O14" s="86">
        <f t="shared" si="3"/>
        <v>-0.50550557271384444</v>
      </c>
      <c r="P14" s="87">
        <f t="shared" si="4"/>
        <v>17.2887323943662</v>
      </c>
      <c r="Q14" s="130" t="str">
        <f t="shared" si="6"/>
        <v>LARGE</v>
      </c>
      <c r="R14" s="86">
        <f t="shared" si="5"/>
        <v>4.0184636537737545E-2</v>
      </c>
    </row>
    <row r="15" spans="1:18" ht="14" x14ac:dyDescent="0.15">
      <c r="B15" s="118" t="s">
        <v>72</v>
      </c>
      <c r="C15" s="119" t="s">
        <v>73</v>
      </c>
      <c r="D15" s="145" t="s">
        <v>74</v>
      </c>
      <c r="E15" s="120">
        <v>100</v>
      </c>
      <c r="F15" s="121">
        <v>40291</v>
      </c>
      <c r="G15" s="122">
        <v>105.48</v>
      </c>
      <c r="H15" s="128">
        <v>123606162095</v>
      </c>
      <c r="I15" s="123">
        <v>162.72</v>
      </c>
      <c r="J15" s="123">
        <v>164.4</v>
      </c>
      <c r="K15" s="123">
        <v>9.06</v>
      </c>
      <c r="L15" s="83">
        <f t="shared" si="0"/>
        <v>25</v>
      </c>
      <c r="M15" s="84">
        <f t="shared" si="1"/>
        <v>10573</v>
      </c>
      <c r="N15" s="85">
        <f t="shared" si="2"/>
        <v>16272</v>
      </c>
      <c r="O15" s="86">
        <f t="shared" si="3"/>
        <v>0.5390144708219049</v>
      </c>
      <c r="P15" s="87">
        <f t="shared" si="4"/>
        <v>17.960264900662249</v>
      </c>
      <c r="Q15" s="130" t="str">
        <f t="shared" si="6"/>
        <v>LARGE</v>
      </c>
      <c r="R15" s="86">
        <f t="shared" si="5"/>
        <v>0.17756535118589692</v>
      </c>
    </row>
    <row r="16" spans="1:18" ht="14" x14ac:dyDescent="0.15">
      <c r="B16" s="118" t="s">
        <v>75</v>
      </c>
      <c r="C16" s="119" t="s">
        <v>76</v>
      </c>
      <c r="D16" s="119" t="s">
        <v>74</v>
      </c>
      <c r="E16" s="120">
        <v>50</v>
      </c>
      <c r="F16" s="121">
        <v>40291</v>
      </c>
      <c r="G16" s="122">
        <v>35.46</v>
      </c>
      <c r="H16" s="128">
        <v>85578452934</v>
      </c>
      <c r="I16" s="123">
        <v>77.38</v>
      </c>
      <c r="J16" s="123">
        <v>77.37</v>
      </c>
      <c r="K16" s="123">
        <v>2.2599999999999998</v>
      </c>
      <c r="L16" s="83">
        <f t="shared" si="0"/>
        <v>17.73</v>
      </c>
      <c r="M16" s="84">
        <f t="shared" si="1"/>
        <v>1790.73</v>
      </c>
      <c r="N16" s="85">
        <f t="shared" si="2"/>
        <v>3869</v>
      </c>
      <c r="O16" s="86">
        <f t="shared" si="3"/>
        <v>1.1605713870879473</v>
      </c>
      <c r="P16" s="87">
        <f t="shared" si="4"/>
        <v>34.23893805309735</v>
      </c>
      <c r="Q16" s="130" t="str">
        <f t="shared" si="6"/>
        <v>LARGE</v>
      </c>
      <c r="R16" s="86">
        <f t="shared" si="5"/>
        <v>4.221978513632222E-2</v>
      </c>
    </row>
    <row r="17" spans="2:18" ht="14" x14ac:dyDescent="0.15">
      <c r="B17" s="118" t="s">
        <v>77</v>
      </c>
      <c r="C17" s="119" t="s">
        <v>78</v>
      </c>
      <c r="D17" s="119" t="s">
        <v>74</v>
      </c>
      <c r="E17" s="120">
        <v>150</v>
      </c>
      <c r="F17" s="121">
        <v>40291</v>
      </c>
      <c r="G17" s="122">
        <v>44.21</v>
      </c>
      <c r="H17" s="128">
        <v>141417916147</v>
      </c>
      <c r="I17" s="123">
        <v>78.44</v>
      </c>
      <c r="J17" s="123">
        <v>78.55</v>
      </c>
      <c r="K17" s="123">
        <v>1.7</v>
      </c>
      <c r="L17" s="83">
        <f t="shared" si="0"/>
        <v>25</v>
      </c>
      <c r="M17" s="84">
        <f t="shared" si="1"/>
        <v>6656.5</v>
      </c>
      <c r="N17" s="85">
        <f t="shared" si="2"/>
        <v>11766</v>
      </c>
      <c r="O17" s="86">
        <f t="shared" si="3"/>
        <v>0.7675955832644783</v>
      </c>
      <c r="P17" s="87">
        <f t="shared" si="4"/>
        <v>46.141176470588235</v>
      </c>
      <c r="Q17" s="130" t="str">
        <f t="shared" si="6"/>
        <v>LARGE</v>
      </c>
      <c r="R17" s="86">
        <f t="shared" si="5"/>
        <v>0.1283944150721032</v>
      </c>
    </row>
    <row r="18" spans="2:18" ht="14" x14ac:dyDescent="0.15">
      <c r="B18" s="119" t="s">
        <v>54</v>
      </c>
      <c r="C18" s="119" t="s">
        <v>57</v>
      </c>
      <c r="D18" s="119" t="s">
        <v>8</v>
      </c>
      <c r="E18" s="120">
        <v>200</v>
      </c>
      <c r="F18" s="121">
        <v>40291</v>
      </c>
      <c r="G18" s="122">
        <v>58.48</v>
      </c>
      <c r="H18" s="128">
        <v>8412223535</v>
      </c>
      <c r="I18" s="123">
        <v>45.53</v>
      </c>
      <c r="J18" s="123">
        <v>45.43</v>
      </c>
      <c r="K18" s="123">
        <v>3.46</v>
      </c>
      <c r="L18" s="83">
        <f t="shared" si="0"/>
        <v>25</v>
      </c>
      <c r="M18" s="84">
        <f t="shared" si="1"/>
        <v>11721</v>
      </c>
      <c r="N18" s="85">
        <f t="shared" si="2"/>
        <v>9106</v>
      </c>
      <c r="O18" s="86">
        <f t="shared" si="3"/>
        <v>-0.22310383073116627</v>
      </c>
      <c r="P18" s="87">
        <f t="shared" si="4"/>
        <v>13.158959537572255</v>
      </c>
      <c r="Q18" s="130" t="str">
        <f t="shared" si="6"/>
        <v>MEDIUM</v>
      </c>
      <c r="R18" s="86">
        <f t="shared" si="5"/>
        <v>9.9367630770573825E-2</v>
      </c>
    </row>
    <row r="19" spans="2:18" ht="14" x14ac:dyDescent="0.15">
      <c r="B19" s="119" t="s">
        <v>24</v>
      </c>
      <c r="C19" s="119" t="s">
        <v>10</v>
      </c>
      <c r="D19" s="119" t="s">
        <v>8</v>
      </c>
      <c r="E19" s="120">
        <v>150</v>
      </c>
      <c r="F19" s="121">
        <v>40291</v>
      </c>
      <c r="G19" s="122">
        <v>48.01</v>
      </c>
      <c r="H19" s="128">
        <v>51026148620</v>
      </c>
      <c r="I19" s="123">
        <v>76.92</v>
      </c>
      <c r="J19" s="123">
        <v>77.040000000000006</v>
      </c>
      <c r="K19" s="123">
        <v>3.33</v>
      </c>
      <c r="L19" s="83">
        <f t="shared" si="0"/>
        <v>25</v>
      </c>
      <c r="M19" s="84">
        <f t="shared" si="1"/>
        <v>7226.5</v>
      </c>
      <c r="N19" s="85">
        <f t="shared" si="2"/>
        <v>11538</v>
      </c>
      <c r="O19" s="86">
        <f t="shared" si="3"/>
        <v>0.59662353836573723</v>
      </c>
      <c r="P19" s="87">
        <f t="shared" si="4"/>
        <v>23.099099099099099</v>
      </c>
      <c r="Q19" s="130" t="str">
        <f t="shared" si="6"/>
        <v>LARGE</v>
      </c>
      <c r="R19" s="86">
        <f t="shared" si="5"/>
        <v>0.12590640498911496</v>
      </c>
    </row>
    <row r="20" spans="2:18" ht="14" x14ac:dyDescent="0.15">
      <c r="B20" s="118" t="s">
        <v>67</v>
      </c>
      <c r="C20" s="119" t="s">
        <v>68</v>
      </c>
      <c r="D20" s="119" t="s">
        <v>8</v>
      </c>
      <c r="E20" s="120">
        <v>150</v>
      </c>
      <c r="F20" s="121">
        <v>40291</v>
      </c>
      <c r="G20" s="122">
        <v>29.48</v>
      </c>
      <c r="H20" s="128">
        <v>12904283053</v>
      </c>
      <c r="I20" s="123">
        <v>41.27</v>
      </c>
      <c r="J20" s="123">
        <v>41.55</v>
      </c>
      <c r="K20" s="123">
        <v>3.22</v>
      </c>
      <c r="L20" s="83">
        <f t="shared" si="0"/>
        <v>25</v>
      </c>
      <c r="M20" s="84">
        <f t="shared" si="1"/>
        <v>4447</v>
      </c>
      <c r="N20" s="85">
        <f t="shared" si="2"/>
        <v>6190.5000000000009</v>
      </c>
      <c r="O20" s="86">
        <f t="shared" si="3"/>
        <v>0.39206206431302021</v>
      </c>
      <c r="P20" s="87">
        <f t="shared" si="4"/>
        <v>12.816770186335404</v>
      </c>
      <c r="Q20" s="130" t="str">
        <f t="shared" si="6"/>
        <v>LARGE</v>
      </c>
      <c r="R20" s="86">
        <f t="shared" si="5"/>
        <v>6.7552747450608103E-2</v>
      </c>
    </row>
    <row r="21" spans="2:18" ht="13.5" customHeight="1" x14ac:dyDescent="0.15">
      <c r="B21" s="119" t="s">
        <v>25</v>
      </c>
      <c r="C21" s="119" t="s">
        <v>69</v>
      </c>
      <c r="D21" s="119" t="s">
        <v>8</v>
      </c>
      <c r="E21" s="120">
        <v>100</v>
      </c>
      <c r="F21" s="121">
        <v>40291</v>
      </c>
      <c r="G21" s="122">
        <v>54.53</v>
      </c>
      <c r="H21" s="128">
        <v>215292624570</v>
      </c>
      <c r="I21" s="123">
        <v>68.56</v>
      </c>
      <c r="J21" s="123">
        <v>68.47</v>
      </c>
      <c r="K21" s="123">
        <v>4.57</v>
      </c>
      <c r="L21" s="83">
        <f t="shared" si="0"/>
        <v>25</v>
      </c>
      <c r="M21" s="84">
        <f t="shared" si="1"/>
        <v>5478</v>
      </c>
      <c r="N21" s="85">
        <f t="shared" si="2"/>
        <v>6856</v>
      </c>
      <c r="O21" s="86">
        <f t="shared" si="3"/>
        <v>0.25155166119021538</v>
      </c>
      <c r="P21" s="87">
        <f t="shared" si="4"/>
        <v>15.002188183807439</v>
      </c>
      <c r="Q21" s="130" t="str">
        <f t="shared" si="6"/>
        <v>LARGE</v>
      </c>
      <c r="R21" s="86">
        <f t="shared" si="5"/>
        <v>7.4814899688453118E-2</v>
      </c>
    </row>
    <row r="22" spans="2:18" x14ac:dyDescent="0.15">
      <c r="M22" s="8">
        <f>SUM(M11:M21)</f>
        <v>69422.23000000001</v>
      </c>
      <c r="N22" s="8">
        <f>SUM(N11:N21)</f>
        <v>91639.5</v>
      </c>
      <c r="O22" s="9">
        <f t="shared" si="3"/>
        <v>0.32003106209639171</v>
      </c>
      <c r="R22" s="16">
        <f>SUM(R11:R21)</f>
        <v>1</v>
      </c>
    </row>
    <row r="25" spans="2:18" x14ac:dyDescent="0.15"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</row>
    <row r="26" spans="2:18" x14ac:dyDescent="0.15">
      <c r="B26" s="210"/>
      <c r="C26" s="211"/>
      <c r="D26" s="211"/>
      <c r="E26" s="212"/>
      <c r="F26" s="213"/>
      <c r="G26" s="214"/>
      <c r="H26" s="215"/>
      <c r="I26" s="216"/>
      <c r="J26" s="216"/>
      <c r="K26" s="216"/>
      <c r="L26" s="217"/>
      <c r="M26" s="218"/>
      <c r="N26" s="219"/>
      <c r="O26" s="220"/>
      <c r="P26" s="221"/>
      <c r="Q26" s="222"/>
      <c r="R26" s="220"/>
    </row>
    <row r="27" spans="2:18" x14ac:dyDescent="0.15">
      <c r="B27" s="210"/>
      <c r="C27" s="211"/>
      <c r="D27" s="211"/>
      <c r="E27" s="212"/>
      <c r="F27" s="213"/>
      <c r="G27" s="214"/>
      <c r="H27" s="215"/>
      <c r="I27" s="216"/>
      <c r="J27" s="216"/>
      <c r="K27" s="216"/>
      <c r="L27" s="217"/>
      <c r="M27" s="218"/>
      <c r="N27" s="219"/>
      <c r="O27" s="220"/>
      <c r="P27" s="221"/>
      <c r="Q27" s="222"/>
      <c r="R27" s="220"/>
    </row>
    <row r="28" spans="2:18" x14ac:dyDescent="0.15">
      <c r="B28" s="211"/>
      <c r="C28" s="211"/>
      <c r="D28" s="211"/>
      <c r="E28" s="212"/>
      <c r="F28" s="223"/>
      <c r="G28" s="224"/>
      <c r="H28" s="215"/>
      <c r="I28" s="216"/>
      <c r="J28" s="216"/>
      <c r="K28" s="216"/>
      <c r="L28" s="217"/>
      <c r="M28" s="218"/>
      <c r="N28" s="219"/>
      <c r="O28" s="220"/>
      <c r="P28" s="221"/>
      <c r="Q28" s="222"/>
      <c r="R28" s="220"/>
    </row>
    <row r="29" spans="2:18" x14ac:dyDescent="0.15">
      <c r="B29" s="210"/>
      <c r="C29" s="211"/>
      <c r="D29" s="225"/>
      <c r="E29" s="212"/>
      <c r="F29" s="213"/>
      <c r="G29" s="214"/>
      <c r="H29" s="215"/>
      <c r="I29" s="216"/>
      <c r="J29" s="216"/>
      <c r="K29" s="216"/>
      <c r="L29" s="217"/>
      <c r="M29" s="218"/>
      <c r="N29" s="219"/>
      <c r="O29" s="220"/>
      <c r="P29" s="221"/>
      <c r="Q29" s="222"/>
      <c r="R29" s="220"/>
    </row>
    <row r="30" spans="2:18" x14ac:dyDescent="0.15">
      <c r="B30" s="210"/>
      <c r="C30" s="211"/>
      <c r="D30" s="211"/>
      <c r="E30" s="212"/>
      <c r="F30" s="213"/>
      <c r="G30" s="214"/>
      <c r="H30" s="215"/>
      <c r="I30" s="216"/>
      <c r="J30" s="216"/>
      <c r="K30" s="216"/>
      <c r="L30" s="217"/>
      <c r="M30" s="218"/>
      <c r="N30" s="219"/>
      <c r="O30" s="220"/>
      <c r="P30" s="221"/>
      <c r="Q30" s="222"/>
      <c r="R30" s="220"/>
    </row>
    <row r="31" spans="2:18" x14ac:dyDescent="0.15">
      <c r="B31" s="210"/>
      <c r="C31" s="211"/>
      <c r="D31" s="211"/>
      <c r="E31" s="212"/>
      <c r="F31" s="213"/>
      <c r="G31" s="214"/>
      <c r="H31" s="215"/>
      <c r="I31" s="216"/>
      <c r="J31" s="216"/>
      <c r="K31" s="216"/>
      <c r="L31" s="217"/>
      <c r="M31" s="218"/>
      <c r="N31" s="219"/>
      <c r="O31" s="220"/>
      <c r="P31" s="221"/>
      <c r="Q31" s="222"/>
      <c r="R31" s="220"/>
    </row>
    <row r="32" spans="2:18" x14ac:dyDescent="0.15">
      <c r="B32" s="211"/>
      <c r="C32" s="211"/>
      <c r="D32" s="211"/>
      <c r="E32" s="212"/>
      <c r="F32" s="213"/>
      <c r="G32" s="214"/>
      <c r="H32" s="215"/>
      <c r="I32" s="216"/>
      <c r="J32" s="216"/>
      <c r="K32" s="216"/>
      <c r="L32" s="217"/>
      <c r="M32" s="218"/>
      <c r="N32" s="219"/>
      <c r="O32" s="220"/>
      <c r="P32" s="221"/>
      <c r="Q32" s="222"/>
      <c r="R32" s="220"/>
    </row>
    <row r="33" spans="2:18" x14ac:dyDescent="0.15">
      <c r="B33" s="210"/>
      <c r="C33" s="211"/>
      <c r="D33" s="211"/>
      <c r="E33" s="212"/>
      <c r="F33" s="213"/>
      <c r="G33" s="214"/>
      <c r="H33" s="215"/>
      <c r="I33" s="216"/>
      <c r="J33" s="216"/>
      <c r="K33" s="216"/>
      <c r="L33" s="217"/>
      <c r="M33" s="218"/>
      <c r="N33" s="219"/>
      <c r="O33" s="220"/>
      <c r="P33" s="221"/>
      <c r="Q33" s="222"/>
      <c r="R33" s="220"/>
    </row>
    <row r="34" spans="2:18" x14ac:dyDescent="0.15">
      <c r="B34" s="211"/>
      <c r="C34" s="211"/>
      <c r="D34" s="211"/>
      <c r="E34" s="212"/>
      <c r="F34" s="213"/>
      <c r="G34" s="214"/>
      <c r="H34" s="215"/>
      <c r="I34" s="216"/>
      <c r="J34" s="216"/>
      <c r="K34" s="216"/>
      <c r="L34" s="217"/>
      <c r="M34" s="218"/>
      <c r="N34" s="219"/>
      <c r="O34" s="220"/>
      <c r="P34" s="221"/>
      <c r="Q34" s="222"/>
      <c r="R34" s="220"/>
    </row>
  </sheetData>
  <phoneticPr fontId="3" type="noConversion"/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S27"/>
  <sheetViews>
    <sheetView topLeftCell="A5" zoomScale="117" workbookViewId="0">
      <selection activeCell="C28" sqref="C28"/>
    </sheetView>
  </sheetViews>
  <sheetFormatPr baseColWidth="10" defaultColWidth="8.83203125" defaultRowHeight="13" x14ac:dyDescent="0.15"/>
  <cols>
    <col min="2" max="2" width="10.5" customWidth="1"/>
    <col min="3" max="3" width="35.83203125" customWidth="1"/>
    <col min="4" max="4" width="17.33203125" customWidth="1"/>
    <col min="5" max="5" width="17.6640625" bestFit="1" customWidth="1"/>
    <col min="6" max="6" width="15.33203125" customWidth="1"/>
    <col min="7" max="7" width="14.83203125" bestFit="1" customWidth="1"/>
    <col min="8" max="8" width="18.6640625" bestFit="1" customWidth="1"/>
    <col min="9" max="9" width="10" bestFit="1" customWidth="1"/>
    <col min="10" max="10" width="14.5" bestFit="1" customWidth="1"/>
    <col min="11" max="11" width="18.83203125" bestFit="1" customWidth="1"/>
    <col min="12" max="12" width="12" bestFit="1" customWidth="1"/>
    <col min="13" max="13" width="11.6640625" bestFit="1" customWidth="1"/>
    <col min="14" max="14" width="13.6640625" bestFit="1" customWidth="1"/>
    <col min="15" max="15" width="13.6640625" customWidth="1"/>
    <col min="16" max="16" width="9.33203125" bestFit="1" customWidth="1"/>
    <col min="17" max="17" width="20.6640625" customWidth="1"/>
    <col min="18" max="18" width="20" bestFit="1" customWidth="1"/>
  </cols>
  <sheetData>
    <row r="1" spans="1:19" ht="19" thickBot="1" x14ac:dyDescent="0.25">
      <c r="A1" s="188" t="s">
        <v>83</v>
      </c>
      <c r="B1" s="189"/>
      <c r="C1" s="189"/>
      <c r="D1" s="189"/>
      <c r="E1" s="189"/>
      <c r="F1" s="189"/>
      <c r="G1" s="189"/>
      <c r="H1" s="189"/>
      <c r="I1" s="189"/>
      <c r="J1" s="189"/>
      <c r="K1" s="190"/>
      <c r="L1" s="7"/>
      <c r="M1" s="7"/>
      <c r="N1" s="7"/>
      <c r="O1" s="7"/>
      <c r="P1" s="7"/>
      <c r="Q1" s="7"/>
      <c r="R1" s="7"/>
    </row>
    <row r="2" spans="1:19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9" x14ac:dyDescent="0.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7" spans="1:19" ht="14" thickBot="1" x14ac:dyDescent="0.2">
      <c r="B7" s="1"/>
    </row>
    <row r="8" spans="1:19" x14ac:dyDescent="0.15">
      <c r="I8" s="63" t="s">
        <v>44</v>
      </c>
    </row>
    <row r="9" spans="1:19" ht="14" thickBot="1" x14ac:dyDescent="0.2">
      <c r="I9" s="64">
        <v>42886</v>
      </c>
    </row>
    <row r="10" spans="1:19" ht="14" thickBot="1" x14ac:dyDescent="0.2">
      <c r="B10" s="18" t="s">
        <v>0</v>
      </c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11</v>
      </c>
      <c r="I10" s="19" t="s">
        <v>12</v>
      </c>
      <c r="J10" s="19" t="s">
        <v>13</v>
      </c>
      <c r="K10" s="19" t="s">
        <v>14</v>
      </c>
      <c r="L10" s="19" t="s">
        <v>15</v>
      </c>
      <c r="M10" s="19" t="s">
        <v>16</v>
      </c>
      <c r="N10" s="19" t="s">
        <v>18</v>
      </c>
      <c r="O10" s="19" t="s">
        <v>19</v>
      </c>
      <c r="P10" s="19" t="s">
        <v>20</v>
      </c>
      <c r="Q10" s="19" t="s">
        <v>21</v>
      </c>
      <c r="R10" s="20" t="s">
        <v>17</v>
      </c>
      <c r="S10" s="10" t="s">
        <v>27</v>
      </c>
    </row>
    <row r="11" spans="1:19" ht="13.5" customHeight="1" thickBot="1" x14ac:dyDescent="0.2">
      <c r="B11" s="118" t="s">
        <v>22</v>
      </c>
      <c r="C11" s="119" t="s">
        <v>6</v>
      </c>
      <c r="D11" s="119" t="s">
        <v>7</v>
      </c>
      <c r="E11" s="120">
        <v>50</v>
      </c>
      <c r="F11" s="121">
        <v>40291</v>
      </c>
      <c r="G11" s="122">
        <v>129.99</v>
      </c>
      <c r="H11" s="128">
        <v>143459520609</v>
      </c>
      <c r="I11" s="123">
        <v>147.93</v>
      </c>
      <c r="J11" s="123">
        <v>149.31</v>
      </c>
      <c r="K11" s="123">
        <v>13.42</v>
      </c>
      <c r="L11" s="83">
        <f t="shared" ref="L11:L21" si="0">IF(E11*G11*0.01&lt;25,E11*G11*0.01,25)</f>
        <v>25</v>
      </c>
      <c r="M11" s="84">
        <f t="shared" ref="M11:M21" si="1">E11*G11+L11</f>
        <v>6524.5</v>
      </c>
      <c r="N11" s="85">
        <f t="shared" ref="N11:N21" si="2">I11*E11</f>
        <v>7396.5</v>
      </c>
      <c r="O11" s="86">
        <f t="shared" ref="O11:O22" si="3">(N11-M11)/M11</f>
        <v>0.13365008812935858</v>
      </c>
      <c r="P11" s="87">
        <f t="shared" ref="P11:P21" si="4">I11/K11</f>
        <v>11.023099850968704</v>
      </c>
      <c r="Q11" s="88" t="str">
        <f>IF(H11&lt;5000000000,"SMALL",IF(H11&gt;10000000000,"LARGE","MEDIUM"))</f>
        <v>LARGE</v>
      </c>
      <c r="R11" s="89">
        <f t="shared" ref="R11:R21" si="5">N11/$N$22</f>
        <v>8.0713011310624791E-2</v>
      </c>
      <c r="S11" s="11">
        <f>RANK(N11,$N$11:$N$21)</f>
        <v>6</v>
      </c>
    </row>
    <row r="12" spans="1:19" ht="15" thickBot="1" x14ac:dyDescent="0.2">
      <c r="B12" s="118" t="s">
        <v>42</v>
      </c>
      <c r="C12" s="119" t="s">
        <v>43</v>
      </c>
      <c r="D12" s="119" t="s">
        <v>7</v>
      </c>
      <c r="E12" s="120">
        <v>150</v>
      </c>
      <c r="F12" s="121">
        <v>40291</v>
      </c>
      <c r="G12" s="122">
        <v>30.96</v>
      </c>
      <c r="H12" s="128">
        <v>441180908733</v>
      </c>
      <c r="I12" s="123">
        <v>51.9</v>
      </c>
      <c r="J12" s="123">
        <v>55.79</v>
      </c>
      <c r="K12" s="123">
        <v>1.3</v>
      </c>
      <c r="L12" s="83">
        <f t="shared" si="0"/>
        <v>25</v>
      </c>
      <c r="M12" s="84">
        <f t="shared" si="1"/>
        <v>4669</v>
      </c>
      <c r="N12" s="85">
        <f t="shared" si="2"/>
        <v>7785</v>
      </c>
      <c r="O12" s="86">
        <f t="shared" si="3"/>
        <v>0.66738059541657746</v>
      </c>
      <c r="P12" s="87">
        <f t="shared" si="4"/>
        <v>39.92307692307692</v>
      </c>
      <c r="Q12" s="88" t="str">
        <f t="shared" ref="Q12:Q21" si="6">IF(H12&lt;5000000000,"SMALL",IF(H12&gt;10000000000,"LARGE","MEDIUM"))</f>
        <v>LARGE</v>
      </c>
      <c r="R12" s="90">
        <f t="shared" si="5"/>
        <v>8.4952449544137623E-2</v>
      </c>
      <c r="S12" s="11">
        <f t="shared" ref="S12:S21" si="7">RANK(N12,$N$11:$N$21)</f>
        <v>5</v>
      </c>
    </row>
    <row r="13" spans="1:19" ht="15" thickBot="1" x14ac:dyDescent="0.2">
      <c r="B13" s="118" t="s">
        <v>23</v>
      </c>
      <c r="C13" s="119" t="s">
        <v>9</v>
      </c>
      <c r="D13" s="119" t="s">
        <v>7</v>
      </c>
      <c r="E13" s="120">
        <v>200</v>
      </c>
      <c r="F13" s="121">
        <v>40291</v>
      </c>
      <c r="G13" s="122">
        <v>14.32</v>
      </c>
      <c r="H13" s="128">
        <v>4504830000</v>
      </c>
      <c r="I13" s="123">
        <v>35.89</v>
      </c>
      <c r="J13" s="123">
        <v>36.299999999999997</v>
      </c>
      <c r="K13" s="123">
        <v>1.49</v>
      </c>
      <c r="L13" s="83">
        <f t="shared" si="0"/>
        <v>25</v>
      </c>
      <c r="M13" s="84">
        <f t="shared" si="1"/>
        <v>2889</v>
      </c>
      <c r="N13" s="85">
        <f t="shared" si="2"/>
        <v>7178</v>
      </c>
      <c r="O13" s="86">
        <f t="shared" si="3"/>
        <v>1.4845967462789893</v>
      </c>
      <c r="P13" s="87">
        <f t="shared" si="4"/>
        <v>24.087248322147651</v>
      </c>
      <c r="Q13" s="88" t="str">
        <f t="shared" si="6"/>
        <v>SMALL</v>
      </c>
      <c r="R13" s="86">
        <f t="shared" si="5"/>
        <v>7.8328668314427724E-2</v>
      </c>
      <c r="S13" s="11">
        <f t="shared" si="7"/>
        <v>7</v>
      </c>
    </row>
    <row r="14" spans="1:19" ht="15" thickBot="1" x14ac:dyDescent="0.2">
      <c r="B14" s="119" t="s">
        <v>70</v>
      </c>
      <c r="C14" s="119" t="s">
        <v>71</v>
      </c>
      <c r="D14" s="119" t="s">
        <v>7</v>
      </c>
      <c r="E14" s="124">
        <v>150</v>
      </c>
      <c r="F14" s="125">
        <v>40291</v>
      </c>
      <c r="G14" s="126">
        <v>49.48</v>
      </c>
      <c r="H14" s="129">
        <v>28211686296</v>
      </c>
      <c r="I14" s="127">
        <v>24.55</v>
      </c>
      <c r="J14" s="127">
        <v>24.7</v>
      </c>
      <c r="K14" s="127">
        <v>1.42</v>
      </c>
      <c r="L14" s="83">
        <f t="shared" si="0"/>
        <v>25</v>
      </c>
      <c r="M14" s="84">
        <f t="shared" si="1"/>
        <v>7446.9999999999991</v>
      </c>
      <c r="N14" s="85">
        <f t="shared" si="2"/>
        <v>3682.5</v>
      </c>
      <c r="O14" s="86">
        <f t="shared" si="3"/>
        <v>-0.50550557271384444</v>
      </c>
      <c r="P14" s="87">
        <f t="shared" si="4"/>
        <v>17.2887323943662</v>
      </c>
      <c r="Q14" s="88" t="str">
        <f t="shared" si="6"/>
        <v>LARGE</v>
      </c>
      <c r="R14" s="86">
        <f t="shared" si="5"/>
        <v>4.0184636537737545E-2</v>
      </c>
      <c r="S14" s="11">
        <f t="shared" si="7"/>
        <v>11</v>
      </c>
    </row>
    <row r="15" spans="1:19" ht="15" thickBot="1" x14ac:dyDescent="0.2">
      <c r="B15" s="118" t="s">
        <v>72</v>
      </c>
      <c r="C15" s="119" t="s">
        <v>73</v>
      </c>
      <c r="D15" s="145" t="s">
        <v>74</v>
      </c>
      <c r="E15" s="120">
        <v>100</v>
      </c>
      <c r="F15" s="121">
        <v>40291</v>
      </c>
      <c r="G15" s="122">
        <v>105.48</v>
      </c>
      <c r="H15" s="128">
        <v>123606162095</v>
      </c>
      <c r="I15" s="123">
        <v>162.72</v>
      </c>
      <c r="J15" s="123">
        <v>164.4</v>
      </c>
      <c r="K15" s="123">
        <v>9.06</v>
      </c>
      <c r="L15" s="83">
        <f t="shared" si="0"/>
        <v>25</v>
      </c>
      <c r="M15" s="84">
        <f t="shared" si="1"/>
        <v>10573</v>
      </c>
      <c r="N15" s="85">
        <f t="shared" si="2"/>
        <v>16272</v>
      </c>
      <c r="O15" s="86">
        <f t="shared" si="3"/>
        <v>0.5390144708219049</v>
      </c>
      <c r="P15" s="87">
        <f t="shared" si="4"/>
        <v>17.960264900662249</v>
      </c>
      <c r="Q15" s="88" t="str">
        <f t="shared" si="6"/>
        <v>LARGE</v>
      </c>
      <c r="R15" s="86">
        <f t="shared" si="5"/>
        <v>0.17756535118589692</v>
      </c>
      <c r="S15" s="11">
        <f t="shared" si="7"/>
        <v>1</v>
      </c>
    </row>
    <row r="16" spans="1:19" ht="15" thickBot="1" x14ac:dyDescent="0.2">
      <c r="B16" s="118" t="s">
        <v>75</v>
      </c>
      <c r="C16" s="119" t="s">
        <v>76</v>
      </c>
      <c r="D16" s="119" t="s">
        <v>74</v>
      </c>
      <c r="E16" s="120">
        <v>50</v>
      </c>
      <c r="F16" s="121">
        <v>40291</v>
      </c>
      <c r="G16" s="122">
        <v>35.46</v>
      </c>
      <c r="H16" s="128">
        <v>85578452934</v>
      </c>
      <c r="I16" s="123">
        <v>77.38</v>
      </c>
      <c r="J16" s="123">
        <v>77.37</v>
      </c>
      <c r="K16" s="123">
        <v>2.2599999999999998</v>
      </c>
      <c r="L16" s="83">
        <f t="shared" si="0"/>
        <v>17.73</v>
      </c>
      <c r="M16" s="84">
        <f t="shared" si="1"/>
        <v>1790.73</v>
      </c>
      <c r="N16" s="85">
        <f t="shared" si="2"/>
        <v>3869</v>
      </c>
      <c r="O16" s="86">
        <f t="shared" si="3"/>
        <v>1.1605713870879473</v>
      </c>
      <c r="P16" s="87">
        <f t="shared" si="4"/>
        <v>34.23893805309735</v>
      </c>
      <c r="Q16" s="88" t="str">
        <f t="shared" si="6"/>
        <v>LARGE</v>
      </c>
      <c r="R16" s="86">
        <f t="shared" si="5"/>
        <v>4.221978513632222E-2</v>
      </c>
      <c r="S16" s="11">
        <f t="shared" si="7"/>
        <v>10</v>
      </c>
    </row>
    <row r="17" spans="1:19" ht="15" thickBot="1" x14ac:dyDescent="0.2">
      <c r="B17" s="118" t="s">
        <v>77</v>
      </c>
      <c r="C17" s="119" t="s">
        <v>78</v>
      </c>
      <c r="D17" s="119" t="s">
        <v>74</v>
      </c>
      <c r="E17" s="120">
        <v>150</v>
      </c>
      <c r="F17" s="121">
        <v>40291</v>
      </c>
      <c r="G17" s="122">
        <v>44.21</v>
      </c>
      <c r="H17" s="128">
        <v>141417916147</v>
      </c>
      <c r="I17" s="123">
        <v>78.44</v>
      </c>
      <c r="J17" s="123">
        <v>78.55</v>
      </c>
      <c r="K17" s="123">
        <v>1.7</v>
      </c>
      <c r="L17" s="83">
        <f t="shared" si="0"/>
        <v>25</v>
      </c>
      <c r="M17" s="84">
        <f t="shared" si="1"/>
        <v>6656.5</v>
      </c>
      <c r="N17" s="85">
        <f t="shared" si="2"/>
        <v>11766</v>
      </c>
      <c r="O17" s="86">
        <f t="shared" si="3"/>
        <v>0.7675955832644783</v>
      </c>
      <c r="P17" s="87">
        <f t="shared" si="4"/>
        <v>46.141176470588235</v>
      </c>
      <c r="Q17" s="88" t="str">
        <f t="shared" si="6"/>
        <v>LARGE</v>
      </c>
      <c r="R17" s="86">
        <f t="shared" si="5"/>
        <v>0.1283944150721032</v>
      </c>
      <c r="S17" s="11">
        <f t="shared" si="7"/>
        <v>2</v>
      </c>
    </row>
    <row r="18" spans="1:19" ht="15" thickBot="1" x14ac:dyDescent="0.2">
      <c r="B18" s="119" t="s">
        <v>54</v>
      </c>
      <c r="C18" s="119" t="s">
        <v>57</v>
      </c>
      <c r="D18" s="119" t="s">
        <v>8</v>
      </c>
      <c r="E18" s="120">
        <v>200</v>
      </c>
      <c r="F18" s="121">
        <v>40291</v>
      </c>
      <c r="G18" s="122">
        <v>58.48</v>
      </c>
      <c r="H18" s="128">
        <v>8412223535</v>
      </c>
      <c r="I18" s="123">
        <v>45.53</v>
      </c>
      <c r="J18" s="123">
        <v>45.43</v>
      </c>
      <c r="K18" s="123">
        <v>3.46</v>
      </c>
      <c r="L18" s="83">
        <f t="shared" si="0"/>
        <v>25</v>
      </c>
      <c r="M18" s="84">
        <f t="shared" si="1"/>
        <v>11721</v>
      </c>
      <c r="N18" s="85">
        <f t="shared" si="2"/>
        <v>9106</v>
      </c>
      <c r="O18" s="86">
        <f t="shared" si="3"/>
        <v>-0.22310383073116627</v>
      </c>
      <c r="P18" s="87">
        <f t="shared" si="4"/>
        <v>13.158959537572255</v>
      </c>
      <c r="Q18" s="88" t="str">
        <f>IF(H18&lt;5000000000,"SMALL",IF(H18&gt;10000000000,"LARGE","MEDIUM"))</f>
        <v>MEDIUM</v>
      </c>
      <c r="R18" s="86">
        <f t="shared" si="5"/>
        <v>9.9367630770573825E-2</v>
      </c>
      <c r="S18" s="11">
        <f t="shared" si="7"/>
        <v>4</v>
      </c>
    </row>
    <row r="19" spans="1:19" ht="15" thickBot="1" x14ac:dyDescent="0.2">
      <c r="B19" s="119" t="s">
        <v>24</v>
      </c>
      <c r="C19" s="119" t="s">
        <v>10</v>
      </c>
      <c r="D19" s="119" t="s">
        <v>8</v>
      </c>
      <c r="E19" s="120">
        <v>150</v>
      </c>
      <c r="F19" s="121">
        <v>40291</v>
      </c>
      <c r="G19" s="122">
        <v>48.01</v>
      </c>
      <c r="H19" s="128">
        <v>51026148620</v>
      </c>
      <c r="I19" s="123">
        <v>76.92</v>
      </c>
      <c r="J19" s="123">
        <v>77.040000000000006</v>
      </c>
      <c r="K19" s="123">
        <v>3.33</v>
      </c>
      <c r="L19" s="83">
        <f t="shared" si="0"/>
        <v>25</v>
      </c>
      <c r="M19" s="84">
        <f t="shared" si="1"/>
        <v>7226.5</v>
      </c>
      <c r="N19" s="85">
        <f t="shared" si="2"/>
        <v>11538</v>
      </c>
      <c r="O19" s="86">
        <f t="shared" si="3"/>
        <v>0.59662353836573723</v>
      </c>
      <c r="P19" s="87">
        <f>I19/K19</f>
        <v>23.099099099099099</v>
      </c>
      <c r="Q19" s="88" t="str">
        <f t="shared" si="6"/>
        <v>LARGE</v>
      </c>
      <c r="R19" s="86">
        <f t="shared" si="5"/>
        <v>0.12590640498911496</v>
      </c>
      <c r="S19" s="11">
        <f t="shared" si="7"/>
        <v>3</v>
      </c>
    </row>
    <row r="20" spans="1:19" ht="15" thickBot="1" x14ac:dyDescent="0.2">
      <c r="B20" s="118" t="s">
        <v>67</v>
      </c>
      <c r="C20" s="119" t="s">
        <v>68</v>
      </c>
      <c r="D20" s="119" t="s">
        <v>8</v>
      </c>
      <c r="E20" s="120">
        <v>150</v>
      </c>
      <c r="F20" s="121">
        <v>40291</v>
      </c>
      <c r="G20" s="122">
        <v>29.48</v>
      </c>
      <c r="H20" s="128">
        <v>12904283053</v>
      </c>
      <c r="I20" s="123">
        <v>41.27</v>
      </c>
      <c r="J20" s="123">
        <v>41.55</v>
      </c>
      <c r="K20" s="123">
        <v>3.22</v>
      </c>
      <c r="L20" s="83">
        <f t="shared" si="0"/>
        <v>25</v>
      </c>
      <c r="M20" s="84">
        <f t="shared" si="1"/>
        <v>4447</v>
      </c>
      <c r="N20" s="85">
        <f t="shared" si="2"/>
        <v>6190.5000000000009</v>
      </c>
      <c r="O20" s="86">
        <f t="shared" si="3"/>
        <v>0.39206206431302021</v>
      </c>
      <c r="P20" s="87">
        <f>I20/K20</f>
        <v>12.816770186335404</v>
      </c>
      <c r="Q20" s="88" t="str">
        <f t="shared" si="6"/>
        <v>LARGE</v>
      </c>
      <c r="R20" s="86">
        <f t="shared" si="5"/>
        <v>6.7552747450608103E-2</v>
      </c>
      <c r="S20" s="11">
        <f t="shared" si="7"/>
        <v>9</v>
      </c>
    </row>
    <row r="21" spans="1:19" ht="15" thickBot="1" x14ac:dyDescent="0.2">
      <c r="B21" s="119" t="s">
        <v>25</v>
      </c>
      <c r="C21" s="119" t="s">
        <v>69</v>
      </c>
      <c r="D21" s="119" t="s">
        <v>8</v>
      </c>
      <c r="E21" s="120">
        <v>100</v>
      </c>
      <c r="F21" s="121">
        <v>40291</v>
      </c>
      <c r="G21" s="122">
        <v>54.53</v>
      </c>
      <c r="H21" s="128">
        <v>215292624570</v>
      </c>
      <c r="I21" s="123">
        <v>68.56</v>
      </c>
      <c r="J21" s="123">
        <v>68.47</v>
      </c>
      <c r="K21" s="123">
        <v>4.57</v>
      </c>
      <c r="L21" s="83">
        <f t="shared" si="0"/>
        <v>25</v>
      </c>
      <c r="M21" s="84">
        <f t="shared" si="1"/>
        <v>5478</v>
      </c>
      <c r="N21" s="85">
        <f t="shared" si="2"/>
        <v>6856</v>
      </c>
      <c r="O21" s="86">
        <f t="shared" si="3"/>
        <v>0.25155166119021538</v>
      </c>
      <c r="P21" s="87">
        <f t="shared" si="4"/>
        <v>15.002188183807439</v>
      </c>
      <c r="Q21" s="88" t="str">
        <f t="shared" si="6"/>
        <v>LARGE</v>
      </c>
      <c r="R21" s="86">
        <f t="shared" si="5"/>
        <v>7.4814899688453118E-2</v>
      </c>
      <c r="S21" s="11">
        <f t="shared" si="7"/>
        <v>8</v>
      </c>
    </row>
    <row r="22" spans="1:19" ht="14" thickBot="1" x14ac:dyDescent="0.2">
      <c r="M22" s="8">
        <f>SUM(M11:M21)</f>
        <v>69422.23000000001</v>
      </c>
      <c r="N22" s="8">
        <f>SUM(N11:N21)</f>
        <v>91639.5</v>
      </c>
      <c r="O22" s="4">
        <f t="shared" si="3"/>
        <v>0.32003106209639171</v>
      </c>
      <c r="R22" s="65">
        <f>SUM(R11:R21)</f>
        <v>1</v>
      </c>
    </row>
    <row r="23" spans="1:19" x14ac:dyDescent="0.15">
      <c r="C23" s="15"/>
    </row>
    <row r="24" spans="1:19" ht="15" thickBot="1" x14ac:dyDescent="0.2">
      <c r="C24" s="13" t="s">
        <v>31</v>
      </c>
    </row>
    <row r="25" spans="1:19" ht="16" x14ac:dyDescent="0.2">
      <c r="A25" s="2" t="s">
        <v>28</v>
      </c>
      <c r="B25">
        <v>1</v>
      </c>
      <c r="C25" s="12" t="str">
        <f ca="1">OFFSET($N$11,MATCH(S14,$S$11:$S$41,0)-1,-12)</f>
        <v>EBAY</v>
      </c>
    </row>
    <row r="26" spans="1:19" ht="16" x14ac:dyDescent="0.2">
      <c r="A26" s="2" t="s">
        <v>29</v>
      </c>
      <c r="B26">
        <v>2</v>
      </c>
      <c r="C26" s="6" t="str">
        <f ca="1">OFFSET($N$11,MATCH(S16,$S$11:$S$41,0)-1,-12)</f>
        <v>LLY</v>
      </c>
    </row>
    <row r="27" spans="1:19" ht="16" x14ac:dyDescent="0.2">
      <c r="A27" s="2" t="s">
        <v>30</v>
      </c>
      <c r="B27">
        <v>3</v>
      </c>
      <c r="C27" s="6" t="str">
        <f ca="1">OFFSET($N$11,MATCH(S20,$S$11:$S$41,0)-1,-12)</f>
        <v>M</v>
      </c>
    </row>
  </sheetData>
  <mergeCells count="1">
    <mergeCell ref="A1:K1"/>
  </mergeCells>
  <phoneticPr fontId="3" type="noConversion"/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6"/>
  <sheetViews>
    <sheetView workbookViewId="0">
      <selection activeCell="H11" sqref="H11"/>
    </sheetView>
  </sheetViews>
  <sheetFormatPr baseColWidth="10" defaultColWidth="8.83203125" defaultRowHeight="13" x14ac:dyDescent="0.15"/>
  <cols>
    <col min="1" max="1" width="13.1640625" bestFit="1" customWidth="1"/>
    <col min="2" max="2" width="15.5" bestFit="1" customWidth="1"/>
    <col min="3" max="3" width="18.6640625" bestFit="1" customWidth="1"/>
    <col min="4" max="4" width="23.6640625" bestFit="1" customWidth="1"/>
  </cols>
  <sheetData>
    <row r="1" spans="1:18" ht="16" x14ac:dyDescent="0.15">
      <c r="A1" s="191" t="s">
        <v>80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</row>
    <row r="4" spans="1:18" x14ac:dyDescent="0.15">
      <c r="A4" s="205" t="s">
        <v>96</v>
      </c>
      <c r="B4" t="s">
        <v>98</v>
      </c>
      <c r="C4" t="s">
        <v>99</v>
      </c>
      <c r="D4" t="s">
        <v>100</v>
      </c>
    </row>
    <row r="5" spans="1:18" x14ac:dyDescent="0.15">
      <c r="A5" s="206" t="s">
        <v>72</v>
      </c>
      <c r="B5" s="208">
        <v>10573</v>
      </c>
      <c r="C5" s="208">
        <v>16272</v>
      </c>
      <c r="D5" s="208">
        <v>9.06</v>
      </c>
    </row>
    <row r="6" spans="1:18" x14ac:dyDescent="0.15">
      <c r="A6" s="206" t="s">
        <v>70</v>
      </c>
      <c r="B6" s="208">
        <v>7446.9999999999991</v>
      </c>
      <c r="C6" s="208">
        <v>3682.5</v>
      </c>
      <c r="D6" s="208">
        <v>1.42</v>
      </c>
    </row>
    <row r="7" spans="1:18" x14ac:dyDescent="0.15">
      <c r="A7" s="206" t="s">
        <v>22</v>
      </c>
      <c r="B7" s="208">
        <v>6524.5</v>
      </c>
      <c r="C7" s="208">
        <v>7396.5</v>
      </c>
      <c r="D7" s="208">
        <v>13.42</v>
      </c>
    </row>
    <row r="8" spans="1:18" x14ac:dyDescent="0.15">
      <c r="A8" s="206" t="s">
        <v>54</v>
      </c>
      <c r="B8" s="208">
        <v>11721</v>
      </c>
      <c r="C8" s="208">
        <v>9106</v>
      </c>
      <c r="D8" s="208">
        <v>3.46</v>
      </c>
    </row>
    <row r="9" spans="1:18" x14ac:dyDescent="0.15">
      <c r="A9" s="206" t="s">
        <v>75</v>
      </c>
      <c r="B9" s="208">
        <v>1790.73</v>
      </c>
      <c r="C9" s="208">
        <v>3869</v>
      </c>
      <c r="D9" s="208">
        <v>2.2599999999999998</v>
      </c>
    </row>
    <row r="10" spans="1:18" x14ac:dyDescent="0.15">
      <c r="A10" s="206" t="s">
        <v>67</v>
      </c>
      <c r="B10" s="208">
        <v>4447</v>
      </c>
      <c r="C10" s="208">
        <v>6190.5000000000009</v>
      </c>
      <c r="D10" s="208">
        <v>3.22</v>
      </c>
    </row>
    <row r="11" spans="1:18" x14ac:dyDescent="0.15">
      <c r="A11" s="206" t="s">
        <v>77</v>
      </c>
      <c r="B11" s="208">
        <v>6656.5</v>
      </c>
      <c r="C11" s="208">
        <v>11766</v>
      </c>
      <c r="D11" s="208">
        <v>1.7</v>
      </c>
    </row>
    <row r="12" spans="1:18" x14ac:dyDescent="0.15">
      <c r="A12" s="206" t="s">
        <v>42</v>
      </c>
      <c r="B12" s="208">
        <v>4669</v>
      </c>
      <c r="C12" s="208">
        <v>7785</v>
      </c>
      <c r="D12" s="208">
        <v>1.3</v>
      </c>
    </row>
    <row r="13" spans="1:18" x14ac:dyDescent="0.15">
      <c r="A13" s="206" t="s">
        <v>23</v>
      </c>
      <c r="B13" s="208">
        <v>2889</v>
      </c>
      <c r="C13" s="208">
        <v>7178</v>
      </c>
      <c r="D13" s="208">
        <v>1.49</v>
      </c>
    </row>
    <row r="14" spans="1:18" x14ac:dyDescent="0.15">
      <c r="A14" s="206" t="s">
        <v>24</v>
      </c>
      <c r="B14" s="208">
        <v>7226.5</v>
      </c>
      <c r="C14" s="208">
        <v>11538</v>
      </c>
      <c r="D14" s="208">
        <v>3.33</v>
      </c>
    </row>
    <row r="15" spans="1:18" x14ac:dyDescent="0.15">
      <c r="A15" s="206" t="s">
        <v>25</v>
      </c>
      <c r="B15" s="208">
        <v>5478</v>
      </c>
      <c r="C15" s="208">
        <v>6856</v>
      </c>
      <c r="D15" s="208">
        <v>4.57</v>
      </c>
    </row>
    <row r="16" spans="1:18" x14ac:dyDescent="0.15">
      <c r="A16" s="206" t="s">
        <v>97</v>
      </c>
      <c r="B16" s="208">
        <v>69422.23000000001</v>
      </c>
      <c r="C16" s="208">
        <v>91639.5</v>
      </c>
      <c r="D16" s="208">
        <v>45.23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18"/>
  <sheetViews>
    <sheetView zoomScaleNormal="100" workbookViewId="0">
      <selection activeCell="H23" sqref="H23"/>
    </sheetView>
  </sheetViews>
  <sheetFormatPr baseColWidth="10" defaultColWidth="8.83203125" defaultRowHeight="13" x14ac:dyDescent="0.15"/>
  <cols>
    <col min="1" max="1" width="7.83203125" bestFit="1" customWidth="1"/>
    <col min="2" max="2" width="12" customWidth="1"/>
    <col min="3" max="3" width="21.1640625" customWidth="1"/>
    <col min="4" max="4" width="16.5" customWidth="1"/>
    <col min="5" max="5" width="14.33203125" bestFit="1" customWidth="1"/>
    <col min="6" max="6" width="14.83203125" bestFit="1" customWidth="1"/>
    <col min="7" max="8" width="18.5" bestFit="1" customWidth="1"/>
    <col min="9" max="9" width="13.5" customWidth="1"/>
    <col min="10" max="10" width="15.5" customWidth="1"/>
    <col min="11" max="11" width="14.83203125" customWidth="1"/>
    <col min="12" max="12" width="12.33203125" customWidth="1"/>
    <col min="13" max="13" width="13.33203125" bestFit="1" customWidth="1"/>
    <col min="14" max="14" width="13.6640625" bestFit="1" customWidth="1"/>
    <col min="16" max="16" width="19.1640625" bestFit="1" customWidth="1"/>
    <col min="17" max="18" width="20" bestFit="1" customWidth="1"/>
  </cols>
  <sheetData>
    <row r="1" spans="1:18" s="5" customFormat="1" ht="17" thickBot="1" x14ac:dyDescent="0.25">
      <c r="A1" s="92"/>
      <c r="B1" s="93"/>
      <c r="C1" s="94"/>
      <c r="D1" s="94"/>
      <c r="E1" s="94"/>
      <c r="F1" s="94"/>
      <c r="G1" s="95"/>
      <c r="H1" s="94"/>
      <c r="I1" s="95"/>
      <c r="J1" s="96"/>
    </row>
    <row r="3" spans="1:18" ht="14" thickBot="1" x14ac:dyDescent="0.2"/>
    <row r="4" spans="1:18" x14ac:dyDescent="0.15">
      <c r="I4" s="63" t="s">
        <v>44</v>
      </c>
    </row>
    <row r="5" spans="1:18" ht="14" thickBot="1" x14ac:dyDescent="0.2">
      <c r="I5" s="91">
        <v>42886</v>
      </c>
    </row>
    <row r="6" spans="1:18" ht="28" x14ac:dyDescent="0.15">
      <c r="B6" s="134" t="s">
        <v>0</v>
      </c>
      <c r="C6" s="135" t="s">
        <v>1</v>
      </c>
      <c r="D6" s="135" t="s">
        <v>2</v>
      </c>
      <c r="E6" s="135" t="s">
        <v>3</v>
      </c>
      <c r="F6" s="135" t="s">
        <v>4</v>
      </c>
      <c r="G6" s="135" t="s">
        <v>5</v>
      </c>
      <c r="H6" s="135" t="s">
        <v>11</v>
      </c>
      <c r="I6" s="135" t="s">
        <v>12</v>
      </c>
      <c r="J6" s="135" t="s">
        <v>13</v>
      </c>
      <c r="K6" s="140" t="s">
        <v>14</v>
      </c>
      <c r="L6" s="140" t="s">
        <v>15</v>
      </c>
      <c r="M6" s="135" t="s">
        <v>16</v>
      </c>
      <c r="N6" s="135" t="s">
        <v>18</v>
      </c>
      <c r="O6" s="135" t="s">
        <v>19</v>
      </c>
      <c r="P6" s="135" t="s">
        <v>20</v>
      </c>
      <c r="Q6" s="135" t="s">
        <v>56</v>
      </c>
      <c r="R6" s="136" t="s">
        <v>17</v>
      </c>
    </row>
    <row r="7" spans="1:18" ht="14" x14ac:dyDescent="0.15">
      <c r="B7" s="118" t="s">
        <v>42</v>
      </c>
      <c r="C7" s="119" t="s">
        <v>43</v>
      </c>
      <c r="D7" s="119" t="s">
        <v>7</v>
      </c>
      <c r="E7" s="120">
        <v>150</v>
      </c>
      <c r="F7" s="121">
        <v>40291</v>
      </c>
      <c r="G7" s="122">
        <v>30.96</v>
      </c>
      <c r="H7" s="128">
        <v>441180908733</v>
      </c>
      <c r="I7" s="123">
        <v>51.9</v>
      </c>
      <c r="J7" s="123">
        <v>55.79</v>
      </c>
      <c r="K7" s="123">
        <v>1.3</v>
      </c>
      <c r="L7" s="97">
        <f>IF(E7*G7*0.01&lt;25,E7*G7*0.01,25)</f>
        <v>25</v>
      </c>
      <c r="M7" s="98">
        <f>E7*G7+L7</f>
        <v>4669</v>
      </c>
      <c r="N7" s="99">
        <f>I7*E7</f>
        <v>7785</v>
      </c>
      <c r="O7" s="100">
        <f>(N7-M7)/M7</f>
        <v>0.66738059541657746</v>
      </c>
      <c r="P7" s="101">
        <f>I7/K7</f>
        <v>39.92307692307692</v>
      </c>
      <c r="Q7" s="144" t="str">
        <f>IF(H7&lt;5000000000,"SMALL",IF(H7&gt;10000000000,"LARGE","MEDIUM"))</f>
        <v>LARGE</v>
      </c>
      <c r="R7" s="100">
        <f>N7/$N$18</f>
        <v>8.4952449544137623E-2</v>
      </c>
    </row>
    <row r="8" spans="1:18" ht="28" x14ac:dyDescent="0.15">
      <c r="B8" s="118" t="s">
        <v>22</v>
      </c>
      <c r="C8" s="119" t="s">
        <v>6</v>
      </c>
      <c r="D8" s="119" t="s">
        <v>7</v>
      </c>
      <c r="E8" s="120">
        <v>50</v>
      </c>
      <c r="F8" s="121">
        <v>40291</v>
      </c>
      <c r="G8" s="122">
        <v>129.99</v>
      </c>
      <c r="H8" s="128">
        <v>143459520609</v>
      </c>
      <c r="I8" s="123">
        <v>147.93</v>
      </c>
      <c r="J8" s="123">
        <v>149.31</v>
      </c>
      <c r="K8" s="123">
        <v>13.42</v>
      </c>
      <c r="L8" s="97">
        <f>IF(E8*G8*0.01&lt;25,E8*G8*0.01,25)</f>
        <v>25</v>
      </c>
      <c r="M8" s="98">
        <f>E8*G8+L8</f>
        <v>6524.5</v>
      </c>
      <c r="N8" s="99">
        <f>I8*E8</f>
        <v>7396.5</v>
      </c>
      <c r="O8" s="100">
        <f>(N8-M8)/M8</f>
        <v>0.13365008812935858</v>
      </c>
      <c r="P8" s="101">
        <f>I8/K8</f>
        <v>11.023099850968704</v>
      </c>
      <c r="Q8" s="144" t="str">
        <f>IF(H8&lt;5000000000,"SMALL",IF(H8&gt;10000000000,"LARGE","MEDIUM"))</f>
        <v>LARGE</v>
      </c>
      <c r="R8" s="100">
        <f>N8/$N$18</f>
        <v>8.0713011310624791E-2</v>
      </c>
    </row>
    <row r="9" spans="1:18" ht="14" x14ac:dyDescent="0.15">
      <c r="B9" s="119" t="s">
        <v>70</v>
      </c>
      <c r="C9" s="119" t="s">
        <v>71</v>
      </c>
      <c r="D9" s="119" t="s">
        <v>7</v>
      </c>
      <c r="E9" s="124">
        <v>150</v>
      </c>
      <c r="F9" s="125">
        <v>40291</v>
      </c>
      <c r="G9" s="126">
        <v>49.48</v>
      </c>
      <c r="H9" s="129">
        <v>28211686296</v>
      </c>
      <c r="I9" s="127">
        <v>24.55</v>
      </c>
      <c r="J9" s="127">
        <v>24.7</v>
      </c>
      <c r="K9" s="127">
        <v>1.42</v>
      </c>
      <c r="L9" s="97">
        <f>IF(E9*G9*0.01&lt;25,E9*G9*0.01,25)</f>
        <v>25</v>
      </c>
      <c r="M9" s="98">
        <f>E9*G9+L9</f>
        <v>7446.9999999999991</v>
      </c>
      <c r="N9" s="99">
        <f>I9*E9</f>
        <v>3682.5</v>
      </c>
      <c r="O9" s="100">
        <f>(N9-M9)/M9</f>
        <v>-0.50550557271384444</v>
      </c>
      <c r="P9" s="101">
        <f>I9/K9</f>
        <v>17.2887323943662</v>
      </c>
      <c r="Q9" s="144" t="str">
        <f>IF(H9&lt;5000000000,"SMALL",IF(H9&gt;10000000000,"LARGE","MEDIUM"))</f>
        <v>LARGE</v>
      </c>
      <c r="R9" s="100">
        <f>N9/$N$18</f>
        <v>4.0184636537737545E-2</v>
      </c>
    </row>
    <row r="10" spans="1:18" ht="14" x14ac:dyDescent="0.15">
      <c r="B10" s="118" t="s">
        <v>75</v>
      </c>
      <c r="C10" s="119" t="s">
        <v>76</v>
      </c>
      <c r="D10" s="119" t="s">
        <v>74</v>
      </c>
      <c r="E10" s="120">
        <v>50</v>
      </c>
      <c r="F10" s="121">
        <v>40291</v>
      </c>
      <c r="G10" s="122">
        <v>35.46</v>
      </c>
      <c r="H10" s="128">
        <v>85578452934</v>
      </c>
      <c r="I10" s="123">
        <v>77.38</v>
      </c>
      <c r="J10" s="123">
        <v>77.37</v>
      </c>
      <c r="K10" s="123">
        <v>2.2599999999999998</v>
      </c>
      <c r="L10" s="97">
        <f>IF(E10*G10*0.01&lt;25,E10*G10*0.01,25)</f>
        <v>17.73</v>
      </c>
      <c r="M10" s="98">
        <f>E10*G10+L10</f>
        <v>1790.73</v>
      </c>
      <c r="N10" s="99">
        <f>I10*E10</f>
        <v>3869</v>
      </c>
      <c r="O10" s="100">
        <f>(N10-M10)/M10</f>
        <v>1.1605713870879473</v>
      </c>
      <c r="P10" s="101">
        <f>I10/K10</f>
        <v>34.23893805309735</v>
      </c>
      <c r="Q10" s="144" t="str">
        <f>IF(H10&lt;5000000000,"SMALL",IF(H10&gt;10000000000,"LARGE","MEDIUM"))</f>
        <v>LARGE</v>
      </c>
      <c r="R10" s="100">
        <f>N10/$N$18</f>
        <v>4.221978513632222E-2</v>
      </c>
    </row>
    <row r="11" spans="1:18" ht="14" x14ac:dyDescent="0.15">
      <c r="B11" s="118" t="s">
        <v>77</v>
      </c>
      <c r="C11" s="119" t="s">
        <v>78</v>
      </c>
      <c r="D11" s="119" t="s">
        <v>74</v>
      </c>
      <c r="E11" s="120">
        <v>150</v>
      </c>
      <c r="F11" s="121">
        <v>40291</v>
      </c>
      <c r="G11" s="122">
        <v>44.21</v>
      </c>
      <c r="H11" s="128">
        <v>141417916147</v>
      </c>
      <c r="I11" s="123">
        <v>78.44</v>
      </c>
      <c r="J11" s="123">
        <v>78.55</v>
      </c>
      <c r="K11" s="123">
        <v>1.7</v>
      </c>
      <c r="L11" s="97">
        <f>IF(E11*G11*0.01&lt;25,E11*G11*0.01,25)</f>
        <v>25</v>
      </c>
      <c r="M11" s="98">
        <f>E11*G11+L11</f>
        <v>6656.5</v>
      </c>
      <c r="N11" s="99">
        <f>I11*E11</f>
        <v>11766</v>
      </c>
      <c r="O11" s="100">
        <f>(N11-M11)/M11</f>
        <v>0.7675955832644783</v>
      </c>
      <c r="P11" s="101">
        <f>I11/K11</f>
        <v>46.141176470588235</v>
      </c>
      <c r="Q11" s="144" t="str">
        <f>IF(H11&lt;5000000000,"SMALL",IF(H11&gt;10000000000,"LARGE","MEDIUM"))</f>
        <v>LARGE</v>
      </c>
      <c r="R11" s="100">
        <f>N11/$N$18</f>
        <v>0.1283944150721032</v>
      </c>
    </row>
    <row r="12" spans="1:18" ht="14" x14ac:dyDescent="0.15">
      <c r="B12" s="118" t="s">
        <v>72</v>
      </c>
      <c r="C12" s="119" t="s">
        <v>73</v>
      </c>
      <c r="D12" s="145" t="s">
        <v>74</v>
      </c>
      <c r="E12" s="120">
        <v>100</v>
      </c>
      <c r="F12" s="121">
        <v>40291</v>
      </c>
      <c r="G12" s="122">
        <v>105.48</v>
      </c>
      <c r="H12" s="128">
        <v>123606162095</v>
      </c>
      <c r="I12" s="123">
        <v>162.72</v>
      </c>
      <c r="J12" s="123">
        <v>164.4</v>
      </c>
      <c r="K12" s="123">
        <v>9.06</v>
      </c>
      <c r="L12" s="97">
        <f>IF(E12*G12*0.01&lt;25,E12*G12*0.01,25)</f>
        <v>25</v>
      </c>
      <c r="M12" s="98">
        <f>E12*G12+L12</f>
        <v>10573</v>
      </c>
      <c r="N12" s="99">
        <f>I12*E12</f>
        <v>16272</v>
      </c>
      <c r="O12" s="100">
        <f>(N12-M12)/M12</f>
        <v>0.5390144708219049</v>
      </c>
      <c r="P12" s="101">
        <f>I12/K12</f>
        <v>17.960264900662249</v>
      </c>
      <c r="Q12" s="144" t="str">
        <f>IF(H12&lt;5000000000,"SMALL",IF(H12&gt;10000000000,"LARGE","MEDIUM"))</f>
        <v>LARGE</v>
      </c>
      <c r="R12" s="100">
        <f>N12/$N$18</f>
        <v>0.17756535118589692</v>
      </c>
    </row>
    <row r="13" spans="1:18" ht="14" x14ac:dyDescent="0.15">
      <c r="B13" s="119" t="s">
        <v>24</v>
      </c>
      <c r="C13" s="119" t="s">
        <v>10</v>
      </c>
      <c r="D13" s="119" t="s">
        <v>8</v>
      </c>
      <c r="E13" s="120">
        <v>150</v>
      </c>
      <c r="F13" s="121">
        <v>40291</v>
      </c>
      <c r="G13" s="122">
        <v>48.01</v>
      </c>
      <c r="H13" s="128">
        <v>51026148620</v>
      </c>
      <c r="I13" s="123">
        <v>76.92</v>
      </c>
      <c r="J13" s="123">
        <v>77.040000000000006</v>
      </c>
      <c r="K13" s="123">
        <v>3.33</v>
      </c>
      <c r="L13" s="97">
        <f>IF(E13*G13*0.01&lt;25,E13*G13*0.01,25)</f>
        <v>25</v>
      </c>
      <c r="M13" s="98">
        <f>E13*G13+L13</f>
        <v>7226.5</v>
      </c>
      <c r="N13" s="99">
        <f>I13*E13</f>
        <v>11538</v>
      </c>
      <c r="O13" s="100">
        <f>(N13-M13)/M13</f>
        <v>0.59662353836573723</v>
      </c>
      <c r="P13" s="101">
        <f>I13/K13</f>
        <v>23.099099099099099</v>
      </c>
      <c r="Q13" s="144" t="str">
        <f>IF(H13&lt;5000000000,"SMALL",IF(H13&gt;10000000000,"LARGE","MEDIUM"))</f>
        <v>LARGE</v>
      </c>
      <c r="R13" s="100">
        <f>N13/$N$18</f>
        <v>0.12590640498911496</v>
      </c>
    </row>
    <row r="14" spans="1:18" ht="14" x14ac:dyDescent="0.15">
      <c r="B14" s="118" t="s">
        <v>67</v>
      </c>
      <c r="C14" s="119" t="s">
        <v>68</v>
      </c>
      <c r="D14" s="119" t="s">
        <v>8</v>
      </c>
      <c r="E14" s="120">
        <v>150</v>
      </c>
      <c r="F14" s="121">
        <v>40291</v>
      </c>
      <c r="G14" s="122">
        <v>29.48</v>
      </c>
      <c r="H14" s="128">
        <v>12904283053</v>
      </c>
      <c r="I14" s="123">
        <v>41.27</v>
      </c>
      <c r="J14" s="123">
        <v>41.55</v>
      </c>
      <c r="K14" s="123">
        <v>3.22</v>
      </c>
      <c r="L14" s="97">
        <f>IF(E14*G14*0.01&lt;25,E14*G14*0.01,25)</f>
        <v>25</v>
      </c>
      <c r="M14" s="98">
        <f>E14*G14+L14</f>
        <v>4447</v>
      </c>
      <c r="N14" s="99">
        <f>I14*E14</f>
        <v>6190.5000000000009</v>
      </c>
      <c r="O14" s="100">
        <f>(N14-M14)/M14</f>
        <v>0.39206206431302021</v>
      </c>
      <c r="P14" s="101">
        <f>I14/K14</f>
        <v>12.816770186335404</v>
      </c>
      <c r="Q14" s="144" t="str">
        <f>IF(H14&lt;5000000000,"SMALL",IF(H14&gt;10000000000,"LARGE","MEDIUM"))</f>
        <v>LARGE</v>
      </c>
      <c r="R14" s="100">
        <f>N14/$N$18</f>
        <v>6.7552747450608103E-2</v>
      </c>
    </row>
    <row r="15" spans="1:18" ht="14" x14ac:dyDescent="0.15">
      <c r="B15" s="119" t="s">
        <v>25</v>
      </c>
      <c r="C15" s="119" t="s">
        <v>69</v>
      </c>
      <c r="D15" s="119" t="s">
        <v>8</v>
      </c>
      <c r="E15" s="120">
        <v>100</v>
      </c>
      <c r="F15" s="121">
        <v>40291</v>
      </c>
      <c r="G15" s="122">
        <v>54.53</v>
      </c>
      <c r="H15" s="128">
        <v>215292624570</v>
      </c>
      <c r="I15" s="123">
        <v>68.56</v>
      </c>
      <c r="J15" s="123">
        <v>68.47</v>
      </c>
      <c r="K15" s="123">
        <v>4.57</v>
      </c>
      <c r="L15" s="97">
        <f>IF(E15*G15*0.01&lt;25,E15*G15*0.01,25)</f>
        <v>25</v>
      </c>
      <c r="M15" s="98">
        <f>E15*G15+L15</f>
        <v>5478</v>
      </c>
      <c r="N15" s="99">
        <f>I15*E15</f>
        <v>6856</v>
      </c>
      <c r="O15" s="100">
        <f>(N15-M15)/M15</f>
        <v>0.25155166119021538</v>
      </c>
      <c r="P15" s="101">
        <f>I15/K15</f>
        <v>15.002188183807439</v>
      </c>
      <c r="Q15" s="144" t="str">
        <f>IF(H15&lt;5000000000,"SMALL",IF(H15&gt;10000000000,"LARGE","MEDIUM"))</f>
        <v>LARGE</v>
      </c>
      <c r="R15" s="100">
        <f>N15/$N$18</f>
        <v>7.4814899688453118E-2</v>
      </c>
    </row>
    <row r="16" spans="1:18" ht="14" x14ac:dyDescent="0.15">
      <c r="B16" s="119" t="s">
        <v>54</v>
      </c>
      <c r="C16" s="119" t="s">
        <v>57</v>
      </c>
      <c r="D16" s="119" t="s">
        <v>8</v>
      </c>
      <c r="E16" s="120">
        <v>200</v>
      </c>
      <c r="F16" s="121">
        <v>40291</v>
      </c>
      <c r="G16" s="122">
        <v>58.48</v>
      </c>
      <c r="H16" s="128">
        <v>8412223535</v>
      </c>
      <c r="I16" s="123">
        <v>45.53</v>
      </c>
      <c r="J16" s="123">
        <v>45.43</v>
      </c>
      <c r="K16" s="123">
        <v>3.46</v>
      </c>
      <c r="L16" s="97">
        <f>IF(E16*G16*0.01&lt;25,E16*G16*0.01,25)</f>
        <v>25</v>
      </c>
      <c r="M16" s="98">
        <f>E16*G16+L16</f>
        <v>11721</v>
      </c>
      <c r="N16" s="99">
        <f>I16*E16</f>
        <v>9106</v>
      </c>
      <c r="O16" s="100">
        <f>(N16-M16)/M16</f>
        <v>-0.22310383073116627</v>
      </c>
      <c r="P16" s="101">
        <f>I16/K16</f>
        <v>13.158959537572255</v>
      </c>
      <c r="Q16" s="144" t="str">
        <f>IF(H16&lt;5000000000,"SMALL",IF(H16&gt;10000000000,"LARGE","MEDIUM"))</f>
        <v>MEDIUM</v>
      </c>
      <c r="R16" s="100">
        <f>N16/$N$18</f>
        <v>9.9367630770573825E-2</v>
      </c>
    </row>
    <row r="17" spans="2:18" ht="14" x14ac:dyDescent="0.15">
      <c r="B17" s="118" t="s">
        <v>23</v>
      </c>
      <c r="C17" s="119" t="s">
        <v>9</v>
      </c>
      <c r="D17" s="119" t="s">
        <v>7</v>
      </c>
      <c r="E17" s="120">
        <v>200</v>
      </c>
      <c r="F17" s="121">
        <v>40291</v>
      </c>
      <c r="G17" s="122">
        <v>14.32</v>
      </c>
      <c r="H17" s="128">
        <v>4504830000</v>
      </c>
      <c r="I17" s="123">
        <v>35.89</v>
      </c>
      <c r="J17" s="123">
        <v>36.299999999999997</v>
      </c>
      <c r="K17" s="123">
        <v>1.49</v>
      </c>
      <c r="L17" s="97">
        <f>IF(E17*G17*0.01&lt;25,E17*G17*0.01,25)</f>
        <v>25</v>
      </c>
      <c r="M17" s="98">
        <f>E17*G17+L17</f>
        <v>2889</v>
      </c>
      <c r="N17" s="99">
        <f>I17*E17</f>
        <v>7178</v>
      </c>
      <c r="O17" s="100">
        <f>(N17-M17)/M17</f>
        <v>1.4845967462789893</v>
      </c>
      <c r="P17" s="101">
        <f>I17/K17</f>
        <v>24.087248322147651</v>
      </c>
      <c r="Q17" s="144" t="str">
        <f>IF(H17&lt;5000000000,"SMALL",IF(H17&gt;10000000000,"LARGE","MEDIUM"))</f>
        <v>SMALL</v>
      </c>
      <c r="R17" s="100">
        <f>N17/$N$18</f>
        <v>7.8328668314427724E-2</v>
      </c>
    </row>
    <row r="18" spans="2:18" x14ac:dyDescent="0.15">
      <c r="M18" s="8">
        <f>SUM(M7:M17)</f>
        <v>69422.23</v>
      </c>
      <c r="N18" s="8">
        <f>SUM(N7:N17)</f>
        <v>91639.5</v>
      </c>
      <c r="O18" s="9">
        <f t="shared" ref="O7:O18" si="0">(N18-M18)/M18</f>
        <v>0.32003106209639198</v>
      </c>
      <c r="R18" s="16">
        <f>SUM(R7:R17)</f>
        <v>1</v>
      </c>
    </row>
  </sheetData>
  <sortState xmlns:xlrd2="http://schemas.microsoft.com/office/spreadsheetml/2017/richdata2" ref="B7:R17">
    <sortCondition ref="Q7:Q17"/>
    <sortCondition ref="D7:D17"/>
    <sortCondition descending="1" ref="O7:O17"/>
  </sortState>
  <phoneticPr fontId="3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8"/>
  <sheetViews>
    <sheetView topLeftCell="C1" workbookViewId="0">
      <selection activeCell="K27" sqref="K27"/>
    </sheetView>
  </sheetViews>
  <sheetFormatPr baseColWidth="10" defaultColWidth="8.83203125" defaultRowHeight="13" x14ac:dyDescent="0.15"/>
  <cols>
    <col min="1" max="1" width="7.83203125" bestFit="1" customWidth="1"/>
    <col min="2" max="2" width="12" customWidth="1"/>
    <col min="3" max="3" width="20.33203125" customWidth="1"/>
    <col min="4" max="4" width="14.5" customWidth="1"/>
    <col min="5" max="5" width="14.33203125" bestFit="1" customWidth="1"/>
    <col min="6" max="6" width="14.83203125" bestFit="1" customWidth="1"/>
    <col min="7" max="7" width="15.33203125" customWidth="1"/>
    <col min="8" max="8" width="18.5" bestFit="1" customWidth="1"/>
    <col min="9" max="9" width="14.5" bestFit="1" customWidth="1"/>
    <col min="10" max="10" width="15.5" customWidth="1"/>
    <col min="11" max="11" width="18.83203125" bestFit="1" customWidth="1"/>
    <col min="12" max="12" width="12.5" customWidth="1"/>
    <col min="13" max="13" width="13.33203125" bestFit="1" customWidth="1"/>
    <col min="14" max="14" width="13.6640625" bestFit="1" customWidth="1"/>
    <col min="16" max="16" width="11.6640625" customWidth="1"/>
    <col min="17" max="17" width="15.1640625" customWidth="1"/>
    <col min="18" max="18" width="20" bestFit="1" customWidth="1"/>
  </cols>
  <sheetData>
    <row r="1" spans="1:18" s="5" customFormat="1" ht="17" thickBot="1" x14ac:dyDescent="0.25">
      <c r="A1" s="24" t="s">
        <v>58</v>
      </c>
      <c r="B1" s="25"/>
      <c r="C1" s="26"/>
      <c r="D1" s="26"/>
      <c r="E1" s="26"/>
      <c r="F1" s="26"/>
      <c r="G1" s="27"/>
    </row>
    <row r="3" spans="1:18" ht="14" thickBot="1" x14ac:dyDescent="0.2"/>
    <row r="4" spans="1:18" x14ac:dyDescent="0.15">
      <c r="I4" s="63" t="s">
        <v>44</v>
      </c>
    </row>
    <row r="5" spans="1:18" x14ac:dyDescent="0.15">
      <c r="I5" s="132">
        <v>42886</v>
      </c>
    </row>
    <row r="6" spans="1:18" x14ac:dyDescent="0.15">
      <c r="B6" s="133" t="s">
        <v>0</v>
      </c>
      <c r="C6" s="133" t="s">
        <v>1</v>
      </c>
      <c r="D6" s="133" t="s">
        <v>2</v>
      </c>
      <c r="E6" s="133" t="s">
        <v>3</v>
      </c>
      <c r="F6" s="133" t="s">
        <v>4</v>
      </c>
      <c r="G6" s="133" t="s">
        <v>5</v>
      </c>
      <c r="H6" s="133" t="s">
        <v>11</v>
      </c>
      <c r="I6" s="133" t="s">
        <v>12</v>
      </c>
      <c r="J6" s="133" t="s">
        <v>13</v>
      </c>
      <c r="K6" s="133" t="s">
        <v>14</v>
      </c>
      <c r="L6" s="133" t="s">
        <v>15</v>
      </c>
      <c r="M6" s="133" t="s">
        <v>16</v>
      </c>
      <c r="N6" s="133" t="s">
        <v>18</v>
      </c>
      <c r="O6" s="133" t="s">
        <v>19</v>
      </c>
      <c r="P6" s="133" t="s">
        <v>20</v>
      </c>
      <c r="Q6" s="133" t="s">
        <v>21</v>
      </c>
      <c r="R6" s="133" t="s">
        <v>17</v>
      </c>
    </row>
    <row r="7" spans="1:18" ht="28" x14ac:dyDescent="0.15">
      <c r="B7" s="118" t="s">
        <v>22</v>
      </c>
      <c r="C7" s="119" t="s">
        <v>6</v>
      </c>
      <c r="D7" s="119" t="s">
        <v>7</v>
      </c>
      <c r="E7" s="120">
        <v>50</v>
      </c>
      <c r="F7" s="121">
        <v>40291</v>
      </c>
      <c r="G7" s="122">
        <v>129.99</v>
      </c>
      <c r="H7" s="128">
        <v>143459520609</v>
      </c>
      <c r="I7" s="123">
        <v>147.93</v>
      </c>
      <c r="J7" s="123">
        <v>149.31</v>
      </c>
      <c r="K7" s="123">
        <v>13.42</v>
      </c>
      <c r="L7" s="102">
        <f t="shared" ref="L7:L17" si="0">IF(E7*G7*0.01&lt;25,E7*G7*0.01,25)</f>
        <v>25</v>
      </c>
      <c r="M7" s="103">
        <f t="shared" ref="M7:M17" si="1">E7*G7+L7</f>
        <v>6524.5</v>
      </c>
      <c r="N7" s="104">
        <f t="shared" ref="N7:N17" si="2">I7*E7</f>
        <v>7396.5</v>
      </c>
      <c r="O7" s="105">
        <f t="shared" ref="O7:O18" si="3">(N7-M7)/M7</f>
        <v>0.13365008812935858</v>
      </c>
      <c r="P7" s="106">
        <f t="shared" ref="P7:P17" si="4">I7/K7</f>
        <v>11.023099850968704</v>
      </c>
      <c r="Q7" s="144" t="str">
        <f>IF(H7&lt;5000000000,"SMALL",IF(H7&gt;10000000000,"LARGE","MEDIUM"))</f>
        <v>LARGE</v>
      </c>
      <c r="R7" s="105">
        <f>N7/$N$18</f>
        <v>8.0713011310624791E-2</v>
      </c>
    </row>
    <row r="8" spans="1:18" ht="14" x14ac:dyDescent="0.15">
      <c r="B8" s="118" t="s">
        <v>42</v>
      </c>
      <c r="C8" s="119" t="s">
        <v>43</v>
      </c>
      <c r="D8" s="119" t="s">
        <v>7</v>
      </c>
      <c r="E8" s="120">
        <v>150</v>
      </c>
      <c r="F8" s="121">
        <v>40291</v>
      </c>
      <c r="G8" s="122">
        <v>30.96</v>
      </c>
      <c r="H8" s="128">
        <v>441180908733</v>
      </c>
      <c r="I8" s="123">
        <v>51.9</v>
      </c>
      <c r="J8" s="123">
        <v>55.79</v>
      </c>
      <c r="K8" s="123">
        <v>1.3</v>
      </c>
      <c r="L8" s="102">
        <f t="shared" si="0"/>
        <v>25</v>
      </c>
      <c r="M8" s="103">
        <f t="shared" si="1"/>
        <v>4669</v>
      </c>
      <c r="N8" s="104">
        <f t="shared" si="2"/>
        <v>7785</v>
      </c>
      <c r="O8" s="105">
        <f t="shared" si="3"/>
        <v>0.66738059541657746</v>
      </c>
      <c r="P8" s="106">
        <f t="shared" si="4"/>
        <v>39.92307692307692</v>
      </c>
      <c r="Q8" s="144" t="str">
        <f t="shared" ref="Q8:Q17" si="5">IF(H8&lt;5000000000,"SMALL",IF(H8&gt;10000000000,"LARGE","MEDIUM"))</f>
        <v>LARGE</v>
      </c>
      <c r="R8" s="105">
        <f t="shared" ref="R8:R17" si="6">N8/$N$18</f>
        <v>8.4952449544137623E-2</v>
      </c>
    </row>
    <row r="9" spans="1:18" ht="14" x14ac:dyDescent="0.15">
      <c r="B9" s="118" t="s">
        <v>23</v>
      </c>
      <c r="C9" s="119" t="s">
        <v>9</v>
      </c>
      <c r="D9" s="119" t="s">
        <v>7</v>
      </c>
      <c r="E9" s="120">
        <v>200</v>
      </c>
      <c r="F9" s="121">
        <v>40291</v>
      </c>
      <c r="G9" s="122">
        <v>14.32</v>
      </c>
      <c r="H9" s="128">
        <v>4504830000</v>
      </c>
      <c r="I9" s="123">
        <v>35.89</v>
      </c>
      <c r="J9" s="123">
        <v>36.299999999999997</v>
      </c>
      <c r="K9" s="123">
        <v>1.49</v>
      </c>
      <c r="L9" s="102">
        <f t="shared" si="0"/>
        <v>25</v>
      </c>
      <c r="M9" s="103">
        <f t="shared" si="1"/>
        <v>2889</v>
      </c>
      <c r="N9" s="104">
        <f t="shared" si="2"/>
        <v>7178</v>
      </c>
      <c r="O9" s="105">
        <f t="shared" si="3"/>
        <v>1.4845967462789893</v>
      </c>
      <c r="P9" s="106">
        <f t="shared" si="4"/>
        <v>24.087248322147651</v>
      </c>
      <c r="Q9" s="144" t="str">
        <f t="shared" si="5"/>
        <v>SMALL</v>
      </c>
      <c r="R9" s="105">
        <f t="shared" si="6"/>
        <v>7.8328668314427724E-2</v>
      </c>
    </row>
    <row r="10" spans="1:18" ht="14" x14ac:dyDescent="0.15">
      <c r="B10" s="119" t="s">
        <v>70</v>
      </c>
      <c r="C10" s="119" t="s">
        <v>71</v>
      </c>
      <c r="D10" s="119" t="s">
        <v>7</v>
      </c>
      <c r="E10" s="124">
        <v>150</v>
      </c>
      <c r="F10" s="125">
        <v>40291</v>
      </c>
      <c r="G10" s="126">
        <v>49.48</v>
      </c>
      <c r="H10" s="129">
        <v>28211686296</v>
      </c>
      <c r="I10" s="127">
        <v>24.55</v>
      </c>
      <c r="J10" s="127">
        <v>24.7</v>
      </c>
      <c r="K10" s="127">
        <v>1.42</v>
      </c>
      <c r="L10" s="102">
        <f t="shared" si="0"/>
        <v>25</v>
      </c>
      <c r="M10" s="103">
        <f t="shared" si="1"/>
        <v>7446.9999999999991</v>
      </c>
      <c r="N10" s="104">
        <f t="shared" si="2"/>
        <v>3682.5</v>
      </c>
      <c r="O10" s="105">
        <f t="shared" si="3"/>
        <v>-0.50550557271384444</v>
      </c>
      <c r="P10" s="106">
        <f t="shared" si="4"/>
        <v>17.2887323943662</v>
      </c>
      <c r="Q10" s="144" t="str">
        <f t="shared" si="5"/>
        <v>LARGE</v>
      </c>
      <c r="R10" s="105">
        <f t="shared" si="6"/>
        <v>4.0184636537737545E-2</v>
      </c>
    </row>
    <row r="11" spans="1:18" ht="14" x14ac:dyDescent="0.15">
      <c r="B11" s="118" t="s">
        <v>72</v>
      </c>
      <c r="C11" s="119" t="s">
        <v>73</v>
      </c>
      <c r="D11" s="145" t="s">
        <v>74</v>
      </c>
      <c r="E11" s="120">
        <v>100</v>
      </c>
      <c r="F11" s="121">
        <v>40291</v>
      </c>
      <c r="G11" s="122">
        <v>105.48</v>
      </c>
      <c r="H11" s="128">
        <v>123606162095</v>
      </c>
      <c r="I11" s="123">
        <v>162.72</v>
      </c>
      <c r="J11" s="123">
        <v>164.4</v>
      </c>
      <c r="K11" s="123">
        <v>9.06</v>
      </c>
      <c r="L11" s="102">
        <f t="shared" si="0"/>
        <v>25</v>
      </c>
      <c r="M11" s="103">
        <f t="shared" si="1"/>
        <v>10573</v>
      </c>
      <c r="N11" s="104">
        <f t="shared" si="2"/>
        <v>16272</v>
      </c>
      <c r="O11" s="105">
        <f t="shared" si="3"/>
        <v>0.5390144708219049</v>
      </c>
      <c r="P11" s="106">
        <f t="shared" si="4"/>
        <v>17.960264900662249</v>
      </c>
      <c r="Q11" s="144" t="str">
        <f t="shared" si="5"/>
        <v>LARGE</v>
      </c>
      <c r="R11" s="105">
        <f t="shared" si="6"/>
        <v>0.17756535118589692</v>
      </c>
    </row>
    <row r="12" spans="1:18" ht="14" x14ac:dyDescent="0.15">
      <c r="B12" s="118" t="s">
        <v>75</v>
      </c>
      <c r="C12" s="119" t="s">
        <v>76</v>
      </c>
      <c r="D12" s="119" t="s">
        <v>74</v>
      </c>
      <c r="E12" s="120">
        <v>50</v>
      </c>
      <c r="F12" s="121">
        <v>40291</v>
      </c>
      <c r="G12" s="122">
        <v>35.46</v>
      </c>
      <c r="H12" s="128">
        <v>85578452934</v>
      </c>
      <c r="I12" s="123">
        <v>77.38</v>
      </c>
      <c r="J12" s="123">
        <v>77.37</v>
      </c>
      <c r="K12" s="123">
        <v>2.2599999999999998</v>
      </c>
      <c r="L12" s="102">
        <f t="shared" si="0"/>
        <v>17.73</v>
      </c>
      <c r="M12" s="103">
        <f t="shared" si="1"/>
        <v>1790.73</v>
      </c>
      <c r="N12" s="104">
        <f t="shared" si="2"/>
        <v>3869</v>
      </c>
      <c r="O12" s="105">
        <f t="shared" si="3"/>
        <v>1.1605713870879473</v>
      </c>
      <c r="P12" s="106">
        <f t="shared" si="4"/>
        <v>34.23893805309735</v>
      </c>
      <c r="Q12" s="144" t="str">
        <f t="shared" si="5"/>
        <v>LARGE</v>
      </c>
      <c r="R12" s="105">
        <f t="shared" si="6"/>
        <v>4.221978513632222E-2</v>
      </c>
    </row>
    <row r="13" spans="1:18" ht="14" x14ac:dyDescent="0.15">
      <c r="B13" s="118" t="s">
        <v>77</v>
      </c>
      <c r="C13" s="119" t="s">
        <v>78</v>
      </c>
      <c r="D13" s="119" t="s">
        <v>74</v>
      </c>
      <c r="E13" s="120">
        <v>150</v>
      </c>
      <c r="F13" s="121">
        <v>40291</v>
      </c>
      <c r="G13" s="122">
        <v>44.21</v>
      </c>
      <c r="H13" s="128">
        <v>141417916147</v>
      </c>
      <c r="I13" s="123">
        <v>78.44</v>
      </c>
      <c r="J13" s="123">
        <v>78.55</v>
      </c>
      <c r="K13" s="123">
        <v>1.7</v>
      </c>
      <c r="L13" s="102">
        <f t="shared" si="0"/>
        <v>25</v>
      </c>
      <c r="M13" s="103">
        <f t="shared" si="1"/>
        <v>6656.5</v>
      </c>
      <c r="N13" s="104">
        <f t="shared" si="2"/>
        <v>11766</v>
      </c>
      <c r="O13" s="105">
        <f t="shared" si="3"/>
        <v>0.7675955832644783</v>
      </c>
      <c r="P13" s="106">
        <f t="shared" si="4"/>
        <v>46.141176470588235</v>
      </c>
      <c r="Q13" s="144" t="str">
        <f t="shared" si="5"/>
        <v>LARGE</v>
      </c>
      <c r="R13" s="105">
        <f t="shared" si="6"/>
        <v>0.1283944150721032</v>
      </c>
    </row>
    <row r="14" spans="1:18" ht="14" x14ac:dyDescent="0.15">
      <c r="B14" s="119" t="s">
        <v>54</v>
      </c>
      <c r="C14" s="119" t="s">
        <v>57</v>
      </c>
      <c r="D14" s="119" t="s">
        <v>8</v>
      </c>
      <c r="E14" s="120">
        <v>200</v>
      </c>
      <c r="F14" s="121">
        <v>40291</v>
      </c>
      <c r="G14" s="122">
        <v>58.48</v>
      </c>
      <c r="H14" s="128">
        <v>8412223535</v>
      </c>
      <c r="I14" s="123">
        <v>45.53</v>
      </c>
      <c r="J14" s="123">
        <v>45.43</v>
      </c>
      <c r="K14" s="123">
        <v>3.46</v>
      </c>
      <c r="L14" s="102">
        <f t="shared" si="0"/>
        <v>25</v>
      </c>
      <c r="M14" s="103">
        <f t="shared" si="1"/>
        <v>11721</v>
      </c>
      <c r="N14" s="104">
        <f t="shared" si="2"/>
        <v>9106</v>
      </c>
      <c r="O14" s="105">
        <f t="shared" si="3"/>
        <v>-0.22310383073116627</v>
      </c>
      <c r="P14" s="106">
        <f t="shared" si="4"/>
        <v>13.158959537572255</v>
      </c>
      <c r="Q14" s="144" t="str">
        <f t="shared" si="5"/>
        <v>MEDIUM</v>
      </c>
      <c r="R14" s="105">
        <f t="shared" si="6"/>
        <v>9.9367630770573825E-2</v>
      </c>
    </row>
    <row r="15" spans="1:18" ht="14" x14ac:dyDescent="0.15">
      <c r="B15" s="119" t="s">
        <v>24</v>
      </c>
      <c r="C15" s="119" t="s">
        <v>10</v>
      </c>
      <c r="D15" s="119" t="s">
        <v>8</v>
      </c>
      <c r="E15" s="120">
        <v>150</v>
      </c>
      <c r="F15" s="121">
        <v>40291</v>
      </c>
      <c r="G15" s="122">
        <v>48.01</v>
      </c>
      <c r="H15" s="128">
        <v>51026148620</v>
      </c>
      <c r="I15" s="123">
        <v>76.92</v>
      </c>
      <c r="J15" s="123">
        <v>77.040000000000006</v>
      </c>
      <c r="K15" s="123">
        <v>3.33</v>
      </c>
      <c r="L15" s="102">
        <f t="shared" si="0"/>
        <v>25</v>
      </c>
      <c r="M15" s="103">
        <f t="shared" si="1"/>
        <v>7226.5</v>
      </c>
      <c r="N15" s="104">
        <f t="shared" si="2"/>
        <v>11538</v>
      </c>
      <c r="O15" s="105">
        <f t="shared" si="3"/>
        <v>0.59662353836573723</v>
      </c>
      <c r="P15" s="106">
        <f t="shared" si="4"/>
        <v>23.099099099099099</v>
      </c>
      <c r="Q15" s="144" t="str">
        <f t="shared" si="5"/>
        <v>LARGE</v>
      </c>
      <c r="R15" s="105">
        <f t="shared" si="6"/>
        <v>0.12590640498911496</v>
      </c>
    </row>
    <row r="16" spans="1:18" ht="14" x14ac:dyDescent="0.15">
      <c r="B16" s="118" t="s">
        <v>67</v>
      </c>
      <c r="C16" s="119" t="s">
        <v>68</v>
      </c>
      <c r="D16" s="119" t="s">
        <v>8</v>
      </c>
      <c r="E16" s="120">
        <v>150</v>
      </c>
      <c r="F16" s="121">
        <v>40291</v>
      </c>
      <c r="G16" s="122">
        <v>29.48</v>
      </c>
      <c r="H16" s="128">
        <v>12904283053</v>
      </c>
      <c r="I16" s="123">
        <v>41.27</v>
      </c>
      <c r="J16" s="123">
        <v>41.55</v>
      </c>
      <c r="K16" s="123">
        <v>3.22</v>
      </c>
      <c r="L16" s="102">
        <f t="shared" si="0"/>
        <v>25</v>
      </c>
      <c r="M16" s="103">
        <f t="shared" si="1"/>
        <v>4447</v>
      </c>
      <c r="N16" s="104">
        <f t="shared" si="2"/>
        <v>6190.5000000000009</v>
      </c>
      <c r="O16" s="105">
        <f t="shared" si="3"/>
        <v>0.39206206431302021</v>
      </c>
      <c r="P16" s="106">
        <f t="shared" si="4"/>
        <v>12.816770186335404</v>
      </c>
      <c r="Q16" s="144" t="str">
        <f t="shared" si="5"/>
        <v>LARGE</v>
      </c>
      <c r="R16" s="105">
        <f t="shared" si="6"/>
        <v>6.7552747450608103E-2</v>
      </c>
    </row>
    <row r="17" spans="2:18" ht="14" x14ac:dyDescent="0.15">
      <c r="B17" s="119" t="s">
        <v>25</v>
      </c>
      <c r="C17" s="119" t="s">
        <v>69</v>
      </c>
      <c r="D17" s="119" t="s">
        <v>8</v>
      </c>
      <c r="E17" s="120">
        <v>100</v>
      </c>
      <c r="F17" s="121">
        <v>40291</v>
      </c>
      <c r="G17" s="122">
        <v>54.53</v>
      </c>
      <c r="H17" s="128">
        <v>215292624570</v>
      </c>
      <c r="I17" s="123">
        <v>68.56</v>
      </c>
      <c r="J17" s="123">
        <v>68.47</v>
      </c>
      <c r="K17" s="123">
        <v>4.57</v>
      </c>
      <c r="L17" s="102">
        <f t="shared" si="0"/>
        <v>25</v>
      </c>
      <c r="M17" s="103">
        <f t="shared" si="1"/>
        <v>5478</v>
      </c>
      <c r="N17" s="104">
        <f t="shared" si="2"/>
        <v>6856</v>
      </c>
      <c r="O17" s="105">
        <f t="shared" si="3"/>
        <v>0.25155166119021538</v>
      </c>
      <c r="P17" s="106">
        <f t="shared" si="4"/>
        <v>15.002188183807439</v>
      </c>
      <c r="Q17" s="144" t="str">
        <f t="shared" si="5"/>
        <v>LARGE</v>
      </c>
      <c r="R17" s="105">
        <f t="shared" si="6"/>
        <v>7.4814899688453118E-2</v>
      </c>
    </row>
    <row r="18" spans="2:18" x14ac:dyDescent="0.15">
      <c r="M18" s="8">
        <f>SUM(M7:M17)</f>
        <v>69422.23000000001</v>
      </c>
      <c r="N18" s="8">
        <f>SUM(N7:N17)</f>
        <v>91639.5</v>
      </c>
      <c r="O18" s="9">
        <f t="shared" si="3"/>
        <v>0.32003106209639171</v>
      </c>
      <c r="R18" s="16">
        <f>SUM(R7:R17)</f>
        <v>1</v>
      </c>
    </row>
  </sheetData>
  <conditionalFormatting sqref="B7:R17">
    <cfRule type="expression" dxfId="0" priority="1">
      <formula>$M7&gt;=LARGE($M$7:$M$17,3)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8"/>
  <sheetViews>
    <sheetView workbookViewId="0">
      <selection activeCell="D24" sqref="D24"/>
    </sheetView>
  </sheetViews>
  <sheetFormatPr baseColWidth="10" defaultColWidth="8.83203125" defaultRowHeight="13" x14ac:dyDescent="0.15"/>
  <cols>
    <col min="1" max="1" width="19.5" customWidth="1"/>
    <col min="2" max="2" width="12" customWidth="1"/>
    <col min="3" max="3" width="20.33203125" customWidth="1"/>
    <col min="4" max="4" width="14.5" customWidth="1"/>
    <col min="5" max="5" width="14.33203125" bestFit="1" customWidth="1"/>
    <col min="6" max="6" width="14.83203125" bestFit="1" customWidth="1"/>
    <col min="7" max="7" width="15.33203125" customWidth="1"/>
    <col min="8" max="8" width="18.5" bestFit="1" customWidth="1"/>
    <col min="9" max="9" width="14.5" bestFit="1" customWidth="1"/>
    <col min="10" max="11" width="18.83203125" bestFit="1" customWidth="1"/>
    <col min="12" max="12" width="10" bestFit="1" customWidth="1"/>
    <col min="13" max="13" width="13.33203125" bestFit="1" customWidth="1"/>
    <col min="14" max="14" width="13.6640625" bestFit="1" customWidth="1"/>
    <col min="16" max="16" width="11.6640625" customWidth="1"/>
    <col min="17" max="17" width="15.1640625" customWidth="1"/>
    <col min="18" max="18" width="20" bestFit="1" customWidth="1"/>
  </cols>
  <sheetData>
    <row r="1" spans="1:18" s="5" customFormat="1" ht="17" thickBot="1" x14ac:dyDescent="0.25">
      <c r="A1" s="24" t="s">
        <v>90</v>
      </c>
      <c r="B1" s="25"/>
      <c r="C1" s="26"/>
      <c r="D1" s="26"/>
      <c r="E1" s="26"/>
      <c r="F1" s="26"/>
      <c r="G1" s="27"/>
    </row>
    <row r="3" spans="1:18" ht="14" thickBot="1" x14ac:dyDescent="0.2"/>
    <row r="4" spans="1:18" x14ac:dyDescent="0.15">
      <c r="I4" s="63" t="s">
        <v>44</v>
      </c>
    </row>
    <row r="5" spans="1:18" x14ac:dyDescent="0.15">
      <c r="I5" s="132">
        <v>42886</v>
      </c>
    </row>
    <row r="6" spans="1:18" x14ac:dyDescent="0.15">
      <c r="A6" s="133" t="s">
        <v>79</v>
      </c>
      <c r="B6" s="133" t="s">
        <v>0</v>
      </c>
      <c r="C6" s="133" t="s">
        <v>1</v>
      </c>
      <c r="D6" s="133" t="s">
        <v>2</v>
      </c>
      <c r="E6" s="133" t="s">
        <v>3</v>
      </c>
      <c r="F6" s="133" t="s">
        <v>4</v>
      </c>
      <c r="G6" s="133" t="s">
        <v>5</v>
      </c>
      <c r="H6" s="133" t="s">
        <v>11</v>
      </c>
      <c r="I6" s="133" t="s">
        <v>12</v>
      </c>
      <c r="J6" s="133" t="s">
        <v>13</v>
      </c>
      <c r="K6" s="133" t="s">
        <v>14</v>
      </c>
      <c r="L6" s="133" t="s">
        <v>15</v>
      </c>
      <c r="M6" s="133" t="s">
        <v>16</v>
      </c>
      <c r="N6" s="133" t="s">
        <v>18</v>
      </c>
      <c r="O6" s="133" t="s">
        <v>19</v>
      </c>
      <c r="P6" s="133" t="s">
        <v>20</v>
      </c>
      <c r="Q6" s="133" t="s">
        <v>21</v>
      </c>
      <c r="R6" s="133" t="s">
        <v>17</v>
      </c>
    </row>
    <row r="7" spans="1:18" ht="28" x14ac:dyDescent="0.15">
      <c r="A7" s="146" t="str">
        <f>IF(K7&gt;5,"Buy",IF(AND(K7&gt;=2,K7&lt;=5),"Hold",IF(K7&lt;2,"Sell","N/A")))</f>
        <v>Buy</v>
      </c>
      <c r="B7" s="118" t="s">
        <v>22</v>
      </c>
      <c r="C7" s="119" t="s">
        <v>6</v>
      </c>
      <c r="D7" s="119" t="s">
        <v>7</v>
      </c>
      <c r="E7" s="120">
        <v>50</v>
      </c>
      <c r="F7" s="121">
        <v>40291</v>
      </c>
      <c r="G7" s="122">
        <v>129.99</v>
      </c>
      <c r="H7" s="128">
        <v>143459520609</v>
      </c>
      <c r="I7" s="123">
        <v>147.93</v>
      </c>
      <c r="J7" s="123">
        <v>149.31</v>
      </c>
      <c r="K7" s="123">
        <v>13.42</v>
      </c>
      <c r="L7" s="102">
        <f t="shared" ref="L7:L17" si="0">IF(E7*G7*0.01&lt;25,E7*G7*0.01,25)</f>
        <v>25</v>
      </c>
      <c r="M7" s="103">
        <f t="shared" ref="M7:M17" si="1">E7*G7+L7</f>
        <v>6524.5</v>
      </c>
      <c r="N7" s="104">
        <f t="shared" ref="N7:N17" si="2">I7*E7</f>
        <v>7396.5</v>
      </c>
      <c r="O7" s="105">
        <f t="shared" ref="O7:O18" si="3">(N7-M7)/M7</f>
        <v>0.13365008812935858</v>
      </c>
      <c r="P7" s="106">
        <f t="shared" ref="P7:P17" si="4">I7/K7</f>
        <v>11.023099850968704</v>
      </c>
      <c r="Q7" s="144" t="str">
        <f>IF(H7&lt;5000000000,"SMALL",IF(H7&gt;10000000000,"LARGE","MEDIUM"))</f>
        <v>LARGE</v>
      </c>
      <c r="R7" s="105">
        <f>N7/$N$18</f>
        <v>8.0713011310624791E-2</v>
      </c>
    </row>
    <row r="8" spans="1:18" ht="14" x14ac:dyDescent="0.15">
      <c r="A8" s="146" t="str">
        <f t="shared" ref="A8:A17" si="5">IF(K8&gt;5,"Buy",IF(AND(K8&gt;=2,K8&lt;=5),"Hold",IF(K8&lt;2,"Sell","N/A")))</f>
        <v>Sell</v>
      </c>
      <c r="B8" s="118" t="s">
        <v>42</v>
      </c>
      <c r="C8" s="119" t="s">
        <v>43</v>
      </c>
      <c r="D8" s="119" t="s">
        <v>7</v>
      </c>
      <c r="E8" s="120">
        <v>150</v>
      </c>
      <c r="F8" s="121">
        <v>40291</v>
      </c>
      <c r="G8" s="122">
        <v>30.96</v>
      </c>
      <c r="H8" s="128">
        <v>441180908733</v>
      </c>
      <c r="I8" s="123">
        <v>51.9</v>
      </c>
      <c r="J8" s="123">
        <v>55.79</v>
      </c>
      <c r="K8" s="123">
        <v>1.3</v>
      </c>
      <c r="L8" s="102">
        <f t="shared" si="0"/>
        <v>25</v>
      </c>
      <c r="M8" s="103">
        <f t="shared" si="1"/>
        <v>4669</v>
      </c>
      <c r="N8" s="104">
        <f t="shared" si="2"/>
        <v>7785</v>
      </c>
      <c r="O8" s="105">
        <f t="shared" si="3"/>
        <v>0.66738059541657746</v>
      </c>
      <c r="P8" s="106">
        <f t="shared" si="4"/>
        <v>39.92307692307692</v>
      </c>
      <c r="Q8" s="144" t="str">
        <f t="shared" ref="Q8:Q17" si="6">IF(H8&lt;5000000000,"SMALL",IF(H8&gt;10000000000,"LARGE","MEDIUM"))</f>
        <v>LARGE</v>
      </c>
      <c r="R8" s="105">
        <f t="shared" ref="R8:R17" si="7">N8/$N$18</f>
        <v>8.4952449544137623E-2</v>
      </c>
    </row>
    <row r="9" spans="1:18" ht="14" x14ac:dyDescent="0.15">
      <c r="A9" s="146" t="str">
        <f t="shared" si="5"/>
        <v>Sell</v>
      </c>
      <c r="B9" s="118" t="s">
        <v>23</v>
      </c>
      <c r="C9" s="119" t="s">
        <v>9</v>
      </c>
      <c r="D9" s="119" t="s">
        <v>7</v>
      </c>
      <c r="E9" s="120">
        <v>200</v>
      </c>
      <c r="F9" s="121">
        <v>40291</v>
      </c>
      <c r="G9" s="122">
        <v>14.32</v>
      </c>
      <c r="H9" s="128">
        <v>4504830000</v>
      </c>
      <c r="I9" s="123">
        <v>35.89</v>
      </c>
      <c r="J9" s="123">
        <v>36.299999999999997</v>
      </c>
      <c r="K9" s="123">
        <v>1.49</v>
      </c>
      <c r="L9" s="102">
        <f t="shared" si="0"/>
        <v>25</v>
      </c>
      <c r="M9" s="103">
        <f t="shared" si="1"/>
        <v>2889</v>
      </c>
      <c r="N9" s="104">
        <f t="shared" si="2"/>
        <v>7178</v>
      </c>
      <c r="O9" s="105">
        <f t="shared" si="3"/>
        <v>1.4845967462789893</v>
      </c>
      <c r="P9" s="106">
        <f t="shared" si="4"/>
        <v>24.087248322147651</v>
      </c>
      <c r="Q9" s="144" t="str">
        <f t="shared" si="6"/>
        <v>SMALL</v>
      </c>
      <c r="R9" s="105">
        <f t="shared" si="7"/>
        <v>7.8328668314427724E-2</v>
      </c>
    </row>
    <row r="10" spans="1:18" ht="14" x14ac:dyDescent="0.15">
      <c r="A10" s="146" t="str">
        <f t="shared" si="5"/>
        <v>Sell</v>
      </c>
      <c r="B10" s="119" t="s">
        <v>70</v>
      </c>
      <c r="C10" s="119" t="s">
        <v>71</v>
      </c>
      <c r="D10" s="119" t="s">
        <v>7</v>
      </c>
      <c r="E10" s="124">
        <v>150</v>
      </c>
      <c r="F10" s="125">
        <v>40291</v>
      </c>
      <c r="G10" s="126">
        <v>49.48</v>
      </c>
      <c r="H10" s="129">
        <v>28211686296</v>
      </c>
      <c r="I10" s="127">
        <v>24.55</v>
      </c>
      <c r="J10" s="127">
        <v>24.7</v>
      </c>
      <c r="K10" s="127">
        <v>1.42</v>
      </c>
      <c r="L10" s="102">
        <f t="shared" si="0"/>
        <v>25</v>
      </c>
      <c r="M10" s="103">
        <f t="shared" si="1"/>
        <v>7446.9999999999991</v>
      </c>
      <c r="N10" s="104">
        <f t="shared" si="2"/>
        <v>3682.5</v>
      </c>
      <c r="O10" s="105">
        <f t="shared" si="3"/>
        <v>-0.50550557271384444</v>
      </c>
      <c r="P10" s="106">
        <f t="shared" si="4"/>
        <v>17.2887323943662</v>
      </c>
      <c r="Q10" s="144" t="str">
        <f t="shared" si="6"/>
        <v>LARGE</v>
      </c>
      <c r="R10" s="105">
        <f t="shared" si="7"/>
        <v>4.0184636537737545E-2</v>
      </c>
    </row>
    <row r="11" spans="1:18" ht="14" x14ac:dyDescent="0.15">
      <c r="A11" s="146" t="str">
        <f t="shared" si="5"/>
        <v>Buy</v>
      </c>
      <c r="B11" s="118" t="s">
        <v>72</v>
      </c>
      <c r="C11" s="119" t="s">
        <v>73</v>
      </c>
      <c r="D11" s="145" t="s">
        <v>74</v>
      </c>
      <c r="E11" s="120">
        <v>100</v>
      </c>
      <c r="F11" s="121">
        <v>40291</v>
      </c>
      <c r="G11" s="122">
        <v>105.48</v>
      </c>
      <c r="H11" s="128">
        <v>123606162095</v>
      </c>
      <c r="I11" s="123">
        <v>162.72</v>
      </c>
      <c r="J11" s="123">
        <v>164.4</v>
      </c>
      <c r="K11" s="123">
        <v>9.06</v>
      </c>
      <c r="L11" s="102">
        <f t="shared" si="0"/>
        <v>25</v>
      </c>
      <c r="M11" s="103">
        <f t="shared" si="1"/>
        <v>10573</v>
      </c>
      <c r="N11" s="104">
        <f t="shared" si="2"/>
        <v>16272</v>
      </c>
      <c r="O11" s="105">
        <f t="shared" si="3"/>
        <v>0.5390144708219049</v>
      </c>
      <c r="P11" s="106">
        <f t="shared" si="4"/>
        <v>17.960264900662249</v>
      </c>
      <c r="Q11" s="144" t="str">
        <f t="shared" si="6"/>
        <v>LARGE</v>
      </c>
      <c r="R11" s="105">
        <f t="shared" si="7"/>
        <v>0.17756535118589692</v>
      </c>
    </row>
    <row r="12" spans="1:18" ht="14" x14ac:dyDescent="0.15">
      <c r="A12" s="146" t="str">
        <f t="shared" si="5"/>
        <v>Hold</v>
      </c>
      <c r="B12" s="118" t="s">
        <v>75</v>
      </c>
      <c r="C12" s="119" t="s">
        <v>76</v>
      </c>
      <c r="D12" s="119" t="s">
        <v>74</v>
      </c>
      <c r="E12" s="120">
        <v>50</v>
      </c>
      <c r="F12" s="121">
        <v>40291</v>
      </c>
      <c r="G12" s="122">
        <v>35.46</v>
      </c>
      <c r="H12" s="128">
        <v>85578452934</v>
      </c>
      <c r="I12" s="123">
        <v>77.38</v>
      </c>
      <c r="J12" s="123">
        <v>77.37</v>
      </c>
      <c r="K12" s="123">
        <v>2.2599999999999998</v>
      </c>
      <c r="L12" s="102">
        <f t="shared" si="0"/>
        <v>17.73</v>
      </c>
      <c r="M12" s="103">
        <f t="shared" si="1"/>
        <v>1790.73</v>
      </c>
      <c r="N12" s="104">
        <f t="shared" si="2"/>
        <v>3869</v>
      </c>
      <c r="O12" s="105">
        <f t="shared" si="3"/>
        <v>1.1605713870879473</v>
      </c>
      <c r="P12" s="106">
        <f t="shared" si="4"/>
        <v>34.23893805309735</v>
      </c>
      <c r="Q12" s="144" t="str">
        <f t="shared" si="6"/>
        <v>LARGE</v>
      </c>
      <c r="R12" s="105">
        <f t="shared" si="7"/>
        <v>4.221978513632222E-2</v>
      </c>
    </row>
    <row r="13" spans="1:18" ht="14" x14ac:dyDescent="0.15">
      <c r="A13" s="146" t="str">
        <f t="shared" si="5"/>
        <v>Sell</v>
      </c>
      <c r="B13" s="118" t="s">
        <v>77</v>
      </c>
      <c r="C13" s="119" t="s">
        <v>78</v>
      </c>
      <c r="D13" s="119" t="s">
        <v>74</v>
      </c>
      <c r="E13" s="120">
        <v>150</v>
      </c>
      <c r="F13" s="121">
        <v>40291</v>
      </c>
      <c r="G13" s="122">
        <v>44.21</v>
      </c>
      <c r="H13" s="128">
        <v>141417916147</v>
      </c>
      <c r="I13" s="123">
        <v>78.44</v>
      </c>
      <c r="J13" s="123">
        <v>78.55</v>
      </c>
      <c r="K13" s="123">
        <v>1.7</v>
      </c>
      <c r="L13" s="102">
        <f t="shared" si="0"/>
        <v>25</v>
      </c>
      <c r="M13" s="103">
        <f t="shared" si="1"/>
        <v>6656.5</v>
      </c>
      <c r="N13" s="104">
        <f t="shared" si="2"/>
        <v>11766</v>
      </c>
      <c r="O13" s="105">
        <f t="shared" si="3"/>
        <v>0.7675955832644783</v>
      </c>
      <c r="P13" s="106">
        <f t="shared" si="4"/>
        <v>46.141176470588235</v>
      </c>
      <c r="Q13" s="144" t="str">
        <f t="shared" si="6"/>
        <v>LARGE</v>
      </c>
      <c r="R13" s="105">
        <f t="shared" si="7"/>
        <v>0.1283944150721032</v>
      </c>
    </row>
    <row r="14" spans="1:18" ht="14" x14ac:dyDescent="0.15">
      <c r="A14" s="146" t="str">
        <f t="shared" si="5"/>
        <v>Hold</v>
      </c>
      <c r="B14" s="119" t="s">
        <v>54</v>
      </c>
      <c r="C14" s="119" t="s">
        <v>57</v>
      </c>
      <c r="D14" s="119" t="s">
        <v>8</v>
      </c>
      <c r="E14" s="120">
        <v>200</v>
      </c>
      <c r="F14" s="121">
        <v>40291</v>
      </c>
      <c r="G14" s="122">
        <v>58.48</v>
      </c>
      <c r="H14" s="128">
        <v>8412223535</v>
      </c>
      <c r="I14" s="123">
        <v>45.53</v>
      </c>
      <c r="J14" s="123">
        <v>45.43</v>
      </c>
      <c r="K14" s="123">
        <v>3.46</v>
      </c>
      <c r="L14" s="102">
        <f t="shared" si="0"/>
        <v>25</v>
      </c>
      <c r="M14" s="103">
        <f t="shared" si="1"/>
        <v>11721</v>
      </c>
      <c r="N14" s="104">
        <f t="shared" si="2"/>
        <v>9106</v>
      </c>
      <c r="O14" s="105">
        <f t="shared" si="3"/>
        <v>-0.22310383073116627</v>
      </c>
      <c r="P14" s="106">
        <f t="shared" si="4"/>
        <v>13.158959537572255</v>
      </c>
      <c r="Q14" s="144" t="str">
        <f t="shared" si="6"/>
        <v>MEDIUM</v>
      </c>
      <c r="R14" s="105">
        <f t="shared" si="7"/>
        <v>9.9367630770573825E-2</v>
      </c>
    </row>
    <row r="15" spans="1:18" ht="14" x14ac:dyDescent="0.15">
      <c r="A15" s="146" t="str">
        <f t="shared" si="5"/>
        <v>Hold</v>
      </c>
      <c r="B15" s="119" t="s">
        <v>24</v>
      </c>
      <c r="C15" s="119" t="s">
        <v>10</v>
      </c>
      <c r="D15" s="119" t="s">
        <v>8</v>
      </c>
      <c r="E15" s="120">
        <v>150</v>
      </c>
      <c r="F15" s="121">
        <v>40291</v>
      </c>
      <c r="G15" s="122">
        <v>48.01</v>
      </c>
      <c r="H15" s="128">
        <v>51026148620</v>
      </c>
      <c r="I15" s="123">
        <v>76.92</v>
      </c>
      <c r="J15" s="123">
        <v>77.040000000000006</v>
      </c>
      <c r="K15" s="123">
        <v>3.33</v>
      </c>
      <c r="L15" s="102">
        <f t="shared" si="0"/>
        <v>25</v>
      </c>
      <c r="M15" s="103">
        <f t="shared" si="1"/>
        <v>7226.5</v>
      </c>
      <c r="N15" s="104">
        <f t="shared" si="2"/>
        <v>11538</v>
      </c>
      <c r="O15" s="105">
        <f t="shared" si="3"/>
        <v>0.59662353836573723</v>
      </c>
      <c r="P15" s="106">
        <f t="shared" si="4"/>
        <v>23.099099099099099</v>
      </c>
      <c r="Q15" s="144" t="str">
        <f t="shared" si="6"/>
        <v>LARGE</v>
      </c>
      <c r="R15" s="105">
        <f t="shared" si="7"/>
        <v>0.12590640498911496</v>
      </c>
    </row>
    <row r="16" spans="1:18" ht="14" x14ac:dyDescent="0.15">
      <c r="A16" s="146" t="str">
        <f t="shared" si="5"/>
        <v>Hold</v>
      </c>
      <c r="B16" s="118" t="s">
        <v>67</v>
      </c>
      <c r="C16" s="119" t="s">
        <v>68</v>
      </c>
      <c r="D16" s="119" t="s">
        <v>8</v>
      </c>
      <c r="E16" s="120">
        <v>150</v>
      </c>
      <c r="F16" s="121">
        <v>40291</v>
      </c>
      <c r="G16" s="122">
        <v>29.48</v>
      </c>
      <c r="H16" s="128">
        <v>12904283053</v>
      </c>
      <c r="I16" s="123">
        <v>41.27</v>
      </c>
      <c r="J16" s="123">
        <v>41.55</v>
      </c>
      <c r="K16" s="123">
        <v>3.22</v>
      </c>
      <c r="L16" s="102">
        <f t="shared" si="0"/>
        <v>25</v>
      </c>
      <c r="M16" s="103">
        <f t="shared" si="1"/>
        <v>4447</v>
      </c>
      <c r="N16" s="104">
        <f t="shared" si="2"/>
        <v>6190.5000000000009</v>
      </c>
      <c r="O16" s="105">
        <f t="shared" si="3"/>
        <v>0.39206206431302021</v>
      </c>
      <c r="P16" s="106">
        <f t="shared" si="4"/>
        <v>12.816770186335404</v>
      </c>
      <c r="Q16" s="144" t="str">
        <f t="shared" si="6"/>
        <v>LARGE</v>
      </c>
      <c r="R16" s="105">
        <f t="shared" si="7"/>
        <v>6.7552747450608103E-2</v>
      </c>
    </row>
    <row r="17" spans="1:18" ht="14" x14ac:dyDescent="0.15">
      <c r="A17" s="146" t="str">
        <f t="shared" si="5"/>
        <v>Hold</v>
      </c>
      <c r="B17" s="119" t="s">
        <v>25</v>
      </c>
      <c r="C17" s="119" t="s">
        <v>69</v>
      </c>
      <c r="D17" s="119" t="s">
        <v>8</v>
      </c>
      <c r="E17" s="120">
        <v>100</v>
      </c>
      <c r="F17" s="121">
        <v>40291</v>
      </c>
      <c r="G17" s="122">
        <v>54.53</v>
      </c>
      <c r="H17" s="128">
        <v>215292624570</v>
      </c>
      <c r="I17" s="123">
        <v>68.56</v>
      </c>
      <c r="J17" s="123">
        <v>68.47</v>
      </c>
      <c r="K17" s="123">
        <v>4.57</v>
      </c>
      <c r="L17" s="102">
        <f t="shared" si="0"/>
        <v>25</v>
      </c>
      <c r="M17" s="103">
        <f t="shared" si="1"/>
        <v>5478</v>
      </c>
      <c r="N17" s="104">
        <f t="shared" si="2"/>
        <v>6856</v>
      </c>
      <c r="O17" s="105">
        <f t="shared" si="3"/>
        <v>0.25155166119021538</v>
      </c>
      <c r="P17" s="106">
        <f t="shared" si="4"/>
        <v>15.002188183807439</v>
      </c>
      <c r="Q17" s="144" t="str">
        <f t="shared" si="6"/>
        <v>LARGE</v>
      </c>
      <c r="R17" s="105">
        <f t="shared" si="7"/>
        <v>7.4814899688453118E-2</v>
      </c>
    </row>
    <row r="18" spans="1:18" x14ac:dyDescent="0.15">
      <c r="M18" s="8">
        <f>SUM(M7:M17)</f>
        <v>69422.23000000001</v>
      </c>
      <c r="N18" s="8">
        <f>SUM(N7:N17)</f>
        <v>91639.5</v>
      </c>
      <c r="O18" s="9">
        <f t="shared" si="3"/>
        <v>0.32003106209639171</v>
      </c>
      <c r="R18" s="16">
        <f>SUM(R7:R17)</f>
        <v>1</v>
      </c>
    </row>
  </sheetData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17"/>
  <sheetViews>
    <sheetView workbookViewId="0">
      <selection activeCell="D14" sqref="D14"/>
    </sheetView>
  </sheetViews>
  <sheetFormatPr baseColWidth="10" defaultColWidth="8.83203125" defaultRowHeight="13" x14ac:dyDescent="0.15"/>
  <cols>
    <col min="1" max="1" width="19.5" bestFit="1" customWidth="1"/>
    <col min="2" max="2" width="15.83203125" bestFit="1" customWidth="1"/>
    <col min="3" max="3" width="8.33203125" bestFit="1" customWidth="1"/>
    <col min="4" max="4" width="17.6640625" bestFit="1" customWidth="1"/>
    <col min="5" max="5" width="13.83203125" bestFit="1" customWidth="1"/>
    <col min="6" max="6" width="14.33203125" bestFit="1" customWidth="1"/>
    <col min="7" max="7" width="13.5" bestFit="1" customWidth="1"/>
    <col min="8" max="8" width="9.6640625" bestFit="1" customWidth="1"/>
    <col min="9" max="9" width="14.5" bestFit="1" customWidth="1"/>
    <col min="10" max="10" width="18.83203125" bestFit="1" customWidth="1"/>
    <col min="11" max="11" width="11.6640625" bestFit="1" customWidth="1"/>
    <col min="12" max="12" width="10" bestFit="1" customWidth="1"/>
    <col min="13" max="13" width="13.6640625" bestFit="1" customWidth="1"/>
    <col min="14" max="14" width="7" bestFit="1" customWidth="1"/>
    <col min="15" max="15" width="9.33203125" bestFit="1" customWidth="1"/>
    <col min="16" max="16" width="20.5" bestFit="1" customWidth="1"/>
    <col min="17" max="17" width="20" bestFit="1" customWidth="1"/>
  </cols>
  <sheetData>
    <row r="1" spans="1:17" ht="17" thickBot="1" x14ac:dyDescent="0.25">
      <c r="A1" s="30" t="s">
        <v>89</v>
      </c>
      <c r="B1" s="31"/>
      <c r="C1" s="32"/>
      <c r="D1" s="32"/>
      <c r="E1" s="32"/>
      <c r="F1" s="32"/>
      <c r="G1" s="33"/>
      <c r="H1" s="21"/>
    </row>
    <row r="2" spans="1:17" ht="16" x14ac:dyDescent="0.2">
      <c r="A2" s="28" t="s">
        <v>32</v>
      </c>
      <c r="B2" s="29"/>
      <c r="C2" s="29"/>
      <c r="D2" s="29"/>
      <c r="E2" s="17"/>
      <c r="F2" s="1"/>
      <c r="G2" s="1"/>
    </row>
    <row r="3" spans="1:17" ht="14" thickBot="1" x14ac:dyDescent="0.2">
      <c r="A3" s="48" t="s">
        <v>45</v>
      </c>
      <c r="B3" s="49"/>
      <c r="C3" s="49"/>
      <c r="D3" s="49"/>
    </row>
    <row r="4" spans="1:17" ht="17" thickBot="1" x14ac:dyDescent="0.25">
      <c r="A4" s="35" t="s">
        <v>46</v>
      </c>
      <c r="B4" s="26"/>
      <c r="C4" s="27"/>
      <c r="D4" s="23"/>
    </row>
    <row r="5" spans="1:17" ht="16" x14ac:dyDescent="0.2">
      <c r="A5" s="36"/>
      <c r="B5" s="36"/>
      <c r="C5" s="36"/>
    </row>
    <row r="6" spans="1:17" x14ac:dyDescent="0.15">
      <c r="A6" s="34" t="s">
        <v>0</v>
      </c>
      <c r="B6" s="34" t="s">
        <v>1</v>
      </c>
      <c r="C6" s="34" t="s">
        <v>2</v>
      </c>
      <c r="D6" s="7" t="s">
        <v>3</v>
      </c>
      <c r="E6" s="7" t="s">
        <v>4</v>
      </c>
      <c r="F6" s="7" t="s">
        <v>5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17</v>
      </c>
    </row>
    <row r="7" spans="1:17" x14ac:dyDescent="0.15">
      <c r="A7" s="114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101</v>
      </c>
      <c r="Q7" s="114"/>
    </row>
    <row r="11" spans="1:17" ht="14" thickBot="1" x14ac:dyDescent="0.2">
      <c r="B11" s="1"/>
    </row>
    <row r="12" spans="1:17" ht="17" thickBot="1" x14ac:dyDescent="0.25">
      <c r="A12" s="2" t="s">
        <v>66</v>
      </c>
      <c r="B12" s="2"/>
      <c r="C12" s="2"/>
      <c r="D12" s="226">
        <f>DMAX(Database5,"Return",Criteria5)</f>
        <v>1.1605713870879473</v>
      </c>
    </row>
    <row r="13" spans="1:17" ht="17" thickBot="1" x14ac:dyDescent="0.25">
      <c r="A13" s="2"/>
      <c r="B13" s="5"/>
      <c r="C13" s="5"/>
      <c r="D13" s="5"/>
    </row>
    <row r="14" spans="1:17" ht="17" thickBot="1" x14ac:dyDescent="0.25">
      <c r="A14" s="2" t="s">
        <v>63</v>
      </c>
      <c r="B14" s="2"/>
      <c r="C14" s="2"/>
      <c r="D14" s="112">
        <f>DMIN(Database5,"P/E Ratio",Criteria5)</f>
        <v>11.023099850968704</v>
      </c>
    </row>
    <row r="15" spans="1:17" ht="17" thickBot="1" x14ac:dyDescent="0.25">
      <c r="A15" s="5"/>
      <c r="B15" s="2"/>
      <c r="C15" s="5"/>
      <c r="D15" s="5"/>
    </row>
    <row r="16" spans="1:17" ht="17" thickBot="1" x14ac:dyDescent="0.25">
      <c r="A16" s="2" t="s">
        <v>65</v>
      </c>
      <c r="B16" s="2"/>
      <c r="C16" s="5"/>
      <c r="D16" s="113">
        <f>DMIN(Database5,"Earnings Per Share",Criteria5)</f>
        <v>1.3</v>
      </c>
    </row>
    <row r="17" spans="1:4" ht="16" x14ac:dyDescent="0.2">
      <c r="A17" s="5"/>
      <c r="B17" s="5"/>
      <c r="C17" s="5"/>
      <c r="D17" s="5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9"/>
  <sheetViews>
    <sheetView workbookViewId="0">
      <selection activeCell="L6" sqref="L6"/>
    </sheetView>
  </sheetViews>
  <sheetFormatPr baseColWidth="10" defaultColWidth="8.83203125" defaultRowHeight="13" x14ac:dyDescent="0.15"/>
  <cols>
    <col min="8" max="8" width="13.1640625" bestFit="1" customWidth="1"/>
    <col min="9" max="9" width="15.5" bestFit="1" customWidth="1"/>
  </cols>
  <sheetData>
    <row r="1" spans="1:10" ht="17" thickBot="1" x14ac:dyDescent="0.25">
      <c r="A1" s="37" t="s">
        <v>88</v>
      </c>
      <c r="B1" s="22"/>
      <c r="C1" s="22"/>
      <c r="D1" s="22"/>
      <c r="E1" s="22"/>
      <c r="F1" s="22"/>
      <c r="G1" s="22"/>
      <c r="H1" s="22"/>
      <c r="I1" s="22"/>
      <c r="J1" s="23"/>
    </row>
    <row r="2" spans="1:10" ht="16" x14ac:dyDescent="0.2">
      <c r="A2" s="29" t="s">
        <v>60</v>
      </c>
      <c r="B2" s="21"/>
      <c r="C2" s="21"/>
      <c r="D2" s="21"/>
      <c r="E2" s="21"/>
    </row>
    <row r="15" spans="1:10" x14ac:dyDescent="0.15">
      <c r="H15" s="205" t="s">
        <v>96</v>
      </c>
      <c r="I15" t="s">
        <v>98</v>
      </c>
    </row>
    <row r="16" spans="1:10" x14ac:dyDescent="0.15">
      <c r="H16" s="206" t="s">
        <v>7</v>
      </c>
      <c r="I16" s="207">
        <v>21529.5</v>
      </c>
    </row>
    <row r="17" spans="8:9" x14ac:dyDescent="0.15">
      <c r="H17" s="206" t="s">
        <v>74</v>
      </c>
      <c r="I17" s="207">
        <v>19020.23</v>
      </c>
    </row>
    <row r="18" spans="8:9" x14ac:dyDescent="0.15">
      <c r="H18" s="206" t="s">
        <v>8</v>
      </c>
      <c r="I18" s="207">
        <v>28872.5</v>
      </c>
    </row>
    <row r="19" spans="8:9" x14ac:dyDescent="0.15">
      <c r="H19" s="206" t="s">
        <v>97</v>
      </c>
      <c r="I19" s="207">
        <v>69422.23</v>
      </c>
    </row>
  </sheetData>
  <phoneticPr fontId="3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Information_Page</vt:lpstr>
      <vt:lpstr>Portfolio</vt:lpstr>
      <vt:lpstr>Q1_OffSet</vt:lpstr>
      <vt:lpstr>Q2-PivotTable</vt:lpstr>
      <vt:lpstr>Q3-CustomSort</vt:lpstr>
      <vt:lpstr>Q4-CF</vt:lpstr>
      <vt:lpstr>Q5-IF</vt:lpstr>
      <vt:lpstr>Q6-Large Cap Data</vt:lpstr>
      <vt:lpstr>Q7-Chart</vt:lpstr>
      <vt:lpstr>Q8-Subtotal</vt:lpstr>
      <vt:lpstr>Q9-Scatterplot</vt:lpstr>
      <vt:lpstr>Q10Vlookup</vt:lpstr>
      <vt:lpstr>Q11_ScenarioAnalysis</vt:lpstr>
      <vt:lpstr>Q12_FindReturn</vt:lpstr>
      <vt:lpstr>Q13-Solver</vt:lpstr>
      <vt:lpstr>Answer Report 1</vt:lpstr>
      <vt:lpstr>CONTROL SPW1</vt:lpstr>
      <vt:lpstr>Criteria5</vt:lpstr>
      <vt:lpstr>Database5</vt:lpstr>
      <vt:lpstr>Portfolio!Extract</vt:lpstr>
      <vt:lpstr>Portfolio!Print_Area</vt:lpstr>
      <vt:lpstr>Q1_OffSet!Print_Area</vt:lpstr>
    </vt:vector>
  </TitlesOfParts>
  <Company>personal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</dc:creator>
  <cp:lastModifiedBy>Microsoft Office User</cp:lastModifiedBy>
  <cp:lastPrinted>2009-12-30T04:56:43Z</cp:lastPrinted>
  <dcterms:created xsi:type="dcterms:W3CDTF">2005-01-05T03:28:44Z</dcterms:created>
  <dcterms:modified xsi:type="dcterms:W3CDTF">2021-05-06T01:05:36Z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bedSmartTagsHasBeenSet">
    <vt:i4>1</vt:i4>
  </property>
</Properties>
</file>