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anghoffin/Documents/CASA0003/Assessment_Group/Data/"/>
    </mc:Choice>
  </mc:AlternateContent>
  <xr:revisionPtr revIDLastSave="0" documentId="8_{CA6BFEA5-D2B2-784F-8247-11F0AE6813BB}" xr6:coauthVersionLast="47" xr6:coauthVersionMax="47" xr10:uidLastSave="{00000000-0000-0000-0000-000000000000}"/>
  <bookViews>
    <workbookView xWindow="0" yWindow="500" windowWidth="28800" windowHeight="15860" xr2:uid="{B1E6C299-2CDE-4AF1-BF1A-7CDDB976751D}"/>
  </bookViews>
  <sheets>
    <sheet name="11-11-20" sheetId="1" r:id="rId1"/>
  </sheets>
  <definedNames>
    <definedName name="_xlnm.Print_Area" localSheetId="0">'11-11-20'!$A$1:$F$897</definedName>
    <definedName name="Z_523FBD4F_073C_4997_B13D_D3ABE96EAED2_.wvu.FilterData" localSheetId="0" hidden="1">'11-11-20'!$A$1:$F$896</definedName>
    <definedName name="Z_6A607DB5_CA1B_4B37_8721_DAB46156EFAA_.wvu.FilterData" localSheetId="0" hidden="1">'11-11-20'!$A$1:$F$896</definedName>
    <definedName name="Z_70E66A4F_5C95_4DD3_B423_86D154523171_.wvu.FilterData" localSheetId="0" hidden="1">'11-11-20'!$A$1:$F$746</definedName>
    <definedName name="Z_E67C5664_FCE7_4327_8BA2_FCF9529096D7_.wvu.FilterData" localSheetId="0" hidden="1">'11-11-20'!$A$1:$F$13</definedName>
    <definedName name="Z_FA2D24F9_1044_4772_9B3E_967E5341272D_.wvu.FilterData" localSheetId="0" hidden="1">'11-11-20'!$A$1:$F$896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97" i="1" l="1"/>
  <c r="E53" i="1" l="1"/>
  <c r="E636" i="1"/>
  <c r="E222" i="1"/>
  <c r="E141" i="1"/>
  <c r="E331" i="1"/>
  <c r="E342" i="1"/>
  <c r="E560" i="1"/>
  <c r="E770" i="1"/>
  <c r="E543" i="1"/>
  <c r="E143" i="1"/>
  <c r="E566" i="1"/>
  <c r="E562" i="1"/>
  <c r="E507" i="1"/>
  <c r="E144" i="1"/>
  <c r="E563" i="1"/>
  <c r="E559" i="1"/>
  <c r="E146" i="1"/>
  <c r="E340" i="1"/>
  <c r="E763" i="1"/>
  <c r="E561" i="1"/>
  <c r="E556" i="1"/>
  <c r="E78" i="1"/>
  <c r="E505" i="1"/>
  <c r="E92" i="1"/>
  <c r="E409" i="1"/>
  <c r="E142" i="1"/>
  <c r="E558" i="1"/>
  <c r="E719" i="1"/>
  <c r="E333" i="1"/>
  <c r="E557" i="1"/>
  <c r="E652" i="1"/>
  <c r="E356" i="1"/>
  <c r="E80" i="1"/>
  <c r="E697" i="1"/>
  <c r="E324" i="1"/>
  <c r="E131" i="1"/>
  <c r="E145" i="1"/>
  <c r="E870" i="1"/>
  <c r="E583" i="1"/>
  <c r="E837" i="1"/>
  <c r="E852" i="1"/>
  <c r="E150" i="1"/>
  <c r="E14" i="1"/>
  <c r="E174" i="1"/>
  <c r="E565" i="1"/>
  <c r="E443" i="1"/>
  <c r="E865" i="1"/>
  <c r="E658" i="1"/>
  <c r="E352" i="1"/>
  <c r="E314" i="1"/>
  <c r="E336" i="1"/>
  <c r="E211" i="1"/>
  <c r="E95" i="1"/>
  <c r="E204" i="1"/>
  <c r="E555" i="1"/>
  <c r="E642" i="1"/>
  <c r="E330" i="1"/>
  <c r="E696" i="1"/>
  <c r="E655" i="1"/>
  <c r="E449" i="1"/>
  <c r="E23" i="1"/>
  <c r="E499" i="1"/>
  <c r="E656" i="1"/>
  <c r="E567" i="1"/>
  <c r="E253" i="1"/>
  <c r="E64" i="1"/>
  <c r="E124" i="1"/>
  <c r="E786" i="1"/>
  <c r="E216" i="1"/>
  <c r="E147" i="1"/>
  <c r="E160" i="1"/>
  <c r="E627" i="1"/>
  <c r="E687" i="1"/>
  <c r="E617" i="1"/>
  <c r="E197" i="1"/>
  <c r="E664" i="1"/>
  <c r="E450" i="1"/>
  <c r="E127" i="1"/>
  <c r="E872" i="1"/>
  <c r="E862" i="1"/>
  <c r="E648" i="1"/>
  <c r="E73" i="1"/>
  <c r="E653" i="1"/>
  <c r="E364" i="1"/>
  <c r="E564" i="1"/>
  <c r="E370" i="1"/>
  <c r="E351" i="1"/>
  <c r="E643" i="1"/>
  <c r="E276" i="1"/>
  <c r="E97" i="1"/>
  <c r="E419" i="1"/>
  <c r="E729" i="1"/>
  <c r="E374" i="1"/>
  <c r="E292" i="1"/>
  <c r="E684" i="1"/>
  <c r="E103" i="1"/>
  <c r="E468" i="1"/>
  <c r="E654" i="1"/>
  <c r="E659" i="1"/>
  <c r="E895" i="1"/>
  <c r="E497" i="1"/>
  <c r="E16" i="1"/>
  <c r="E762" i="1"/>
  <c r="E187" i="1"/>
  <c r="E300" i="1"/>
  <c r="E77" i="1"/>
  <c r="E287" i="1"/>
  <c r="E3" i="1"/>
  <c r="E408" i="1"/>
  <c r="E725" i="1"/>
  <c r="E619" i="1"/>
  <c r="E281" i="1"/>
  <c r="E166" i="1"/>
  <c r="E203" i="1"/>
  <c r="E410" i="1"/>
  <c r="E444" i="1"/>
  <c r="E479" i="1"/>
  <c r="E853" i="1"/>
  <c r="E79" i="1"/>
  <c r="E338" i="1"/>
  <c r="E332" i="1"/>
  <c r="E321" i="1"/>
  <c r="E448" i="1"/>
  <c r="E115" i="1"/>
  <c r="E532" i="1"/>
  <c r="E812" i="1"/>
  <c r="E51" i="1"/>
  <c r="E8" i="1"/>
  <c r="E341" i="1"/>
  <c r="E779" i="1"/>
  <c r="E635" i="1"/>
  <c r="E24" i="1"/>
  <c r="E683" i="1"/>
  <c r="E533" i="1"/>
  <c r="E873" i="1"/>
  <c r="E698" i="1"/>
  <c r="E601" i="1"/>
  <c r="E824" i="1"/>
  <c r="E795" i="1"/>
  <c r="E7" i="1"/>
  <c r="E576" i="1"/>
  <c r="E625" i="1"/>
  <c r="E782" i="1"/>
  <c r="E785" i="1"/>
  <c r="E893" i="1"/>
  <c r="E136" i="1"/>
  <c r="E447" i="1"/>
  <c r="E17" i="1"/>
  <c r="E212" i="1"/>
  <c r="E260" i="1"/>
  <c r="E196" i="1"/>
  <c r="E367" i="1"/>
  <c r="E587" i="1"/>
  <c r="E405" i="1"/>
  <c r="E162" i="1"/>
  <c r="E508" i="1"/>
  <c r="E572" i="1"/>
  <c r="E469" i="1"/>
  <c r="E889" i="1"/>
  <c r="E432" i="1"/>
  <c r="E881" i="1"/>
  <c r="E122" i="1"/>
  <c r="E101" i="1"/>
  <c r="E220" i="1"/>
  <c r="E861" i="1"/>
  <c r="E55" i="1"/>
  <c r="E345" i="1"/>
  <c r="E379" i="1"/>
  <c r="E806" i="1"/>
  <c r="E844" i="1"/>
  <c r="E680" i="1"/>
  <c r="E88" i="1"/>
  <c r="E500" i="1"/>
  <c r="E639" i="1"/>
  <c r="E50" i="1"/>
  <c r="E880" i="1"/>
  <c r="E888" i="1"/>
  <c r="E152" i="1"/>
  <c r="E777" i="1"/>
  <c r="E76" i="1"/>
  <c r="E184" i="1"/>
  <c r="E599" i="1"/>
  <c r="E706" i="1"/>
  <c r="E84" i="1"/>
  <c r="E265" i="1"/>
  <c r="E68" i="1"/>
  <c r="E303" i="1"/>
  <c r="E423" i="1"/>
  <c r="E514" i="1"/>
  <c r="E517" i="1"/>
  <c r="E678" i="1"/>
  <c r="E784" i="1"/>
  <c r="E871" i="1"/>
  <c r="E733" i="1"/>
  <c r="E794" i="1"/>
  <c r="E396" i="1"/>
  <c r="E813" i="1"/>
  <c r="E494" i="1"/>
  <c r="E722" i="1"/>
  <c r="E834" i="1"/>
  <c r="E504" i="1"/>
  <c r="E74" i="1"/>
  <c r="E133" i="1"/>
  <c r="E616" i="1"/>
  <c r="E218" i="1"/>
  <c r="E823" i="1"/>
  <c r="E239" i="1"/>
  <c r="E662" i="1"/>
  <c r="E663" i="1"/>
  <c r="E302" i="1"/>
  <c r="E5" i="1"/>
  <c r="E536" i="1"/>
  <c r="E814" i="1"/>
  <c r="E788" i="1"/>
  <c r="E91" i="1"/>
  <c r="E651" i="1"/>
  <c r="E109" i="1"/>
  <c r="E58" i="1"/>
  <c r="E6" i="1"/>
  <c r="E83" i="1"/>
  <c r="E275" i="1"/>
  <c r="E290" i="1"/>
  <c r="E569" i="1"/>
  <c r="E18" i="1"/>
  <c r="E750" i="1"/>
  <c r="E475" i="1"/>
  <c r="E385" i="1"/>
  <c r="E781" i="1"/>
  <c r="E891" i="1"/>
  <c r="E715" i="1"/>
  <c r="E756" i="1"/>
  <c r="E586" i="1"/>
  <c r="E248" i="1"/>
  <c r="E4" i="1"/>
  <c r="E110" i="1"/>
  <c r="E85" i="1"/>
  <c r="E355" i="1"/>
  <c r="E217" i="1"/>
  <c r="E686" i="1"/>
  <c r="E128" i="1"/>
  <c r="E346" i="1"/>
  <c r="E677" i="1"/>
  <c r="E854" i="1"/>
  <c r="E718" i="1"/>
  <c r="E291" i="1"/>
  <c r="E598" i="1"/>
  <c r="E210" i="1"/>
  <c r="E482" i="1"/>
  <c r="E774" i="1"/>
  <c r="E107" i="1"/>
  <c r="E230" i="1"/>
  <c r="E381" i="1"/>
  <c r="E832" i="1"/>
  <c r="E863" i="1"/>
  <c r="E730" i="1"/>
  <c r="E134" i="1"/>
  <c r="E57" i="1"/>
  <c r="E161" i="1"/>
  <c r="E232" i="1"/>
  <c r="E309" i="1"/>
  <c r="E316" i="1"/>
  <c r="E400" i="1"/>
  <c r="E478" i="1"/>
  <c r="E571" i="1"/>
  <c r="E611" i="1"/>
  <c r="E620" i="1"/>
  <c r="E634" i="1"/>
  <c r="E828" i="1"/>
  <c r="E842" i="1"/>
  <c r="E878" i="1"/>
  <c r="E801" i="1"/>
  <c r="E753" i="1"/>
  <c r="E207" i="1"/>
  <c r="E415" i="1"/>
  <c r="E847" i="1"/>
  <c r="E593" i="1"/>
  <c r="E759" i="1"/>
  <c r="E463" i="1"/>
  <c r="E797" i="1"/>
  <c r="E721" i="1"/>
  <c r="E96" i="1"/>
  <c r="E755" i="1"/>
  <c r="E137" i="1"/>
  <c r="E498" i="1"/>
  <c r="E380" i="1"/>
  <c r="E263" i="1"/>
  <c r="E672" i="1"/>
  <c r="E227" i="1"/>
  <c r="E456" i="1"/>
  <c r="E457" i="1"/>
  <c r="E512" i="1"/>
  <c r="E628" i="1"/>
  <c r="E709" i="1"/>
  <c r="E739" i="1"/>
  <c r="E758" i="1"/>
  <c r="E791" i="1"/>
  <c r="E189" i="1"/>
  <c r="E235" i="1"/>
  <c r="E45" i="1"/>
  <c r="E584" i="1"/>
  <c r="E825" i="1"/>
  <c r="E244" i="1"/>
  <c r="E596" i="1"/>
  <c r="E800" i="1"/>
  <c r="E695" i="1"/>
  <c r="E273" i="1"/>
  <c r="E94" i="1"/>
  <c r="E231" i="1"/>
  <c r="E650" i="1"/>
  <c r="E22" i="1"/>
  <c r="E38" i="1"/>
  <c r="E177" i="1"/>
  <c r="E397" i="1"/>
  <c r="E708" i="1"/>
  <c r="E771" i="1"/>
  <c r="E836" i="1"/>
  <c r="E455" i="1"/>
  <c r="E452" i="1"/>
  <c r="E608" i="1"/>
  <c r="E793" i="1"/>
  <c r="E827" i="1"/>
  <c r="E855" i="1"/>
  <c r="E676" i="1"/>
  <c r="E129" i="1"/>
  <c r="E46" i="1"/>
  <c r="E56" i="1"/>
  <c r="E485" i="1"/>
  <c r="E545" i="1"/>
  <c r="E704" i="1"/>
  <c r="E181" i="1"/>
  <c r="E245" i="1"/>
  <c r="E289" i="1"/>
  <c r="E312" i="1"/>
  <c r="E325" i="1"/>
  <c r="E335" i="1"/>
  <c r="E376" i="1"/>
  <c r="E568" i="1"/>
  <c r="E594" i="1"/>
  <c r="E717" i="1"/>
  <c r="E751" i="1"/>
  <c r="E752" i="1"/>
  <c r="E761" i="1"/>
  <c r="E848" i="1"/>
  <c r="E859" i="1"/>
  <c r="E186" i="1"/>
  <c r="E201" i="1"/>
  <c r="E511" i="1"/>
  <c r="E675" i="1"/>
  <c r="E522" i="1"/>
  <c r="E112" i="1"/>
  <c r="E234" i="1"/>
  <c r="E735" i="1"/>
  <c r="E304" i="1"/>
  <c r="E249" i="1"/>
  <c r="E59" i="1"/>
  <c r="E427" i="1"/>
  <c r="E299" i="1"/>
  <c r="E15" i="1"/>
  <c r="E622" i="1"/>
  <c r="E796" i="1"/>
  <c r="E190" i="1"/>
  <c r="E271" i="1"/>
  <c r="E541" i="1"/>
  <c r="E647" i="1"/>
  <c r="E629" i="1"/>
  <c r="E645" i="1"/>
  <c r="E2" i="1"/>
  <c r="E82" i="1"/>
  <c r="E328" i="1"/>
  <c r="E422" i="1"/>
  <c r="E600" i="1"/>
  <c r="E679" i="1"/>
  <c r="E760" i="1"/>
  <c r="E640" i="1"/>
  <c r="E746" i="1"/>
  <c r="E213" i="1"/>
  <c r="E151" i="1"/>
  <c r="E484" i="1"/>
  <c r="E313" i="1"/>
  <c r="E71" i="1"/>
  <c r="E183" i="1"/>
  <c r="E354" i="1"/>
  <c r="E394" i="1"/>
  <c r="E471" i="1"/>
  <c r="E460" i="1"/>
  <c r="E728" i="1"/>
  <c r="E413" i="1"/>
  <c r="E435" i="1"/>
  <c r="E738" i="1"/>
  <c r="E467" i="1"/>
  <c r="E692" i="1"/>
  <c r="E264" i="1"/>
  <c r="E13" i="1"/>
  <c r="E10" i="1"/>
  <c r="E459" i="1"/>
  <c r="E171" i="1"/>
  <c r="E623" i="1"/>
  <c r="E579" i="1"/>
  <c r="E306" i="1"/>
  <c r="E20" i="1"/>
  <c r="E401" i="1"/>
  <c r="E578" i="1"/>
  <c r="E363" i="1"/>
</calcChain>
</file>

<file path=xl/sharedStrings.xml><?xml version="1.0" encoding="utf-8"?>
<sst xmlns="http://schemas.openxmlformats.org/spreadsheetml/2006/main" count="3715" uniqueCount="1899">
  <si>
    <t>Not known</t>
  </si>
  <si>
    <t>England</t>
  </si>
  <si>
    <t>Buckinghamshire</t>
  </si>
  <si>
    <t>Witheridge Wines</t>
  </si>
  <si>
    <t>SO41 6DP</t>
  </si>
  <si>
    <t>Hampshire</t>
  </si>
  <si>
    <t>Wharie Experience, The</t>
  </si>
  <si>
    <t>HP8 4NT</t>
  </si>
  <si>
    <t>Walnut Cottage Vineyard</t>
  </si>
  <si>
    <t>Kent</t>
  </si>
  <si>
    <t>Sarson Wines</t>
  </si>
  <si>
    <t>PL30 4HE</t>
  </si>
  <si>
    <t>Cornwall</t>
  </si>
  <si>
    <t>Parc Julian Vineyard</t>
  </si>
  <si>
    <t>East Yorkshire</t>
  </si>
  <si>
    <t>Noahs Estate</t>
  </si>
  <si>
    <t>Devon</t>
  </si>
  <si>
    <t>Netherfield Vineyard</t>
  </si>
  <si>
    <t>Middlecot Manor Vineyard</t>
  </si>
  <si>
    <t>Somerset</t>
  </si>
  <si>
    <t>Lily Cottage Vineyard</t>
  </si>
  <si>
    <t>London</t>
  </si>
  <si>
    <t>Guildhouse Street Vineyard, The</t>
  </si>
  <si>
    <t>Galgeth Farm Vineyard, The</t>
  </si>
  <si>
    <t>Dorset</t>
  </si>
  <si>
    <t>Downwood Vineyards</t>
  </si>
  <si>
    <t>DT11 9HN</t>
  </si>
  <si>
    <t>not known</t>
  </si>
  <si>
    <t>Collard, David</t>
  </si>
  <si>
    <t>CM3 8RT</t>
  </si>
  <si>
    <t>Essex</t>
  </si>
  <si>
    <t>Charity Farm Vineyard</t>
  </si>
  <si>
    <t>Worcestershire</t>
  </si>
  <si>
    <t>Burnhill Vineyard</t>
  </si>
  <si>
    <t>Bachella Vineyard and Winery</t>
  </si>
  <si>
    <t>YO62 5AH</t>
  </si>
  <si>
    <t>North Yorkshire</t>
  </si>
  <si>
    <t>Helmsley Walled Garden Vineyard</t>
  </si>
  <si>
    <t>PL2 3EU</t>
  </si>
  <si>
    <t>Furneaux Vineyard</t>
  </si>
  <si>
    <t>SY4 5HR</t>
  </si>
  <si>
    <t>Shropshire</t>
  </si>
  <si>
    <t>Soulton Vineyard</t>
  </si>
  <si>
    <t>Wales</t>
  </si>
  <si>
    <t>LL15 1UL</t>
  </si>
  <si>
    <t>Denbighshire</t>
  </si>
  <si>
    <t>Pontilen Vineyard</t>
  </si>
  <si>
    <t>Scotland</t>
  </si>
  <si>
    <t>AB36 8TP</t>
  </si>
  <si>
    <t>Aberdeenshire</t>
  </si>
  <si>
    <t>Dalrossach Vineyard</t>
  </si>
  <si>
    <t>IP8 4PN</t>
  </si>
  <si>
    <t>Suffolk</t>
  </si>
  <si>
    <t>Somersham Vineyard</t>
  </si>
  <si>
    <t>SE12 0RE</t>
  </si>
  <si>
    <t>Olding Manor Vineyard</t>
  </si>
  <si>
    <t>naniasvineyard.co.uk</t>
  </si>
  <si>
    <t>BS6 5EG</t>
  </si>
  <si>
    <t>BANES</t>
  </si>
  <si>
    <t>Nania's Vineyard</t>
  </si>
  <si>
    <t>HR7 4LA</t>
  </si>
  <si>
    <t>Herefordshire</t>
  </si>
  <si>
    <t>Hop Kilns Vineyard</t>
  </si>
  <si>
    <t>KT17 4EQ</t>
  </si>
  <si>
    <t>Surrey</t>
  </si>
  <si>
    <t>Alexandra Road Allotments Vineyard</t>
  </si>
  <si>
    <t>NR12 8NY</t>
  </si>
  <si>
    <t>Norfolk</t>
  </si>
  <si>
    <t>St. Benets Vineyard</t>
  </si>
  <si>
    <t>PE9 2QH</t>
  </si>
  <si>
    <t>Lincolnshire</t>
  </si>
  <si>
    <t>Good Earth Vineyard</t>
  </si>
  <si>
    <t>LE17 5</t>
  </si>
  <si>
    <t>Leicestershire</t>
  </si>
  <si>
    <t>High Cross Vineyard</t>
  </si>
  <si>
    <t>LE3 2GT</t>
  </si>
  <si>
    <t>JBees Vineyard</t>
  </si>
  <si>
    <t>WD3 8EB</t>
  </si>
  <si>
    <t>Hertfordshire</t>
  </si>
  <si>
    <t>Hulmston Vineyard</t>
  </si>
  <si>
    <t>CO9 4LS</t>
  </si>
  <si>
    <t>Ollivers Farm Vineyard</t>
  </si>
  <si>
    <t>CB22 5BT</t>
  </si>
  <si>
    <t>Cambridgeshire</t>
  </si>
  <si>
    <t>Absent Friends Allotment Vines</t>
  </si>
  <si>
    <t>GL7 5UH</t>
  </si>
  <si>
    <t>Gloucestershire</t>
  </si>
  <si>
    <t>Hidden Vineyard (Cowley Estate)</t>
  </si>
  <si>
    <t>www.laithwaites.co.uk</t>
  </si>
  <si>
    <t>GU25 4QE</t>
  </si>
  <si>
    <t>Laithwaites - Virginia Water Vineyard</t>
  </si>
  <si>
    <t>CB23 7ED</t>
  </si>
  <si>
    <t>Wine Shed, The</t>
  </si>
  <si>
    <t>CT21 4PD</t>
  </si>
  <si>
    <t>Port Lympne Vineyard</t>
  </si>
  <si>
    <t>GU8 4SZ</t>
  </si>
  <si>
    <t>West Sussex</t>
  </si>
  <si>
    <t>Shillinglee Vineyard (Martin Wakefield)</t>
  </si>
  <si>
    <t>www.shillinglee.co.uk</t>
  </si>
  <si>
    <t>KT2 7DY</t>
  </si>
  <si>
    <t>Lakeside Vineyard</t>
  </si>
  <si>
    <t>PL26 8YQ</t>
  </si>
  <si>
    <t>www.knightor.com</t>
  </si>
  <si>
    <t>Knightor Winery &amp; Restaurant</t>
  </si>
  <si>
    <t>TW7 6DW</t>
  </si>
  <si>
    <t>Clocktower Vineyard</t>
  </si>
  <si>
    <t>SL6 9UB</t>
  </si>
  <si>
    <t>Berkshire</t>
  </si>
  <si>
    <t>King's Ransom Vineyard</t>
  </si>
  <si>
    <t>NN6 8EN</t>
  </si>
  <si>
    <t>Northamptonshire</t>
  </si>
  <si>
    <t>Ravensthorpe Vineyard</t>
  </si>
  <si>
    <t>NR9 4NP</t>
  </si>
  <si>
    <t>Lincoln Field Vineyard</t>
  </si>
  <si>
    <t>YO23 3QZ</t>
  </si>
  <si>
    <t>Acomb Grange Vineyard</t>
  </si>
  <si>
    <t>NW1 0PF</t>
  </si>
  <si>
    <t>Alara Wholefoods Vineyard</t>
  </si>
  <si>
    <t>www.grapepassions.co.uk</t>
  </si>
  <si>
    <t>CM8 3AA</t>
  </si>
  <si>
    <t>Grape Passions</t>
  </si>
  <si>
    <t>EX5 2FH</t>
  </si>
  <si>
    <t>Fluxton Vineyard</t>
  </si>
  <si>
    <t>TA5 2AD</t>
  </si>
  <si>
    <t>Quantock Hills Vineyard</t>
  </si>
  <si>
    <t>TN17 4PH</t>
  </si>
  <si>
    <t>Farnell Estate - Benenden Vineyard</t>
  </si>
  <si>
    <t>CT15 6BA</t>
  </si>
  <si>
    <t>First Light Vineyard</t>
  </si>
  <si>
    <t>DE24 0GW</t>
  </si>
  <si>
    <t>Derbyshire</t>
  </si>
  <si>
    <t>Shires Vineyard</t>
  </si>
  <si>
    <t>BS49 4AS</t>
  </si>
  <si>
    <t>North Somerset</t>
  </si>
  <si>
    <t>North End Vineyard</t>
  </si>
  <si>
    <t>DT2 9HL‎</t>
  </si>
  <si>
    <t>Littlebredy Vineyard</t>
  </si>
  <si>
    <t>Channel Isles</t>
  </si>
  <si>
    <t>JE3 6UR</t>
  </si>
  <si>
    <t>Jersey</t>
  </si>
  <si>
    <t>Burons, Les Vineyard</t>
  </si>
  <si>
    <t>MK18 2NG</t>
  </si>
  <si>
    <t>Claydon Vineyard</t>
  </si>
  <si>
    <t>HG4 3JZ</t>
  </si>
  <si>
    <t>Sutton Grange Vineyard</t>
  </si>
  <si>
    <t>WS4 1RT</t>
  </si>
  <si>
    <t>West Midlands</t>
  </si>
  <si>
    <t>Spring Cottage Vineyard</t>
  </si>
  <si>
    <t>EX6 8QY</t>
  </si>
  <si>
    <t>Old Lime Kiln Vineyard, The</t>
  </si>
  <si>
    <t>GL20 7ER</t>
  </si>
  <si>
    <t>Bredon Vineyard</t>
  </si>
  <si>
    <t>RG40 3SN</t>
  </si>
  <si>
    <t>North Court Farm Vineyard</t>
  </si>
  <si>
    <t>Knightshayes Vineyard</t>
  </si>
  <si>
    <t>EX16 7RG</t>
  </si>
  <si>
    <t>Ireland</t>
  </si>
  <si>
    <t>Dublin</t>
  </si>
  <si>
    <t>Irish Grape Vines</t>
  </si>
  <si>
    <t>CO7 7LP</t>
  </si>
  <si>
    <t>Jarrow House Vineyard (Malipion Vyd)</t>
  </si>
  <si>
    <t>Ashleworth Manor Vineyard</t>
  </si>
  <si>
    <t>GL19 4LA</t>
  </si>
  <si>
    <t>n</t>
  </si>
  <si>
    <t>Willow Tree Farm</t>
  </si>
  <si>
    <t>Hinstock Vineyard</t>
  </si>
  <si>
    <t>TF9 2ST</t>
  </si>
  <si>
    <t>NN3 7RT</t>
  </si>
  <si>
    <t>Four Oaks Vineyard</t>
  </si>
  <si>
    <t>BS25 5SE</t>
  </si>
  <si>
    <t>Windmill Hill Vineyard</t>
  </si>
  <si>
    <t>NN12 8AB</t>
  </si>
  <si>
    <t>Vernon Lodge Vineyard</t>
  </si>
  <si>
    <t>DY10 4BG</t>
  </si>
  <si>
    <t>Stone House Cottage Vineyard</t>
  </si>
  <si>
    <t>LN2 1PU</t>
  </si>
  <si>
    <t>Lincoln Vineyard</t>
  </si>
  <si>
    <t>CO10 7AE</t>
  </si>
  <si>
    <t>Hilda's Field Vineyard</t>
  </si>
  <si>
    <t>S81 7BG</t>
  </si>
  <si>
    <t>Nottinghamshire</t>
  </si>
  <si>
    <t>Claylands Allotments Vineyard</t>
  </si>
  <si>
    <t>NE70 7HS</t>
  </si>
  <si>
    <t>Northumberland</t>
  </si>
  <si>
    <t>Adderstone Vineyard</t>
  </si>
  <si>
    <t>Powys</t>
  </si>
  <si>
    <t>Guidfa Farm Vineyard</t>
  </si>
  <si>
    <t>Wootton Vineyard</t>
  </si>
  <si>
    <t>BA4 4AG</t>
  </si>
  <si>
    <t>Woodside Park Vineyard</t>
  </si>
  <si>
    <t>TA4 4HR</t>
  </si>
  <si>
    <t>Woodford Vineyard</t>
  </si>
  <si>
    <t>White Castle Vineyard</t>
  </si>
  <si>
    <t>TN17 2RJ</t>
  </si>
  <si>
    <t>White Acre Vineyard</t>
  </si>
  <si>
    <t>East Sussex</t>
  </si>
  <si>
    <t>Whatlington Vineyard</t>
  </si>
  <si>
    <t>Whatley Vineyard</t>
  </si>
  <si>
    <t>Three Paths</t>
  </si>
  <si>
    <t>DY13 0RH</t>
  </si>
  <si>
    <t>Syntley Vineyard</t>
  </si>
  <si>
    <t>Stour Valley Vineyards</t>
  </si>
  <si>
    <t>TN27 0RU</t>
  </si>
  <si>
    <t>Stanford Bridge Vineyard</t>
  </si>
  <si>
    <t>Rolling Green Hills Vineyard</t>
  </si>
  <si>
    <t>Wiltshire</t>
  </si>
  <si>
    <t>Reynolds Estate Wine</t>
  </si>
  <si>
    <t>CO2 0JX</t>
  </si>
  <si>
    <t>Potash Vineyard</t>
  </si>
  <si>
    <t>DT9 5PN</t>
  </si>
  <si>
    <t>Over the Road Vineyard</t>
  </si>
  <si>
    <t>SP7 9NX</t>
  </si>
  <si>
    <t>MN Vineyard</t>
  </si>
  <si>
    <t>Lobbster Plot</t>
  </si>
  <si>
    <t>Little Hill Vineyard</t>
  </si>
  <si>
    <t>WR13 6DT</t>
  </si>
  <si>
    <t>Last Cottage (Fawley)</t>
  </si>
  <si>
    <t>GL8 8QY</t>
  </si>
  <si>
    <t>Holford Arms Vineyard</t>
  </si>
  <si>
    <t>Hole Farm Vineyard</t>
  </si>
  <si>
    <t>Hillside Estate</t>
  </si>
  <si>
    <t>SM4 4EA</t>
  </si>
  <si>
    <t>Hillcross Vineyard</t>
  </si>
  <si>
    <t>High House Farm Vineyard (Cobble Hill)</t>
  </si>
  <si>
    <t>Hazlehurst Farm Vineyard</t>
  </si>
  <si>
    <t>Hawkwood Vineyard</t>
  </si>
  <si>
    <t>E4 7UH</t>
  </si>
  <si>
    <t>Hanley Vineyard</t>
  </si>
  <si>
    <t>Goldenhurst Field Vineyard</t>
  </si>
  <si>
    <t>Glastonbury Vineyard</t>
  </si>
  <si>
    <t>Gaidam Vineyard</t>
  </si>
  <si>
    <t>Furnace Farm Barn</t>
  </si>
  <si>
    <t>Fowlers Vineyard</t>
  </si>
  <si>
    <t>RH14 9DY</t>
  </si>
  <si>
    <t>Warwickshire</t>
  </si>
  <si>
    <t>Famous Lines</t>
  </si>
  <si>
    <t>Cheshire</t>
  </si>
  <si>
    <t>Fairview Vineyard Ltd</t>
  </si>
  <si>
    <t>SY14 8LL</t>
  </si>
  <si>
    <t>Earlsdale Vineyard</t>
  </si>
  <si>
    <t>SY5 0UJ</t>
  </si>
  <si>
    <t>Corston Field Vineyard</t>
  </si>
  <si>
    <t>BN20 8DA</t>
  </si>
  <si>
    <t>Compton Combe Vineyard</t>
  </si>
  <si>
    <t>SG19 2AD</t>
  </si>
  <si>
    <t>Bedfordshire</t>
  </si>
  <si>
    <t>Caesar's Camp Vineyard</t>
  </si>
  <si>
    <t>WR13 6EH</t>
  </si>
  <si>
    <t>Brockbury Hall Vineyard</t>
  </si>
  <si>
    <t>TA4 1HR</t>
  </si>
  <si>
    <t>Bradfields Vineyard</t>
  </si>
  <si>
    <t>Blabers Hall</t>
  </si>
  <si>
    <t>CV7 8EP</t>
  </si>
  <si>
    <t>Biffo Vineyard</t>
  </si>
  <si>
    <t>Beechtree Vineyard</t>
  </si>
  <si>
    <t>HR9 6BW</t>
  </si>
  <si>
    <t>TQ13 9EJ</t>
  </si>
  <si>
    <t>Ashwell Vineyard</t>
  </si>
  <si>
    <t>Ashcott Vineyard</t>
  </si>
  <si>
    <t>Artizan Cru</t>
  </si>
  <si>
    <t>EX10 0SL</t>
  </si>
  <si>
    <t>Buckley Vineyard</t>
  </si>
  <si>
    <t>Trendle Farm Vineyard</t>
  </si>
  <si>
    <t>BA10 0BA</t>
  </si>
  <si>
    <t>NR21 0BW</t>
  </si>
  <si>
    <t>Thursford Old Hall</t>
  </si>
  <si>
    <t>DA13 0AA</t>
  </si>
  <si>
    <t>Meopham Court Vineyard</t>
  </si>
  <si>
    <t>Clearview Vineyard</t>
  </si>
  <si>
    <t>HR1 4QA</t>
  </si>
  <si>
    <t>Swanbrook Vineyard</t>
  </si>
  <si>
    <t>WR8 9EL</t>
  </si>
  <si>
    <t>BS8 3TR</t>
  </si>
  <si>
    <t>www.wildwestwines.co.uk</t>
  </si>
  <si>
    <t>Failand Farm Vineyard</t>
  </si>
  <si>
    <t>EX37 9DB</t>
  </si>
  <si>
    <t>Walnut Lodge Vineyard</t>
  </si>
  <si>
    <t>Kilcott Valley Vineyard</t>
  </si>
  <si>
    <t>GL12 7RL</t>
  </si>
  <si>
    <t>DY10 4BS</t>
  </si>
  <si>
    <t>Granary Hotel &amp; Restaurant</t>
  </si>
  <si>
    <t>Brook House Farm Vineyard</t>
  </si>
  <si>
    <t>HR7 4LB</t>
  </si>
  <si>
    <t>Yeomans Vineyard</t>
  </si>
  <si>
    <t>TN23 3AT</t>
  </si>
  <si>
    <t>Manor Farm Vineyard</t>
  </si>
  <si>
    <t>LE9 9FF</t>
  </si>
  <si>
    <t>TQ9 7EF</t>
  </si>
  <si>
    <t>Beenleigh Manor Vineyard</t>
  </si>
  <si>
    <t>DT9 5PZ</t>
  </si>
  <si>
    <t>Manor School Vineyard</t>
  </si>
  <si>
    <t>Forest Edge Vineyard</t>
  </si>
  <si>
    <t>SP6 2NW</t>
  </si>
  <si>
    <t>www.swallowfinewine.co.uk</t>
  </si>
  <si>
    <t>Wimbushes Vineyard</t>
  </si>
  <si>
    <t>AL2 3NW</t>
  </si>
  <si>
    <t>West Hendall Farm Vineyard</t>
  </si>
  <si>
    <t>TN22 4BU</t>
  </si>
  <si>
    <t>GU32 3NP</t>
  </si>
  <si>
    <t>Deans Farm Vineyard</t>
  </si>
  <si>
    <t>CB10 2PW</t>
  </si>
  <si>
    <t>Russetts Vineyard</t>
  </si>
  <si>
    <t>K45V248</t>
  </si>
  <si>
    <t>Lusca Vineyard</t>
  </si>
  <si>
    <t>BN15 0AZ</t>
  </si>
  <si>
    <t>South Saxon Vineyard</t>
  </si>
  <si>
    <t>SO41 8LH</t>
  </si>
  <si>
    <t>Charlie Herring Vineyard</t>
  </si>
  <si>
    <t>F28H393</t>
  </si>
  <si>
    <t>County Mayo</t>
  </si>
  <si>
    <t>Daria's Vineyard</t>
  </si>
  <si>
    <t>www.facebook.com/devilshillvineyard</t>
  </si>
  <si>
    <t>RG9 2DN</t>
  </si>
  <si>
    <t>Oxfordshire</t>
  </si>
  <si>
    <t>Devil's Hill Vineyard</t>
  </si>
  <si>
    <t>SN14 6PH</t>
  </si>
  <si>
    <t>Elstree Vineyard</t>
  </si>
  <si>
    <t>TN19 7JN</t>
  </si>
  <si>
    <t>Bivelham Vineyard</t>
  </si>
  <si>
    <t>Chedworth Vineyard</t>
  </si>
  <si>
    <t>GL54 4AG</t>
  </si>
  <si>
    <t>DT7 3SQ</t>
  </si>
  <si>
    <t>Old Woodhouse Vineyard</t>
  </si>
  <si>
    <t>Croft Castle Vineyard</t>
  </si>
  <si>
    <t>HR6 9PW</t>
  </si>
  <si>
    <t>www.nationaltrust.org.uk/croft-castle-and-parkland</t>
  </si>
  <si>
    <t>WR5 2QE</t>
  </si>
  <si>
    <t>Château Lattey</t>
  </si>
  <si>
    <t>WR10 3AF</t>
  </si>
  <si>
    <t>Birlingham Vineyard</t>
  </si>
  <si>
    <t>PL17 8PB</t>
  </si>
  <si>
    <t>Tamar Valley Vines</t>
  </si>
  <si>
    <t>Red Wharf Bay Vineyard</t>
  </si>
  <si>
    <t>LL75 8YG</t>
  </si>
  <si>
    <t>Isle of Anglesey</t>
  </si>
  <si>
    <t>SY5 7ED</t>
  </si>
  <si>
    <t>Walford House Vineyard</t>
  </si>
  <si>
    <t>Thornbury Castle Vineyard</t>
  </si>
  <si>
    <t>BS35 1HH</t>
  </si>
  <si>
    <t>South Gloucestershire</t>
  </si>
  <si>
    <t>Seven Acres Vineyard</t>
  </si>
  <si>
    <t>PE13 4BJ</t>
  </si>
  <si>
    <t>Seer Green Vineyard</t>
  </si>
  <si>
    <t>HP9 2QF</t>
  </si>
  <si>
    <t>Pilgrims Vineyard</t>
  </si>
  <si>
    <t>TN27 0DR</t>
  </si>
  <si>
    <t>HR9 6LL</t>
  </si>
  <si>
    <t>Pengethley Manor Hotel Vineyard</t>
  </si>
  <si>
    <t>EX3 0NZ</t>
  </si>
  <si>
    <t>EX3 0QT</t>
  </si>
  <si>
    <t>Pebblebed - Ebford Eden Community Vineyard</t>
  </si>
  <si>
    <t>Meadow Grove Vineyard</t>
  </si>
  <si>
    <t>OX12 9NA</t>
  </si>
  <si>
    <t>Kents Green Vineyard</t>
  </si>
  <si>
    <t>GL19 3AJ</t>
  </si>
  <si>
    <t>CO5 9SN</t>
  </si>
  <si>
    <t>Inworth Hall Vineyard</t>
  </si>
  <si>
    <t>DT9 4RP</t>
  </si>
  <si>
    <t>Higher Sandford Vineyard</t>
  </si>
  <si>
    <t>Guilden Gate Vineyard</t>
  </si>
  <si>
    <t>SG8 5PD</t>
  </si>
  <si>
    <t>Ceredigion</t>
  </si>
  <si>
    <t>Great Ropers Vineyard</t>
  </si>
  <si>
    <t>CO8 5JX</t>
  </si>
  <si>
    <t>TN3 9LE</t>
  </si>
  <si>
    <t>Eridge Vineyard (Mike Warren Vyd)</t>
  </si>
  <si>
    <t>Dunley Vineyard</t>
  </si>
  <si>
    <t>RG28 7PU</t>
  </si>
  <si>
    <t>IP8 3JZ</t>
  </si>
  <si>
    <t>Copdock Hall Vineyard</t>
  </si>
  <si>
    <t>www.copdockhall.com</t>
  </si>
  <si>
    <t>SY7 9DT</t>
  </si>
  <si>
    <t>Clee Hills Vineyard</t>
  </si>
  <si>
    <t>NN14 3ET</t>
  </si>
  <si>
    <t>Brigstock Vineyard</t>
  </si>
  <si>
    <t>DL8 4ET</t>
  </si>
  <si>
    <t>Bolton Castle Vineyard</t>
  </si>
  <si>
    <t>Bristol, City of</t>
  </si>
  <si>
    <t>Avonwood Vineyard</t>
  </si>
  <si>
    <t>BS9 1PH</t>
  </si>
  <si>
    <t>Aunemouth Vineyard</t>
  </si>
  <si>
    <t>TQ7 3AD</t>
  </si>
  <si>
    <t>Abberley Hills Vineyard</t>
  </si>
  <si>
    <t>WR6 6JP</t>
  </si>
  <si>
    <t>Renishaw Hall Vineyard</t>
  </si>
  <si>
    <t>S21 3WB</t>
  </si>
  <si>
    <t>Moor Hill Vineyard</t>
  </si>
  <si>
    <t>SP3 5LB</t>
  </si>
  <si>
    <t>HR9 7LN</t>
  </si>
  <si>
    <t>Coach House Vineyard, The</t>
  </si>
  <si>
    <t>YO25 9LA</t>
  </si>
  <si>
    <t>Walgate, M.E. &amp; Son</t>
  </si>
  <si>
    <t>GU8 6NN</t>
  </si>
  <si>
    <t>Punchbowl Valley Vineyard</t>
  </si>
  <si>
    <t>Great Barn Vineyard</t>
  </si>
  <si>
    <t>TN33 0RB</t>
  </si>
  <si>
    <t>GU23 6QB</t>
  </si>
  <si>
    <t>RHS Wisley Vineyard</t>
  </si>
  <si>
    <t>ME13 8XZ</t>
  </si>
  <si>
    <t>National Fruit Collection - Brogdale</t>
  </si>
  <si>
    <t>england</t>
  </si>
  <si>
    <t>SO21 1LE</t>
  </si>
  <si>
    <t>Hill View Farm Vineyard</t>
  </si>
  <si>
    <t>Babu's Vineyard</t>
  </si>
  <si>
    <t>NR9 5LF</t>
  </si>
  <si>
    <t>www.Babusvineyard.co.uk</t>
  </si>
  <si>
    <t>www.thesummerhouseyears.com</t>
  </si>
  <si>
    <t>HG3 5RZ</t>
  </si>
  <si>
    <t>Trapping Hill Vineyard</t>
  </si>
  <si>
    <t>PL15 9QH</t>
  </si>
  <si>
    <t>Ruses Mill Vineyard</t>
  </si>
  <si>
    <t>DY10 4EP</t>
  </si>
  <si>
    <t>Plantation House Vineyards</t>
  </si>
  <si>
    <t>DT11 0HT</t>
  </si>
  <si>
    <t>Field Barn Vineyard</t>
  </si>
  <si>
    <t>PL11 3DY</t>
  </si>
  <si>
    <t>Cobland Mill Estate</t>
  </si>
  <si>
    <t>CB8 8UZ</t>
  </si>
  <si>
    <t>Coopers Croft Vineyard</t>
  </si>
  <si>
    <t>Vamilton Valley Vineyard</t>
  </si>
  <si>
    <t>DT2 9JP</t>
  </si>
  <si>
    <t>CT2 9BH</t>
  </si>
  <si>
    <t>Tonford Manor Vineyard</t>
  </si>
  <si>
    <t>TN32 5EN</t>
  </si>
  <si>
    <t>Bugsell Park Vineyard</t>
  </si>
  <si>
    <t>Fawley Vineyard</t>
  </si>
  <si>
    <t>RG9 6JA</t>
  </si>
  <si>
    <t>SO32 3AH</t>
  </si>
  <si>
    <t>Poppydown Vineyard &amp; Winery</t>
  </si>
  <si>
    <t>RG27 8LJ</t>
  </si>
  <si>
    <t>Money's Farm Vineyard</t>
  </si>
  <si>
    <t>Hazelbrook Farm Vineyard</t>
  </si>
  <si>
    <t>RH13 8PX</t>
  </si>
  <si>
    <t>BN6 8TN</t>
  </si>
  <si>
    <t>Halletts Barn Vineyard</t>
  </si>
  <si>
    <t>Court House Wines</t>
  </si>
  <si>
    <t>DT9 6LF</t>
  </si>
  <si>
    <t>Albourne Vineyard</t>
  </si>
  <si>
    <t>BN6 9BX</t>
  </si>
  <si>
    <t>LL42 1DZ</t>
  </si>
  <si>
    <t>Gwynedd</t>
  </si>
  <si>
    <t>Mawddach Vineyard</t>
  </si>
  <si>
    <t>Vale of Glamorgan</t>
  </si>
  <si>
    <t>Cardiff</t>
  </si>
  <si>
    <t>CF15 8LB</t>
  </si>
  <si>
    <t>Gelynis Vineyard - Morganstown</t>
  </si>
  <si>
    <t>Gelynis Vineyard - Hill Farm Vineyard</t>
  </si>
  <si>
    <t>CF72 8JY</t>
  </si>
  <si>
    <t>Warley Vineyard</t>
  </si>
  <si>
    <t>CM13 3DR</t>
  </si>
  <si>
    <t>Wall Vineyard, The</t>
  </si>
  <si>
    <t>PL17 8BJ</t>
  </si>
  <si>
    <t>Shifnal Manor Vineyard</t>
  </si>
  <si>
    <t>TF11 9PB</t>
  </si>
  <si>
    <t>OX44 7JD</t>
  </si>
  <si>
    <t>Orpwoods Farm Vineyard</t>
  </si>
  <si>
    <t>LE7 7LH</t>
  </si>
  <si>
    <t>Kingfishers' Pool Vineyard</t>
  </si>
  <si>
    <t>EN10 7QJ</t>
  </si>
  <si>
    <t>Herts Oak Farm Vineyard</t>
  </si>
  <si>
    <t>Four Acres Estate</t>
  </si>
  <si>
    <t>SG11 2AW</t>
  </si>
  <si>
    <t>www.fouracresestate.co.uk</t>
  </si>
  <si>
    <t>Beeches Vineyard</t>
  </si>
  <si>
    <t>HR9 7UD</t>
  </si>
  <si>
    <t>Elham Valley Vineyard</t>
  </si>
  <si>
    <t>CT4 6LN</t>
  </si>
  <si>
    <t>Great House Vineyard</t>
  </si>
  <si>
    <t>CF71 7LR</t>
  </si>
  <si>
    <t>Gog Magog Vineyard</t>
  </si>
  <si>
    <t>CB22 5AN</t>
  </si>
  <si>
    <t>Hanna's Vineyard</t>
  </si>
  <si>
    <t>GL5 5DE</t>
  </si>
  <si>
    <t>HR2 0EE</t>
  </si>
  <si>
    <t>Sunnybank Vineyard and Vine Nursery</t>
  </si>
  <si>
    <t>Home Farm House Vineyard</t>
  </si>
  <si>
    <t>DN38 6EX</t>
  </si>
  <si>
    <t>OX44 7JT</t>
  </si>
  <si>
    <t>Dreaming Squires Vineyard</t>
  </si>
  <si>
    <t>Linch Hill Vineyard</t>
  </si>
  <si>
    <t>OX29 5BB</t>
  </si>
  <si>
    <t>TN35 4LT</t>
  </si>
  <si>
    <t>Buckswood School Vineyard</t>
  </si>
  <si>
    <t>Wain House Vineyard</t>
  </si>
  <si>
    <t>GL18 1RW</t>
  </si>
  <si>
    <t>Fordlands Farm Vineyard</t>
  </si>
  <si>
    <t>TN33 9BT</t>
  </si>
  <si>
    <t>Congham Vineyard</t>
  </si>
  <si>
    <t>PE31 6BZ</t>
  </si>
  <si>
    <t>KY8 6EA</t>
  </si>
  <si>
    <t>Fife</t>
  </si>
  <si>
    <t>Momentum Vineyard</t>
  </si>
  <si>
    <t>Teasles View Vineyard</t>
  </si>
  <si>
    <t>RH14 9DN</t>
  </si>
  <si>
    <t>Dadnor Court Vineyard</t>
  </si>
  <si>
    <t>HR9 6QL</t>
  </si>
  <si>
    <t>PO9 6BY</t>
  </si>
  <si>
    <t>Woodberry Vineyard</t>
  </si>
  <si>
    <t>Scaddows Vineyard</t>
  </si>
  <si>
    <t>DE73 7JP</t>
  </si>
  <si>
    <t>Meadow View Vineyard</t>
  </si>
  <si>
    <t>CF71 7LJ</t>
  </si>
  <si>
    <t>LL53 6TT</t>
  </si>
  <si>
    <t>Llwyn Hudol Plas Vineyard</t>
  </si>
  <si>
    <t>Carmarthenshire</t>
  </si>
  <si>
    <t>Ffynnon Lefrith</t>
  </si>
  <si>
    <t>SA18 3JH</t>
  </si>
  <si>
    <t>CF72 8NE</t>
  </si>
  <si>
    <t>Crofta Vineyard</t>
  </si>
  <si>
    <t>Conwy</t>
  </si>
  <si>
    <t>LL31 9JF</t>
  </si>
  <si>
    <t>Conwy Vineyard (Gwinllan Conwy)</t>
  </si>
  <si>
    <t>Winner Hill Vineyard</t>
  </si>
  <si>
    <t>GL12 7QT</t>
  </si>
  <si>
    <t>IP6 9SY</t>
  </si>
  <si>
    <t>Willow Grange Vineyard &amp; Winery</t>
  </si>
  <si>
    <t>Wildwood Vineyard</t>
  </si>
  <si>
    <t>TN3 9EQ</t>
  </si>
  <si>
    <t>TN26 3DW</t>
  </si>
  <si>
    <t>Vitters Oak</t>
  </si>
  <si>
    <t>KT22 8JD</t>
  </si>
  <si>
    <t>Thorncroft Vineyard</t>
  </si>
  <si>
    <t>Temple Ewell Vineyard</t>
  </si>
  <si>
    <t>CT16 3DR</t>
  </si>
  <si>
    <t>SP3 6PX</t>
  </si>
  <si>
    <t>Teffont Wines - Fonthill Vineyard</t>
  </si>
  <si>
    <t>SP3 5HN</t>
  </si>
  <si>
    <t>Teffont Wines - Dinton Vineyard</t>
  </si>
  <si>
    <t>TN27 0PS</t>
  </si>
  <si>
    <t>Surrenden Vineyard</t>
  </si>
  <si>
    <t>Spuncombe Bottom Vineyard</t>
  </si>
  <si>
    <t>GL11 6EG</t>
  </si>
  <si>
    <t>South Lodge Vineyard</t>
  </si>
  <si>
    <t>LN11 8QY</t>
  </si>
  <si>
    <t>Parvills Vineyard</t>
  </si>
  <si>
    <t>CM16 6PL</t>
  </si>
  <si>
    <t>Parhams Vineyard</t>
  </si>
  <si>
    <t>SP7 0DE</t>
  </si>
  <si>
    <t>NN7 3BZ</t>
  </si>
  <si>
    <t>www.stonyfieldwine.co.uk</t>
  </si>
  <si>
    <t>Painters Vineyard (Stoneyfield Wine)</t>
  </si>
  <si>
    <t>IP21 5PE</t>
  </si>
  <si>
    <t>Oak Hill Vineyard</t>
  </si>
  <si>
    <t>BS28 4TX</t>
  </si>
  <si>
    <t>www.mowbartonbarn.co.uk</t>
  </si>
  <si>
    <t>Mowbarton Estate (Mudgley Farm)</t>
  </si>
  <si>
    <t>Lambley Grange</t>
  </si>
  <si>
    <t>NG14 7AZ</t>
  </si>
  <si>
    <t>High Clandon Vineyard</t>
  </si>
  <si>
    <t>GU4 7RP</t>
  </si>
  <si>
    <t>Hengoed Vineyard</t>
  </si>
  <si>
    <t>SY10 7EJ</t>
  </si>
  <si>
    <t>SO32 2DA</t>
  </si>
  <si>
    <t>Hamble Valley</t>
  </si>
  <si>
    <t>Hale Valley Vineyard</t>
  </si>
  <si>
    <t>HP22 6NQ</t>
  </si>
  <si>
    <t>Staffordshire</t>
  </si>
  <si>
    <t>ST21 6ND</t>
  </si>
  <si>
    <t>Grove Estate Vineyard</t>
  </si>
  <si>
    <t>Grace Dieu Vineyard</t>
  </si>
  <si>
    <t>LE67 5AN</t>
  </si>
  <si>
    <t>Goodworth Clatford Vineyard</t>
  </si>
  <si>
    <t>SP11 7HL</t>
  </si>
  <si>
    <t>Froginwell Vineyard</t>
  </si>
  <si>
    <t>EX5 1EP</t>
  </si>
  <si>
    <t>Foxbury Fields Vineyard</t>
  </si>
  <si>
    <t>HR8 1PB</t>
  </si>
  <si>
    <t>East Meon Vineyard</t>
  </si>
  <si>
    <t>GU32 1NJ</t>
  </si>
  <si>
    <t>Dartmoor Way Vineyard</t>
  </si>
  <si>
    <t>TQ13 9TS</t>
  </si>
  <si>
    <t>BH23 8EW</t>
  </si>
  <si>
    <t>Crazy Pheasant Vineyard</t>
  </si>
  <si>
    <t>Corner House Vineyard</t>
  </si>
  <si>
    <t>OX12 8JR</t>
  </si>
  <si>
    <t>Corfe Castle Vineyard</t>
  </si>
  <si>
    <t>BH20 5JD</t>
  </si>
  <si>
    <t>Combe Hay Vineyard</t>
  </si>
  <si>
    <t>BA2 7EG</t>
  </si>
  <si>
    <t>SO51 6BW</t>
  </si>
  <si>
    <t>Coach House Vineyard (Hampshire)</t>
  </si>
  <si>
    <t>Chinthurst Hill Vineyard</t>
  </si>
  <si>
    <t>www.chinthurst.com</t>
  </si>
  <si>
    <t>GU5 0QH</t>
  </si>
  <si>
    <t>CO7 7TN</t>
  </si>
  <si>
    <t>Bromley Brook Vineyard (The Hollies)</t>
  </si>
  <si>
    <t>Baynhams Vineyard</t>
  </si>
  <si>
    <t>HR9 7RF</t>
  </si>
  <si>
    <t>SO51 0NQ</t>
  </si>
  <si>
    <t>Sour Grapes Vineyard</t>
  </si>
  <si>
    <t>New Lodge Vineyard</t>
  </si>
  <si>
    <t>NN6 0HF</t>
  </si>
  <si>
    <t>EX21 5HW</t>
  </si>
  <si>
    <t>Wooda Farm Vineyard</t>
  </si>
  <si>
    <t>Lyde Arundel Vineyard</t>
  </si>
  <si>
    <t>HR4 7SN</t>
  </si>
  <si>
    <t>RH12 3SL</t>
  </si>
  <si>
    <t>Long Wells Vineyard</t>
  </si>
  <si>
    <t>Southwood Vineyard</t>
  </si>
  <si>
    <t>EX15 2DF</t>
  </si>
  <si>
    <t>Bearley Vineyard</t>
  </si>
  <si>
    <t>CV37 0SR</t>
  </si>
  <si>
    <t>www.northcourtvineyard.co.uk</t>
  </si>
  <si>
    <t>SO24 0AU</t>
  </si>
  <si>
    <t>North Court Vineyard</t>
  </si>
  <si>
    <t>Swafield House Vineyard</t>
  </si>
  <si>
    <t>NR28 0QT</t>
  </si>
  <si>
    <t>Bardingley Vineyard</t>
  </si>
  <si>
    <t>TN12 0EG</t>
  </si>
  <si>
    <t>EX21 5EN</t>
  </si>
  <si>
    <t>Carey Valley Wines (Uphill Vineyard)</t>
  </si>
  <si>
    <t>Tamar Valley Vineyard</t>
  </si>
  <si>
    <t>PL20 7BW</t>
  </si>
  <si>
    <t>www.tamarvalleyvineyard.co.uk</t>
  </si>
  <si>
    <t>Steeple Court Farm Vineyard</t>
  </si>
  <si>
    <t>www.steeplecourtmanor.co.uk</t>
  </si>
  <si>
    <t>SO30 2EQ</t>
  </si>
  <si>
    <t>Sculdown Vineyard</t>
  </si>
  <si>
    <t>TN31 6EX</t>
  </si>
  <si>
    <t>Pen-y-Clawdd Vineyard</t>
  </si>
  <si>
    <t>NP25 4BW</t>
  </si>
  <si>
    <t>Monmouthshire</t>
  </si>
  <si>
    <t>RG17 9RJ</t>
  </si>
  <si>
    <t>Winding Wood Vineyard</t>
  </si>
  <si>
    <t>LE16 9SL</t>
  </si>
  <si>
    <t>Welland Valley Vineyard</t>
  </si>
  <si>
    <t>Upper Bigsweir Vineyard</t>
  </si>
  <si>
    <t>NP25 4LX</t>
  </si>
  <si>
    <t>NR12 9JT</t>
  </si>
  <si>
    <t>Twelve Vines Vineyard</t>
  </si>
  <si>
    <t>GU1 2HF</t>
  </si>
  <si>
    <t>Pewley Down Vineyard</t>
  </si>
  <si>
    <t>TN5 6PG</t>
  </si>
  <si>
    <t>Mousehall Estate Vineyard</t>
  </si>
  <si>
    <t>Maiden Vale Vineyard</t>
  </si>
  <si>
    <t>EX13 8AG</t>
  </si>
  <si>
    <t>BA15 2RA</t>
  </si>
  <si>
    <t>Leigh Park Hotel Vineyard</t>
  </si>
  <si>
    <t>Jays Farm Vineyard</t>
  </si>
  <si>
    <t>SO51 6DN</t>
  </si>
  <si>
    <t>www.gwernaffieldvineyard.co.uk</t>
  </si>
  <si>
    <t>CH7 5DJ</t>
  </si>
  <si>
    <t>Flintshire</t>
  </si>
  <si>
    <t>Gwernaffield Vineyard</t>
  </si>
  <si>
    <t>Curload Vineyard</t>
  </si>
  <si>
    <t>TA20 3QG</t>
  </si>
  <si>
    <t>Chase End Vineyard</t>
  </si>
  <si>
    <t>HR8 1RS</t>
  </si>
  <si>
    <t>DT2 9PR</t>
  </si>
  <si>
    <t>Casterbridge Vineyard</t>
  </si>
  <si>
    <t>GY7 9JR</t>
  </si>
  <si>
    <t>Guernsey</t>
  </si>
  <si>
    <t>Annevilles, Les</t>
  </si>
  <si>
    <t>Womack's Vineyard</t>
  </si>
  <si>
    <t>NG19 8LW</t>
  </si>
  <si>
    <t>Staverton Vineyard</t>
  </si>
  <si>
    <t>IP12 2RR</t>
  </si>
  <si>
    <t>Colehurst Vineyard</t>
  </si>
  <si>
    <t>TF9 2JB</t>
  </si>
  <si>
    <t>LE17 6DX</t>
  </si>
  <si>
    <t>Chevel Estate</t>
  </si>
  <si>
    <t>TN12 0EU</t>
  </si>
  <si>
    <t>Little Knoxbridge Vineyard</t>
  </si>
  <si>
    <t>MK46 5DN</t>
  </si>
  <si>
    <t>Rectory Farm Vineyard</t>
  </si>
  <si>
    <t>www.winklestone.co.uk</t>
  </si>
  <si>
    <t>TN22 3BU</t>
  </si>
  <si>
    <t>Winklestone Vineyard</t>
  </si>
  <si>
    <t>Wayfarer Wines LLP</t>
  </si>
  <si>
    <t>www.wayfarerwines.com</t>
  </si>
  <si>
    <t>ME17 1RB</t>
  </si>
  <si>
    <t>Merlins Vineyard</t>
  </si>
  <si>
    <t>GL18 1DQ</t>
  </si>
  <si>
    <t>Lancashire</t>
  </si>
  <si>
    <t>Herdsman Vineyard</t>
  </si>
  <si>
    <t>PR3 6BY</t>
  </si>
  <si>
    <t>South Yorkshire</t>
  </si>
  <si>
    <t>Summerhouse Vineyard</t>
  </si>
  <si>
    <t>DN6 8NB</t>
  </si>
  <si>
    <t>Leased by Henry Wilson</t>
  </si>
  <si>
    <t>Lily Farm Vineyard</t>
  </si>
  <si>
    <t>EX9 7AH</t>
  </si>
  <si>
    <t>Westow Vineyard</t>
  </si>
  <si>
    <t>YO25 4SP</t>
  </si>
  <si>
    <t>Tiny Welly Boot Vineyard</t>
  </si>
  <si>
    <t>BA2 0HJ</t>
  </si>
  <si>
    <t>Southcott Vineyard</t>
  </si>
  <si>
    <t>SN9 5JF</t>
  </si>
  <si>
    <t>Hope Valley Vineyard</t>
  </si>
  <si>
    <t>S32 1BR</t>
  </si>
  <si>
    <t>www.hopevalleyvineyard.co.uk</t>
  </si>
  <si>
    <t>Isles of Scilly</t>
  </si>
  <si>
    <t>TR21 0NT</t>
  </si>
  <si>
    <t>Holy Vale Wines Ltd</t>
  </si>
  <si>
    <t>Dartmoor Vineyard</t>
  </si>
  <si>
    <t>TQ13 9HQ</t>
  </si>
  <si>
    <t>Commonwood Vineyard</t>
  </si>
  <si>
    <t>SY4 5SJ</t>
  </si>
  <si>
    <t>HR8 1JJ</t>
  </si>
  <si>
    <t>Coddington Vineyard</t>
  </si>
  <si>
    <t>WR6 5BS</t>
  </si>
  <si>
    <t xml:space="preserve">Celtic Marches </t>
  </si>
  <si>
    <t>DN14 9LZ</t>
  </si>
  <si>
    <t>www.carltontowers.co.uk</t>
  </si>
  <si>
    <t>Carlton Towers Walled Garden Vineyard</t>
  </si>
  <si>
    <t>Blackbarn Farm Vineyard</t>
  </si>
  <si>
    <t>CM3 6HF</t>
  </si>
  <si>
    <t>Avalon Vineyard</t>
  </si>
  <si>
    <t>BA4 6UA</t>
  </si>
  <si>
    <t>IP31 3QZ</t>
  </si>
  <si>
    <t>Thurston Place Vineyard</t>
  </si>
  <si>
    <t>SN15 4JX</t>
  </si>
  <si>
    <t>Lammy's Vineyard (Cheesley Hill Vyd)</t>
  </si>
  <si>
    <t>DE55 6ED</t>
  </si>
  <si>
    <t>Amber Valley Wines - Doehole</t>
  </si>
  <si>
    <t>Road Green Vineyard</t>
  </si>
  <si>
    <t>GL11 6BA</t>
  </si>
  <si>
    <t>NR16 2LL</t>
  </si>
  <si>
    <t>Hill House Farm Vineyard</t>
  </si>
  <si>
    <t>Downsview Vineyard</t>
  </si>
  <si>
    <t>TN6 3RG</t>
  </si>
  <si>
    <t>Tyringham Hall Vineyard</t>
  </si>
  <si>
    <t>MK16 9ES</t>
  </si>
  <si>
    <t>Brick House Vineyard</t>
  </si>
  <si>
    <t>EX6 8HP</t>
  </si>
  <si>
    <t>Tytherley Vineyard</t>
  </si>
  <si>
    <t>SP5 1NL</t>
  </si>
  <si>
    <t>BR6 7HQ</t>
  </si>
  <si>
    <t>Five Acres Vineyard</t>
  </si>
  <si>
    <t>IP13 8HA</t>
  </si>
  <si>
    <t>Burnt Foot Vineyard</t>
  </si>
  <si>
    <t>Hegdon Hill Vineyard</t>
  </si>
  <si>
    <t>HR7 4SL</t>
  </si>
  <si>
    <t>Dunleavy Vineyards</t>
  </si>
  <si>
    <t>BS40 5RS</t>
  </si>
  <si>
    <t>www.dunleavyvineyards.co.uk</t>
  </si>
  <si>
    <t>Sidbury Vineyard</t>
  </si>
  <si>
    <t>EX10 0QN</t>
  </si>
  <si>
    <t>WR10 2AL</t>
  </si>
  <si>
    <t>Vigornia Wine - Walcot Vineyard</t>
  </si>
  <si>
    <t>SN5 4ED</t>
  </si>
  <si>
    <t>Pear Tree at Purton Vineyard, The</t>
  </si>
  <si>
    <t>East Malling Research Station Vineyard</t>
  </si>
  <si>
    <t>ME19 6BJ</t>
  </si>
  <si>
    <t>www.sunnyhillvineyard.co.uk</t>
  </si>
  <si>
    <t>OX33 1JD</t>
  </si>
  <si>
    <t>Sunnyhill Vineyard</t>
  </si>
  <si>
    <t>Welcombe Hills Vineyard</t>
  </si>
  <si>
    <t>CV37 0QB</t>
  </si>
  <si>
    <t>www.underscarmanor.com</t>
  </si>
  <si>
    <t>CA12 4PH</t>
  </si>
  <si>
    <t>Cumbria</t>
  </si>
  <si>
    <t>Underscar Manor Vineyard</t>
  </si>
  <si>
    <t>Painshill Park Vineyard</t>
  </si>
  <si>
    <t>KT11 1JE</t>
  </si>
  <si>
    <t>CO4 5QB</t>
  </si>
  <si>
    <t>Docuras Vineyard</t>
  </si>
  <si>
    <t>Little Pinnolds Vineyard</t>
  </si>
  <si>
    <t>GL11 6EF</t>
  </si>
  <si>
    <t>NR14 7BW</t>
  </si>
  <si>
    <t>Ashby Valley</t>
  </si>
  <si>
    <t>Bardfield Vineyard</t>
  </si>
  <si>
    <t>CM7 4QD</t>
  </si>
  <si>
    <t>Dropmore Vineyard</t>
  </si>
  <si>
    <t>SL1 8NF</t>
  </si>
  <si>
    <t>Doles Ash Farm Vineyard</t>
  </si>
  <si>
    <t>DT2 7RE</t>
  </si>
  <si>
    <t>Burrow Cross Vineyard</t>
  </si>
  <si>
    <t>EX11 1PZ</t>
  </si>
  <si>
    <t>EX17 5AA</t>
  </si>
  <si>
    <t>Coombe Head Meadow Vineyard</t>
  </si>
  <si>
    <t>Hye House Vineyard</t>
  </si>
  <si>
    <t>TN33 9BX</t>
  </si>
  <si>
    <t>EX14 9SY</t>
  </si>
  <si>
    <t>EX13 7QN</t>
  </si>
  <si>
    <t>Watchcombe Vineyard</t>
  </si>
  <si>
    <t>Warnham Vale Vineyard</t>
  </si>
  <si>
    <t>RH12 3SQ</t>
  </si>
  <si>
    <t>TN25 4EJ</t>
  </si>
  <si>
    <t>Ulley Farm Vineyard</t>
  </si>
  <si>
    <t>IP22 1JL</t>
  </si>
  <si>
    <t>Thelnetham Vineyard (Suffolk Wine Co)</t>
  </si>
  <si>
    <t>Sutton Ridge Vineyard</t>
  </si>
  <si>
    <t>BS40 7UR</t>
  </si>
  <si>
    <t>Southlands Valley Vineyard</t>
  </si>
  <si>
    <t>RH20 2JU</t>
  </si>
  <si>
    <t>Priors Dean Vineyard</t>
  </si>
  <si>
    <t>GU34 3SD</t>
  </si>
  <si>
    <t>Melbury Vale Vineyard</t>
  </si>
  <si>
    <t>SP7 0BW</t>
  </si>
  <si>
    <t>Limeburn Hill Vineyard</t>
  </si>
  <si>
    <t>BS40 8QW</t>
  </si>
  <si>
    <t>Limden Vineyard</t>
  </si>
  <si>
    <t>TN5 7DL</t>
  </si>
  <si>
    <t>HP17 8UF</t>
  </si>
  <si>
    <t>Dinton Vineyard</t>
  </si>
  <si>
    <t>TN25 5LR</t>
  </si>
  <si>
    <t>www.brabournewine.com</t>
  </si>
  <si>
    <t>Brabourne Vineyard (Court Lodge Farm)</t>
  </si>
  <si>
    <t>Lone Farm Vineyard (Bsixtwelve)</t>
  </si>
  <si>
    <t>www.bsixtwelve.co.uk</t>
  </si>
  <si>
    <t>SO21 1BX</t>
  </si>
  <si>
    <t>Chingley Oast Vineyard</t>
  </si>
  <si>
    <t>TN5 7QA</t>
  </si>
  <si>
    <t>TA7 8PN</t>
  </si>
  <si>
    <t>www.greenhillestate.co.uk</t>
  </si>
  <si>
    <t>Greenhill Estate (Stocklands Vineyard)</t>
  </si>
  <si>
    <t>GU5 9JJ</t>
  </si>
  <si>
    <t>Winterfold Vineyard (Shere)</t>
  </si>
  <si>
    <t>CB10 2QE</t>
  </si>
  <si>
    <t>Sandyford Vineyard</t>
  </si>
  <si>
    <t>Fernhurst Vineyard</t>
  </si>
  <si>
    <t>GU27 3NW</t>
  </si>
  <si>
    <t>TN26 1EP</t>
  </si>
  <si>
    <t>Nine Oaks Vineyard</t>
  </si>
  <si>
    <t>Iron Railway Vineyard</t>
  </si>
  <si>
    <t>RH1 3AL</t>
  </si>
  <si>
    <t>Hendred Vineyard</t>
  </si>
  <si>
    <t>OX12 8HR</t>
  </si>
  <si>
    <t>www.hendredvineyard.co.uk</t>
  </si>
  <si>
    <t>TN12 9LT</t>
  </si>
  <si>
    <t>Far Acre Farm Vineyard</t>
  </si>
  <si>
    <t>BN18 0NL.</t>
  </si>
  <si>
    <t xml:space="preserve">Madehurst Lodge Vineyard (Pig Hotel) </t>
  </si>
  <si>
    <t>EX31 4PT</t>
  </si>
  <si>
    <t>Higher Bumsley Vineyard</t>
  </si>
  <si>
    <t>Marlings Vineyard</t>
  </si>
  <si>
    <t>SO41 6EE</t>
  </si>
  <si>
    <t>Villa Elena Vineyard</t>
  </si>
  <si>
    <t>RH13 6QW</t>
  </si>
  <si>
    <t>HP22 4NR</t>
  </si>
  <si>
    <t>Chafor Wine Estate - Manor Fields Vineyard</t>
  </si>
  <si>
    <t>Ten Acres Vineyard</t>
  </si>
  <si>
    <t>EX19 8EY</t>
  </si>
  <si>
    <t>Bridewell Organic Gardens</t>
  </si>
  <si>
    <t>OX7 3EB</t>
  </si>
  <si>
    <t>TR25 0QL</t>
  </si>
  <si>
    <t>St. Martin's Vineyard</t>
  </si>
  <si>
    <t>Harbours Hill Vineyard</t>
  </si>
  <si>
    <t>B60 4AG</t>
  </si>
  <si>
    <t>Velfrey Vineyard</t>
  </si>
  <si>
    <t>SA34 0RA</t>
  </si>
  <si>
    <t>Pembrokeshire</t>
  </si>
  <si>
    <t>Little Oak Vineyard</t>
  </si>
  <si>
    <t>GL55 6LA</t>
  </si>
  <si>
    <t>Colemere Vineyard</t>
  </si>
  <si>
    <t>www.colemere.co.uk</t>
  </si>
  <si>
    <t>SY12 0LQ</t>
  </si>
  <si>
    <t>Cork</t>
  </si>
  <si>
    <t>Thomas Walk Vineyard</t>
  </si>
  <si>
    <t>Good Easter Vineyard</t>
  </si>
  <si>
    <t>CM1 4QH</t>
  </si>
  <si>
    <t>Parva Farm Vineyard</t>
  </si>
  <si>
    <t>NP16 6SQ</t>
  </si>
  <si>
    <t>DL16 7QX</t>
  </si>
  <si>
    <t>County Durham</t>
  </si>
  <si>
    <t>Whitworth Hall Vineyard</t>
  </si>
  <si>
    <t>Jabajak Vineyard</t>
  </si>
  <si>
    <t>SA34 0ED</t>
  </si>
  <si>
    <t>Cwm Deri Vineyard</t>
  </si>
  <si>
    <t>SA67 8AP</t>
  </si>
  <si>
    <t>TD6 0HH</t>
  </si>
  <si>
    <t>Scottish Borders</t>
  </si>
  <si>
    <t>Templars Oak Vineyard</t>
  </si>
  <si>
    <t>County Waterford</t>
  </si>
  <si>
    <t>Viking Irish Drinks (Dennison's Vyd)</t>
  </si>
  <si>
    <t>CT4 5EA</t>
  </si>
  <si>
    <t>Woolton Vineyard</t>
  </si>
  <si>
    <t>Woodreed Vineyard</t>
  </si>
  <si>
    <t>TN20 6LJ</t>
  </si>
  <si>
    <t>S11 9QF</t>
  </si>
  <si>
    <t>Whirlow Hall Farm Vineyard</t>
  </si>
  <si>
    <t>Wellhayes Vineyard</t>
  </si>
  <si>
    <t>EX16 7NY</t>
  </si>
  <si>
    <t>Tiptree Vineyard</t>
  </si>
  <si>
    <t>CO5 0SD</t>
  </si>
  <si>
    <t>GL</t>
  </si>
  <si>
    <t>Tetbury Upton Vineyard</t>
  </si>
  <si>
    <t>RH19 4NE</t>
  </si>
  <si>
    <t>Standen Vineyard</t>
  </si>
  <si>
    <t>Sparrow Hill Vineyard</t>
  </si>
  <si>
    <t>BS26 2LN</t>
  </si>
  <si>
    <t>sparrowhillvineyard.co.uk</t>
  </si>
  <si>
    <t>BA15 2PW</t>
  </si>
  <si>
    <t>Quoins Organic Vineyard</t>
  </si>
  <si>
    <t>Polmassick Vineyard</t>
  </si>
  <si>
    <t>PL26 6HA</t>
  </si>
  <si>
    <t>Poets' Way Vineyard</t>
  </si>
  <si>
    <t>GL18 2BL</t>
  </si>
  <si>
    <t>Pimlico Way Vineyard</t>
  </si>
  <si>
    <t>CT15 7EN</t>
  </si>
  <si>
    <t>Oatley Vineyard</t>
  </si>
  <si>
    <t>TA5 2NL</t>
  </si>
  <si>
    <t>RH20 3DF</t>
  </si>
  <si>
    <t>Nightingales Vineyard</t>
  </si>
  <si>
    <t>Nash Vineyard, The</t>
  </si>
  <si>
    <t>WR5 3PB</t>
  </si>
  <si>
    <t>TN12 9LS</t>
  </si>
  <si>
    <t>www.herberthall.co.uk</t>
  </si>
  <si>
    <t>Marden Organic (Herbert Hall Wines Ltd)</t>
  </si>
  <si>
    <t>SG12 0NS</t>
  </si>
  <si>
    <t>Lordship's Farm Vineyard</t>
  </si>
  <si>
    <t>Little Waddon Vineyard</t>
  </si>
  <si>
    <t>www.littlewaddonvineyard.co.uk</t>
  </si>
  <si>
    <t>DT3 4ER</t>
  </si>
  <si>
    <t>PE28 3LH</t>
  </si>
  <si>
    <t>Leghe, La Vineyard</t>
  </si>
  <si>
    <t>RG4 9AR</t>
  </si>
  <si>
    <t>Kidmore Organic Vineyard</t>
  </si>
  <si>
    <t>Hooperhayne Vineyard</t>
  </si>
  <si>
    <t>EX24 6SH</t>
  </si>
  <si>
    <t>IG7 6DQ</t>
  </si>
  <si>
    <t>Gravel Lane Vineyard</t>
  </si>
  <si>
    <t>Gorsley Vineyard</t>
  </si>
  <si>
    <t>CT4 6EH</t>
  </si>
  <si>
    <t>CB6 3HJ</t>
  </si>
  <si>
    <t>Elysian Fields Vineyard</t>
  </si>
  <si>
    <t>Ebernoe Vineyard</t>
  </si>
  <si>
    <t>GU28 9LH</t>
  </si>
  <si>
    <t>SP5 3NW</t>
  </si>
  <si>
    <t>Downton Vineyard (Off Beat Wines)</t>
  </si>
  <si>
    <t>RG9 6JW</t>
  </si>
  <si>
    <t>Chiltern Valley Vineyard (Old Luxters)</t>
  </si>
  <si>
    <t>Beaulieu Vineyard</t>
  </si>
  <si>
    <t>SO42 7ZN</t>
  </si>
  <si>
    <t>HR1 4EY</t>
  </si>
  <si>
    <t>Sparchall Vineyard</t>
  </si>
  <si>
    <t>Castlewood Vineyard</t>
  </si>
  <si>
    <t>EX13 8SS</t>
  </si>
  <si>
    <t>Shillinglee Vineyard (Nick Whitehouse)</t>
  </si>
  <si>
    <t>Storrington Priory Vineyard</t>
  </si>
  <si>
    <t>RH20 4BB</t>
  </si>
  <si>
    <t>RH20 4LN</t>
  </si>
  <si>
    <t>BN14 0RL</t>
  </si>
  <si>
    <t>Wiston Estate - North Farm Vineyard</t>
  </si>
  <si>
    <t>West Street Vineyard</t>
  </si>
  <si>
    <t>CO6 1NS</t>
  </si>
  <si>
    <t>TA10 0QL</t>
  </si>
  <si>
    <t>Higher Plot Vineyard (Smith &amp; Evans)</t>
  </si>
  <si>
    <t>LU5 6BT</t>
  </si>
  <si>
    <t>Double Hedges Vineyard</t>
  </si>
  <si>
    <t>Brook Hill Vineyard</t>
  </si>
  <si>
    <t>SO43 7SB</t>
  </si>
  <si>
    <t>WR13 6EP</t>
  </si>
  <si>
    <t>Phipps Vineyard</t>
  </si>
  <si>
    <t>Toppesfield Vineyard</t>
  </si>
  <si>
    <t>CO9 4LX</t>
  </si>
  <si>
    <t>www.toppesfieldvineyard.co.uk</t>
  </si>
  <si>
    <t>Titchfield Vineyard</t>
  </si>
  <si>
    <t>PO14 4NZ</t>
  </si>
  <si>
    <t>Ludlow Vineyard</t>
  </si>
  <si>
    <t>Dalwood Vineyard</t>
  </si>
  <si>
    <t>EX13 7EH</t>
  </si>
  <si>
    <t>Pebblebed - Clyst St. George Vineyard</t>
  </si>
  <si>
    <t>Fulbeck Gardens Vineyard</t>
  </si>
  <si>
    <t>NG32 3HH</t>
  </si>
  <si>
    <t>TN16 1QP</t>
  </si>
  <si>
    <t>Squerryes Estate - Charmans Farm Vineyard</t>
  </si>
  <si>
    <t>SY10 0HX</t>
  </si>
  <si>
    <t>Vyrnwy Vineyard</t>
  </si>
  <si>
    <t>Winbirri Vineyard (2020)</t>
  </si>
  <si>
    <t>Sealwood Cottage Vineyard</t>
  </si>
  <si>
    <t>DE12 6PA</t>
  </si>
  <si>
    <t>BA5 1JD</t>
  </si>
  <si>
    <t>www.perchhillvineyard.com</t>
  </si>
  <si>
    <t>Perch Hill Vineyard</t>
  </si>
  <si>
    <t>Methersham Vineyard</t>
  </si>
  <si>
    <t>TN31 6TX</t>
  </si>
  <si>
    <t>Mannings Heath Vineyard</t>
  </si>
  <si>
    <t>www.leonardsleegardens.co.uk</t>
  </si>
  <si>
    <t>RH13 6PP</t>
  </si>
  <si>
    <t>Mannings Heath - Leonardslee Vineyard</t>
  </si>
  <si>
    <t>PO18 9DZ</t>
  </si>
  <si>
    <t>Locksash Vineyard</t>
  </si>
  <si>
    <t>Harbourne Vineyard</t>
  </si>
  <si>
    <t>TN26 3HD</t>
  </si>
  <si>
    <t>Fenny Castle Vineyard</t>
  </si>
  <si>
    <t>BA5 1NL</t>
  </si>
  <si>
    <t>www.fennycastlevineyard.co.uk</t>
  </si>
  <si>
    <t>CH3 9DQ</t>
  </si>
  <si>
    <t>Carden Park Vineyard</t>
  </si>
  <si>
    <t>RH20 1DL</t>
  </si>
  <si>
    <t>Brinsbury College Vineyard</t>
  </si>
  <si>
    <t>Monkey Puzzle Vineyard</t>
  </si>
  <si>
    <t>TN31 6RS</t>
  </si>
  <si>
    <t>Barebones Vineyard</t>
  </si>
  <si>
    <t>TA10 9DN</t>
  </si>
  <si>
    <t>Montgomery Vineyard</t>
  </si>
  <si>
    <t>SY15 6LR</t>
  </si>
  <si>
    <t>www.montgomeryvineyard.co.uk</t>
  </si>
  <si>
    <t>NN14 3BH</t>
  </si>
  <si>
    <t>Lowick Vineyard</t>
  </si>
  <si>
    <t>www.lowickvineyard.com</t>
  </si>
  <si>
    <t>TN35 4ST</t>
  </si>
  <si>
    <t>Pearta Vineyard</t>
  </si>
  <si>
    <t>Sheffield Park Vineyard</t>
  </si>
  <si>
    <t>TN22 3QX</t>
  </si>
  <si>
    <t>Lulham Court Vineyard</t>
  </si>
  <si>
    <t>HR2 9JQ</t>
  </si>
  <si>
    <t>TN6 3RR</t>
  </si>
  <si>
    <t>Davenport Vineyard - Rotherfield</t>
  </si>
  <si>
    <t>CM23 1HG</t>
  </si>
  <si>
    <t>Hazel End Vineyard</t>
  </si>
  <si>
    <t>Frithsden Vineyard</t>
  </si>
  <si>
    <t>HP1 3DD</t>
  </si>
  <si>
    <t>SN16 9NS</t>
  </si>
  <si>
    <t>Bow-in-the-Cloud Vineyard</t>
  </si>
  <si>
    <t>Hargrove Estate</t>
  </si>
  <si>
    <t>SY6 7DP</t>
  </si>
  <si>
    <t>WR6 5PA</t>
  </si>
  <si>
    <t>www.easinghillvineyard.co.uk</t>
  </si>
  <si>
    <t>Easing Hill Vineyard (Chapel House)</t>
  </si>
  <si>
    <t>Brynne Vineyard</t>
  </si>
  <si>
    <t>NN6 9UY</t>
  </si>
  <si>
    <t>NG13 9PU</t>
  </si>
  <si>
    <t>Abbey Vineyards - Granby Vineyard</t>
  </si>
  <si>
    <t>Burwash Weald Vineyard</t>
  </si>
  <si>
    <t>TN19 7LA</t>
  </si>
  <si>
    <t>Eynsfordhill Vineyard</t>
  </si>
  <si>
    <t>DA4 0JL</t>
  </si>
  <si>
    <t>Eglantine Vineyard</t>
  </si>
  <si>
    <t>LE12 6UX</t>
  </si>
  <si>
    <t>Norfolk Vineyard Ltd., The</t>
  </si>
  <si>
    <t>NR18 9JP</t>
  </si>
  <si>
    <t>EX23 0HH</t>
  </si>
  <si>
    <t>Pale Park Vineyard</t>
  </si>
  <si>
    <t>Meadow Farm Vineyard</t>
  </si>
  <si>
    <t>PO18 8DN</t>
  </si>
  <si>
    <t>Bailey Hills Vineyard</t>
  </si>
  <si>
    <t>CM23 1JG</t>
  </si>
  <si>
    <t>Terlingham Vineyard</t>
  </si>
  <si>
    <t>CT18 7AE</t>
  </si>
  <si>
    <t>Throwley Vineyard</t>
  </si>
  <si>
    <t>ME13 0PF</t>
  </si>
  <si>
    <t>Moralee Farm Vineyard</t>
  </si>
  <si>
    <t>RH20 2QS</t>
  </si>
  <si>
    <t>Spring Hollow Vineyard &amp; Winery</t>
  </si>
  <si>
    <t>SA44 5XS</t>
  </si>
  <si>
    <t>Wythall Estate Vineyard</t>
  </si>
  <si>
    <t>HR9 5SD</t>
  </si>
  <si>
    <t>Welford Hill Farm Vineyard</t>
  </si>
  <si>
    <t>CV37 8AE</t>
  </si>
  <si>
    <t>Trentham River Winery</t>
  </si>
  <si>
    <t>ST4 8AX</t>
  </si>
  <si>
    <t>Hilden Vineyard</t>
  </si>
  <si>
    <t>TN11 9JX</t>
  </si>
  <si>
    <t>TN20 6HH</t>
  </si>
  <si>
    <t>www.foxandfox.wine</t>
  </si>
  <si>
    <t>Fox &amp; Fox - Hobdens Vineyard</t>
  </si>
  <si>
    <t>CM3 6EW</t>
  </si>
  <si>
    <t>Althorne Estate Vineyard</t>
  </si>
  <si>
    <t>Longleat Estate Vineyard</t>
  </si>
  <si>
    <t>BA12 7NQ</t>
  </si>
  <si>
    <t>NR35 2LF</t>
  </si>
  <si>
    <t>Hedenham Hall Vineyard</t>
  </si>
  <si>
    <t>SO51 0HH</t>
  </si>
  <si>
    <t>Teffont Wines - Awbridge Vineyard</t>
  </si>
  <si>
    <t>SO32 2UQ</t>
  </si>
  <si>
    <t>www.wychesvineyard.co.uk</t>
  </si>
  <si>
    <t>Wyches Vineyard</t>
  </si>
  <si>
    <t>WR10 3DN</t>
  </si>
  <si>
    <t>Bredon Hill Estate Vineyard</t>
  </si>
  <si>
    <t>Alder Vineyard</t>
  </si>
  <si>
    <t>EX20 4PJ</t>
  </si>
  <si>
    <t>Sanden Vineyard</t>
  </si>
  <si>
    <t>TN3 9PJ</t>
  </si>
  <si>
    <t>PO30 5TU</t>
  </si>
  <si>
    <t>Isle of Wight</t>
  </si>
  <si>
    <t>Pinkmead Estate Vineyard</t>
  </si>
  <si>
    <t>EX32 0QH</t>
  </si>
  <si>
    <t>Quance Wines</t>
  </si>
  <si>
    <t>RG9 6JG</t>
  </si>
  <si>
    <t>Oaken Grove Vineyard</t>
  </si>
  <si>
    <t>www.heron-farm.co.uk</t>
  </si>
  <si>
    <t>EX14 3NZ</t>
  </si>
  <si>
    <t>Heron Farm Vineyard</t>
  </si>
  <si>
    <t>Frome Valley Vineyard</t>
  </si>
  <si>
    <t>WR6 5BJ</t>
  </si>
  <si>
    <t>NN6 9DQ</t>
  </si>
  <si>
    <t>Fleurfields Vineyard</t>
  </si>
  <si>
    <t>Bosue Vineyard</t>
  </si>
  <si>
    <t>PL26 6EU</t>
  </si>
  <si>
    <t>Rutland</t>
  </si>
  <si>
    <t>LE15 9NP</t>
  </si>
  <si>
    <t>Abbey Vineyards - Old Oak Vineyard (Preston)</t>
  </si>
  <si>
    <t>Hoe Farm Vineyard</t>
  </si>
  <si>
    <t>RH17 7QS</t>
  </si>
  <si>
    <t>Bee Tree Vineyard</t>
  </si>
  <si>
    <t>Harmony Vineyard</t>
  </si>
  <si>
    <t>BN43 5YD</t>
  </si>
  <si>
    <t>CT4 5HR</t>
  </si>
  <si>
    <t>Tadpole Vineyard</t>
  </si>
  <si>
    <t>Broxbournebury Vineyard</t>
  </si>
  <si>
    <t>EN11 8LS</t>
  </si>
  <si>
    <t>Monnow Valley Vineyard</t>
  </si>
  <si>
    <t>NP25 5DL</t>
  </si>
  <si>
    <t>Dunesforde Vineyard</t>
  </si>
  <si>
    <t>www.dunesforde.com</t>
  </si>
  <si>
    <t>YO26 9RX</t>
  </si>
  <si>
    <t>Rodington Vineyard</t>
  </si>
  <si>
    <t>TF6 6ND</t>
  </si>
  <si>
    <t>Breezy Ridge Vineyard</t>
  </si>
  <si>
    <t>SP7 0LX</t>
  </si>
  <si>
    <t>Ty Croes Vineyard</t>
  </si>
  <si>
    <t>LL61 6RP</t>
  </si>
  <si>
    <t>Warden Abbey Vineyard</t>
  </si>
  <si>
    <t>SG18 9LS</t>
  </si>
  <si>
    <t>Mumfords Vineyard</t>
  </si>
  <si>
    <t>BA1 7LQ</t>
  </si>
  <si>
    <t>LE15 8RN</t>
  </si>
  <si>
    <t>Abbey Vineyards - Lyndon Top Vineyard (Rutland Water)</t>
  </si>
  <si>
    <t>IP13 6AX</t>
  </si>
  <si>
    <t>Old Rectory Vineyard (Manor Farm)</t>
  </si>
  <si>
    <t>Durslade Vineyard</t>
  </si>
  <si>
    <t>BA10 0JH</t>
  </si>
  <si>
    <t>Glyndŵr Vineyard</t>
  </si>
  <si>
    <t>CF71 7JF</t>
  </si>
  <si>
    <t>YO60 7LS</t>
  </si>
  <si>
    <t>YO60 7PW</t>
  </si>
  <si>
    <t>Ryedale Vineyards - Paradise Farm Vineyard</t>
  </si>
  <si>
    <t>Ryedale Vineyards - Farfield Farm Vineyard</t>
  </si>
  <si>
    <t>www.oldhallfarm.co.uk</t>
  </si>
  <si>
    <t>NR35 2LP</t>
  </si>
  <si>
    <t>Old Hall Farm Vineyard</t>
  </si>
  <si>
    <t>Looe Valley Vineyard</t>
  </si>
  <si>
    <t>PL14 4RN</t>
  </si>
  <si>
    <t>looevalleyvineyard.co.uk</t>
  </si>
  <si>
    <t>Hononton Farm Vineyard</t>
  </si>
  <si>
    <t>TN12 7BX</t>
  </si>
  <si>
    <t>www.adrianscripps.co.uk</t>
  </si>
  <si>
    <t>Lopen Vineyard</t>
  </si>
  <si>
    <t>TA13 5JH</t>
  </si>
  <si>
    <t>ME13 0SU</t>
  </si>
  <si>
    <t>Fizzical Vineyard</t>
  </si>
  <si>
    <t>DT2 9SJ</t>
  </si>
  <si>
    <t>D'Urberville Wine Estate</t>
  </si>
  <si>
    <t>TA18 8QN</t>
  </si>
  <si>
    <t>Wayford Vineyard</t>
  </si>
  <si>
    <t>Titchen Farm Vineyard</t>
  </si>
  <si>
    <t>EX23 0BN</t>
  </si>
  <si>
    <t>HP14 4DY</t>
  </si>
  <si>
    <t>Daws Hill Vineyard</t>
  </si>
  <si>
    <t>TN20 6RQ</t>
  </si>
  <si>
    <t>Tilsmore Wines (Quarry Wood Vineyard)</t>
  </si>
  <si>
    <t>RH5 6LU</t>
  </si>
  <si>
    <t>Tanhurst Estate Vineyard</t>
  </si>
  <si>
    <t>Strawberry Hill Vineyard</t>
  </si>
  <si>
    <t>BN6 8XB</t>
  </si>
  <si>
    <t>Plumpton College - Ditchling Vineyard</t>
  </si>
  <si>
    <t>Hollow Lane Vineyard</t>
  </si>
  <si>
    <t>TN22 5JB</t>
  </si>
  <si>
    <t>Hawkers Hill Vineyard</t>
  </si>
  <si>
    <t>PE31 8JY</t>
  </si>
  <si>
    <t>Castle Brook Vineyard</t>
  </si>
  <si>
    <t>HR9 5SG</t>
  </si>
  <si>
    <t>Black Mountain Vineyard</t>
  </si>
  <si>
    <t>HR2 0RE</t>
  </si>
  <si>
    <t>BA15 2RD</t>
  </si>
  <si>
    <t>Avonleigh Orchards</t>
  </si>
  <si>
    <t>MDCV Ltd - Bodiam Vineyard</t>
  </si>
  <si>
    <t>TN32 5SA</t>
  </si>
  <si>
    <t>TN32 5UJ</t>
  </si>
  <si>
    <t>Hebron Vineyard, The</t>
  </si>
  <si>
    <t>www.hebronvineyard.com</t>
  </si>
  <si>
    <t>SA34 0XS</t>
  </si>
  <si>
    <t>Westfield Gritts Vineyard (Farthings Vyd)</t>
  </si>
  <si>
    <t>YO25 9LY</t>
  </si>
  <si>
    <t>St. Mary's Vineyard (Holy Vale)</t>
  </si>
  <si>
    <t>Budds Farm Vineyard</t>
  </si>
  <si>
    <t>TN30 7EL</t>
  </si>
  <si>
    <t>Manstree Vineyard</t>
  </si>
  <si>
    <t>EX2 9QR</t>
  </si>
  <si>
    <t>Walton Brook Vineyard</t>
  </si>
  <si>
    <t>LE12 5TQ</t>
  </si>
  <si>
    <t>West Yorkshire</t>
  </si>
  <si>
    <t>Holmfirth Vineyard</t>
  </si>
  <si>
    <t>HD9 2QR</t>
  </si>
  <si>
    <t>LN11 8RD</t>
  </si>
  <si>
    <t>www.ovensfarmvineyard.com</t>
  </si>
  <si>
    <t>Ovens Farm Vineyard</t>
  </si>
  <si>
    <t>Vale Vineyard, The (Dyffryn Vineyard)</t>
  </si>
  <si>
    <t>LL16 4HY</t>
  </si>
  <si>
    <t>Sugarloaf Vineyard</t>
  </si>
  <si>
    <t>NP7 7LA</t>
  </si>
  <si>
    <t>GL5 5BA</t>
  </si>
  <si>
    <t>Woodchester Valley Vineyard (Amberley)</t>
  </si>
  <si>
    <t>GU31 5DB</t>
  </si>
  <si>
    <t>Trotton Estate Vineyards</t>
  </si>
  <si>
    <t>Secret Valley Vineyard</t>
  </si>
  <si>
    <t>TA5 2DN</t>
  </si>
  <si>
    <t>BN45 7AW</t>
  </si>
  <si>
    <t>Poynings Grange Vineyard</t>
  </si>
  <si>
    <t>CM22 6AN</t>
  </si>
  <si>
    <t>Parsonage Farm (Hertfordshire)</t>
  </si>
  <si>
    <t>DA12 3DG</t>
  </si>
  <si>
    <t>Parsonage Farm (Essex)</t>
  </si>
  <si>
    <t>TN6 3TB</t>
  </si>
  <si>
    <t>Newnham Park Estate Vineyard</t>
  </si>
  <si>
    <t>CO5 8SX</t>
  </si>
  <si>
    <t>Mersea Island Vineyard</t>
  </si>
  <si>
    <t>Meopham Valley Vineyard</t>
  </si>
  <si>
    <t>DA13 0PY</t>
  </si>
  <si>
    <t>www.eventsandtents.co.uk</t>
  </si>
  <si>
    <t>PE9 4LH</t>
  </si>
  <si>
    <t>Mallard Point Vineyard</t>
  </si>
  <si>
    <t>Kingwood Estate</t>
  </si>
  <si>
    <t>RG4 9HY</t>
  </si>
  <si>
    <t>Kerry Vale Vineyard</t>
  </si>
  <si>
    <t>SY15 6HU</t>
  </si>
  <si>
    <t>Grove House Vineyard</t>
  </si>
  <si>
    <t>NN29 7TQ</t>
  </si>
  <si>
    <t>RH9 8DQ</t>
  </si>
  <si>
    <t>Godstone Vineyards</t>
  </si>
  <si>
    <t>TN17 4JX</t>
  </si>
  <si>
    <t>Dingleden Vineyard</t>
  </si>
  <si>
    <t>Birchenwood Vineyard</t>
  </si>
  <si>
    <t>SO43 7JA</t>
  </si>
  <si>
    <t>DY13 0RU</t>
  </si>
  <si>
    <t>www.astleyvineyard.co.uk</t>
  </si>
  <si>
    <t>Astley Vineyards</t>
  </si>
  <si>
    <t>ME20 7DF</t>
  </si>
  <si>
    <t>Cossington Farms Vineyard</t>
  </si>
  <si>
    <t>Yarkhill Vineyard</t>
  </si>
  <si>
    <t>HR1 4JU</t>
  </si>
  <si>
    <t>PO17 6LG</t>
  </si>
  <si>
    <t>Kiln Copse Vineyard</t>
  </si>
  <si>
    <t>Farnell Estate - Rolvenden Vineyard</t>
  </si>
  <si>
    <t>Bartley Mill Vineyard</t>
  </si>
  <si>
    <t>TN3 8BH</t>
  </si>
  <si>
    <t>Bothy Vineyard</t>
  </si>
  <si>
    <t>OX13 6QW</t>
  </si>
  <si>
    <t>PE37 8DZ</t>
  </si>
  <si>
    <t>South Pickenham Estate Vineyard</t>
  </si>
  <si>
    <t>NG32 1PE</t>
  </si>
  <si>
    <t>Belvoir Castle Vineyard</t>
  </si>
  <si>
    <t>River Valley Vineyard</t>
  </si>
  <si>
    <t>TN32 5TL</t>
  </si>
  <si>
    <t>Watermans Farm Vineyard</t>
  </si>
  <si>
    <t>CT4 7DB</t>
  </si>
  <si>
    <t>Mystole Vineyard</t>
  </si>
  <si>
    <t>Pebblebed - Dragons Den Vineyard</t>
  </si>
  <si>
    <t>Compton Green Vineyard</t>
  </si>
  <si>
    <t>GL18 1LJ</t>
  </si>
  <si>
    <t>Chilcomb Valley Vineyard</t>
  </si>
  <si>
    <t>SO21 1HR</t>
  </si>
  <si>
    <t>Mount Harry Vines</t>
  </si>
  <si>
    <t>BN7 3QW</t>
  </si>
  <si>
    <t>Eades Vineyard</t>
  </si>
  <si>
    <t>WR8 0QN</t>
  </si>
  <si>
    <t>TN22 5LT</t>
  </si>
  <si>
    <t>Blackboys Vineyard (Tickerage Wines)</t>
  </si>
  <si>
    <t>EX21 5PB</t>
  </si>
  <si>
    <t>Torview Wines</t>
  </si>
  <si>
    <t>Chalksole Estate Vineyard</t>
  </si>
  <si>
    <t>CT15 7EE</t>
  </si>
  <si>
    <t>TN26 3TA</t>
  </si>
  <si>
    <t>Chartham Vineyard</t>
  </si>
  <si>
    <t>CT4 7HU</t>
  </si>
  <si>
    <t>HR9 7UP</t>
  </si>
  <si>
    <t>Sanctus Ltd - Finn Vineyard</t>
  </si>
  <si>
    <t>www.jojosvineyard.co.uk</t>
  </si>
  <si>
    <t>RG9 6EU</t>
  </si>
  <si>
    <t>JoJo's Vineyard</t>
  </si>
  <si>
    <t>EX17 4HR</t>
  </si>
  <si>
    <t>Brindiwell Vineyard</t>
  </si>
  <si>
    <t>Leventhorpe Vineyard</t>
  </si>
  <si>
    <t>LS26 8AF</t>
  </si>
  <si>
    <t>www.leventhorpevineyard.co.uk</t>
  </si>
  <si>
    <t>Wyfold Vineyard</t>
  </si>
  <si>
    <t>RG4 9HU</t>
  </si>
  <si>
    <t>Bromley Brook Vineyard</t>
  </si>
  <si>
    <t>Wraxall Vineyard</t>
  </si>
  <si>
    <t>BA4 6RQ</t>
  </si>
  <si>
    <t>GL2 3SW</t>
  </si>
  <si>
    <t>Sanctus Ltd - Briery Hall Vineyard</t>
  </si>
  <si>
    <t>PL13 1PA</t>
  </si>
  <si>
    <t>Knightor Winery - Seaton Vineyard</t>
  </si>
  <si>
    <t>Barnsole Vineyard</t>
  </si>
  <si>
    <t>CT3 1LG</t>
  </si>
  <si>
    <t>SO32 3PT</t>
  </si>
  <si>
    <t>Red Admiral Vineyards</t>
  </si>
  <si>
    <t>Larkhill Vineyard</t>
  </si>
  <si>
    <t>www.larkhillvineyard.co.uk</t>
  </si>
  <si>
    <t>GL8 8RX</t>
  </si>
  <si>
    <t>Little Wold Vineyard</t>
  </si>
  <si>
    <t>www.littlewoldvineyard.co.uk</t>
  </si>
  <si>
    <t>HU15 2BE</t>
  </si>
  <si>
    <t>Woodmancote Vineyard</t>
  </si>
  <si>
    <t>BN5 9RT</t>
  </si>
  <si>
    <t>County Wexford</t>
  </si>
  <si>
    <t>Wellingtonbridge Vineyard</t>
  </si>
  <si>
    <t>Redyeates Wedge Vineyard</t>
  </si>
  <si>
    <t>EX17 4HG</t>
  </si>
  <si>
    <t>RG7 2PS</t>
  </si>
  <si>
    <t>Calleva Wine</t>
  </si>
  <si>
    <t>RH12 3HZ</t>
  </si>
  <si>
    <t>Cross Stream Point Vineyard</t>
  </si>
  <si>
    <t>Maud Heath Vineyard</t>
  </si>
  <si>
    <t>SN11 9LQ</t>
  </si>
  <si>
    <t>Breaky Bottom Vineyard</t>
  </si>
  <si>
    <t>BN7 3EX</t>
  </si>
  <si>
    <t>Mereworth Wines</t>
  </si>
  <si>
    <t>www.mereworthwines.co.uk</t>
  </si>
  <si>
    <t>ME18 5PJ</t>
  </si>
  <si>
    <t>Setley Ridge Vineyard</t>
  </si>
  <si>
    <t>SO42 7UF</t>
  </si>
  <si>
    <t>Whitehall Vineyards</t>
  </si>
  <si>
    <t>NP7 8RA</t>
  </si>
  <si>
    <t>DT9 5NG</t>
  </si>
  <si>
    <t>Wake Court Vineyard (Sherborne Castle)</t>
  </si>
  <si>
    <t>Highdown Vineyard</t>
  </si>
  <si>
    <t>BN12 6PG</t>
  </si>
  <si>
    <t>Hanwell Wine Estate</t>
  </si>
  <si>
    <t>LE14 3QG</t>
  </si>
  <si>
    <t>TN5 7DT</t>
  </si>
  <si>
    <t>Edenberry Vineyard</t>
  </si>
  <si>
    <t>Beacon Down Vineyard</t>
  </si>
  <si>
    <t>TN21 0QJ</t>
  </si>
  <si>
    <t>BN14 0RH</t>
  </si>
  <si>
    <t>Wiston Estate - Broadwoods Vineyard</t>
  </si>
  <si>
    <t>Dedham Vale Vineyard</t>
  </si>
  <si>
    <t>CO4 5TS</t>
  </si>
  <si>
    <t>Bewl Water Vineyard</t>
  </si>
  <si>
    <t>TN5 6EX</t>
  </si>
  <si>
    <t>Venn Valley Vineyard</t>
  </si>
  <si>
    <t>EX32 0NN</t>
  </si>
  <si>
    <t>Everflyht Vineyard (Chalk House)</t>
  </si>
  <si>
    <t>Brissenden Vineyard</t>
  </si>
  <si>
    <t>ME17 3DU</t>
  </si>
  <si>
    <t>Shire Farm Vineyard</t>
  </si>
  <si>
    <t>PE23 4LY</t>
  </si>
  <si>
    <t>www.shirefarm.co.uk</t>
  </si>
  <si>
    <t>B78 3EQ</t>
  </si>
  <si>
    <t>Buzzard's Valley Vineyard</t>
  </si>
  <si>
    <t>Wroxeter Roman Vineyard</t>
  </si>
  <si>
    <t>SY5 6PQ</t>
  </si>
  <si>
    <t>ME13 0DS</t>
  </si>
  <si>
    <t>Plumford Farms Vineyard</t>
  </si>
  <si>
    <t>TR2 5EH</t>
  </si>
  <si>
    <t>Knightor Winery - Portschatho Vineyard</t>
  </si>
  <si>
    <t>IP31 2DW</t>
  </si>
  <si>
    <t>Wyken Vineyard</t>
  </si>
  <si>
    <t>www.windsorgreatparkvineyard.com</t>
  </si>
  <si>
    <t>SL4 2HR</t>
  </si>
  <si>
    <t>Laithwaites - Windsor Great Park Vineyard</t>
  </si>
  <si>
    <t>Llanerch Vineyard</t>
  </si>
  <si>
    <t>CF72 8GG</t>
  </si>
  <si>
    <t>Off The Line Vineyard</t>
  </si>
  <si>
    <t>BN27 4EA</t>
  </si>
  <si>
    <t>MDCV Ltd - Sedlescombe Organic Vineyard</t>
  </si>
  <si>
    <t>MK43 0QF</t>
  </si>
  <si>
    <t>Hungerhill Farm Vineyard</t>
  </si>
  <si>
    <t>Chilworth Manor Vineyard</t>
  </si>
  <si>
    <t>GU4 8NN</t>
  </si>
  <si>
    <t>NR14 8JT</t>
  </si>
  <si>
    <t>Humbleyard Vineyard</t>
  </si>
  <si>
    <t>CM2 7SX</t>
  </si>
  <si>
    <t>www.galleywood.wine</t>
  </si>
  <si>
    <t>Galleywood Vineyard</t>
  </si>
  <si>
    <t>CM9 6SJ</t>
  </si>
  <si>
    <t>Spar Hill Farm Vineyard</t>
  </si>
  <si>
    <t>Pant Du Vineyard</t>
  </si>
  <si>
    <t>LL54 6HE</t>
  </si>
  <si>
    <t>NR18 9JN</t>
  </si>
  <si>
    <t>Chapel Field Vineyard - Railway Vineyard</t>
  </si>
  <si>
    <t>Henners Vineyard</t>
  </si>
  <si>
    <t>BN27 1RJ</t>
  </si>
  <si>
    <t>GL7 5QF</t>
  </si>
  <si>
    <t>Cotswold Hills (Down Ampney Vyd - RAU)</t>
  </si>
  <si>
    <t>Wolf Oak Vineyard</t>
  </si>
  <si>
    <t>RG10 9YJ</t>
  </si>
  <si>
    <t>Fairmile Vineyard</t>
  </si>
  <si>
    <t>RG9 2LA</t>
  </si>
  <si>
    <t>SO20 6JX</t>
  </si>
  <si>
    <t>Danebury Vineyards</t>
  </si>
  <si>
    <t>Alder Ridge Vineyard</t>
  </si>
  <si>
    <t>RG17 0SP</t>
  </si>
  <si>
    <t>Laurel Vines Vineyard &amp; Winery</t>
  </si>
  <si>
    <t>YO25 9BG</t>
  </si>
  <si>
    <t>MK18 4HT</t>
  </si>
  <si>
    <t>Chafor Wine Estate - High Hedges Vyd</t>
  </si>
  <si>
    <t>Yearlstone Vineyard</t>
  </si>
  <si>
    <t>EX16 8RL</t>
  </si>
  <si>
    <t>CO9 3LL</t>
  </si>
  <si>
    <t>Tuffon Hall Vineyard</t>
  </si>
  <si>
    <t>Trevibban Mill Vineyard</t>
  </si>
  <si>
    <t>PL27 7SE</t>
  </si>
  <si>
    <t>Quintain Vineyard</t>
  </si>
  <si>
    <t>GL18 2DE</t>
  </si>
  <si>
    <t>GL7 5JA</t>
  </si>
  <si>
    <t>Poulton Hill Vineyard</t>
  </si>
  <si>
    <t>Old Walls Vineyard</t>
  </si>
  <si>
    <t>TQ14 9PQ</t>
  </si>
  <si>
    <t>Harden Vineyard</t>
  </si>
  <si>
    <t>TN11 8DX</t>
  </si>
  <si>
    <t>NG13 8LP</t>
  </si>
  <si>
    <t>Abbey Vineyards - Windy Ridge Vineyard (East Bridgeford)</t>
  </si>
  <si>
    <t>Great Canney Vineyard</t>
  </si>
  <si>
    <t>CM3 6RP</t>
  </si>
  <si>
    <t>CO16 0BJ</t>
  </si>
  <si>
    <t>Bretts Hall Vineyard (Butterfield - Tudwick)</t>
  </si>
  <si>
    <t>IP19 0JJ</t>
  </si>
  <si>
    <t>Valley Farm Vineyards</t>
  </si>
  <si>
    <t>Swanaford Vineyard</t>
  </si>
  <si>
    <t>EX6 7HG</t>
  </si>
  <si>
    <t>www.swanaford.com</t>
  </si>
  <si>
    <t>PO17 5NS</t>
  </si>
  <si>
    <t>Webb's Land Vineyard</t>
  </si>
  <si>
    <t>Pebblebed - Ebford Vineyard</t>
  </si>
  <si>
    <t>TN22 3XX</t>
  </si>
  <si>
    <t>www.springfieldsvineyard.co.uk</t>
  </si>
  <si>
    <t>Springfields Vineyard</t>
  </si>
  <si>
    <t>Sixteen Ridges Vineyard</t>
  </si>
  <si>
    <t>WR6 6TS</t>
  </si>
  <si>
    <t>TN26 3RE</t>
  </si>
  <si>
    <t>Woodchurch Wine Estate</t>
  </si>
  <si>
    <t>TN32 5JP</t>
  </si>
  <si>
    <t>Mountfield Vineyard</t>
  </si>
  <si>
    <t>www.somptingestate.com</t>
  </si>
  <si>
    <t>Sompting Estate Vineyard</t>
  </si>
  <si>
    <t>TQ9 7UT</t>
  </si>
  <si>
    <t>Sharpham Vineyard</t>
  </si>
  <si>
    <t>NP25 5HS</t>
  </si>
  <si>
    <t>Ancre Hill Vineyard - Rockfield Road Vineyard</t>
  </si>
  <si>
    <t>SO24 0NE</t>
  </si>
  <si>
    <t>Raimes Family Vineyard</t>
  </si>
  <si>
    <t>TN31 6YD</t>
  </si>
  <si>
    <t>Forstal Farm Vineyard</t>
  </si>
  <si>
    <t>TR2 4AR</t>
  </si>
  <si>
    <t>Tregoninny Vineyard</t>
  </si>
  <si>
    <t>PO7 4TE</t>
  </si>
  <si>
    <t>Hambledon Vineyard - Meonhill Vineyard</t>
  </si>
  <si>
    <t>Marden Organic Vineyard - Herbert Hall Wines</t>
  </si>
  <si>
    <t>Dillions Vineyard</t>
  </si>
  <si>
    <t>RH17 6HH</t>
  </si>
  <si>
    <t>Adgestone Vineyard</t>
  </si>
  <si>
    <t>PO36 0ES</t>
  </si>
  <si>
    <t>www.adgestonevineyard.co.uk</t>
  </si>
  <si>
    <t>SN10 4EN</t>
  </si>
  <si>
    <t>a'Beckett's Vineyard</t>
  </si>
  <si>
    <t>Barons Place Vineyard</t>
  </si>
  <si>
    <t>ME18 5NF</t>
  </si>
  <si>
    <t>Wylye Valley Vineyard</t>
  </si>
  <si>
    <t>BA12 8BQ</t>
  </si>
  <si>
    <t>Horton Estate Vineyard</t>
  </si>
  <si>
    <t>BH21 7JG</t>
  </si>
  <si>
    <t>Walsingham Estate Vineyard</t>
  </si>
  <si>
    <t>NR22 6BP</t>
  </si>
  <si>
    <t>Shoulton House Farm Vineyard</t>
  </si>
  <si>
    <t>WR2 6PX</t>
  </si>
  <si>
    <t>Mount Vineyard, The</t>
  </si>
  <si>
    <t>TN14 7SD</t>
  </si>
  <si>
    <t>Burn Valley Vineyard</t>
  </si>
  <si>
    <t>NR21 9LE</t>
  </si>
  <si>
    <t>CO10 9PB</t>
  </si>
  <si>
    <t>Lavenham Brook Vineyard</t>
  </si>
  <si>
    <t>Great Stocks Vineyard</t>
  </si>
  <si>
    <t>CM4 9RB</t>
  </si>
  <si>
    <t>TN18 5EU</t>
  </si>
  <si>
    <t>Heartenoake Vineyard</t>
  </si>
  <si>
    <t>TN26 2BE</t>
  </si>
  <si>
    <t>PO18 0QS</t>
  </si>
  <si>
    <t>Gusbourne - Halnaker Vineyard</t>
  </si>
  <si>
    <t>TN26 2JX</t>
  </si>
  <si>
    <t>Ham Street Wines</t>
  </si>
  <si>
    <t>SP4 0EW</t>
  </si>
  <si>
    <t>Bluestone Vineyards</t>
  </si>
  <si>
    <t>TN27 0PN</t>
  </si>
  <si>
    <t>Sheerland Farm Vineyard</t>
  </si>
  <si>
    <t>Penarth Vineyard</t>
  </si>
  <si>
    <t>SY16 3AN</t>
  </si>
  <si>
    <t>Trewince Estates Vineyard</t>
  </si>
  <si>
    <t>Mayfield Vineyard</t>
  </si>
  <si>
    <t>NG34 0BX</t>
  </si>
  <si>
    <t>Lovells Vineyard</t>
  </si>
  <si>
    <t>WR13 6NF</t>
  </si>
  <si>
    <t>Lansdowne Vineyard (Burnt House)</t>
  </si>
  <si>
    <t>Huxbear Vineyard</t>
  </si>
  <si>
    <t>TQ13 0EH</t>
  </si>
  <si>
    <t>CM3 6BZ</t>
  </si>
  <si>
    <t>Crouch Ridge Vineyard</t>
  </si>
  <si>
    <t>Clayhill Vineyard</t>
  </si>
  <si>
    <t>Forty Hall Vineyard</t>
  </si>
  <si>
    <t>EN2 9HA</t>
  </si>
  <si>
    <t>Kenton Park Estate</t>
  </si>
  <si>
    <t>EX6 8NW</t>
  </si>
  <si>
    <t>www.kentonparkestate.com</t>
  </si>
  <si>
    <t>www.chaldean.co.uk</t>
  </si>
  <si>
    <t>SG11 2AH</t>
  </si>
  <si>
    <t>Chaldean Estate Vineyard</t>
  </si>
  <si>
    <t>TN3 9HX</t>
  </si>
  <si>
    <t>Busi-Jacobsohn Wine Estate</t>
  </si>
  <si>
    <t>www.busijacobsohn.com</t>
  </si>
  <si>
    <t>Polgoon Vineyard</t>
  </si>
  <si>
    <t>TR20 8TE</t>
  </si>
  <si>
    <t>Lympstone Manor Vineyard</t>
  </si>
  <si>
    <t>www.lympstonemanor.co.uk</t>
  </si>
  <si>
    <t>EX8 3NZ</t>
  </si>
  <si>
    <t>RG10 0BN</t>
  </si>
  <si>
    <t>Stanlake Park Wine Estate</t>
  </si>
  <si>
    <t>www.warehornevineyard.co.uk</t>
  </si>
  <si>
    <t>TN26 2JT</t>
  </si>
  <si>
    <t>Warehorne Vineyard</t>
  </si>
  <si>
    <t>Www.kinsbrookvineyard.co.uk</t>
  </si>
  <si>
    <t>RH20 2LT</t>
  </si>
  <si>
    <t>Kinsbrook Vineyard (Picketty Vineyard)</t>
  </si>
  <si>
    <t>Hunt Hall Farm Vineyard</t>
  </si>
  <si>
    <t>HP7 0LU</t>
  </si>
  <si>
    <t>Abbey Vineyards - Amersham Vineyard (Magpie Lane)</t>
  </si>
  <si>
    <t>ME17 3DD</t>
  </si>
  <si>
    <t>Friday Street Vineyard</t>
  </si>
  <si>
    <t>Mount Farm Vineyards</t>
  </si>
  <si>
    <t>CO10 9BY</t>
  </si>
  <si>
    <t>Oastbrook Estates</t>
  </si>
  <si>
    <t>www.oastbrook.com</t>
  </si>
  <si>
    <t>TN32 5XA</t>
  </si>
  <si>
    <t>GU27 3BT</t>
  </si>
  <si>
    <t>Blackdown Ridge Estate</t>
  </si>
  <si>
    <t>Aldwick Estate</t>
  </si>
  <si>
    <t>www.aldwickestate.co.uk</t>
  </si>
  <si>
    <t>BS40 5AL</t>
  </si>
  <si>
    <t>IP29 4EX</t>
  </si>
  <si>
    <t>Giffords Hall Vineyard</t>
  </si>
  <si>
    <t>Ashcot Vineyard</t>
  </si>
  <si>
    <t>RH13 0TR</t>
  </si>
  <si>
    <t>Kinsbrook Vineyard (Orchard Farmhouse Vyd)</t>
  </si>
  <si>
    <t>Clayton Hills Vineyard</t>
  </si>
  <si>
    <t>TN20 6RE</t>
  </si>
  <si>
    <t>www.claytonorganicfarm.com</t>
  </si>
  <si>
    <t>Westmeston Wine Estate</t>
  </si>
  <si>
    <t>BN6 8XL</t>
  </si>
  <si>
    <t>www.verjuice.com</t>
  </si>
  <si>
    <t>RH13 6HY</t>
  </si>
  <si>
    <t>Coolhurst Vineyard</t>
  </si>
  <si>
    <t>CO7 8JJ</t>
  </si>
  <si>
    <t>Thorrington Mill Vineyard</t>
  </si>
  <si>
    <t>itascawines.com</t>
  </si>
  <si>
    <t>GU10 5PX</t>
  </si>
  <si>
    <t>Penn Croft Vineyard (Itasca Wines)</t>
  </si>
  <si>
    <t>GU5 9BW</t>
  </si>
  <si>
    <t>Albury Organic Vineyard</t>
  </si>
  <si>
    <t>RH12 4TA</t>
  </si>
  <si>
    <t>Coombe Bottom Farm Vineyard</t>
  </si>
  <si>
    <t>GU28 0LF</t>
  </si>
  <si>
    <t>Barlavington Vineyard</t>
  </si>
  <si>
    <t>JE3 3BA</t>
  </si>
  <si>
    <t>Mare Wine Estate, La</t>
  </si>
  <si>
    <t>Yorkshire Heart Vineyard</t>
  </si>
  <si>
    <t>YO26 8EL</t>
  </si>
  <si>
    <t>Rosemary Vineyard</t>
  </si>
  <si>
    <t>PO33 4BE</t>
  </si>
  <si>
    <t>RH20 1PH</t>
  </si>
  <si>
    <t>Roebuck Estates - Roman Villa Vineyard</t>
  </si>
  <si>
    <t>Ashling Park Vineyard</t>
  </si>
  <si>
    <t>PO18 8DP</t>
  </si>
  <si>
    <t>www.ashlingpark.co.uk</t>
  </si>
  <si>
    <t>Pattingham Vineyard</t>
  </si>
  <si>
    <t>www.pattinghamvineyard.co.uk</t>
  </si>
  <si>
    <t>WV6 7AU</t>
  </si>
  <si>
    <t>CO7 6LD</t>
  </si>
  <si>
    <t>Hill House Cottage Vineyard (Tom Bunting)</t>
  </si>
  <si>
    <t>IP9 1EP</t>
  </si>
  <si>
    <t>www.shotleyvineyard.co.uk</t>
  </si>
  <si>
    <t>Shotley Vineyard</t>
  </si>
  <si>
    <t>Llaethliw Vineyard</t>
  </si>
  <si>
    <t>SA48 7RF</t>
  </si>
  <si>
    <t>Broadfield Court Vineyard</t>
  </si>
  <si>
    <t>HR1 3LG</t>
  </si>
  <si>
    <t>West Park Vineyard</t>
  </si>
  <si>
    <t>RG25 2DS</t>
  </si>
  <si>
    <t>www.somerbyvineyards.com</t>
  </si>
  <si>
    <t>Somerby Vineyards</t>
  </si>
  <si>
    <t>Shawsgate Vineyard</t>
  </si>
  <si>
    <t>IP13 9HZ</t>
  </si>
  <si>
    <t>Furleigh Estate</t>
  </si>
  <si>
    <t>DT6 5JF</t>
  </si>
  <si>
    <t>Hidden Spring Vineyard</t>
  </si>
  <si>
    <t>TN21 0HG</t>
  </si>
  <si>
    <t>RG20 0HD</t>
  </si>
  <si>
    <t>www.allangelsvineyard.co.uk</t>
  </si>
  <si>
    <t>West Berkshire</t>
  </si>
  <si>
    <t>Enborne Vineyard (All Angels)</t>
  </si>
  <si>
    <t>Stopham Vineyard</t>
  </si>
  <si>
    <t>RH20 1EE</t>
  </si>
  <si>
    <t>Jenkyn Place Vineyard</t>
  </si>
  <si>
    <t>GU10 5LU</t>
  </si>
  <si>
    <t>Redbank Vineyard</t>
  </si>
  <si>
    <t>HR8 2JL</t>
  </si>
  <si>
    <t>CO5 9RB</t>
  </si>
  <si>
    <t>Feeringbury Vineyard</t>
  </si>
  <si>
    <t>Brightwell Vineyard</t>
  </si>
  <si>
    <t>OX10 8LJ</t>
  </si>
  <si>
    <t>CM3 6SD</t>
  </si>
  <si>
    <t>Crows Lane Estate</t>
  </si>
  <si>
    <t>Flint Vineyard</t>
  </si>
  <si>
    <t>NR35 2AH</t>
  </si>
  <si>
    <t>ME18 5LB</t>
  </si>
  <si>
    <t>Redhill Estate Vineyard</t>
  </si>
  <si>
    <t>Champion Court Farm Vineyard</t>
  </si>
  <si>
    <t>ME9 0JX</t>
  </si>
  <si>
    <t>www.quobpark-vineyard.com</t>
  </si>
  <si>
    <t>PO17 5PG</t>
  </si>
  <si>
    <t>Quob Park Estate (Wickham Vyd)</t>
  </si>
  <si>
    <t>SL7 3RD</t>
  </si>
  <si>
    <t>Harrow &amp; Hope Vineyard</t>
  </si>
  <si>
    <t>RH17 5AS</t>
  </si>
  <si>
    <t>Cheniston Vineyard</t>
  </si>
  <si>
    <t>Heppington Vineyard</t>
  </si>
  <si>
    <t>CT4 7AN</t>
  </si>
  <si>
    <t>ME13 0RJ</t>
  </si>
  <si>
    <t>Syndale Farm Vineyard</t>
  </si>
  <si>
    <t>RH20 2HH</t>
  </si>
  <si>
    <t>RH20 2HS</t>
  </si>
  <si>
    <t>Nyetimber - Nutbourne Lane Vineyard</t>
  </si>
  <si>
    <t>Hencote Vineyard</t>
  </si>
  <si>
    <t>SY4 3AA</t>
  </si>
  <si>
    <t>GU28 9HA</t>
  </si>
  <si>
    <t>Roebuck Estates - Little Brockhurst Vineyard</t>
  </si>
  <si>
    <t>Gote Vineyard, The</t>
  </si>
  <si>
    <t>BN6 8RN</t>
  </si>
  <si>
    <t>Black Dog Hill Vineyard</t>
  </si>
  <si>
    <t>BN6 8XG</t>
  </si>
  <si>
    <t>BN6 8TP</t>
  </si>
  <si>
    <t>Ridgeview Wine Estate</t>
  </si>
  <si>
    <t>Wiston Estate - Findon Park Vineyard</t>
  </si>
  <si>
    <t>Woodchester Valley Vineyard</t>
  </si>
  <si>
    <t>GL10 2JZ</t>
  </si>
  <si>
    <t>Woodchester Valley Vineyard (Doverow)</t>
  </si>
  <si>
    <t>LE16 8JT</t>
  </si>
  <si>
    <t>Brixworth Vineyard</t>
  </si>
  <si>
    <t>PL30 5LG</t>
  </si>
  <si>
    <t>Camel Valley Vineyard</t>
  </si>
  <si>
    <t>SO20 6JG</t>
  </si>
  <si>
    <t>Leckford Estate Vineyard</t>
  </si>
  <si>
    <t>Saffron Grange Vineyard</t>
  </si>
  <si>
    <t>CB10 1UZ</t>
  </si>
  <si>
    <t>www.bardsley-england.com</t>
  </si>
  <si>
    <t>TN12 0RW</t>
  </si>
  <si>
    <t>Bardsley Farms Vineyard</t>
  </si>
  <si>
    <t>BN6 8TH</t>
  </si>
  <si>
    <t>Court Garden Vineyard</t>
  </si>
  <si>
    <t>RH17 7NG</t>
  </si>
  <si>
    <t>Plumpton College - Rock Lodge Vineyard</t>
  </si>
  <si>
    <t>BN6 8SA</t>
  </si>
  <si>
    <t>Artelium Wine Estate (Ditchling)</t>
  </si>
  <si>
    <t>YO22 4PJ</t>
  </si>
  <si>
    <t>Sheveling Wine Estates - Robins Hood Bay</t>
  </si>
  <si>
    <t>www.whitehallvineyard.co.uk</t>
  </si>
  <si>
    <t>SN15 2JY</t>
  </si>
  <si>
    <t>Prettyfields Vineyard</t>
  </si>
  <si>
    <t>CO7 7PF</t>
  </si>
  <si>
    <t>CB21 4LE</t>
  </si>
  <si>
    <t>Chilford Hall Vineyard</t>
  </si>
  <si>
    <t>TN30 7NG</t>
  </si>
  <si>
    <t>Chapel Down Wines - Tenterden Vineyard</t>
  </si>
  <si>
    <t>TN12 8EF</t>
  </si>
  <si>
    <t>Davenport Vineyard - Horsmonden</t>
  </si>
  <si>
    <t>RH20 1DA</t>
  </si>
  <si>
    <t>Tullens Vineyard</t>
  </si>
  <si>
    <t>Calancombe Vineyard</t>
  </si>
  <si>
    <t>PL21 0TU</t>
  </si>
  <si>
    <t>www.corenwine.co.uk</t>
  </si>
  <si>
    <t>RH14 9BE</t>
  </si>
  <si>
    <t>Lower Lodge Vineyard</t>
  </si>
  <si>
    <t>TN18 5PA</t>
  </si>
  <si>
    <t>TN18 5NT</t>
  </si>
  <si>
    <t>Sandhurst Vineyards - Bourne Farm</t>
  </si>
  <si>
    <t>NR15 1BT</t>
  </si>
  <si>
    <t>www.chetvineyard.co.uk</t>
  </si>
  <si>
    <t>Chet and Waveney Valley Vineyard</t>
  </si>
  <si>
    <t>TN27 8DF</t>
  </si>
  <si>
    <t>Biddenden Vineyard</t>
  </si>
  <si>
    <t>English Oak Vineyard</t>
  </si>
  <si>
    <t>BH16 6BX</t>
  </si>
  <si>
    <t>GU28 9BG</t>
  </si>
  <si>
    <t>Nyetimber - Upperton Vineyard</t>
  </si>
  <si>
    <t>RH13 0QZ</t>
  </si>
  <si>
    <t>Roebuck Estates - Waterlands Vineyard</t>
  </si>
  <si>
    <t>Lamberhurst Vineyard</t>
  </si>
  <si>
    <t>TN3 8ER</t>
  </si>
  <si>
    <t>Weyborne Estate</t>
  </si>
  <si>
    <t>www.weyborne.com</t>
  </si>
  <si>
    <t>GU27 3DR</t>
  </si>
  <si>
    <t>RH20 1PR</t>
  </si>
  <si>
    <t>Ashling Park Vineyard - Coldharbour Vineyard</t>
  </si>
  <si>
    <t>GL14 1JR</t>
  </si>
  <si>
    <t>Sanctus Ltd - Vale of Castiard Vineyard</t>
  </si>
  <si>
    <t>Martin's Lane Vineyard</t>
  </si>
  <si>
    <t>CM3 6SB</t>
  </si>
  <si>
    <t>Northbrook Springs Vineyard</t>
  </si>
  <si>
    <t>SO32 1FB</t>
  </si>
  <si>
    <t>NP25 3SP</t>
  </si>
  <si>
    <t>Ancre Hill Vineyard - Newton Court Vineyard</t>
  </si>
  <si>
    <t>www.whitewolfe-estates.co.uk</t>
  </si>
  <si>
    <t>Whitewolfe Estates</t>
  </si>
  <si>
    <t>IP14 2NF</t>
  </si>
  <si>
    <t>Cambas Vineyard (West End Farm Vineyard)</t>
  </si>
  <si>
    <t>Sandridge Barton Vineyard</t>
  </si>
  <si>
    <t>www.sandridgebarton.com</t>
  </si>
  <si>
    <t>TQ9 6RL</t>
  </si>
  <si>
    <t>ME15 0QY</t>
  </si>
  <si>
    <t>Savage Vineyard</t>
  </si>
  <si>
    <t>RG25 3DR</t>
  </si>
  <si>
    <t>Laverstoke Park Vineyard</t>
  </si>
  <si>
    <t>GU28 0RD</t>
  </si>
  <si>
    <t>Roebuck Estates - Upperton Vineyard</t>
  </si>
  <si>
    <t>CT4 6PE</t>
  </si>
  <si>
    <t>Simpson's Wine Estate - Dover Road</t>
  </si>
  <si>
    <t>PO18 0LY</t>
  </si>
  <si>
    <t>Gusbourne - Downfield Vineyard</t>
  </si>
  <si>
    <t>Redfold Vineyards - Ambriel Sparkling Wine</t>
  </si>
  <si>
    <t>Nutbourne Vineyards</t>
  </si>
  <si>
    <t>Lakestreet Vineyard</t>
  </si>
  <si>
    <t>TN20 6PS</t>
  </si>
  <si>
    <t>DA3 8PJ</t>
  </si>
  <si>
    <t>Billings Group</t>
  </si>
  <si>
    <t>Crouch Valley Vineyard</t>
  </si>
  <si>
    <t>CM3 6HE</t>
  </si>
  <si>
    <t>Bride Valley Vineyard</t>
  </si>
  <si>
    <t>DT2 9AW</t>
  </si>
  <si>
    <t>TN31 6XD</t>
  </si>
  <si>
    <t>www.tillingham.com</t>
  </si>
  <si>
    <t>Tillingham Vineyard</t>
  </si>
  <si>
    <t>CM3 4Pl</t>
  </si>
  <si>
    <t>Danbury Wine Estates</t>
  </si>
  <si>
    <t>New House Farm Vineyard</t>
  </si>
  <si>
    <t>TN32 5UP</t>
  </si>
  <si>
    <t>DY7 5EP</t>
  </si>
  <si>
    <t>Halfpenny Green Vineyard</t>
  </si>
  <si>
    <t>SO21 1BL</t>
  </si>
  <si>
    <t>Grange Estate Wines (Burges Field)</t>
  </si>
  <si>
    <t>Hattingley Valley Vineyard</t>
  </si>
  <si>
    <t>GU34 5NQ</t>
  </si>
  <si>
    <t>BN18 0NJ</t>
  </si>
  <si>
    <t>Artelium Wine Estate (Madehurst)</t>
  </si>
  <si>
    <t>Rosemary Farm Vineyard</t>
  </si>
  <si>
    <t>TN5 7PT</t>
  </si>
  <si>
    <t>Wodetone Vineyard</t>
  </si>
  <si>
    <t>DT6 6DF</t>
  </si>
  <si>
    <t>SO20 6QH</t>
  </si>
  <si>
    <t>www.sombornevalley.com.</t>
  </si>
  <si>
    <t>Somborne Valley Vineyard</t>
  </si>
  <si>
    <t>Muston Vineyard</t>
  </si>
  <si>
    <t>DT2 7SY</t>
  </si>
  <si>
    <t>Langham Wine Estate</t>
  </si>
  <si>
    <t>DT2 7NG</t>
  </si>
  <si>
    <t>GU28 0PQ</t>
  </si>
  <si>
    <t>Nyetimber - River Vineyard</t>
  </si>
  <si>
    <t>RG28 7QT</t>
  </si>
  <si>
    <t>Coates &amp; Seely - Wooldings Vineyard</t>
  </si>
  <si>
    <t>Albourne Estate</t>
  </si>
  <si>
    <t>BN6 9DX</t>
  </si>
  <si>
    <t>SP11 7JX</t>
  </si>
  <si>
    <t>www.blackchalkwine.co.uk</t>
  </si>
  <si>
    <t>Black Chalk Wines (Cottonworth Vyd)</t>
  </si>
  <si>
    <t>Charles Palmer Vineyard</t>
  </si>
  <si>
    <t>TN36 4AD</t>
  </si>
  <si>
    <t>Winbirri Vineyard</t>
  </si>
  <si>
    <t>NR14 7DE</t>
  </si>
  <si>
    <t>TN25 0BW</t>
  </si>
  <si>
    <t>TN25 4NG</t>
  </si>
  <si>
    <t>Westwell Wine Estates</t>
  </si>
  <si>
    <t>TN25 5LL</t>
  </si>
  <si>
    <t>Penstock Hall Vineyard</t>
  </si>
  <si>
    <t>Oxney Organic Estate</t>
  </si>
  <si>
    <t>TN31 6TU</t>
  </si>
  <si>
    <t>GL5 5HR</t>
  </si>
  <si>
    <t>TN18 5PR</t>
  </si>
  <si>
    <t>Chapel Down Wines - Scurms Farm Vineyard</t>
  </si>
  <si>
    <t>BN45 7BA</t>
  </si>
  <si>
    <t>Gote Vineyard (New Site)</t>
  </si>
  <si>
    <t>www.manningsheath.com</t>
  </si>
  <si>
    <t>RH13 6PG</t>
  </si>
  <si>
    <t>TN35 4SG</t>
  </si>
  <si>
    <t>Carr Taylor Vineyard</t>
  </si>
  <si>
    <t>Greyfriars Vineyard</t>
  </si>
  <si>
    <t>GU3 1AG</t>
  </si>
  <si>
    <t>CT4 6LJ</t>
  </si>
  <si>
    <t>Simpson's Wine Estate - South Barham Road</t>
  </si>
  <si>
    <t>Hundred Hills Vineyard</t>
  </si>
  <si>
    <t>www.hundredhills.com</t>
  </si>
  <si>
    <t>RG9 6HS</t>
  </si>
  <si>
    <t>Bolney Wine Estate</t>
  </si>
  <si>
    <t>RH17 5NB</t>
  </si>
  <si>
    <t>Hazel Street Farm Vineyard</t>
  </si>
  <si>
    <t>TN5 7LF</t>
  </si>
  <si>
    <t>Roebuck Estates - Hazlehurst Vineyard</t>
  </si>
  <si>
    <t>CT4 5QW</t>
  </si>
  <si>
    <t>Nyetimber - Chartham Downs</t>
  </si>
  <si>
    <t>RG20 8DA</t>
  </si>
  <si>
    <t>Gusbourne - Selhurst Vineyard</t>
  </si>
  <si>
    <t>SO32 3NW</t>
  </si>
  <si>
    <t>www.extonparkvineyard.com</t>
  </si>
  <si>
    <t>Exton Park Vineyard</t>
  </si>
  <si>
    <t>TN16 2DT</t>
  </si>
  <si>
    <t>Squerryes Estate - Gaysham Farm Vineyard</t>
  </si>
  <si>
    <t>Nyetimber - Downs Farm</t>
  </si>
  <si>
    <t>BN18 9LZ</t>
  </si>
  <si>
    <t>TN18 4XJ</t>
  </si>
  <si>
    <t>Chapel Down Wines - Bokes Farm Vineyard</t>
  </si>
  <si>
    <t>Sandhurst Vineyards - Hoads Farm</t>
  </si>
  <si>
    <t>Hush Heath Estate</t>
  </si>
  <si>
    <t>TN12 0HJ</t>
  </si>
  <si>
    <t>www.food-physics.com</t>
  </si>
  <si>
    <t>CM3 4HG</t>
  </si>
  <si>
    <t>Missing Gate Vineyard (Food Physics)</t>
  </si>
  <si>
    <t>Brenley Vineyard</t>
  </si>
  <si>
    <t>ME13 9LY</t>
  </si>
  <si>
    <t>RH19 4LG</t>
  </si>
  <si>
    <t>MDCV Ltd - Kingscote Vineyard</t>
  </si>
  <si>
    <t>TN22 3RU</t>
  </si>
  <si>
    <t>Bluebell Vineyard Estates</t>
  </si>
  <si>
    <t>SO20 6RE</t>
  </si>
  <si>
    <t>Nyetimber - Chalk Vale Vineyard</t>
  </si>
  <si>
    <t>RH17 5JB</t>
  </si>
  <si>
    <t>www.pookchurch.co.uk</t>
  </si>
  <si>
    <t>Bolney Wine Estate - Pookchurch Vineyard</t>
  </si>
  <si>
    <t>Nyetimber - Lacton Manor Vineyard</t>
  </si>
  <si>
    <t>GL18 1LS</t>
  </si>
  <si>
    <t>Three Choirs Vineyard</t>
  </si>
  <si>
    <t>Hambledon Vineyard</t>
  </si>
  <si>
    <t>PO7 4RY</t>
  </si>
  <si>
    <t>ME14 3DR</t>
  </si>
  <si>
    <t>Chapel Down Wines - Street Farm Vineyard</t>
  </si>
  <si>
    <t>www.yotescourt.co.uk</t>
  </si>
  <si>
    <t>ME18 5JT</t>
  </si>
  <si>
    <t>Yotes Court Vineyard</t>
  </si>
  <si>
    <t>CM3 6RW</t>
  </si>
  <si>
    <t>CM3 6PN</t>
  </si>
  <si>
    <t>Great Whitmans Vineyard</t>
  </si>
  <si>
    <t>SO20 6EG</t>
  </si>
  <si>
    <t>Nyetimber - Hazeldown Vineyard</t>
  </si>
  <si>
    <t>SO24 9TB</t>
  </si>
  <si>
    <t>Pinglestone Estate Vineyard</t>
  </si>
  <si>
    <t>Nyetimber - Netherland Vineyard</t>
  </si>
  <si>
    <t>www.mdcvuk.com</t>
  </si>
  <si>
    <t>CM3 6DS</t>
  </si>
  <si>
    <t>MDCV Ltd - Althorne Vineyard</t>
  </si>
  <si>
    <t>ME20 7EF</t>
  </si>
  <si>
    <t>Chapel Down Wines - Kit's Coty Vineyard</t>
  </si>
  <si>
    <t>TN18 5NX</t>
  </si>
  <si>
    <t>Nyetimber - Manor Vineyard</t>
  </si>
  <si>
    <t>ME14 3LG</t>
  </si>
  <si>
    <t>Nyetimber - Thurnham Court</t>
  </si>
  <si>
    <t>ME14 3DX</t>
  </si>
  <si>
    <t>Chapel Down Wines - Court Lodge Vineyard</t>
  </si>
  <si>
    <t>New Hall Vineyards</t>
  </si>
  <si>
    <t>PO18 0NE</t>
  </si>
  <si>
    <t>Tinwood Estate</t>
  </si>
  <si>
    <t>Evremond, Domaine</t>
  </si>
  <si>
    <t>www.domaineevremond.com</t>
  </si>
  <si>
    <t>ME13 9SD</t>
  </si>
  <si>
    <t>RH20 2JZ</t>
  </si>
  <si>
    <t>Nyetimber - Knowe Top Vineyard</t>
  </si>
  <si>
    <t>Hambledon Vineyard - New site</t>
  </si>
  <si>
    <t>Gusbourne - Gusbourne Vineyard</t>
  </si>
  <si>
    <t>ME14 3BS</t>
  </si>
  <si>
    <t>Chapel Down Wines - Boarley Farm Vineyard</t>
  </si>
  <si>
    <t>Denbies Wine Estate</t>
  </si>
  <si>
    <t>RH5 6AA</t>
  </si>
  <si>
    <t>Rathfinny Estate</t>
  </si>
  <si>
    <t>BN26 5TU</t>
  </si>
  <si>
    <t>MDCV Ltd - Luddesdown Vineyard</t>
  </si>
  <si>
    <t>DA13 0XE</t>
  </si>
  <si>
    <t>Watergrass Vineyard</t>
  </si>
  <si>
    <t>County Tipperary</t>
  </si>
  <si>
    <t>Ballydrehid House Estate Vineyard</t>
  </si>
  <si>
    <t>MK44 3DA</t>
  </si>
  <si>
    <t>Henry's Field Vineyard</t>
  </si>
  <si>
    <t>Bath Sparkling Wine (Corston Fields)</t>
  </si>
  <si>
    <t>BA2 9EZ</t>
  </si>
  <si>
    <t>JE3 6HY</t>
  </si>
  <si>
    <t>Henniere Vineyard, La</t>
  </si>
  <si>
    <t>DT6 4ND</t>
  </si>
  <si>
    <t>WSB Reg. No. 7535 River Bride Vineyard</t>
  </si>
  <si>
    <t>GL53 9QR</t>
  </si>
  <si>
    <t>www.dryhillwine.co.uk</t>
  </si>
  <si>
    <t>WSB Reg. No. 7173 Dryhill Vineyard</t>
  </si>
  <si>
    <t>EX5 4DQ</t>
  </si>
  <si>
    <t>WSB Reg. No. 6361 Silverton Vineyard</t>
  </si>
  <si>
    <t>OX11 0NP</t>
  </si>
  <si>
    <t>WSB Reg. No. 9080 Yew Tree Vineyard</t>
  </si>
  <si>
    <t>TN30 7JT</t>
  </si>
  <si>
    <t>WSB Reg. No: 8012 Churchlands Farm Vineyard</t>
  </si>
  <si>
    <t>Vineyard Name</t>
  </si>
  <si>
    <t>Ha of planted vines</t>
  </si>
  <si>
    <t>Website Address</t>
  </si>
  <si>
    <t>Vineyard Country</t>
  </si>
  <si>
    <t>Vineyard Postcode</t>
  </si>
  <si>
    <t>Vineyard County</t>
  </si>
  <si>
    <t>Moorbridge Estate</t>
  </si>
  <si>
    <t>Shalford Winery</t>
  </si>
  <si>
    <t>MDCV Ltd - Old Place Farm Sandhurst Vineyard</t>
  </si>
  <si>
    <t>Bilting Vineyard</t>
  </si>
  <si>
    <t>Cobbslands Vineyard</t>
  </si>
  <si>
    <t>Highfields Farm</t>
  </si>
  <si>
    <t>Park Farm</t>
  </si>
  <si>
    <t>Devon Vineyards (2020)</t>
  </si>
  <si>
    <t>West Wellow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</si>
</sst>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#,##0.000"/>
    <numFmt numFmtId="166" formatCode="#,##0.0000"/>
    <numFmt numFmtId="167" formatCode="0.0000"/>
    <numFmt numFmtId="168" formatCode="#,##0.0000_ ;\-#,##0.0000\ 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Nunito"/>
    </font>
    <font>
      <u/>
      <sz val="10"/>
      <name val="Nunito"/>
    </font>
    <font>
      <b/>
      <sz val="10"/>
      <name val="Nunito"/>
    </font>
    <font>
      <b/>
      <sz val="10"/>
      <name val="Trebuchet MS"/>
      <family val="2"/>
    </font>
    <font>
      <sz val="10"/>
      <name val="Arial"/>
      <family val="2"/>
    </font>
    <font>
      <u/>
      <sz val="11"/>
      <name val="Arial"/>
      <family val="2"/>
    </font>
    <font>
      <b/>
      <u/>
      <sz val="10"/>
      <name val="Nunito"/>
    </font>
  </fonts>
  <fills count="15">
    <fill>
      <patternFill patternType="none"/>
    </fill>
    <fill>
      <patternFill patternType="gray125"/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2DBE5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CC99FF"/>
      </patternFill>
    </fill>
    <fill>
      <patternFill patternType="solid">
        <fgColor theme="0"/>
        <bgColor rgb="FF3399FF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6EFA"/>
      </patternFill>
    </fill>
  </fills>
  <borders count="4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6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6" fillId="3" borderId="0" xfId="0" applyFont="1" applyFill="1"/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66" fontId="2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166" fontId="2" fillId="7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/>
    </xf>
    <xf numFmtId="167" fontId="2" fillId="6" borderId="1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167" fontId="2" fillId="3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/>
    </xf>
    <xf numFmtId="1" fontId="2" fillId="3" borderId="1" xfId="0" applyNumberFormat="1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left" vertical="center"/>
    </xf>
    <xf numFmtId="166" fontId="2" fillId="11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shrinkToFit="1"/>
    </xf>
    <xf numFmtId="1" fontId="2" fillId="3" borderId="1" xfId="0" applyNumberFormat="1" applyFont="1" applyFill="1" applyBorder="1" applyAlignment="1">
      <alignment horizontal="left" vertical="center" shrinkToFit="1"/>
    </xf>
    <xf numFmtId="0" fontId="3" fillId="5" borderId="1" xfId="0" applyFont="1" applyFill="1" applyBorder="1" applyAlignment="1">
      <alignment vertical="center"/>
    </xf>
    <xf numFmtId="166" fontId="2" fillId="13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 wrapText="1"/>
    </xf>
    <xf numFmtId="167" fontId="2" fillId="5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166" fontId="2" fillId="3" borderId="0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horizontal="center" vertical="center"/>
    </xf>
    <xf numFmtId="167" fontId="2" fillId="1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horizontal="left" vertical="center" shrinkToFit="1"/>
    </xf>
    <xf numFmtId="0" fontId="2" fillId="5" borderId="1" xfId="0" applyFont="1" applyFill="1" applyBorder="1" applyAlignment="1">
      <alignment vertical="center" shrinkToFit="1"/>
    </xf>
    <xf numFmtId="0" fontId="2" fillId="3" borderId="1" xfId="0" applyFont="1" applyFill="1" applyBorder="1" applyAlignment="1">
      <alignment vertical="center" shrinkToFit="1"/>
    </xf>
    <xf numFmtId="0" fontId="2" fillId="6" borderId="1" xfId="0" applyFont="1" applyFill="1" applyBorder="1" applyAlignment="1">
      <alignment horizontal="left" vertical="center" shrinkToFit="1"/>
    </xf>
    <xf numFmtId="0" fontId="2" fillId="8" borderId="1" xfId="0" applyFont="1" applyFill="1" applyBorder="1" applyAlignment="1">
      <alignment vertical="center" shrinkToFit="1"/>
    </xf>
    <xf numFmtId="0" fontId="2" fillId="10" borderId="1" xfId="0" applyFont="1" applyFill="1" applyBorder="1" applyAlignment="1">
      <alignment vertical="center" shrinkToFit="1"/>
    </xf>
    <xf numFmtId="0" fontId="2" fillId="6" borderId="1" xfId="0" applyFont="1" applyFill="1" applyBorder="1" applyAlignment="1">
      <alignment vertical="center" shrinkToFit="1"/>
    </xf>
    <xf numFmtId="0" fontId="2" fillId="3" borderId="0" xfId="0" applyFont="1" applyFill="1" applyBorder="1" applyAlignment="1">
      <alignment horizontal="left" vertical="center" shrinkToFit="1"/>
    </xf>
    <xf numFmtId="0" fontId="2" fillId="14" borderId="1" xfId="0" applyFont="1" applyFill="1" applyBorder="1" applyAlignment="1">
      <alignment horizontal="left" vertical="center" shrinkToFit="1"/>
    </xf>
    <xf numFmtId="0" fontId="2" fillId="3" borderId="2" xfId="0" applyFont="1" applyFill="1" applyBorder="1" applyAlignment="1">
      <alignment vertical="center" shrinkToFit="1"/>
    </xf>
    <xf numFmtId="0" fontId="2" fillId="2" borderId="0" xfId="0" applyFont="1" applyFill="1" applyBorder="1" applyAlignment="1">
      <alignment vertical="center" shrinkToFit="1"/>
    </xf>
    <xf numFmtId="0" fontId="2" fillId="2" borderId="1" xfId="0" applyFont="1" applyFill="1" applyBorder="1" applyAlignment="1">
      <alignment vertical="center" shrinkToFit="1"/>
    </xf>
    <xf numFmtId="0" fontId="2" fillId="2" borderId="1" xfId="0" applyFont="1" applyFill="1" applyBorder="1" applyAlignment="1">
      <alignment horizontal="left" vertical="center" shrinkToFit="1"/>
    </xf>
    <xf numFmtId="0" fontId="2" fillId="3" borderId="0" xfId="0" applyFont="1" applyFill="1" applyBorder="1" applyAlignment="1">
      <alignment vertical="center" shrinkToFit="1"/>
    </xf>
    <xf numFmtId="0" fontId="6" fillId="3" borderId="0" xfId="0" applyFont="1" applyFill="1" applyAlignment="1">
      <alignment shrinkToFit="1"/>
    </xf>
    <xf numFmtId="168" fontId="0" fillId="3" borderId="3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ildwestwines.co.uk/" TargetMode="External"/><Relationship Id="rId21" Type="http://schemas.openxmlformats.org/officeDocument/2006/relationships/hyperlink" Target="http://www.dunleavyvineyards.co.uk/" TargetMode="External"/><Relationship Id="rId42" Type="http://schemas.openxmlformats.org/officeDocument/2006/relationships/hyperlink" Target="https://www.windsorgreatparkvineyard.com/" TargetMode="External"/><Relationship Id="rId47" Type="http://schemas.openxmlformats.org/officeDocument/2006/relationships/hyperlink" Target="http://www.bsixtwelve.co.uk/" TargetMode="External"/><Relationship Id="rId63" Type="http://schemas.openxmlformats.org/officeDocument/2006/relationships/hyperlink" Target="http://naniasvineyard.co.uk/" TargetMode="External"/><Relationship Id="rId68" Type="http://schemas.openxmlformats.org/officeDocument/2006/relationships/hyperlink" Target="http://www.stonyfieldwine.co.uk/" TargetMode="External"/><Relationship Id="rId84" Type="http://schemas.openxmlformats.org/officeDocument/2006/relationships/hyperlink" Target="https://www.tamarvalleyvineyard.co.uk/" TargetMode="External"/><Relationship Id="rId89" Type="http://schemas.openxmlformats.org/officeDocument/2006/relationships/hyperlink" Target="http://www.warehornevineyard.co.uk/" TargetMode="External"/><Relationship Id="rId16" Type="http://schemas.openxmlformats.org/officeDocument/2006/relationships/hyperlink" Target="https://www.copdockhall.com/" TargetMode="External"/><Relationship Id="rId11" Type="http://schemas.openxmlformats.org/officeDocument/2006/relationships/hyperlink" Target="http://www.chaldean.co.uk/" TargetMode="External"/><Relationship Id="rId32" Type="http://schemas.openxmlformats.org/officeDocument/2006/relationships/hyperlink" Target="http://www.gwernaffieldvineyard.co.uk/" TargetMode="External"/><Relationship Id="rId37" Type="http://schemas.openxmlformats.org/officeDocument/2006/relationships/hyperlink" Target="http://www.hopevalleyvineyard.co.uk/" TargetMode="External"/><Relationship Id="rId53" Type="http://schemas.openxmlformats.org/officeDocument/2006/relationships/hyperlink" Target="http://www.leonardsleegardens.co.uk/" TargetMode="External"/><Relationship Id="rId58" Type="http://schemas.openxmlformats.org/officeDocument/2006/relationships/hyperlink" Target="http://www.mdcvuk.com/" TargetMode="External"/><Relationship Id="rId74" Type="http://schemas.openxmlformats.org/officeDocument/2006/relationships/hyperlink" Target="http://www.shirefarm.co.uk/" TargetMode="External"/><Relationship Id="rId79" Type="http://schemas.openxmlformats.org/officeDocument/2006/relationships/hyperlink" Target="http://sparrowhillvineyard.co.uk/" TargetMode="External"/><Relationship Id="rId5" Type="http://schemas.openxmlformats.org/officeDocument/2006/relationships/hyperlink" Target="http://www.babusvineyard.co.uk/" TargetMode="External"/><Relationship Id="rId90" Type="http://schemas.openxmlformats.org/officeDocument/2006/relationships/hyperlink" Target="http://www.wayfarerwines.com/" TargetMode="External"/><Relationship Id="rId95" Type="http://schemas.openxmlformats.org/officeDocument/2006/relationships/hyperlink" Target="http://www.whitewolk-estates.co.uk/" TargetMode="External"/><Relationship Id="rId22" Type="http://schemas.openxmlformats.org/officeDocument/2006/relationships/hyperlink" Target="http://www.easinghillvineyard.co.uk/" TargetMode="External"/><Relationship Id="rId27" Type="http://schemas.openxmlformats.org/officeDocument/2006/relationships/hyperlink" Target="http://www.fennycastlevineyard.co.uk/" TargetMode="External"/><Relationship Id="rId43" Type="http://schemas.openxmlformats.org/officeDocument/2006/relationships/hyperlink" Target="http://www.larkhillvineyard.co.uk/" TargetMode="External"/><Relationship Id="rId48" Type="http://schemas.openxmlformats.org/officeDocument/2006/relationships/hyperlink" Target="http://looevalleyvineyard.co.uk/" TargetMode="External"/><Relationship Id="rId64" Type="http://schemas.openxmlformats.org/officeDocument/2006/relationships/hyperlink" Target="http://www.northcourtvineyard.co.uk/" TargetMode="External"/><Relationship Id="rId69" Type="http://schemas.openxmlformats.org/officeDocument/2006/relationships/hyperlink" Target="http://www.pattinghamvineyard.co.uk/" TargetMode="External"/><Relationship Id="rId80" Type="http://schemas.openxmlformats.org/officeDocument/2006/relationships/hyperlink" Target="http://www.springfieldsvineyard.co.uk/" TargetMode="External"/><Relationship Id="rId85" Type="http://schemas.openxmlformats.org/officeDocument/2006/relationships/hyperlink" Target="http://www.tillingham.com/" TargetMode="External"/><Relationship Id="rId3" Type="http://schemas.openxmlformats.org/officeDocument/2006/relationships/hyperlink" Target="http://www.ashlingpark.co.uk/" TargetMode="External"/><Relationship Id="rId12" Type="http://schemas.openxmlformats.org/officeDocument/2006/relationships/hyperlink" Target="http://www.chetvineyard.co.uk/" TargetMode="External"/><Relationship Id="rId17" Type="http://schemas.openxmlformats.org/officeDocument/2006/relationships/hyperlink" Target="https://www.nationaltrust.org.uk/croft-castle-and-parkland" TargetMode="External"/><Relationship Id="rId25" Type="http://schemas.openxmlformats.org/officeDocument/2006/relationships/hyperlink" Target="http://www.extonparkvineyard.com/" TargetMode="External"/><Relationship Id="rId33" Type="http://schemas.openxmlformats.org/officeDocument/2006/relationships/hyperlink" Target="http://www.hebronvineyard.com/" TargetMode="External"/><Relationship Id="rId38" Type="http://schemas.openxmlformats.org/officeDocument/2006/relationships/hyperlink" Target="http://www.hundredhills.com/" TargetMode="External"/><Relationship Id="rId46" Type="http://schemas.openxmlformats.org/officeDocument/2006/relationships/hyperlink" Target="http://www.littlewoldvineyard.co.uk/" TargetMode="External"/><Relationship Id="rId59" Type="http://schemas.openxmlformats.org/officeDocument/2006/relationships/hyperlink" Target="http://www.mereworthwines.co.uk/" TargetMode="External"/><Relationship Id="rId67" Type="http://schemas.openxmlformats.org/officeDocument/2006/relationships/hyperlink" Target="http://www.ovensfarmvineyard.com/" TargetMode="External"/><Relationship Id="rId20" Type="http://schemas.openxmlformats.org/officeDocument/2006/relationships/hyperlink" Target="http://www.dunesforde.com/" TargetMode="External"/><Relationship Id="rId41" Type="http://schemas.openxmlformats.org/officeDocument/2006/relationships/hyperlink" Target="http://www.laithwaites.co.uk/" TargetMode="External"/><Relationship Id="rId54" Type="http://schemas.openxmlformats.org/officeDocument/2006/relationships/hyperlink" Target="http://www.manningsheath.com/" TargetMode="External"/><Relationship Id="rId62" Type="http://schemas.openxmlformats.org/officeDocument/2006/relationships/hyperlink" Target="http://www.mowbartonbarn.co.uk/" TargetMode="External"/><Relationship Id="rId70" Type="http://schemas.openxmlformats.org/officeDocument/2006/relationships/hyperlink" Target="http://itascawines.com/" TargetMode="External"/><Relationship Id="rId75" Type="http://schemas.openxmlformats.org/officeDocument/2006/relationships/hyperlink" Target="http://www.shotleyvineyard.co.uk/" TargetMode="External"/><Relationship Id="rId83" Type="http://schemas.openxmlformats.org/officeDocument/2006/relationships/hyperlink" Target="http://www.swanaford.com/" TargetMode="External"/><Relationship Id="rId88" Type="http://schemas.openxmlformats.org/officeDocument/2006/relationships/hyperlink" Target="http://www.underscarmanor.com/" TargetMode="External"/><Relationship Id="rId91" Type="http://schemas.openxmlformats.org/officeDocument/2006/relationships/hyperlink" Target="http://www.wayfarerwines.com/" TargetMode="External"/><Relationship Id="rId96" Type="http://schemas.openxmlformats.org/officeDocument/2006/relationships/hyperlink" Target="http://www.winklestone.co.uk/" TargetMode="External"/><Relationship Id="rId1" Type="http://schemas.openxmlformats.org/officeDocument/2006/relationships/hyperlink" Target="http://www.adgestonevineyard.co.uk/" TargetMode="External"/><Relationship Id="rId6" Type="http://schemas.openxmlformats.org/officeDocument/2006/relationships/hyperlink" Target="http://www.bardsley-england.com/" TargetMode="External"/><Relationship Id="rId15" Type="http://schemas.openxmlformats.org/officeDocument/2006/relationships/hyperlink" Target="http://www.colemere.co.uk/" TargetMode="External"/><Relationship Id="rId23" Type="http://schemas.openxmlformats.org/officeDocument/2006/relationships/hyperlink" Target="http://www.allangelsvineyard.co.uk/" TargetMode="External"/><Relationship Id="rId28" Type="http://schemas.openxmlformats.org/officeDocument/2006/relationships/hyperlink" Target="http://www.swallowfinewine.co.uk/" TargetMode="External"/><Relationship Id="rId36" Type="http://schemas.openxmlformats.org/officeDocument/2006/relationships/hyperlink" Target="http://www.adrianscripps.co.uk/" TargetMode="External"/><Relationship Id="rId49" Type="http://schemas.openxmlformats.org/officeDocument/2006/relationships/hyperlink" Target="http://www.corenwine.co.uk/" TargetMode="External"/><Relationship Id="rId57" Type="http://schemas.openxmlformats.org/officeDocument/2006/relationships/hyperlink" Target="http://www.mdcvuk.com/" TargetMode="External"/><Relationship Id="rId10" Type="http://schemas.openxmlformats.org/officeDocument/2006/relationships/hyperlink" Target="http://www.carltontowers.co.uk/" TargetMode="External"/><Relationship Id="rId31" Type="http://schemas.openxmlformats.org/officeDocument/2006/relationships/hyperlink" Target="http://www.greenhillestate.co.uk/" TargetMode="External"/><Relationship Id="rId44" Type="http://schemas.openxmlformats.org/officeDocument/2006/relationships/hyperlink" Target="http://www.leventhorpevineyard.co.uk/" TargetMode="External"/><Relationship Id="rId52" Type="http://schemas.openxmlformats.org/officeDocument/2006/relationships/hyperlink" Target="http://www.eventsandtents.co.uk/" TargetMode="External"/><Relationship Id="rId60" Type="http://schemas.openxmlformats.org/officeDocument/2006/relationships/hyperlink" Target="http://www.food-physics.com/" TargetMode="External"/><Relationship Id="rId65" Type="http://schemas.openxmlformats.org/officeDocument/2006/relationships/hyperlink" Target="http://www.oastbrook.com/" TargetMode="External"/><Relationship Id="rId73" Type="http://schemas.openxmlformats.org/officeDocument/2006/relationships/hyperlink" Target="http://www.sandridgebarton.com/" TargetMode="External"/><Relationship Id="rId78" Type="http://schemas.openxmlformats.org/officeDocument/2006/relationships/hyperlink" Target="http://www.somptingestate.com/" TargetMode="External"/><Relationship Id="rId81" Type="http://schemas.openxmlformats.org/officeDocument/2006/relationships/hyperlink" Target="http://www.steeplecourtmanor.co.uk/" TargetMode="External"/><Relationship Id="rId86" Type="http://schemas.openxmlformats.org/officeDocument/2006/relationships/hyperlink" Target="http://www.toppesfieldvineyard.co.uk/" TargetMode="External"/><Relationship Id="rId94" Type="http://schemas.openxmlformats.org/officeDocument/2006/relationships/hyperlink" Target="http://www.whitehallvineyard.co.uk/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://www.astleyvineyard.co.uk/" TargetMode="External"/><Relationship Id="rId9" Type="http://schemas.openxmlformats.org/officeDocument/2006/relationships/hyperlink" Target="http://www.busijacobsohn.com/" TargetMode="External"/><Relationship Id="rId13" Type="http://schemas.openxmlformats.org/officeDocument/2006/relationships/hyperlink" Target="http://www.chinthursthillvineyards.com/" TargetMode="External"/><Relationship Id="rId18" Type="http://schemas.openxmlformats.org/officeDocument/2006/relationships/hyperlink" Target="https://www.facebook.com/devilshillvineyard" TargetMode="External"/><Relationship Id="rId39" Type="http://schemas.openxmlformats.org/officeDocument/2006/relationships/hyperlink" Target="http://www.jojosvineyard.co.uk/" TargetMode="External"/><Relationship Id="rId34" Type="http://schemas.openxmlformats.org/officeDocument/2006/relationships/hyperlink" Target="http://www.hendredvineyard.co.uk/" TargetMode="External"/><Relationship Id="rId50" Type="http://schemas.openxmlformats.org/officeDocument/2006/relationships/hyperlink" Target="http://www.lowickvineyard.com/" TargetMode="External"/><Relationship Id="rId55" Type="http://schemas.openxmlformats.org/officeDocument/2006/relationships/hyperlink" Target="http://www.herberthall.co.uk/" TargetMode="External"/><Relationship Id="rId76" Type="http://schemas.openxmlformats.org/officeDocument/2006/relationships/hyperlink" Target="http://www.sombornevalley.com/" TargetMode="External"/><Relationship Id="rId97" Type="http://schemas.openxmlformats.org/officeDocument/2006/relationships/hyperlink" Target="http://www.wychesvineyard.co.uk/" TargetMode="External"/><Relationship Id="rId7" Type="http://schemas.openxmlformats.org/officeDocument/2006/relationships/hyperlink" Target="http://www.pookchurch.co.uk/" TargetMode="External"/><Relationship Id="rId71" Type="http://schemas.openxmlformats.org/officeDocument/2006/relationships/hyperlink" Target="http://www.perchhillvineyard.com/?fbclid=IwAR20-2XMtnmEf1XcL36OIHExzHUH8sSSVyb6Zlwvu6D7EfkLl9AYol8ivTM" TargetMode="External"/><Relationship Id="rId92" Type="http://schemas.openxmlformats.org/officeDocument/2006/relationships/hyperlink" Target="http://www.verjuice.com/" TargetMode="External"/><Relationship Id="rId2" Type="http://schemas.openxmlformats.org/officeDocument/2006/relationships/hyperlink" Target="http://www.aldwickestate.co.uk/" TargetMode="External"/><Relationship Id="rId29" Type="http://schemas.openxmlformats.org/officeDocument/2006/relationships/hyperlink" Target="http://www.fouracresestate.co.uk/" TargetMode="External"/><Relationship Id="rId24" Type="http://schemas.openxmlformats.org/officeDocument/2006/relationships/hyperlink" Target="http://www.domaineevremond.com/" TargetMode="External"/><Relationship Id="rId40" Type="http://schemas.openxmlformats.org/officeDocument/2006/relationships/hyperlink" Target="http://www.kentonparkestate.com/" TargetMode="External"/><Relationship Id="rId45" Type="http://schemas.openxmlformats.org/officeDocument/2006/relationships/hyperlink" Target="http://www.littlewaddonvineyard.co.uk/" TargetMode="External"/><Relationship Id="rId66" Type="http://schemas.openxmlformats.org/officeDocument/2006/relationships/hyperlink" Target="http://www.oldhallfarm.co.uk/" TargetMode="External"/><Relationship Id="rId87" Type="http://schemas.openxmlformats.org/officeDocument/2006/relationships/hyperlink" Target="http://www.thesummerhouseyears.com/" TargetMode="External"/><Relationship Id="rId61" Type="http://schemas.openxmlformats.org/officeDocument/2006/relationships/hyperlink" Target="https://www.montgomeryvineyard.co.uk/" TargetMode="External"/><Relationship Id="rId82" Type="http://schemas.openxmlformats.org/officeDocument/2006/relationships/hyperlink" Target="https://l.facebook.com/l.php?u=http%3A%2F%2Fwww.sunnyhillvineyard.co.uk%2F%3Ffbclid%3DIwAR2j7r1_jSb5yGNEMdm2zwKESVxDSaOPkY-wGrFuQmzwGs1VPiA8r_W9hKg&amp;h=AT1cMnq895NcpRyFIk4R8Qr99C2rM717U7STCtFgdqlCWUPRPRpxR8H0JpjHHQ5famfFhhyipYxIU_JjGNfkzkAkyq34IL_hFA01UCbz7fm9rU5a1w58uPNyLGQTRwA9U4BCcV8SWISr69RM2-Y" TargetMode="External"/><Relationship Id="rId19" Type="http://schemas.openxmlformats.org/officeDocument/2006/relationships/hyperlink" Target="http://www.dryhillwine.co.uk/" TargetMode="External"/><Relationship Id="rId14" Type="http://schemas.openxmlformats.org/officeDocument/2006/relationships/hyperlink" Target="http://www.claytonorganicfarm.com/" TargetMode="External"/><Relationship Id="rId30" Type="http://schemas.openxmlformats.org/officeDocument/2006/relationships/hyperlink" Target="http://www.grapepassions.co.uk/" TargetMode="External"/><Relationship Id="rId35" Type="http://schemas.openxmlformats.org/officeDocument/2006/relationships/hyperlink" Target="http://www.heron-farm.co.uk/" TargetMode="External"/><Relationship Id="rId56" Type="http://schemas.openxmlformats.org/officeDocument/2006/relationships/hyperlink" Target="http://www.herberthall.co.uk/" TargetMode="External"/><Relationship Id="rId77" Type="http://schemas.openxmlformats.org/officeDocument/2006/relationships/hyperlink" Target="http://www.somerbyvineyards.com/" TargetMode="External"/><Relationship Id="rId8" Type="http://schemas.openxmlformats.org/officeDocument/2006/relationships/hyperlink" Target="http://www.brabournewine.com/" TargetMode="External"/><Relationship Id="rId51" Type="http://schemas.openxmlformats.org/officeDocument/2006/relationships/hyperlink" Target="http://www.lympstonemanor.co.uk/" TargetMode="External"/><Relationship Id="rId72" Type="http://schemas.openxmlformats.org/officeDocument/2006/relationships/hyperlink" Target="http://www.quobpark-vineyard.com/" TargetMode="External"/><Relationship Id="rId93" Type="http://schemas.openxmlformats.org/officeDocument/2006/relationships/hyperlink" Target="http://www.weyborne.com/" TargetMode="External"/><Relationship Id="rId98" Type="http://schemas.openxmlformats.org/officeDocument/2006/relationships/hyperlink" Target="http://www.yotescourt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B6BB-32EC-41F5-8A28-E6207D6150C8}">
  <sheetPr>
    <tabColor rgb="FFFF0066"/>
    <outlinePr summaryBelow="0" summaryRight="0"/>
    <pageSetUpPr fitToPage="1"/>
  </sheetPr>
  <dimension ref="A1:BM965"/>
  <sheetViews>
    <sheetView tabSelected="1" zoomScale="150" workbookViewId="0">
      <pane xSplit="6" ySplit="1" topLeftCell="H644" activePane="bottomRight" state="frozen"/>
      <selection pane="topRight" activeCell="G1" sqref="G1"/>
      <selection pane="bottomLeft" activeCell="A2" sqref="A2"/>
      <selection pane="bottomRight" activeCell="F1" sqref="F1"/>
    </sheetView>
  </sheetViews>
  <sheetFormatPr baseColWidth="10" defaultColWidth="14.5" defaultRowHeight="15" customHeight="1" x14ac:dyDescent="0.15"/>
  <cols>
    <col min="1" max="1" width="40.5" style="90" customWidth="1"/>
    <col min="2" max="2" width="16.6640625" style="7" customWidth="1"/>
    <col min="3" max="3" width="12.33203125" style="74" customWidth="1"/>
    <col min="4" max="4" width="11.83203125" style="74" customWidth="1"/>
    <col min="5" max="5" width="31.6640625" style="7" customWidth="1"/>
    <col min="6" max="6" width="11.5" style="74" customWidth="1"/>
    <col min="7" max="65" width="17.33203125" style="7" customWidth="1"/>
    <col min="66" max="16384" width="14.5" style="7"/>
  </cols>
  <sheetData>
    <row r="1" spans="1:65" ht="50.25" customHeight="1" x14ac:dyDescent="0.15">
      <c r="A1" s="75" t="s">
        <v>1884</v>
      </c>
      <c r="B1" s="2" t="s">
        <v>1889</v>
      </c>
      <c r="C1" s="2" t="s">
        <v>1888</v>
      </c>
      <c r="D1" s="3" t="s">
        <v>1887</v>
      </c>
      <c r="E1" s="4" t="s">
        <v>1886</v>
      </c>
      <c r="F1" s="5" t="s">
        <v>1885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</row>
    <row r="2" spans="1:65" ht="28.5" customHeight="1" x14ac:dyDescent="0.15">
      <c r="A2" s="34" t="s">
        <v>382</v>
      </c>
      <c r="B2" s="8" t="s">
        <v>32</v>
      </c>
      <c r="C2" s="13" t="s">
        <v>383</v>
      </c>
      <c r="D2" s="13" t="s">
        <v>1</v>
      </c>
      <c r="E2" s="9" t="str">
        <f>HYPERLINK("http://www.abberleyhillsvineyard.co.uk","www.abberleyhillsvineyard.co.uk")</f>
        <v>www.abberleyhillsvineyard.co.uk</v>
      </c>
      <c r="F2" s="10">
        <v>0.2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</row>
    <row r="3" spans="1:65" ht="28.5" customHeight="1" x14ac:dyDescent="0.15">
      <c r="A3" s="76" t="s">
        <v>1508</v>
      </c>
      <c r="B3" s="8" t="s">
        <v>2</v>
      </c>
      <c r="C3" s="13" t="s">
        <v>1507</v>
      </c>
      <c r="D3" s="13" t="s">
        <v>1</v>
      </c>
      <c r="E3" s="9" t="str">
        <f>HYPERLINK("http://www.abbeyvineyards.co.uk/","www.abbeyvineyards.co.uk")</f>
        <v>www.abbeyvineyards.co.uk</v>
      </c>
      <c r="F3" s="10">
        <v>4.3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</row>
    <row r="4" spans="1:65" ht="28.5" customHeight="1" x14ac:dyDescent="0.15">
      <c r="A4" s="76" t="s">
        <v>1015</v>
      </c>
      <c r="B4" s="8" t="s">
        <v>180</v>
      </c>
      <c r="C4" s="13" t="s">
        <v>1014</v>
      </c>
      <c r="D4" s="13" t="s">
        <v>1</v>
      </c>
      <c r="E4" s="9" t="str">
        <f>HYPERLINK("http://www.abbeyvineyards.co.uk/","www.abbeyvineyards.co.uk")</f>
        <v>www.abbeyvineyards.co.uk</v>
      </c>
      <c r="F4" s="10">
        <v>1.25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</row>
    <row r="5" spans="1:65" ht="28.5" customHeight="1" x14ac:dyDescent="0.15">
      <c r="A5" s="76" t="s">
        <v>1110</v>
      </c>
      <c r="B5" s="8" t="s">
        <v>1082</v>
      </c>
      <c r="C5" s="13" t="s">
        <v>1109</v>
      </c>
      <c r="D5" s="13" t="s">
        <v>1</v>
      </c>
      <c r="E5" s="9" t="str">
        <f>HYPERLINK("http://www.abbeyvineyards.co.uk/","www.abbeyvineyards.co.uk")</f>
        <v>www.abbeyvineyards.co.uk</v>
      </c>
      <c r="F5" s="10">
        <v>1.6194299999999999</v>
      </c>
      <c r="G5" s="1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</row>
    <row r="6" spans="1:65" ht="24.75" customHeight="1" x14ac:dyDescent="0.15">
      <c r="A6" s="76" t="s">
        <v>1084</v>
      </c>
      <c r="B6" s="8" t="s">
        <v>1082</v>
      </c>
      <c r="C6" s="13" t="s">
        <v>1083</v>
      </c>
      <c r="D6" s="13" t="s">
        <v>1</v>
      </c>
      <c r="E6" s="9" t="str">
        <f>HYPERLINK("http://www.abbeyvineyards.co.uk/","www.abbeyvineyards.co.uk")</f>
        <v>www.abbeyvineyards.co.uk</v>
      </c>
      <c r="F6" s="10">
        <v>1.5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</row>
    <row r="7" spans="1:65" ht="28.5" customHeight="1" x14ac:dyDescent="0.15">
      <c r="A7" s="76" t="s">
        <v>1396</v>
      </c>
      <c r="B7" s="8" t="s">
        <v>180</v>
      </c>
      <c r="C7" s="13" t="s">
        <v>1395</v>
      </c>
      <c r="D7" s="13" t="s">
        <v>1</v>
      </c>
      <c r="E7" s="9" t="str">
        <f>HYPERLINK("http://www.abbeyvineyards.co.uk/","www.abbeyvineyards.co.uk")</f>
        <v>www.abbeyvineyards.co.uk</v>
      </c>
      <c r="F7" s="10">
        <v>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</row>
    <row r="8" spans="1:65" ht="28.5" customHeight="1" x14ac:dyDescent="0.15">
      <c r="A8" s="76" t="s">
        <v>1439</v>
      </c>
      <c r="B8" s="8" t="s">
        <v>205</v>
      </c>
      <c r="C8" s="13" t="s">
        <v>1438</v>
      </c>
      <c r="D8" s="13" t="s">
        <v>1</v>
      </c>
      <c r="E8" s="9" t="str">
        <f>HYPERLINK("http://www.abecketts.co.uk/","www.abecketts.co.uk")</f>
        <v>www.abecketts.co.uk</v>
      </c>
      <c r="F8" s="10">
        <v>3.58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</row>
    <row r="9" spans="1:65" ht="28.5" customHeight="1" x14ac:dyDescent="0.15">
      <c r="A9" s="34" t="s">
        <v>84</v>
      </c>
      <c r="B9" s="8" t="s">
        <v>83</v>
      </c>
      <c r="C9" s="13" t="s">
        <v>82</v>
      </c>
      <c r="D9" s="13" t="s">
        <v>1</v>
      </c>
      <c r="E9" s="8"/>
      <c r="F9" s="14">
        <v>1.7000000000000001E-2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</row>
    <row r="10" spans="1:65" ht="28.5" customHeight="1" x14ac:dyDescent="0.15">
      <c r="A10" s="34" t="s">
        <v>115</v>
      </c>
      <c r="B10" s="8" t="s">
        <v>36</v>
      </c>
      <c r="C10" s="13" t="s">
        <v>114</v>
      </c>
      <c r="D10" s="13" t="s">
        <v>1</v>
      </c>
      <c r="E10" s="9" t="str">
        <f>HYPERLINK("http://www.acombgrange.co.uk/","www.acombgrange.co.uk")</f>
        <v>www.acombgrange.co.uk</v>
      </c>
      <c r="F10" s="10">
        <v>3.3599999999999998E-2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</row>
    <row r="11" spans="1:65" ht="28.5" customHeight="1" x14ac:dyDescent="0.15">
      <c r="A11" s="34" t="s">
        <v>184</v>
      </c>
      <c r="B11" s="8" t="s">
        <v>183</v>
      </c>
      <c r="C11" s="13" t="s">
        <v>182</v>
      </c>
      <c r="D11" s="13" t="s">
        <v>1</v>
      </c>
      <c r="E11" s="9"/>
      <c r="F11" s="10">
        <v>9.9900000000000003E-2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</row>
    <row r="12" spans="1:65" ht="28.5" customHeight="1" x14ac:dyDescent="0.15">
      <c r="A12" s="34" t="s">
        <v>1435</v>
      </c>
      <c r="B12" s="8" t="s">
        <v>1067</v>
      </c>
      <c r="C12" s="13" t="s">
        <v>1436</v>
      </c>
      <c r="D12" s="13" t="s">
        <v>1</v>
      </c>
      <c r="E12" s="9" t="s">
        <v>1437</v>
      </c>
      <c r="F12" s="10">
        <v>3.5087000000000002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</row>
    <row r="13" spans="1:65" ht="28.5" customHeight="1" x14ac:dyDescent="0.15">
      <c r="A13" s="34" t="s">
        <v>117</v>
      </c>
      <c r="B13" s="8" t="s">
        <v>21</v>
      </c>
      <c r="C13" s="13" t="s">
        <v>116</v>
      </c>
      <c r="D13" s="13" t="s">
        <v>1</v>
      </c>
      <c r="E13" s="9" t="str">
        <f>HYPERLINK("http://www.alara.co.uk/","www.alara.co.uk")</f>
        <v>www.alara.co.uk</v>
      </c>
      <c r="F13" s="10">
        <v>3.5000000000000003E-2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</row>
    <row r="14" spans="1:65" ht="28.5" customHeight="1" x14ac:dyDescent="0.15">
      <c r="A14" s="34" t="s">
        <v>1750</v>
      </c>
      <c r="B14" s="8" t="s">
        <v>96</v>
      </c>
      <c r="C14" s="13" t="s">
        <v>1751</v>
      </c>
      <c r="D14" s="13" t="s">
        <v>1</v>
      </c>
      <c r="E14" s="9" t="str">
        <f>HYPERLINK("http://www.albourneestate.co.uk/","www.albourneestate.co.uk")</f>
        <v>www.albourneestate.co.uk</v>
      </c>
      <c r="F14" s="10">
        <v>12.2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</row>
    <row r="15" spans="1:65" ht="28.5" customHeight="1" x14ac:dyDescent="0.15">
      <c r="A15" s="34" t="s">
        <v>437</v>
      </c>
      <c r="B15" s="8" t="s">
        <v>96</v>
      </c>
      <c r="C15" s="13" t="s">
        <v>438</v>
      </c>
      <c r="D15" s="13" t="s">
        <v>1</v>
      </c>
      <c r="E15" s="9" t="str">
        <f>HYPERLINK("https://twitter.com/albournevineyrd?lang=en","twitter.com/albournevineyrd")</f>
        <v>twitter.com/albournevineyrd</v>
      </c>
      <c r="F15" s="10">
        <v>0.28999999999999998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</row>
    <row r="16" spans="1:65" ht="28.5" customHeight="1" x14ac:dyDescent="0.15">
      <c r="A16" s="34" t="s">
        <v>1540</v>
      </c>
      <c r="B16" s="8" t="s">
        <v>64</v>
      </c>
      <c r="C16" s="13" t="s">
        <v>1539</v>
      </c>
      <c r="D16" s="13" t="s">
        <v>1</v>
      </c>
      <c r="E16" s="9" t="str">
        <f>HYPERLINK("http://www.alburyvineyard.com/","www.alburyvineyard.com")</f>
        <v>www.alburyvineyard.com</v>
      </c>
      <c r="F16" s="10">
        <v>4.9486999999999997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</row>
    <row r="17" spans="1:65" ht="28.5" customHeight="1" x14ac:dyDescent="0.15">
      <c r="A17" s="34" t="s">
        <v>1375</v>
      </c>
      <c r="B17" s="8" t="s">
        <v>107</v>
      </c>
      <c r="C17" s="13" t="s">
        <v>1376</v>
      </c>
      <c r="D17" s="13" t="s">
        <v>1</v>
      </c>
      <c r="E17" s="9" t="str">
        <f>HYPERLINK("http://www.cobbsfarmshop.co.uk/","www.cobbsfarmshop.co.uk")</f>
        <v>www.cobbsfarmshop.co.uk</v>
      </c>
      <c r="F17" s="10">
        <v>2.9007999999999998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</row>
    <row r="18" spans="1:65" ht="28.5" customHeight="1" x14ac:dyDescent="0.15">
      <c r="A18" s="34" t="s">
        <v>1062</v>
      </c>
      <c r="B18" s="8" t="s">
        <v>16</v>
      </c>
      <c r="C18" s="13" t="s">
        <v>1063</v>
      </c>
      <c r="D18" s="13" t="s">
        <v>1</v>
      </c>
      <c r="E18" s="15" t="str">
        <f>HYPERLINK("https://aldervineyard.uk","aldervineyard.uk")</f>
        <v>aldervineyard.uk</v>
      </c>
      <c r="F18" s="10">
        <v>1.4690000000000001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</row>
    <row r="19" spans="1:65" ht="28.5" customHeight="1" x14ac:dyDescent="0.15">
      <c r="A19" s="34" t="s">
        <v>1518</v>
      </c>
      <c r="B19" s="8" t="s">
        <v>133</v>
      </c>
      <c r="C19" s="13" t="s">
        <v>1520</v>
      </c>
      <c r="D19" s="13" t="s">
        <v>1</v>
      </c>
      <c r="E19" s="9" t="s">
        <v>1519</v>
      </c>
      <c r="F19" s="10">
        <v>4.59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</row>
    <row r="20" spans="1:65" ht="28.5" customHeight="1" x14ac:dyDescent="0.15">
      <c r="A20" s="34" t="s">
        <v>65</v>
      </c>
      <c r="B20" s="8" t="s">
        <v>64</v>
      </c>
      <c r="C20" s="13" t="s">
        <v>63</v>
      </c>
      <c r="D20" s="13" t="s">
        <v>1</v>
      </c>
      <c r="E20" s="9" t="str">
        <f>HYPERLINK("http://alexallotment.wordpress.com/vineyard/","alexallotment.wordpress.com/vineyard")</f>
        <v>alexallotment.wordpress.com/vineyard</v>
      </c>
      <c r="F20" s="10">
        <v>0.01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</row>
    <row r="21" spans="1:65" ht="28.5" customHeight="1" x14ac:dyDescent="0.15">
      <c r="A21" s="34" t="s">
        <v>1050</v>
      </c>
      <c r="B21" s="8" t="s">
        <v>30</v>
      </c>
      <c r="C21" s="13" t="s">
        <v>1049</v>
      </c>
      <c r="D21" s="13" t="s">
        <v>1</v>
      </c>
      <c r="E21" s="8"/>
      <c r="F21" s="10">
        <v>1.4164000000000001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</row>
    <row r="22" spans="1:65" ht="28.5" customHeight="1" x14ac:dyDescent="0.15">
      <c r="A22" s="34" t="s">
        <v>714</v>
      </c>
      <c r="B22" s="8" t="s">
        <v>130</v>
      </c>
      <c r="C22" s="13" t="s">
        <v>713</v>
      </c>
      <c r="D22" s="13" t="s">
        <v>1</v>
      </c>
      <c r="E22" s="9" t="str">
        <f>HYPERLINK("http://www.ambervalleywines.co.uk/","www.ambervalleywines.co.uk")</f>
        <v>www.ambervalleywines.co.uk</v>
      </c>
      <c r="F22" s="10">
        <v>0.64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</row>
    <row r="23" spans="1:65" ht="28.5" customHeight="1" x14ac:dyDescent="0.15">
      <c r="A23" s="34" t="s">
        <v>1692</v>
      </c>
      <c r="B23" s="8" t="s">
        <v>621</v>
      </c>
      <c r="C23" s="13" t="s">
        <v>1691</v>
      </c>
      <c r="D23" s="13" t="s">
        <v>43</v>
      </c>
      <c r="E23" s="9" t="str">
        <f>HYPERLINK("http://www.ancrehillestates.co.uk/","www.ancrehillestates.co.uk")</f>
        <v>www.ancrehillestates.co.uk</v>
      </c>
      <c r="F23" s="16">
        <v>8.5776000000000003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</row>
    <row r="24" spans="1:65" ht="28.5" customHeight="1" x14ac:dyDescent="0.15">
      <c r="A24" s="34" t="s">
        <v>1423</v>
      </c>
      <c r="B24" s="8" t="s">
        <v>621</v>
      </c>
      <c r="C24" s="13" t="s">
        <v>1422</v>
      </c>
      <c r="D24" s="13" t="s">
        <v>43</v>
      </c>
      <c r="E24" s="9" t="str">
        <f>HYPERLINK("http://www.ancrehillestates.co.uk/","www.ancrehillestates.co.uk")</f>
        <v>www.ancrehillestates.co.uk</v>
      </c>
      <c r="F24" s="16">
        <v>3.4224000000000001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</row>
    <row r="25" spans="1:65" ht="28.5" customHeight="1" x14ac:dyDescent="0.15">
      <c r="A25" s="34" t="s">
        <v>652</v>
      </c>
      <c r="B25" s="17" t="s">
        <v>651</v>
      </c>
      <c r="C25" s="56" t="s">
        <v>650</v>
      </c>
      <c r="D25" s="56" t="s">
        <v>137</v>
      </c>
      <c r="E25" s="17"/>
      <c r="F25" s="18">
        <v>0.5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</row>
    <row r="26" spans="1:65" ht="28.5" customHeight="1" x14ac:dyDescent="0.15">
      <c r="A26" s="34" t="s">
        <v>1644</v>
      </c>
      <c r="B26" s="17" t="s">
        <v>195</v>
      </c>
      <c r="C26" s="56" t="s">
        <v>1643</v>
      </c>
      <c r="D26" s="56" t="s">
        <v>1</v>
      </c>
      <c r="E26" s="17"/>
      <c r="F26" s="18">
        <v>7.0820999999999996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</row>
    <row r="27" spans="1:65" ht="28.5" customHeight="1" x14ac:dyDescent="0.15">
      <c r="A27" s="34" t="s">
        <v>1734</v>
      </c>
      <c r="B27" s="17" t="s">
        <v>96</v>
      </c>
      <c r="C27" s="56" t="s">
        <v>1733</v>
      </c>
      <c r="D27" s="56" t="s">
        <v>1</v>
      </c>
      <c r="E27" s="17"/>
      <c r="F27" s="18">
        <v>10.6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</row>
    <row r="28" spans="1:65" ht="28.5" customHeight="1" x14ac:dyDescent="0.15">
      <c r="A28" s="34" t="s">
        <v>259</v>
      </c>
      <c r="B28" s="8" t="s">
        <v>195</v>
      </c>
      <c r="C28" s="13" t="s">
        <v>0</v>
      </c>
      <c r="D28" s="13" t="s">
        <v>1</v>
      </c>
      <c r="E28" s="8"/>
      <c r="F28" s="19">
        <v>0.1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</row>
    <row r="29" spans="1:65" ht="28.5" customHeight="1" x14ac:dyDescent="0.15">
      <c r="A29" s="77" t="s">
        <v>760</v>
      </c>
      <c r="B29" s="20" t="s">
        <v>67</v>
      </c>
      <c r="C29" s="13" t="s">
        <v>759</v>
      </c>
      <c r="D29" s="56" t="s">
        <v>1</v>
      </c>
      <c r="E29" s="11"/>
      <c r="F29" s="10">
        <v>0.73899999999999999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</row>
    <row r="30" spans="1:65" ht="28.5" customHeight="1" x14ac:dyDescent="0.15">
      <c r="A30" s="34" t="s">
        <v>1523</v>
      </c>
      <c r="B30" s="8" t="s">
        <v>16</v>
      </c>
      <c r="C30" s="13" t="s">
        <v>773</v>
      </c>
      <c r="D30" s="13" t="s">
        <v>1</v>
      </c>
      <c r="E30" s="8"/>
      <c r="F30" s="10">
        <v>4.5999999999999996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</row>
    <row r="31" spans="1:65" ht="28.5" customHeight="1" x14ac:dyDescent="0.15">
      <c r="A31" s="34" t="s">
        <v>258</v>
      </c>
      <c r="B31" s="8" t="s">
        <v>16</v>
      </c>
      <c r="C31" s="13" t="s">
        <v>0</v>
      </c>
      <c r="D31" s="13" t="s">
        <v>1</v>
      </c>
      <c r="E31" s="8"/>
      <c r="F31" s="19">
        <v>0.1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</row>
    <row r="32" spans="1:65" ht="28.5" customHeight="1" x14ac:dyDescent="0.15">
      <c r="A32" s="34" t="s">
        <v>161</v>
      </c>
      <c r="B32" s="8" t="s">
        <v>86</v>
      </c>
      <c r="C32" s="13" t="s">
        <v>162</v>
      </c>
      <c r="D32" s="13" t="s">
        <v>1</v>
      </c>
      <c r="E32" s="9"/>
      <c r="F32" s="10">
        <v>0.08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</row>
    <row r="33" spans="1:65" ht="28.5" customHeight="1" x14ac:dyDescent="0.15">
      <c r="A33" s="78" t="s">
        <v>1553</v>
      </c>
      <c r="B33" s="11" t="s">
        <v>96</v>
      </c>
      <c r="C33" s="13" t="s">
        <v>1554</v>
      </c>
      <c r="D33" s="13" t="s">
        <v>1</v>
      </c>
      <c r="E33" s="15" t="s">
        <v>1555</v>
      </c>
      <c r="F33" s="10">
        <v>5.25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</row>
    <row r="34" spans="1:65" ht="28.5" customHeight="1" x14ac:dyDescent="0.15">
      <c r="A34" s="34" t="s">
        <v>1684</v>
      </c>
      <c r="B34" s="8" t="s">
        <v>96</v>
      </c>
      <c r="C34" s="13" t="s">
        <v>1683</v>
      </c>
      <c r="D34" s="13" t="s">
        <v>1</v>
      </c>
      <c r="E34" s="9"/>
      <c r="F34" s="10">
        <v>8.33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</row>
    <row r="35" spans="1:65" ht="28.5" customHeight="1" x14ac:dyDescent="0.15">
      <c r="A35" s="34" t="s">
        <v>257</v>
      </c>
      <c r="B35" s="8" t="s">
        <v>16</v>
      </c>
      <c r="C35" s="13" t="s">
        <v>256</v>
      </c>
      <c r="D35" s="13" t="s">
        <v>1</v>
      </c>
      <c r="E35" s="8"/>
      <c r="F35" s="10">
        <v>0.1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</row>
    <row r="36" spans="1:65" ht="28.5" customHeight="1" x14ac:dyDescent="0.15">
      <c r="A36" s="34" t="s">
        <v>1219</v>
      </c>
      <c r="B36" s="8" t="s">
        <v>32</v>
      </c>
      <c r="C36" s="13" t="s">
        <v>1217</v>
      </c>
      <c r="D36" s="13" t="s">
        <v>1</v>
      </c>
      <c r="E36" s="15" t="s">
        <v>1218</v>
      </c>
      <c r="F36" s="10">
        <v>2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</row>
    <row r="37" spans="1:65" ht="28.5" customHeight="1" x14ac:dyDescent="0.15">
      <c r="A37" s="77" t="s">
        <v>380</v>
      </c>
      <c r="B37" s="20" t="s">
        <v>16</v>
      </c>
      <c r="C37" s="57" t="s">
        <v>381</v>
      </c>
      <c r="D37" s="56" t="s">
        <v>1</v>
      </c>
      <c r="E37" s="17"/>
      <c r="F37" s="10">
        <v>0.2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</row>
    <row r="38" spans="1:65" ht="28.5" customHeight="1" x14ac:dyDescent="0.15">
      <c r="A38" s="34" t="s">
        <v>707</v>
      </c>
      <c r="B38" s="8" t="s">
        <v>19</v>
      </c>
      <c r="C38" s="13" t="s">
        <v>708</v>
      </c>
      <c r="D38" s="13" t="s">
        <v>1</v>
      </c>
      <c r="E38" s="9" t="str">
        <f>HYPERLINK("http://www.pennardorganicwines.co.uk/","www.pennardorganicwines.co.uk")</f>
        <v>www.pennardorganicwines.co.uk</v>
      </c>
      <c r="F38" s="10">
        <v>0.62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</row>
    <row r="39" spans="1:65" ht="28.5" customHeight="1" x14ac:dyDescent="0.15">
      <c r="A39" s="34" t="s">
        <v>1158</v>
      </c>
      <c r="B39" s="8" t="s">
        <v>205</v>
      </c>
      <c r="C39" s="13" t="s">
        <v>1157</v>
      </c>
      <c r="D39" s="13" t="s">
        <v>1</v>
      </c>
      <c r="E39" s="9"/>
      <c r="F39" s="10">
        <v>1.8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</row>
    <row r="40" spans="1:65" ht="28.5" customHeight="1" x14ac:dyDescent="0.15">
      <c r="A40" s="34" t="s">
        <v>378</v>
      </c>
      <c r="B40" s="8" t="s">
        <v>377</v>
      </c>
      <c r="C40" s="13" t="s">
        <v>379</v>
      </c>
      <c r="D40" s="13" t="s">
        <v>1</v>
      </c>
      <c r="E40" s="9"/>
      <c r="F40" s="10">
        <v>0.2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</row>
    <row r="41" spans="1:65" ht="28.5" customHeight="1" x14ac:dyDescent="0.15">
      <c r="A41" s="34" t="s">
        <v>403</v>
      </c>
      <c r="B41" s="8" t="s">
        <v>67</v>
      </c>
      <c r="C41" s="13" t="s">
        <v>404</v>
      </c>
      <c r="D41" s="13" t="s">
        <v>1</v>
      </c>
      <c r="E41" s="15" t="s">
        <v>405</v>
      </c>
      <c r="F41" s="10">
        <v>0.24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</row>
    <row r="42" spans="1:65" ht="28.5" customHeight="1" x14ac:dyDescent="0.15">
      <c r="A42" s="78" t="s">
        <v>34</v>
      </c>
      <c r="B42" s="11" t="s">
        <v>21</v>
      </c>
      <c r="C42" s="13" t="s">
        <v>0</v>
      </c>
      <c r="D42" s="13" t="s">
        <v>1</v>
      </c>
      <c r="E42" s="11"/>
      <c r="F42" s="13" t="s">
        <v>0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</row>
    <row r="43" spans="1:65" ht="28.5" customHeight="1" x14ac:dyDescent="0.15">
      <c r="A43" s="78" t="s">
        <v>1028</v>
      </c>
      <c r="B43" s="8" t="s">
        <v>78</v>
      </c>
      <c r="C43" s="13" t="s">
        <v>1029</v>
      </c>
      <c r="D43" s="13" t="s">
        <v>1</v>
      </c>
      <c r="E43" s="8"/>
      <c r="F43" s="10">
        <v>1.3306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</row>
    <row r="44" spans="1:65" ht="28.5" customHeight="1" x14ac:dyDescent="0.15">
      <c r="A44" s="79" t="s">
        <v>1866</v>
      </c>
      <c r="B44" s="8" t="s">
        <v>1865</v>
      </c>
      <c r="C44" s="13" t="s">
        <v>156</v>
      </c>
      <c r="D44" s="56" t="s">
        <v>156</v>
      </c>
      <c r="E44" s="8"/>
      <c r="F44" s="16" t="s">
        <v>0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</row>
    <row r="45" spans="1:65" ht="28.5" customHeight="1" x14ac:dyDescent="0.15">
      <c r="A45" s="34" t="s">
        <v>761</v>
      </c>
      <c r="B45" s="8" t="s">
        <v>30</v>
      </c>
      <c r="C45" s="13" t="s">
        <v>762</v>
      </c>
      <c r="D45" s="13" t="s">
        <v>1</v>
      </c>
      <c r="E45" s="9" t="str">
        <f>HYPERLINK("http://www.greatlodge.co.uk/","www.greatlodge.co.uk")</f>
        <v>www.greatlodge.co.uk</v>
      </c>
      <c r="F45" s="10">
        <v>0.74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</row>
    <row r="46" spans="1:65" ht="28.5" customHeight="1" x14ac:dyDescent="0.15">
      <c r="A46" s="34" t="s">
        <v>607</v>
      </c>
      <c r="B46" s="8" t="s">
        <v>9</v>
      </c>
      <c r="C46" s="13" t="s">
        <v>608</v>
      </c>
      <c r="D46" s="13" t="s">
        <v>1</v>
      </c>
      <c r="E46" s="9" t="str">
        <f>HYPERLINK("http://www.bardingley.com/","www.bardingley.com")</f>
        <v>www.bardingley.com</v>
      </c>
      <c r="F46" s="16">
        <v>0.45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</row>
    <row r="47" spans="1:65" ht="28.5" customHeight="1" x14ac:dyDescent="0.15">
      <c r="A47" s="34" t="s">
        <v>1638</v>
      </c>
      <c r="B47" s="8" t="s">
        <v>9</v>
      </c>
      <c r="C47" s="13" t="s">
        <v>1637</v>
      </c>
      <c r="D47" s="13" t="s">
        <v>1</v>
      </c>
      <c r="E47" s="15" t="s">
        <v>1636</v>
      </c>
      <c r="F47" s="16">
        <v>6.8827999999999996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</row>
    <row r="48" spans="1:65" ht="28.5" customHeight="1" x14ac:dyDescent="0.15">
      <c r="A48" s="80" t="s">
        <v>985</v>
      </c>
      <c r="B48" s="23" t="s">
        <v>19</v>
      </c>
      <c r="C48" s="58" t="s">
        <v>986</v>
      </c>
      <c r="D48" s="13" t="s">
        <v>1</v>
      </c>
      <c r="E48" s="11"/>
      <c r="F48" s="10">
        <v>1.21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</row>
    <row r="49" spans="1:65" ht="28.5" customHeight="1" x14ac:dyDescent="0.15">
      <c r="A49" s="78" t="s">
        <v>1544</v>
      </c>
      <c r="B49" s="11" t="s">
        <v>96</v>
      </c>
      <c r="C49" s="57" t="s">
        <v>1543</v>
      </c>
      <c r="D49" s="13" t="s">
        <v>1</v>
      </c>
      <c r="E49" s="11"/>
      <c r="F49" s="24">
        <v>5</v>
      </c>
      <c r="G49" s="11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</row>
    <row r="50" spans="1:65" ht="28.5" customHeight="1" x14ac:dyDescent="0.15">
      <c r="A50" s="34" t="s">
        <v>1277</v>
      </c>
      <c r="B50" s="8" t="s">
        <v>9</v>
      </c>
      <c r="C50" s="13" t="s">
        <v>1278</v>
      </c>
      <c r="D50" s="13" t="s">
        <v>1</v>
      </c>
      <c r="E50" s="9" t="str">
        <f>HYPERLINK("http://www.barnsole.co.uk/","www.barnsole.co.uk")</f>
        <v>www.barnsole.co.uk</v>
      </c>
      <c r="F50" s="10">
        <v>2.2999999999999998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</row>
    <row r="51" spans="1:65" ht="28.5" customHeight="1" x14ac:dyDescent="0.15">
      <c r="A51" s="34" t="s">
        <v>1440</v>
      </c>
      <c r="B51" s="25" t="s">
        <v>9</v>
      </c>
      <c r="C51" s="59" t="s">
        <v>1441</v>
      </c>
      <c r="D51" s="13" t="s">
        <v>1</v>
      </c>
      <c r="E51" s="9" t="str">
        <f>HYPERLINK("www.hughlowefarms.com","www.hughlowefarms.com")</f>
        <v>www.hughlowefarms.com</v>
      </c>
      <c r="F51" s="10">
        <v>3.5819999999999999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</row>
    <row r="52" spans="1:65" ht="28.5" customHeight="1" x14ac:dyDescent="0.15">
      <c r="A52" s="34" t="s">
        <v>1227</v>
      </c>
      <c r="B52" s="12" t="s">
        <v>9</v>
      </c>
      <c r="C52" s="47" t="s">
        <v>1228</v>
      </c>
      <c r="D52" s="13" t="s">
        <v>1</v>
      </c>
      <c r="E52" s="15"/>
      <c r="F52" s="10">
        <v>2.0234999999999999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</row>
    <row r="53" spans="1:65" ht="28.5" customHeight="1" x14ac:dyDescent="0.15">
      <c r="A53" s="34" t="s">
        <v>1869</v>
      </c>
      <c r="B53" s="8" t="s">
        <v>58</v>
      </c>
      <c r="C53" s="13" t="s">
        <v>1870</v>
      </c>
      <c r="D53" s="13" t="s">
        <v>1</v>
      </c>
      <c r="E53" s="9" t="str">
        <f>HYPERLINK("http://www.bathsparklingwine.co.uk","www.bathsparklingwine.co.uk")</f>
        <v>www.bathsparklingwine.co.uk</v>
      </c>
      <c r="F53" s="16" t="s">
        <v>0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</row>
    <row r="54" spans="1:65" ht="28.5" customHeight="1" x14ac:dyDescent="0.15">
      <c r="A54" s="34" t="s">
        <v>586</v>
      </c>
      <c r="B54" s="11" t="s">
        <v>61</v>
      </c>
      <c r="C54" s="13" t="s">
        <v>587</v>
      </c>
      <c r="D54" s="13" t="s">
        <v>1</v>
      </c>
      <c r="E54" s="8"/>
      <c r="F54" s="10">
        <v>0.4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</row>
    <row r="55" spans="1:65" ht="28.5" customHeight="1" x14ac:dyDescent="0.15">
      <c r="A55" s="34" t="s">
        <v>1316</v>
      </c>
      <c r="B55" s="8" t="s">
        <v>195</v>
      </c>
      <c r="C55" s="13" t="s">
        <v>1317</v>
      </c>
      <c r="D55" s="13" t="s">
        <v>1</v>
      </c>
      <c r="E55" s="9" t="str">
        <f>HYPERLINK("http://www.beacondown.co.uk/","www.beacondown.co.uk")</f>
        <v>www.beacondown.co.uk</v>
      </c>
      <c r="F55" s="10">
        <v>2.5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</row>
    <row r="56" spans="1:65" ht="28.5" customHeight="1" x14ac:dyDescent="0.15">
      <c r="A56" s="34" t="s">
        <v>600</v>
      </c>
      <c r="B56" s="12" t="s">
        <v>234</v>
      </c>
      <c r="C56" s="47" t="s">
        <v>601</v>
      </c>
      <c r="D56" s="47" t="s">
        <v>1</v>
      </c>
      <c r="E56" s="26" t="str">
        <f>HYPERLINK("http://www.bearleyvineyard.co.uk/","www.bearleyvineyard.co.uk")</f>
        <v>www.bearleyvineyard.co.uk</v>
      </c>
      <c r="F56" s="10">
        <v>0.43940000000000001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</row>
    <row r="57" spans="1:65" ht="28.5" customHeight="1" x14ac:dyDescent="0.15">
      <c r="A57" s="34" t="s">
        <v>923</v>
      </c>
      <c r="B57" s="8" t="s">
        <v>5</v>
      </c>
      <c r="C57" s="13" t="s">
        <v>924</v>
      </c>
      <c r="D57" s="13" t="s">
        <v>1</v>
      </c>
      <c r="E57" s="9" t="str">
        <f>HYPERLINK("http://www.beaulieu.co.uk/","www.beaulieu.co.uk")</f>
        <v>www.beaulieu.co.uk</v>
      </c>
      <c r="F57" s="10">
        <v>1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</row>
    <row r="58" spans="1:65" ht="28.5" customHeight="1" x14ac:dyDescent="0.15">
      <c r="A58" s="34" t="s">
        <v>1087</v>
      </c>
      <c r="B58" s="8" t="s">
        <v>195</v>
      </c>
      <c r="C58" s="13" t="s">
        <v>1086</v>
      </c>
      <c r="D58" s="13" t="s">
        <v>1</v>
      </c>
      <c r="E58" s="9" t="str">
        <f>HYPERLINK("www.vine-works.com","www.vine-works.com")</f>
        <v>www.vine-works.com</v>
      </c>
      <c r="F58" s="10">
        <v>1.56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</row>
    <row r="59" spans="1:65" ht="28.5" customHeight="1" x14ac:dyDescent="0.15">
      <c r="A59" s="34" t="s">
        <v>463</v>
      </c>
      <c r="B59" s="8" t="s">
        <v>61</v>
      </c>
      <c r="C59" s="13" t="s">
        <v>464</v>
      </c>
      <c r="D59" s="13" t="s">
        <v>1</v>
      </c>
      <c r="E59" s="9" t="str">
        <f>HYPERLINK("http://www.beechesvineyard.com/","www.beechesvineyard.com")</f>
        <v>www.beechesvineyard.com</v>
      </c>
      <c r="F59" s="10">
        <v>0.30349999999999999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</row>
    <row r="60" spans="1:65" ht="28.5" customHeight="1" x14ac:dyDescent="0.15">
      <c r="A60" s="77" t="s">
        <v>254</v>
      </c>
      <c r="B60" s="20" t="s">
        <v>61</v>
      </c>
      <c r="C60" s="60" t="s">
        <v>255</v>
      </c>
      <c r="D60" s="56" t="s">
        <v>1</v>
      </c>
      <c r="E60" s="17"/>
      <c r="F60" s="10">
        <v>0.1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</row>
    <row r="61" spans="1:65" ht="28.5" customHeight="1" x14ac:dyDescent="0.15">
      <c r="A61" s="34" t="s">
        <v>288</v>
      </c>
      <c r="B61" s="8" t="s">
        <v>16</v>
      </c>
      <c r="C61" s="13" t="s">
        <v>287</v>
      </c>
      <c r="D61" s="13" t="s">
        <v>1</v>
      </c>
      <c r="E61" s="8"/>
      <c r="F61" s="10">
        <v>0.13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</row>
    <row r="62" spans="1:65" ht="28.5" customHeight="1" x14ac:dyDescent="0.15">
      <c r="A62" s="34" t="s">
        <v>1234</v>
      </c>
      <c r="B62" s="8" t="s">
        <v>73</v>
      </c>
      <c r="C62" s="13" t="s">
        <v>1233</v>
      </c>
      <c r="D62" s="13" t="s">
        <v>1</v>
      </c>
      <c r="E62" s="8"/>
      <c r="F62" s="10">
        <v>2.0299999999999998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</row>
    <row r="63" spans="1:65" ht="28.5" customHeight="1" x14ac:dyDescent="0.15">
      <c r="A63" s="34" t="s">
        <v>1322</v>
      </c>
      <c r="B63" s="8" t="s">
        <v>195</v>
      </c>
      <c r="C63" s="13" t="s">
        <v>1323</v>
      </c>
      <c r="D63" s="13" t="s">
        <v>1</v>
      </c>
      <c r="E63" s="11"/>
      <c r="F63" s="10">
        <v>2.6135000000000002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</row>
    <row r="64" spans="1:65" ht="28.5" customHeight="1" x14ac:dyDescent="0.15">
      <c r="A64" s="34" t="s">
        <v>1671</v>
      </c>
      <c r="B64" s="8" t="s">
        <v>9</v>
      </c>
      <c r="C64" s="13" t="s">
        <v>1670</v>
      </c>
      <c r="D64" s="13" t="s">
        <v>1</v>
      </c>
      <c r="E64" s="9" t="str">
        <f>HYPERLINK("http://www.biddendenvineyards.com/","www.biddendenvineyards.com")</f>
        <v>www.biddendenvineyards.com</v>
      </c>
      <c r="F64" s="10">
        <v>8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</row>
    <row r="65" spans="1:65" ht="28.5" customHeight="1" x14ac:dyDescent="0.15">
      <c r="A65" s="34" t="s">
        <v>253</v>
      </c>
      <c r="B65" s="8" t="s">
        <v>195</v>
      </c>
      <c r="C65" s="13" t="s">
        <v>0</v>
      </c>
      <c r="D65" s="13" t="s">
        <v>1</v>
      </c>
      <c r="E65" s="8"/>
      <c r="F65" s="19">
        <v>0.1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</row>
    <row r="66" spans="1:65" ht="28.5" customHeight="1" x14ac:dyDescent="0.15">
      <c r="A66" s="78" t="s">
        <v>1715</v>
      </c>
      <c r="B66" s="11" t="s">
        <v>9</v>
      </c>
      <c r="C66" s="13" t="s">
        <v>1714</v>
      </c>
      <c r="D66" s="13" t="s">
        <v>1</v>
      </c>
      <c r="E66" s="11"/>
      <c r="F66" s="27">
        <v>9.9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</row>
    <row r="67" spans="1:65" ht="28.5" customHeight="1" x14ac:dyDescent="0.15">
      <c r="A67" s="78" t="s">
        <v>1893</v>
      </c>
      <c r="B67" s="11" t="s">
        <v>9</v>
      </c>
      <c r="C67" s="13" t="s">
        <v>0</v>
      </c>
      <c r="D67" s="13" t="s">
        <v>1</v>
      </c>
      <c r="E67" s="11"/>
      <c r="F67" s="24">
        <v>0.4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</row>
    <row r="68" spans="1:65" ht="28.5" customHeight="1" x14ac:dyDescent="0.15">
      <c r="A68" s="34" t="s">
        <v>1215</v>
      </c>
      <c r="B68" s="8" t="s">
        <v>5</v>
      </c>
      <c r="C68" s="13" t="s">
        <v>1216</v>
      </c>
      <c r="D68" s="13" t="s">
        <v>1</v>
      </c>
      <c r="E68" s="9" t="str">
        <f>HYPERLINK("http://www.birchenwood.com/","www.birchenwood.com")</f>
        <v>www.birchenwood.com</v>
      </c>
      <c r="F68" s="10">
        <v>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</row>
    <row r="69" spans="1:65" ht="28.5" customHeight="1" x14ac:dyDescent="0.15">
      <c r="A69" s="81" t="s">
        <v>329</v>
      </c>
      <c r="B69" s="28" t="s">
        <v>32</v>
      </c>
      <c r="C69" s="61" t="s">
        <v>328</v>
      </c>
      <c r="D69" s="13" t="s">
        <v>1</v>
      </c>
      <c r="E69" s="11"/>
      <c r="F69" s="10">
        <v>0.19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</row>
    <row r="70" spans="1:65" ht="28.5" customHeight="1" x14ac:dyDescent="0.15">
      <c r="A70" s="34" t="s">
        <v>318</v>
      </c>
      <c r="B70" s="8" t="s">
        <v>195</v>
      </c>
      <c r="C70" s="13" t="s">
        <v>317</v>
      </c>
      <c r="D70" s="13" t="s">
        <v>1</v>
      </c>
      <c r="E70" s="8"/>
      <c r="F70" s="10">
        <v>0.16880000000000001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</row>
    <row r="71" spans="1:65" ht="28.5" customHeight="1" x14ac:dyDescent="0.15">
      <c r="A71" s="34" t="s">
        <v>251</v>
      </c>
      <c r="B71" s="8" t="s">
        <v>234</v>
      </c>
      <c r="C71" s="13" t="s">
        <v>252</v>
      </c>
      <c r="D71" s="13" t="s">
        <v>1</v>
      </c>
      <c r="E71" s="9" t="str">
        <f>HYPERLINK("https://www.facebook.com/blabersHallWineEstate/?ref=py_c","facebook.com/blabersHallWineEstate")</f>
        <v>facebook.com/blabersHallWineEstate</v>
      </c>
      <c r="F71" s="19">
        <v>0.1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</row>
    <row r="72" spans="1:65" ht="28.5" customHeight="1" x14ac:dyDescent="0.15">
      <c r="A72" s="34" t="s">
        <v>1754</v>
      </c>
      <c r="B72" s="8" t="s">
        <v>5</v>
      </c>
      <c r="C72" s="13" t="s">
        <v>1752</v>
      </c>
      <c r="D72" s="13" t="s">
        <v>1</v>
      </c>
      <c r="E72" s="8" t="s">
        <v>1753</v>
      </c>
      <c r="F72" s="14">
        <v>12.21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</row>
    <row r="73" spans="1:65" ht="28.5" customHeight="1" x14ac:dyDescent="0.15">
      <c r="A73" s="34" t="s">
        <v>1620</v>
      </c>
      <c r="B73" s="8" t="s">
        <v>195</v>
      </c>
      <c r="C73" s="13" t="s">
        <v>1621</v>
      </c>
      <c r="D73" s="13" t="s">
        <v>1</v>
      </c>
      <c r="E73" s="26" t="str">
        <f>HYPERLINK("http://www.blackdoghillvineyard.com/","www.blackdoghillvineyard.com")</f>
        <v>www.blackdoghillvineyard.com</v>
      </c>
      <c r="F73" s="10">
        <v>6.4751000000000003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</row>
    <row r="74" spans="1:65" ht="28.5" customHeight="1" x14ac:dyDescent="0.15">
      <c r="A74" s="34" t="s">
        <v>1155</v>
      </c>
      <c r="B74" s="8" t="s">
        <v>61</v>
      </c>
      <c r="C74" s="13" t="s">
        <v>1156</v>
      </c>
      <c r="D74" s="13" t="s">
        <v>1</v>
      </c>
      <c r="E74" s="29" t="str">
        <f>HYPERLINK("http://blackmountainvineyard.co.uk","blackmountainvineyard.co.uk")</f>
        <v>blackmountainvineyard.co.uk</v>
      </c>
      <c r="F74" s="10">
        <v>1.8</v>
      </c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</row>
    <row r="75" spans="1:65" ht="28.5" customHeight="1" x14ac:dyDescent="0.15">
      <c r="A75" s="34" t="s">
        <v>705</v>
      </c>
      <c r="B75" s="8" t="s">
        <v>30</v>
      </c>
      <c r="C75" s="13" t="s">
        <v>706</v>
      </c>
      <c r="D75" s="13" t="s">
        <v>1</v>
      </c>
      <c r="E75" s="12"/>
      <c r="F75" s="10">
        <v>0.60699999999999998</v>
      </c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</row>
    <row r="76" spans="1:65" ht="28.5" customHeight="1" x14ac:dyDescent="0.15">
      <c r="A76" s="34" t="s">
        <v>1250</v>
      </c>
      <c r="B76" s="8" t="s">
        <v>195</v>
      </c>
      <c r="C76" s="13" t="s">
        <v>1249</v>
      </c>
      <c r="D76" s="13" t="s">
        <v>1</v>
      </c>
      <c r="E76" s="9" t="str">
        <f>HYPERLINK("http://www.sussexsparklingwines.co.uk/","www.sussexsparklingwines.com")</f>
        <v>www.sussexsparklingwines.com</v>
      </c>
      <c r="F76" s="10">
        <v>2.12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</row>
    <row r="77" spans="1:65" ht="28.5" customHeight="1" x14ac:dyDescent="0.15">
      <c r="A77" s="34" t="s">
        <v>1517</v>
      </c>
      <c r="B77" s="8" t="s">
        <v>96</v>
      </c>
      <c r="C77" s="13" t="s">
        <v>1516</v>
      </c>
      <c r="D77" s="13" t="s">
        <v>1</v>
      </c>
      <c r="E77" s="9" t="str">
        <f>HYPERLINK("http://www.blackdownridge.co.uk/","www.blackdownridge.co.uk")</f>
        <v>www.blackdownridge.co.uk</v>
      </c>
      <c r="F77" s="10">
        <v>4.5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</row>
    <row r="78" spans="1:65" ht="28.5" customHeight="1" x14ac:dyDescent="0.15">
      <c r="A78" s="34" t="s">
        <v>1811</v>
      </c>
      <c r="B78" s="8" t="s">
        <v>195</v>
      </c>
      <c r="C78" s="13" t="s">
        <v>1810</v>
      </c>
      <c r="D78" s="13" t="s">
        <v>1</v>
      </c>
      <c r="E78" s="26" t="str">
        <f>HYPERLINK("http://www.bluebellvineyard.co.uk/","www.bluebellvineyard.co.uk")</f>
        <v>www.bluebellvineyard.co.uk</v>
      </c>
      <c r="F78" s="10">
        <v>24.3521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</row>
    <row r="79" spans="1:65" ht="28.5" customHeight="1" x14ac:dyDescent="0.15">
      <c r="A79" s="34" t="s">
        <v>1466</v>
      </c>
      <c r="B79" s="8" t="s">
        <v>205</v>
      </c>
      <c r="C79" s="13" t="s">
        <v>1465</v>
      </c>
      <c r="D79" s="13" t="s">
        <v>1</v>
      </c>
      <c r="E79" s="9" t="str">
        <f>HYPERLINK("www.bluestonevineyards.co.uk","www.bluestonevineyards.co.uk")</f>
        <v>www.bluestonevineyards.co.uk</v>
      </c>
      <c r="F79" s="10">
        <v>3.96</v>
      </c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</row>
    <row r="80" spans="1:65" ht="28.5" customHeight="1" x14ac:dyDescent="0.15">
      <c r="A80" s="34" t="s">
        <v>1782</v>
      </c>
      <c r="B80" s="8" t="s">
        <v>96</v>
      </c>
      <c r="C80" s="13" t="s">
        <v>1783</v>
      </c>
      <c r="D80" s="13" t="s">
        <v>1</v>
      </c>
      <c r="E80" s="9" t="str">
        <f>HYPERLINK("http://www.bolneywineestate.com/","www.bolneywineestate.com")</f>
        <v>www.bolneywineestate.com</v>
      </c>
      <c r="F80" s="10">
        <v>16.8</v>
      </c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</row>
    <row r="81" spans="1:65" ht="28.5" customHeight="1" x14ac:dyDescent="0.15">
      <c r="A81" s="34" t="s">
        <v>1816</v>
      </c>
      <c r="B81" s="17" t="s">
        <v>195</v>
      </c>
      <c r="C81" s="13" t="s">
        <v>1814</v>
      </c>
      <c r="D81" s="56" t="s">
        <v>1</v>
      </c>
      <c r="E81" s="15" t="s">
        <v>1815</v>
      </c>
      <c r="F81" s="18">
        <v>26.22</v>
      </c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</row>
    <row r="82" spans="1:65" ht="28.5" customHeight="1" x14ac:dyDescent="0.15">
      <c r="A82" s="34" t="s">
        <v>376</v>
      </c>
      <c r="B82" s="8" t="s">
        <v>36</v>
      </c>
      <c r="C82" s="13" t="s">
        <v>375</v>
      </c>
      <c r="D82" s="13" t="s">
        <v>1</v>
      </c>
      <c r="E82" s="9" t="str">
        <f>HYPERLINK("http://www.boltoncastle.co.uk/","www.boltoncastle.co.uk")</f>
        <v>www.boltoncastle.co.uk</v>
      </c>
      <c r="F82" s="10">
        <v>0.2</v>
      </c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</row>
    <row r="83" spans="1:65" ht="28.5" customHeight="1" x14ac:dyDescent="0.15">
      <c r="A83" s="34" t="s">
        <v>1080</v>
      </c>
      <c r="B83" s="8" t="s">
        <v>12</v>
      </c>
      <c r="C83" s="13" t="s">
        <v>1081</v>
      </c>
      <c r="D83" s="13" t="s">
        <v>1</v>
      </c>
      <c r="E83" s="9" t="str">
        <f>HYPERLINK("http://www.bosuevineyard.co.uk/","www.bosuevineyard.co.uk")</f>
        <v>www.bosuevineyard.co.uk</v>
      </c>
      <c r="F83" s="10">
        <v>1.5</v>
      </c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</row>
    <row r="84" spans="1:65" ht="28.5" customHeight="1" x14ac:dyDescent="0.15">
      <c r="A84" s="34" t="s">
        <v>1229</v>
      </c>
      <c r="B84" s="8" t="s">
        <v>313</v>
      </c>
      <c r="C84" s="13" t="s">
        <v>1230</v>
      </c>
      <c r="D84" s="13" t="s">
        <v>1</v>
      </c>
      <c r="E84" s="9" t="str">
        <f>HYPERLINK("http://www.bothyvineyard.co.uk/","www.bothyvineyard.co.uk")</f>
        <v>www.bothyvineyard.co.uk</v>
      </c>
      <c r="F84" s="10">
        <v>2.0243000000000002</v>
      </c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</row>
    <row r="85" spans="1:65" ht="28.5" customHeight="1" x14ac:dyDescent="0.15">
      <c r="A85" s="34" t="s">
        <v>1006</v>
      </c>
      <c r="B85" s="30" t="s">
        <v>205</v>
      </c>
      <c r="C85" s="62" t="s">
        <v>1005</v>
      </c>
      <c r="D85" s="13" t="s">
        <v>1</v>
      </c>
      <c r="E85" s="9" t="str">
        <f>HYPERLINK("http://www.bowinthecloud.co.uk/","www.bowinthecloud.co.uk")</f>
        <v>www.bowinthecloud.co.uk</v>
      </c>
      <c r="F85" s="10">
        <v>1.24</v>
      </c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</row>
    <row r="86" spans="1:65" ht="28.5" customHeight="1" x14ac:dyDescent="0.15">
      <c r="A86" s="78" t="s">
        <v>798</v>
      </c>
      <c r="B86" s="11" t="s">
        <v>9</v>
      </c>
      <c r="C86" s="13" t="s">
        <v>796</v>
      </c>
      <c r="D86" s="13" t="s">
        <v>1</v>
      </c>
      <c r="E86" s="15" t="s">
        <v>797</v>
      </c>
      <c r="F86" s="10">
        <v>0.8</v>
      </c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</row>
    <row r="87" spans="1:65" ht="28.5" customHeight="1" x14ac:dyDescent="0.15">
      <c r="A87" s="34" t="s">
        <v>250</v>
      </c>
      <c r="B87" s="11" t="s">
        <v>19</v>
      </c>
      <c r="C87" s="13" t="s">
        <v>249</v>
      </c>
      <c r="D87" s="13" t="s">
        <v>1</v>
      </c>
      <c r="E87" s="8"/>
      <c r="F87" s="19">
        <v>0.1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</row>
    <row r="88" spans="1:65" ht="28.5" customHeight="1" x14ac:dyDescent="0.15">
      <c r="A88" s="34" t="s">
        <v>1299</v>
      </c>
      <c r="B88" s="8" t="s">
        <v>195</v>
      </c>
      <c r="C88" s="13" t="s">
        <v>1300</v>
      </c>
      <c r="D88" s="13" t="s">
        <v>1</v>
      </c>
      <c r="E88" s="9" t="str">
        <f>HYPERLINK("http://www.breakybottom.co.uk/","www.breakybottom.co.uk")</f>
        <v>www.breakybottom.co.uk</v>
      </c>
      <c r="F88" s="10">
        <v>2.4281999999999999</v>
      </c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</row>
    <row r="89" spans="1:65" ht="28.5" customHeight="1" x14ac:dyDescent="0.15">
      <c r="A89" s="34" t="s">
        <v>1061</v>
      </c>
      <c r="B89" s="8" t="s">
        <v>32</v>
      </c>
      <c r="C89" s="13" t="s">
        <v>1060</v>
      </c>
      <c r="D89" s="13" t="s">
        <v>1</v>
      </c>
      <c r="E89" s="17"/>
      <c r="F89" s="10">
        <v>1.4641999999999999</v>
      </c>
      <c r="G89" s="11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</row>
    <row r="90" spans="1:65" ht="28.5" customHeight="1" x14ac:dyDescent="0.15">
      <c r="A90" s="78" t="s">
        <v>151</v>
      </c>
      <c r="B90" s="11" t="s">
        <v>32</v>
      </c>
      <c r="C90" s="13" t="s">
        <v>150</v>
      </c>
      <c r="D90" s="56" t="s">
        <v>1</v>
      </c>
      <c r="E90" s="17"/>
      <c r="F90" s="10">
        <v>6.7000000000000004E-2</v>
      </c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</row>
    <row r="91" spans="1:65" ht="28.5" customHeight="1" x14ac:dyDescent="0.15">
      <c r="A91" s="34" t="s">
        <v>1101</v>
      </c>
      <c r="B91" s="8" t="s">
        <v>24</v>
      </c>
      <c r="C91" s="13" t="s">
        <v>1102</v>
      </c>
      <c r="D91" s="13" t="s">
        <v>1</v>
      </c>
      <c r="E91" s="9" t="str">
        <f>HYPERLINK("https://www.facebook.com/Breezyridgevineyard/?ref=py_c","facebook.com/Breezyridgevineyard")</f>
        <v>facebook.com/Breezyridgevineyard</v>
      </c>
      <c r="F91" s="10">
        <v>1.6187400000000001</v>
      </c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</row>
    <row r="92" spans="1:65" ht="28.5" customHeight="1" x14ac:dyDescent="0.15">
      <c r="A92" s="34" t="s">
        <v>1806</v>
      </c>
      <c r="B92" s="8" t="s">
        <v>9</v>
      </c>
      <c r="C92" s="13" t="s">
        <v>1807</v>
      </c>
      <c r="D92" s="13" t="s">
        <v>1</v>
      </c>
      <c r="E92" s="9" t="str">
        <f>HYPERLINK("http://www.brenley-farm.co.uk/","www.brenley-farm.co.uk")</f>
        <v>www.brenley-farm.co.uk</v>
      </c>
      <c r="F92" s="10">
        <v>24.151599999999998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</row>
    <row r="93" spans="1:65" ht="28.5" customHeight="1" x14ac:dyDescent="0.15">
      <c r="A93" s="78" t="s">
        <v>1400</v>
      </c>
      <c r="B93" s="11" t="s">
        <v>30</v>
      </c>
      <c r="C93" s="13" t="s">
        <v>1399</v>
      </c>
      <c r="D93" s="13" t="s">
        <v>1</v>
      </c>
      <c r="E93" s="11"/>
      <c r="F93" s="24">
        <v>3.125</v>
      </c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</row>
    <row r="94" spans="1:65" ht="28.5" customHeight="1" x14ac:dyDescent="0.15">
      <c r="A94" s="34" t="s">
        <v>723</v>
      </c>
      <c r="B94" s="12" t="s">
        <v>16</v>
      </c>
      <c r="C94" s="47" t="s">
        <v>724</v>
      </c>
      <c r="D94" s="47" t="s">
        <v>1</v>
      </c>
      <c r="E94" s="26" t="str">
        <f>HYPERLINK("www.brickhousevineyard.co.uk","www.brickhousevineyard.co.uk")</f>
        <v>www.brickhousevineyard.co.uk</v>
      </c>
      <c r="F94" s="14">
        <v>0.6552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</row>
    <row r="95" spans="1:65" ht="28.5" customHeight="1" x14ac:dyDescent="0.15">
      <c r="A95" s="34" t="s">
        <v>1718</v>
      </c>
      <c r="B95" s="8" t="s">
        <v>24</v>
      </c>
      <c r="C95" s="13" t="s">
        <v>1719</v>
      </c>
      <c r="D95" s="13" t="s">
        <v>1</v>
      </c>
      <c r="E95" s="9" t="str">
        <f>HYPERLINK("http://www.bridevalleyvineyard.com/","www.bridevalleyvineyard.com")</f>
        <v>www.bridevalleyvineyard.com</v>
      </c>
      <c r="F95" s="10">
        <v>10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</row>
    <row r="96" spans="1:65" ht="28.5" customHeight="1" x14ac:dyDescent="0.15">
      <c r="A96" s="34" t="s">
        <v>834</v>
      </c>
      <c r="B96" s="8" t="s">
        <v>313</v>
      </c>
      <c r="C96" s="13" t="s">
        <v>835</v>
      </c>
      <c r="D96" s="13" t="s">
        <v>1</v>
      </c>
      <c r="E96" s="9" t="str">
        <f>HYPERLINK("http://www.bridewellorganicgardens.co.uk/","www.bridewellorganicgardens.co.uk")</f>
        <v>www.bridewellorganicgardens.co.uk</v>
      </c>
      <c r="F96" s="10">
        <v>0.93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</row>
    <row r="97" spans="1:65" ht="27" customHeight="1" x14ac:dyDescent="0.15">
      <c r="A97" s="34" t="s">
        <v>1590</v>
      </c>
      <c r="B97" s="8" t="s">
        <v>313</v>
      </c>
      <c r="C97" s="13" t="s">
        <v>1591</v>
      </c>
      <c r="D97" s="13" t="s">
        <v>1</v>
      </c>
      <c r="E97" s="9" t="str">
        <f>HYPERLINK("http://www.brightwellvineyard.co.uk/","www.brightwellvineyard.co.uk")</f>
        <v>www.brightwellvineyard.co.uk</v>
      </c>
      <c r="F97" s="10">
        <v>5.76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</row>
    <row r="98" spans="1:65" ht="28.5" customHeight="1" x14ac:dyDescent="0.15">
      <c r="A98" s="34" t="s">
        <v>374</v>
      </c>
      <c r="B98" s="8" t="s">
        <v>110</v>
      </c>
      <c r="C98" s="13" t="s">
        <v>373</v>
      </c>
      <c r="D98" s="13" t="s">
        <v>1</v>
      </c>
      <c r="E98" s="9"/>
      <c r="F98" s="10">
        <v>0.2</v>
      </c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</row>
    <row r="99" spans="1:65" ht="28.5" customHeight="1" x14ac:dyDescent="0.15">
      <c r="A99" s="34" t="s">
        <v>1264</v>
      </c>
      <c r="B99" s="8" t="s">
        <v>16</v>
      </c>
      <c r="C99" s="13" t="s">
        <v>1263</v>
      </c>
      <c r="D99" s="13" t="s">
        <v>1</v>
      </c>
      <c r="E99" s="8"/>
      <c r="F99" s="10">
        <v>2.2000000000000002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</row>
    <row r="100" spans="1:65" ht="28.5" customHeight="1" x14ac:dyDescent="0.15">
      <c r="A100" s="35" t="s">
        <v>982</v>
      </c>
      <c r="B100" s="31" t="s">
        <v>96</v>
      </c>
      <c r="C100" s="63" t="s">
        <v>981</v>
      </c>
      <c r="D100" s="13" t="s">
        <v>1</v>
      </c>
      <c r="E100" s="8"/>
      <c r="F100" s="10">
        <v>1.2</v>
      </c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</row>
    <row r="101" spans="1:65" ht="28.5" customHeight="1" x14ac:dyDescent="0.15">
      <c r="A101" s="34" t="s">
        <v>1327</v>
      </c>
      <c r="B101" s="8" t="s">
        <v>9</v>
      </c>
      <c r="C101" s="13" t="s">
        <v>1328</v>
      </c>
      <c r="D101" s="13" t="s">
        <v>1</v>
      </c>
      <c r="E101" s="9" t="str">
        <f>HYPERLINK("www.brissendenvineyard.com","www.brissendenvineyard.com")</f>
        <v>www.brissendenvineyard.com</v>
      </c>
      <c r="F101" s="10">
        <v>2.6509999999999998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</row>
    <row r="102" spans="1:65" ht="28.5" customHeight="1" x14ac:dyDescent="0.15">
      <c r="A102" s="78" t="s">
        <v>1629</v>
      </c>
      <c r="B102" s="11" t="s">
        <v>110</v>
      </c>
      <c r="C102" s="62" t="s">
        <v>1628</v>
      </c>
      <c r="D102" s="13" t="s">
        <v>1</v>
      </c>
      <c r="E102" s="11"/>
      <c r="F102" s="27">
        <v>6.7012999999999998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</row>
    <row r="103" spans="1:65" ht="28.5" customHeight="1" x14ac:dyDescent="0.15">
      <c r="A103" s="34" t="s">
        <v>1566</v>
      </c>
      <c r="B103" s="8" t="s">
        <v>61</v>
      </c>
      <c r="C103" s="13" t="s">
        <v>1567</v>
      </c>
      <c r="D103" s="13" t="s">
        <v>1</v>
      </c>
      <c r="E103" s="9" t="str">
        <f>HYPERLINK("https://www.broadfieldcourt.com","www.broadfieldcourt.com")</f>
        <v>www.broadfieldcourt.com</v>
      </c>
      <c r="F103" s="10">
        <v>5.4656000000000002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</row>
    <row r="104" spans="1:65" ht="28.5" customHeight="1" x14ac:dyDescent="0.15">
      <c r="A104" s="34" t="s">
        <v>248</v>
      </c>
      <c r="B104" s="17" t="s">
        <v>61</v>
      </c>
      <c r="C104" s="64" t="s">
        <v>247</v>
      </c>
      <c r="D104" s="56" t="s">
        <v>1</v>
      </c>
      <c r="E104" s="17"/>
      <c r="F104" s="18">
        <v>0.1</v>
      </c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</row>
    <row r="105" spans="1:65" ht="28.5" customHeight="1" x14ac:dyDescent="0.15">
      <c r="A105" s="78" t="s">
        <v>1270</v>
      </c>
      <c r="B105" s="21" t="s">
        <v>30</v>
      </c>
      <c r="C105" s="65" t="s">
        <v>584</v>
      </c>
      <c r="D105" s="13" t="s">
        <v>1</v>
      </c>
      <c r="E105" s="11"/>
      <c r="F105" s="24">
        <v>2.2627000000000002</v>
      </c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</row>
    <row r="106" spans="1:65" ht="28.5" customHeight="1" x14ac:dyDescent="0.15">
      <c r="A106" s="78" t="s">
        <v>585</v>
      </c>
      <c r="B106" s="8" t="s">
        <v>30</v>
      </c>
      <c r="C106" s="66" t="s">
        <v>584</v>
      </c>
      <c r="D106" s="13" t="s">
        <v>1</v>
      </c>
      <c r="E106" s="8"/>
      <c r="F106" s="10">
        <v>0.4</v>
      </c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</row>
    <row r="107" spans="1:65" ht="28.5" customHeight="1" x14ac:dyDescent="0.15">
      <c r="A107" s="34" t="s">
        <v>941</v>
      </c>
      <c r="B107" s="8" t="s">
        <v>5</v>
      </c>
      <c r="C107" s="13" t="s">
        <v>942</v>
      </c>
      <c r="D107" s="13" t="s">
        <v>1</v>
      </c>
      <c r="E107" s="9" t="str">
        <f>HYPERLINK("https://www.facebook.com/BrookHillWine/","facebook.com/BrookHillWine")</f>
        <v>facebook.com/BrookHillWine</v>
      </c>
      <c r="F107" s="10">
        <v>1.05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</row>
    <row r="108" spans="1:65" ht="28.5" customHeight="1" x14ac:dyDescent="0.15">
      <c r="A108" s="78" t="s">
        <v>281</v>
      </c>
      <c r="B108" s="11" t="s">
        <v>61</v>
      </c>
      <c r="C108" s="13" t="s">
        <v>282</v>
      </c>
      <c r="D108" s="47" t="s">
        <v>1</v>
      </c>
      <c r="E108" s="20"/>
      <c r="F108" s="10">
        <v>0.12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</row>
    <row r="109" spans="1:65" ht="28.5" customHeight="1" x14ac:dyDescent="0.15">
      <c r="A109" s="34" t="s">
        <v>1092</v>
      </c>
      <c r="B109" s="8" t="s">
        <v>78</v>
      </c>
      <c r="C109" s="13" t="s">
        <v>1093</v>
      </c>
      <c r="D109" s="13" t="s">
        <v>1</v>
      </c>
      <c r="E109" s="9" t="str">
        <f>HYPERLINK("http://www.broxbournebury.co.uk/","www.broxbournebury.co.uk")</f>
        <v>www.broxbournebury.co.uk</v>
      </c>
      <c r="F109" s="10">
        <v>1.6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</row>
    <row r="110" spans="1:65" ht="28.5" customHeight="1" x14ac:dyDescent="0.15">
      <c r="A110" s="34" t="s">
        <v>1012</v>
      </c>
      <c r="B110" s="11" t="s">
        <v>110</v>
      </c>
      <c r="C110" s="13" t="s">
        <v>1013</v>
      </c>
      <c r="D110" s="13" t="s">
        <v>1</v>
      </c>
      <c r="E110" s="9" t="str">
        <f>HYPERLINK("http://www.brynnevineyard.com/","www.brynnevineyard.com")</f>
        <v>www.brynnevineyard.com</v>
      </c>
      <c r="F110" s="14">
        <v>1.25</v>
      </c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</row>
    <row r="111" spans="1:65" ht="28.5" customHeight="1" x14ac:dyDescent="0.15">
      <c r="A111" s="78" t="s">
        <v>261</v>
      </c>
      <c r="B111" s="11" t="s">
        <v>16</v>
      </c>
      <c r="C111" s="13" t="s">
        <v>260</v>
      </c>
      <c r="D111" s="13" t="s">
        <v>1</v>
      </c>
      <c r="E111" s="11"/>
      <c r="F111" s="10">
        <v>0.108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</row>
    <row r="112" spans="1:65" ht="28.5" customHeight="1" x14ac:dyDescent="0.15">
      <c r="A112" s="34" t="s">
        <v>482</v>
      </c>
      <c r="B112" s="8" t="s">
        <v>195</v>
      </c>
      <c r="C112" s="13" t="s">
        <v>481</v>
      </c>
      <c r="D112" s="13" t="s">
        <v>1</v>
      </c>
      <c r="E112" s="9" t="str">
        <f>HYPERLINK("http://www.buckswood.co.uk/","www.buckswood.co.uk")</f>
        <v>www.buckswood.co.uk</v>
      </c>
      <c r="F112" s="14">
        <v>0.35</v>
      </c>
      <c r="G112" s="11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</row>
    <row r="113" spans="1:65" ht="28.5" customHeight="1" x14ac:dyDescent="0.15">
      <c r="A113" s="34" t="s">
        <v>1168</v>
      </c>
      <c r="B113" s="8" t="s">
        <v>9</v>
      </c>
      <c r="C113" s="13" t="s">
        <v>1169</v>
      </c>
      <c r="D113" s="13" t="s">
        <v>1</v>
      </c>
      <c r="E113" s="8"/>
      <c r="F113" s="10">
        <v>1.82</v>
      </c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</row>
    <row r="114" spans="1:65" ht="28.5" customHeight="1" x14ac:dyDescent="0.15">
      <c r="A114" s="34" t="s">
        <v>424</v>
      </c>
      <c r="B114" s="8" t="s">
        <v>195</v>
      </c>
      <c r="C114" s="13" t="s">
        <v>423</v>
      </c>
      <c r="D114" s="13" t="s">
        <v>1</v>
      </c>
      <c r="E114" s="8"/>
      <c r="F114" s="10">
        <v>0.26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</row>
    <row r="115" spans="1:65" ht="28.5" customHeight="1" x14ac:dyDescent="0.15">
      <c r="A115" s="34" t="s">
        <v>1452</v>
      </c>
      <c r="B115" s="8" t="s">
        <v>67</v>
      </c>
      <c r="C115" s="13" t="s">
        <v>1453</v>
      </c>
      <c r="D115" s="13" t="s">
        <v>1</v>
      </c>
      <c r="E115" s="9" t="str">
        <f>HYPERLINK("http://www.burnvalleyvineyard.co.uk","www.burnvalleyvineyard.co.uk")</f>
        <v>www.burnvalleyvineyard.co.uk</v>
      </c>
      <c r="F115" s="10">
        <v>3.7360000000000002</v>
      </c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</row>
    <row r="116" spans="1:65" ht="28.5" customHeight="1" x14ac:dyDescent="0.15">
      <c r="A116" s="78" t="s">
        <v>33</v>
      </c>
      <c r="B116" s="11" t="s">
        <v>32</v>
      </c>
      <c r="C116" s="13" t="s">
        <v>0</v>
      </c>
      <c r="D116" s="13" t="s">
        <v>1</v>
      </c>
      <c r="E116" s="11"/>
      <c r="F116" s="13" t="s">
        <v>0</v>
      </c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</row>
    <row r="117" spans="1:65" ht="28.5" customHeight="1" x14ac:dyDescent="0.15">
      <c r="A117" s="34" t="s">
        <v>730</v>
      </c>
      <c r="B117" s="8" t="s">
        <v>52</v>
      </c>
      <c r="C117" s="13" t="s">
        <v>729</v>
      </c>
      <c r="D117" s="13" t="s">
        <v>1</v>
      </c>
      <c r="E117" s="8"/>
      <c r="F117" s="10">
        <v>0.66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</row>
    <row r="118" spans="1:65" ht="28.5" customHeight="1" x14ac:dyDescent="0.15">
      <c r="A118" s="34" t="s">
        <v>140</v>
      </c>
      <c r="B118" s="8" t="s">
        <v>139</v>
      </c>
      <c r="C118" s="13" t="s">
        <v>138</v>
      </c>
      <c r="D118" s="13" t="s">
        <v>137</v>
      </c>
      <c r="E118" s="9"/>
      <c r="F118" s="10">
        <v>5.2499999999999998E-2</v>
      </c>
      <c r="G118" s="11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</row>
    <row r="119" spans="1:65" ht="28.5" customHeight="1" x14ac:dyDescent="0.15">
      <c r="A119" s="34" t="s">
        <v>767</v>
      </c>
      <c r="B119" s="8" t="s">
        <v>16</v>
      </c>
      <c r="C119" s="13" t="s">
        <v>768</v>
      </c>
      <c r="D119" s="13" t="s">
        <v>1</v>
      </c>
      <c r="E119" s="8"/>
      <c r="F119" s="10">
        <v>0.76439999999999997</v>
      </c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</row>
    <row r="120" spans="1:65" ht="28.5" customHeight="1" x14ac:dyDescent="0.15">
      <c r="A120" s="34" t="s">
        <v>1016</v>
      </c>
      <c r="B120" s="8" t="s">
        <v>195</v>
      </c>
      <c r="C120" s="13" t="s">
        <v>1017</v>
      </c>
      <c r="D120" s="13" t="s">
        <v>1</v>
      </c>
      <c r="E120" s="8"/>
      <c r="F120" s="10">
        <v>1.2549999999999999</v>
      </c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</row>
    <row r="121" spans="1:65" ht="28.5" customHeight="1" x14ac:dyDescent="0.15">
      <c r="A121" s="34" t="s">
        <v>1491</v>
      </c>
      <c r="B121" s="8" t="s">
        <v>195</v>
      </c>
      <c r="C121" s="13" t="s">
        <v>1490</v>
      </c>
      <c r="D121" s="13" t="s">
        <v>1</v>
      </c>
      <c r="E121" s="15" t="s">
        <v>1492</v>
      </c>
      <c r="F121" s="10">
        <v>4.1863000000000001</v>
      </c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</row>
    <row r="122" spans="1:65" ht="28.5" customHeight="1" x14ac:dyDescent="0.15">
      <c r="A122" s="34" t="s">
        <v>1333</v>
      </c>
      <c r="B122" s="8" t="s">
        <v>556</v>
      </c>
      <c r="C122" s="13" t="s">
        <v>1332</v>
      </c>
      <c r="D122" s="13" t="s">
        <v>1</v>
      </c>
      <c r="E122" s="15" t="str">
        <f>HYPERLINK("https://www.buzzards-valley.co.uk","www.buzzards-valley.co.uk")</f>
        <v>www.buzzards-valley.co.uk</v>
      </c>
      <c r="F122" s="10">
        <v>2.67</v>
      </c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</row>
    <row r="123" spans="1:65" ht="28.5" customHeight="1" x14ac:dyDescent="0.15">
      <c r="A123" s="34" t="s">
        <v>246</v>
      </c>
      <c r="B123" s="8" t="s">
        <v>245</v>
      </c>
      <c r="C123" s="13" t="s">
        <v>244</v>
      </c>
      <c r="D123" s="13" t="s">
        <v>1</v>
      </c>
      <c r="E123" s="8"/>
      <c r="F123" s="19">
        <v>0.1</v>
      </c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</row>
    <row r="124" spans="1:65" ht="28.5" customHeight="1" x14ac:dyDescent="0.15">
      <c r="A124" s="34" t="s">
        <v>1659</v>
      </c>
      <c r="B124" s="8" t="s">
        <v>16</v>
      </c>
      <c r="C124" s="13" t="s">
        <v>1660</v>
      </c>
      <c r="D124" s="13" t="s">
        <v>1</v>
      </c>
      <c r="E124" s="15" t="str">
        <f>HYPERLINK("https://www.calancombe-estate.com","www.calancombe-estate.com")</f>
        <v>www.calancombe-estate.com</v>
      </c>
      <c r="F124" s="10">
        <v>7.66</v>
      </c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</row>
    <row r="125" spans="1:65" ht="28.5" customHeight="1" x14ac:dyDescent="0.15">
      <c r="A125" s="78" t="s">
        <v>1294</v>
      </c>
      <c r="B125" s="11" t="s">
        <v>5</v>
      </c>
      <c r="C125" s="13" t="s">
        <v>1293</v>
      </c>
      <c r="D125" s="13" t="s">
        <v>1</v>
      </c>
      <c r="E125" s="11"/>
      <c r="F125" s="27">
        <v>2.4</v>
      </c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</row>
    <row r="126" spans="1:65" ht="28.5" customHeight="1" x14ac:dyDescent="0.15">
      <c r="A126" s="34" t="s">
        <v>1696</v>
      </c>
      <c r="B126" s="8" t="s">
        <v>52</v>
      </c>
      <c r="C126" s="13" t="s">
        <v>1695</v>
      </c>
      <c r="D126" s="13" t="s">
        <v>1</v>
      </c>
      <c r="E126" s="26"/>
      <c r="F126" s="10">
        <v>8.8879999999999999</v>
      </c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</row>
    <row r="127" spans="1:65" ht="28.5" customHeight="1" x14ac:dyDescent="0.15">
      <c r="A127" s="34" t="s">
        <v>1631</v>
      </c>
      <c r="B127" s="8" t="s">
        <v>12</v>
      </c>
      <c r="C127" s="13" t="s">
        <v>1630</v>
      </c>
      <c r="D127" s="13" t="s">
        <v>1</v>
      </c>
      <c r="E127" s="9" t="str">
        <f>HYPERLINK("http://www.camelvalley.com/","www.camelvalley.com")</f>
        <v>www.camelvalley.com</v>
      </c>
      <c r="F127" s="10">
        <v>6.71</v>
      </c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</row>
    <row r="128" spans="1:65" ht="28.5" customHeight="1" x14ac:dyDescent="0.15">
      <c r="A128" s="34" t="s">
        <v>980</v>
      </c>
      <c r="B128" s="8" t="s">
        <v>236</v>
      </c>
      <c r="C128" s="13" t="s">
        <v>979</v>
      </c>
      <c r="D128" s="13" t="s">
        <v>1</v>
      </c>
      <c r="E128" s="9" t="str">
        <f>HYPERLINK("http://www.cardenpark.co.uk/","www.cardenpark.co.uk")</f>
        <v>www.cardenpark.co.uk</v>
      </c>
      <c r="F128" s="10">
        <v>1.2</v>
      </c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</row>
    <row r="129" spans="1:65" ht="28.5" customHeight="1" x14ac:dyDescent="0.15">
      <c r="A129" s="34" t="s">
        <v>610</v>
      </c>
      <c r="B129" s="17" t="s">
        <v>16</v>
      </c>
      <c r="C129" s="56" t="s">
        <v>609</v>
      </c>
      <c r="D129" s="56" t="s">
        <v>1</v>
      </c>
      <c r="E129" s="15" t="str">
        <f>HYPERLINK("http://www.careyvalleywines.co.uk/","www.careyvalleywines.co.uk")</f>
        <v>www.careyvalleywines.co.uk</v>
      </c>
      <c r="F129" s="18">
        <v>0.46</v>
      </c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</row>
    <row r="130" spans="1:65" ht="28.5" customHeight="1" x14ac:dyDescent="0.15">
      <c r="A130" s="78" t="s">
        <v>704</v>
      </c>
      <c r="B130" s="11" t="s">
        <v>14</v>
      </c>
      <c r="C130" s="13" t="s">
        <v>702</v>
      </c>
      <c r="D130" s="13" t="s">
        <v>1</v>
      </c>
      <c r="E130" s="15" t="s">
        <v>703</v>
      </c>
      <c r="F130" s="10">
        <v>0.6</v>
      </c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</row>
    <row r="131" spans="1:65" ht="28.5" customHeight="1" x14ac:dyDescent="0.15">
      <c r="A131" s="34" t="s">
        <v>1774</v>
      </c>
      <c r="B131" s="8" t="s">
        <v>195</v>
      </c>
      <c r="C131" s="13" t="s">
        <v>1773</v>
      </c>
      <c r="D131" s="63" t="s">
        <v>1</v>
      </c>
      <c r="E131" s="9" t="str">
        <f>HYPERLINK("http://www.carr-taylor.co.uk/","www.carr-taylor.co.uk")</f>
        <v>www.carr-taylor.co.uk</v>
      </c>
      <c r="F131" s="10">
        <v>15.65</v>
      </c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</row>
    <row r="132" spans="1:65" ht="28.5" customHeight="1" x14ac:dyDescent="0.15">
      <c r="A132" s="34" t="s">
        <v>649</v>
      </c>
      <c r="B132" s="8" t="s">
        <v>24</v>
      </c>
      <c r="C132" s="13" t="s">
        <v>648</v>
      </c>
      <c r="D132" s="13" t="s">
        <v>1</v>
      </c>
      <c r="E132" s="32"/>
      <c r="F132" s="10">
        <v>0.5</v>
      </c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</row>
    <row r="133" spans="1:65" ht="28.5" customHeight="1" x14ac:dyDescent="0.15">
      <c r="A133" s="34" t="s">
        <v>1153</v>
      </c>
      <c r="B133" s="8" t="s">
        <v>61</v>
      </c>
      <c r="C133" s="13" t="s">
        <v>1154</v>
      </c>
      <c r="D133" s="13" t="s">
        <v>1</v>
      </c>
      <c r="E133" s="32" t="str">
        <f>HYPERLINK("http://www.castlebrookvineyard.co.uk/","www.castlebrookvineyard.co.uk")</f>
        <v>www.castlebrookvineyard.co.uk</v>
      </c>
      <c r="F133" s="10">
        <v>1.8</v>
      </c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</row>
    <row r="134" spans="1:65" ht="28.5" customHeight="1" x14ac:dyDescent="0.15">
      <c r="A134" s="34" t="s">
        <v>927</v>
      </c>
      <c r="B134" s="8" t="s">
        <v>16</v>
      </c>
      <c r="C134" s="13" t="s">
        <v>928</v>
      </c>
      <c r="D134" s="13" t="s">
        <v>1</v>
      </c>
      <c r="E134" s="9" t="str">
        <f>HYPERLINK("http://www.castlewoodvineyard.co.uk/","www.castlewoodvineyard.co.uk")</f>
        <v>www.castlewoodvineyard.co.uk</v>
      </c>
      <c r="F134" s="10">
        <v>1.01</v>
      </c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</row>
    <row r="135" spans="1:65" ht="28.5" customHeight="1" x14ac:dyDescent="0.15">
      <c r="A135" s="78" t="s">
        <v>701</v>
      </c>
      <c r="B135" s="11" t="s">
        <v>61</v>
      </c>
      <c r="C135" s="13" t="s">
        <v>700</v>
      </c>
      <c r="D135" s="13" t="s">
        <v>1</v>
      </c>
      <c r="E135" s="11"/>
      <c r="F135" s="24">
        <v>0.6</v>
      </c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</row>
    <row r="136" spans="1:65" ht="28.5" customHeight="1" x14ac:dyDescent="0.15">
      <c r="A136" s="34" t="s">
        <v>1380</v>
      </c>
      <c r="B136" s="8" t="s">
        <v>2</v>
      </c>
      <c r="C136" s="13" t="s">
        <v>1379</v>
      </c>
      <c r="D136" s="13" t="s">
        <v>1</v>
      </c>
      <c r="E136" s="9" t="str">
        <f>HYPERLINK("http://www.chafor.co.uk/","www.chafor.co.uk")</f>
        <v>www.chafor.co.uk</v>
      </c>
      <c r="F136" s="33">
        <v>2.98</v>
      </c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</row>
    <row r="137" spans="1:65" ht="28.5" customHeight="1" x14ac:dyDescent="0.15">
      <c r="A137" s="34" t="s">
        <v>831</v>
      </c>
      <c r="B137" s="8" t="s">
        <v>2</v>
      </c>
      <c r="C137" s="13" t="s">
        <v>830</v>
      </c>
      <c r="D137" s="13" t="s">
        <v>1</v>
      </c>
      <c r="E137" s="9" t="str">
        <f>HYPERLINK("http://www.chafor.co.uk/","www.chafor.co.uk")</f>
        <v>www.chafor.co.uk</v>
      </c>
      <c r="F137" s="10">
        <v>0.89070000000000005</v>
      </c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</row>
    <row r="138" spans="1:65" ht="28.5" customHeight="1" x14ac:dyDescent="0.15">
      <c r="A138" s="34" t="s">
        <v>1489</v>
      </c>
      <c r="B138" s="8" t="s">
        <v>78</v>
      </c>
      <c r="C138" s="13" t="s">
        <v>1488</v>
      </c>
      <c r="D138" s="13" t="s">
        <v>1</v>
      </c>
      <c r="E138" s="15" t="s">
        <v>1487</v>
      </c>
      <c r="F138" s="10">
        <v>4.05</v>
      </c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</row>
    <row r="139" spans="1:65" ht="28.5" customHeight="1" x14ac:dyDescent="0.15">
      <c r="A139" s="34" t="s">
        <v>1253</v>
      </c>
      <c r="B139" s="8" t="s">
        <v>9</v>
      </c>
      <c r="C139" s="13" t="s">
        <v>1254</v>
      </c>
      <c r="D139" s="13" t="s">
        <v>1</v>
      </c>
      <c r="E139" s="8"/>
      <c r="F139" s="10">
        <v>2.1341999999999999</v>
      </c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</row>
    <row r="140" spans="1:65" ht="28.5" customHeight="1" x14ac:dyDescent="0.15">
      <c r="A140" s="34" t="s">
        <v>1598</v>
      </c>
      <c r="B140" s="8" t="s">
        <v>9</v>
      </c>
      <c r="C140" s="13" t="s">
        <v>1599</v>
      </c>
      <c r="D140" s="13" t="s">
        <v>1</v>
      </c>
      <c r="E140" s="8"/>
      <c r="F140" s="10">
        <v>6.07</v>
      </c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</row>
    <row r="141" spans="1:65" ht="28.5" customHeight="1" x14ac:dyDescent="0.15">
      <c r="A141" s="34" t="s">
        <v>1857</v>
      </c>
      <c r="B141" s="8" t="s">
        <v>9</v>
      </c>
      <c r="C141" s="13" t="s">
        <v>1856</v>
      </c>
      <c r="D141" s="13" t="s">
        <v>1</v>
      </c>
      <c r="E141" s="9" t="str">
        <f t="shared" ref="E141:E147" si="0">HYPERLINK("http://www.chapeldown.com/","www.chapeldown.com")</f>
        <v>www.chapeldown.com</v>
      </c>
      <c r="F141" s="10">
        <v>63.8</v>
      </c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</row>
    <row r="142" spans="1:65" ht="28.5" customHeight="1" x14ac:dyDescent="0.15">
      <c r="A142" s="34" t="s">
        <v>1799</v>
      </c>
      <c r="B142" s="8" t="s">
        <v>9</v>
      </c>
      <c r="C142" s="13" t="s">
        <v>1798</v>
      </c>
      <c r="D142" s="13" t="s">
        <v>1</v>
      </c>
      <c r="E142" s="9" t="str">
        <f t="shared" si="0"/>
        <v>www.chapeldown.com</v>
      </c>
      <c r="F142" s="10">
        <v>21</v>
      </c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</row>
    <row r="143" spans="1:65" ht="28.5" customHeight="1" x14ac:dyDescent="0.15">
      <c r="A143" s="34" t="s">
        <v>1845</v>
      </c>
      <c r="B143" s="8" t="s">
        <v>9</v>
      </c>
      <c r="C143" s="13" t="s">
        <v>1844</v>
      </c>
      <c r="D143" s="13" t="s">
        <v>1</v>
      </c>
      <c r="E143" s="9" t="str">
        <f t="shared" si="0"/>
        <v>www.chapeldown.com</v>
      </c>
      <c r="F143" s="10">
        <v>43</v>
      </c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</row>
    <row r="144" spans="1:65" ht="28.5" customHeight="1" x14ac:dyDescent="0.15">
      <c r="A144" s="34" t="s">
        <v>1839</v>
      </c>
      <c r="B144" s="8" t="s">
        <v>9</v>
      </c>
      <c r="C144" s="13" t="s">
        <v>1838</v>
      </c>
      <c r="D144" s="13" t="s">
        <v>1</v>
      </c>
      <c r="E144" s="9" t="str">
        <f t="shared" si="0"/>
        <v>www.chapeldown.com</v>
      </c>
      <c r="F144" s="10">
        <v>40</v>
      </c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</row>
    <row r="145" spans="1:65" ht="28.5" customHeight="1" x14ac:dyDescent="0.15">
      <c r="A145" s="34" t="s">
        <v>1768</v>
      </c>
      <c r="B145" s="8" t="s">
        <v>9</v>
      </c>
      <c r="C145" s="13" t="s">
        <v>1767</v>
      </c>
      <c r="D145" s="13" t="s">
        <v>1</v>
      </c>
      <c r="E145" s="9" t="str">
        <f t="shared" si="0"/>
        <v>www.chapeldown.com</v>
      </c>
      <c r="F145" s="10">
        <v>14.569000000000001</v>
      </c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</row>
    <row r="146" spans="1:65" ht="28.5" customHeight="1" x14ac:dyDescent="0.15">
      <c r="A146" s="34" t="s">
        <v>1823</v>
      </c>
      <c r="B146" s="8" t="s">
        <v>9</v>
      </c>
      <c r="C146" s="13" t="s">
        <v>1822</v>
      </c>
      <c r="D146" s="13" t="s">
        <v>1</v>
      </c>
      <c r="E146" s="9" t="str">
        <f t="shared" si="0"/>
        <v>www.chapeldown.com</v>
      </c>
      <c r="F146" s="10">
        <v>30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</row>
    <row r="147" spans="1:65" ht="28.5" customHeight="1" x14ac:dyDescent="0.15">
      <c r="A147" s="34" t="s">
        <v>1654</v>
      </c>
      <c r="B147" s="8" t="s">
        <v>9</v>
      </c>
      <c r="C147" s="13" t="s">
        <v>1653</v>
      </c>
      <c r="D147" s="13" t="s">
        <v>1</v>
      </c>
      <c r="E147" s="9" t="str">
        <f t="shared" si="0"/>
        <v>www.chapeldown.com</v>
      </c>
      <c r="F147" s="10">
        <v>7.4</v>
      </c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</row>
    <row r="148" spans="1:65" ht="28.5" customHeight="1" x14ac:dyDescent="0.15">
      <c r="A148" s="34" t="s">
        <v>1364</v>
      </c>
      <c r="B148" s="8" t="s">
        <v>67</v>
      </c>
      <c r="C148" s="13" t="s">
        <v>1363</v>
      </c>
      <c r="D148" s="13" t="s">
        <v>1</v>
      </c>
      <c r="E148" s="9"/>
      <c r="F148" s="10">
        <v>2.8340000000000001</v>
      </c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</row>
    <row r="149" spans="1:65" ht="28.5" customHeight="1" x14ac:dyDescent="0.15">
      <c r="A149" s="78" t="s">
        <v>31</v>
      </c>
      <c r="B149" s="11" t="s">
        <v>30</v>
      </c>
      <c r="C149" s="13" t="s">
        <v>29</v>
      </c>
      <c r="D149" s="13" t="s">
        <v>1</v>
      </c>
      <c r="E149" s="11"/>
      <c r="F149" s="13" t="s">
        <v>0</v>
      </c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</row>
    <row r="150" spans="1:65" ht="28.5" customHeight="1" x14ac:dyDescent="0.15">
      <c r="A150" s="34" t="s">
        <v>1755</v>
      </c>
      <c r="B150" s="8" t="s">
        <v>195</v>
      </c>
      <c r="C150" s="13" t="s">
        <v>1756</v>
      </c>
      <c r="D150" s="13" t="s">
        <v>1</v>
      </c>
      <c r="E150" s="9" t="str">
        <f>HYPERLINK("http://www.charlespalmer-vineyards.co.uk/","www.charlespalmer-vineyards.co.uk")</f>
        <v>www.charlespalmer-vineyards.co.uk</v>
      </c>
      <c r="F150" s="10">
        <v>12.5</v>
      </c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</row>
    <row r="151" spans="1:65" ht="28.5" customHeight="1" x14ac:dyDescent="0.15">
      <c r="A151" s="34" t="s">
        <v>307</v>
      </c>
      <c r="B151" s="8" t="s">
        <v>5</v>
      </c>
      <c r="C151" s="13" t="s">
        <v>306</v>
      </c>
      <c r="D151" s="13" t="s">
        <v>1</v>
      </c>
      <c r="E151" s="9" t="str">
        <f>HYPERLINK("http://www.charlieherring.com/","www.charlieherring.com")</f>
        <v>www.charlieherring.com</v>
      </c>
      <c r="F151" s="10">
        <v>0.15</v>
      </c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</row>
    <row r="152" spans="1:65" ht="28.5" customHeight="1" x14ac:dyDescent="0.15">
      <c r="A152" s="34" t="s">
        <v>1256</v>
      </c>
      <c r="B152" s="8" t="s">
        <v>9</v>
      </c>
      <c r="C152" s="13" t="s">
        <v>1257</v>
      </c>
      <c r="D152" s="13" t="s">
        <v>1</v>
      </c>
      <c r="E152" s="9" t="str">
        <f>HYPERLINK("http://www.charthamvineyard.co.uk/","www.charthamvineyard.co.uk")</f>
        <v>www.charthamvineyard.co.uk</v>
      </c>
      <c r="F152" s="10">
        <v>2.1459999999999999</v>
      </c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</row>
    <row r="153" spans="1:65" ht="28.5" customHeight="1" x14ac:dyDescent="0.15">
      <c r="A153" s="34" t="s">
        <v>646</v>
      </c>
      <c r="B153" s="8" t="s">
        <v>86</v>
      </c>
      <c r="C153" s="13" t="s">
        <v>647</v>
      </c>
      <c r="D153" s="13" t="s">
        <v>1</v>
      </c>
      <c r="E153" s="9"/>
      <c r="F153" s="10">
        <v>0.5</v>
      </c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</row>
    <row r="154" spans="1:65" ht="28.5" customHeight="1" x14ac:dyDescent="0.15">
      <c r="A154" s="34" t="s">
        <v>327</v>
      </c>
      <c r="B154" s="8" t="s">
        <v>32</v>
      </c>
      <c r="C154" s="13" t="s">
        <v>326</v>
      </c>
      <c r="D154" s="13" t="s">
        <v>1</v>
      </c>
      <c r="E154" s="9"/>
      <c r="F154" s="10">
        <v>0.18729999999999999</v>
      </c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</row>
    <row r="155" spans="1:65" ht="28.5" customHeight="1" x14ac:dyDescent="0.15">
      <c r="A155" s="34" t="s">
        <v>319</v>
      </c>
      <c r="B155" s="8" t="s">
        <v>86</v>
      </c>
      <c r="C155" s="13" t="s">
        <v>320</v>
      </c>
      <c r="D155" s="13" t="s">
        <v>1</v>
      </c>
      <c r="E155" s="8"/>
      <c r="F155" s="10">
        <v>0.17</v>
      </c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</row>
    <row r="156" spans="1:65" ht="28.5" customHeight="1" x14ac:dyDescent="0.15">
      <c r="A156" s="34" t="s">
        <v>1606</v>
      </c>
      <c r="B156" s="12" t="s">
        <v>96</v>
      </c>
      <c r="C156" s="47" t="s">
        <v>1605</v>
      </c>
      <c r="D156" s="47" t="s">
        <v>1</v>
      </c>
      <c r="E156" s="12"/>
      <c r="F156" s="14">
        <v>6.22</v>
      </c>
      <c r="G156" s="11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</row>
    <row r="157" spans="1:65" ht="28.5" customHeight="1" x14ac:dyDescent="0.15">
      <c r="A157" s="34" t="s">
        <v>1669</v>
      </c>
      <c r="B157" s="8" t="s">
        <v>67</v>
      </c>
      <c r="C157" s="13" t="s">
        <v>1667</v>
      </c>
      <c r="D157" s="13" t="s">
        <v>1</v>
      </c>
      <c r="E157" s="9" t="s">
        <v>1668</v>
      </c>
      <c r="F157" s="10">
        <v>8</v>
      </c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</row>
    <row r="158" spans="1:65" ht="28.5" customHeight="1" x14ac:dyDescent="0.15">
      <c r="A158" s="34" t="s">
        <v>660</v>
      </c>
      <c r="B158" s="8" t="s">
        <v>73</v>
      </c>
      <c r="C158" s="13" t="s">
        <v>659</v>
      </c>
      <c r="D158" s="13" t="s">
        <v>1</v>
      </c>
      <c r="E158" s="8"/>
      <c r="F158" s="10">
        <v>0.53</v>
      </c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</row>
    <row r="159" spans="1:65" ht="28.5" customHeight="1" x14ac:dyDescent="0.15">
      <c r="A159" s="34" t="s">
        <v>1243</v>
      </c>
      <c r="B159" s="8" t="s">
        <v>5</v>
      </c>
      <c r="C159" s="13" t="s">
        <v>1244</v>
      </c>
      <c r="D159" s="13" t="s">
        <v>1</v>
      </c>
      <c r="E159" s="9"/>
      <c r="F159" s="10">
        <v>2.1</v>
      </c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</row>
    <row r="160" spans="1:65" ht="28.5" customHeight="1" x14ac:dyDescent="0.15">
      <c r="A160" s="34" t="s">
        <v>1652</v>
      </c>
      <c r="B160" s="8" t="s">
        <v>83</v>
      </c>
      <c r="C160" s="13" t="s">
        <v>1651</v>
      </c>
      <c r="D160" s="13" t="s">
        <v>1</v>
      </c>
      <c r="E160" s="9" t="str">
        <f>HYPERLINK("http://www.chilfordhall.co.uk/","www.chilfordhall.co.uk")</f>
        <v>www.chilfordhall.co.uk</v>
      </c>
      <c r="F160" s="10">
        <v>7.4</v>
      </c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</row>
    <row r="161" spans="1:65" ht="28.5" customHeight="1" x14ac:dyDescent="0.15">
      <c r="A161" s="34" t="s">
        <v>922</v>
      </c>
      <c r="B161" s="8" t="s">
        <v>313</v>
      </c>
      <c r="C161" s="13" t="s">
        <v>921</v>
      </c>
      <c r="D161" s="13" t="s">
        <v>1</v>
      </c>
      <c r="E161" s="9" t="str">
        <f>HYPERLINK("http://www.chilternvalley.co.uk/","www.chilternvalley.co.uk")</f>
        <v>www.chilternvalley.co.uk</v>
      </c>
      <c r="F161" s="10">
        <v>1</v>
      </c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</row>
    <row r="162" spans="1:65" ht="28.5" customHeight="1" x14ac:dyDescent="0.15">
      <c r="A162" s="34" t="s">
        <v>1352</v>
      </c>
      <c r="B162" s="8" t="s">
        <v>64</v>
      </c>
      <c r="C162" s="13" t="s">
        <v>1353</v>
      </c>
      <c r="D162" s="13" t="s">
        <v>1</v>
      </c>
      <c r="E162" s="9" t="str">
        <f>HYPERLINK("https://chilworthmanorvineyard.com","chilworthmanorvineyard.com")</f>
        <v>chilworthmanorvineyard.com</v>
      </c>
      <c r="F162" s="10">
        <v>2.8288000000000002</v>
      </c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</row>
    <row r="163" spans="1:65" ht="28.5" customHeight="1" x14ac:dyDescent="0.15">
      <c r="A163" s="34" t="s">
        <v>802</v>
      </c>
      <c r="B163" s="8" t="s">
        <v>195</v>
      </c>
      <c r="C163" s="13" t="s">
        <v>803</v>
      </c>
      <c r="D163" s="13" t="s">
        <v>1</v>
      </c>
      <c r="E163" s="8"/>
      <c r="F163" s="10">
        <v>0.80930000000000002</v>
      </c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</row>
    <row r="164" spans="1:65" ht="28.5" customHeight="1" x14ac:dyDescent="0.15">
      <c r="A164" s="34" t="s">
        <v>581</v>
      </c>
      <c r="B164" s="8" t="s">
        <v>64</v>
      </c>
      <c r="C164" s="13" t="s">
        <v>583</v>
      </c>
      <c r="D164" s="13" t="s">
        <v>1</v>
      </c>
      <c r="E164" s="9" t="s">
        <v>582</v>
      </c>
      <c r="F164" s="10">
        <v>0.4</v>
      </c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</row>
    <row r="165" spans="1:65" ht="28.5" customHeight="1" x14ac:dyDescent="0.15">
      <c r="A165" s="34" t="s">
        <v>142</v>
      </c>
      <c r="B165" s="8" t="s">
        <v>2</v>
      </c>
      <c r="C165" s="13" t="s">
        <v>141</v>
      </c>
      <c r="D165" s="13" t="s">
        <v>1</v>
      </c>
      <c r="E165" s="8"/>
      <c r="F165" s="10">
        <v>5.4699999999999999E-2</v>
      </c>
      <c r="G165" s="11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</row>
    <row r="166" spans="1:65" ht="28.5" customHeight="1" x14ac:dyDescent="0.15">
      <c r="A166" s="34" t="s">
        <v>1481</v>
      </c>
      <c r="B166" s="8" t="s">
        <v>30</v>
      </c>
      <c r="C166" s="13" t="s">
        <v>706</v>
      </c>
      <c r="D166" s="13" t="s">
        <v>1</v>
      </c>
      <c r="E166" s="9" t="str">
        <f>HYPERLINK("http://www.clayhillvineyard.co.uk/","www.clayhillvineyard.co.uk")</f>
        <v>www.clayhillvineyard.co.uk</v>
      </c>
      <c r="F166" s="10">
        <v>4</v>
      </c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</row>
    <row r="167" spans="1:65" ht="28.5" customHeight="1" x14ac:dyDescent="0.15">
      <c r="A167" s="34" t="s">
        <v>181</v>
      </c>
      <c r="B167" s="8" t="s">
        <v>180</v>
      </c>
      <c r="C167" s="13" t="s">
        <v>179</v>
      </c>
      <c r="D167" s="13" t="s">
        <v>1</v>
      </c>
      <c r="E167" s="9"/>
      <c r="F167" s="10">
        <v>0.09</v>
      </c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</row>
    <row r="168" spans="1:65" ht="28.5" customHeight="1" x14ac:dyDescent="0.15">
      <c r="A168" s="77" t="s">
        <v>1526</v>
      </c>
      <c r="B168" s="20" t="s">
        <v>195</v>
      </c>
      <c r="C168" s="13" t="s">
        <v>1527</v>
      </c>
      <c r="D168" s="56" t="s">
        <v>1</v>
      </c>
      <c r="E168" s="29" t="s">
        <v>1528</v>
      </c>
      <c r="F168" s="10">
        <v>4.665</v>
      </c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</row>
    <row r="169" spans="1:65" ht="28.5" customHeight="1" x14ac:dyDescent="0.15">
      <c r="A169" s="77" t="s">
        <v>268</v>
      </c>
      <c r="B169" s="20" t="s">
        <v>61</v>
      </c>
      <c r="C169" s="60" t="s">
        <v>269</v>
      </c>
      <c r="D169" s="56" t="s">
        <v>1</v>
      </c>
      <c r="E169" s="17"/>
      <c r="F169" s="10">
        <v>0.11</v>
      </c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</row>
    <row r="170" spans="1:65" ht="28.5" customHeight="1" x14ac:dyDescent="0.15">
      <c r="A170" s="34" t="s">
        <v>372</v>
      </c>
      <c r="B170" s="8" t="s">
        <v>41</v>
      </c>
      <c r="C170" s="13" t="s">
        <v>371</v>
      </c>
      <c r="D170" s="13" t="s">
        <v>1</v>
      </c>
      <c r="E170" s="17"/>
      <c r="F170" s="10">
        <v>0.2</v>
      </c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</row>
    <row r="171" spans="1:65" ht="28.5" customHeight="1" x14ac:dyDescent="0.15">
      <c r="A171" s="34" t="s">
        <v>105</v>
      </c>
      <c r="B171" s="8" t="s">
        <v>21</v>
      </c>
      <c r="C171" s="13" t="s">
        <v>104</v>
      </c>
      <c r="D171" s="13" t="s">
        <v>1</v>
      </c>
      <c r="E171" s="29" t="str">
        <f>HYPERLINK("tonyhibbett.blogspot.co.uk/2012/03/the-vineyard-anomaly.html","tonyhibbett.blogspot.co.uk")</f>
        <v>tonyhibbett.blogspot.co.uk</v>
      </c>
      <c r="F171" s="10">
        <v>0.03</v>
      </c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</row>
    <row r="172" spans="1:65" ht="28.5" customHeight="1" x14ac:dyDescent="0.15">
      <c r="A172" s="34" t="s">
        <v>580</v>
      </c>
      <c r="B172" s="8" t="s">
        <v>5</v>
      </c>
      <c r="C172" s="13" t="s">
        <v>579</v>
      </c>
      <c r="D172" s="13" t="s">
        <v>1</v>
      </c>
      <c r="E172" s="8"/>
      <c r="F172" s="10">
        <v>0.4</v>
      </c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</row>
    <row r="173" spans="1:65" ht="28.5" customHeight="1" x14ac:dyDescent="0.15">
      <c r="A173" s="77" t="s">
        <v>389</v>
      </c>
      <c r="B173" s="20" t="s">
        <v>61</v>
      </c>
      <c r="C173" s="60" t="s">
        <v>388</v>
      </c>
      <c r="D173" s="56" t="s">
        <v>1</v>
      </c>
      <c r="E173" s="17"/>
      <c r="F173" s="10">
        <v>0.22</v>
      </c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</row>
    <row r="174" spans="1:65" ht="28.5" customHeight="1" x14ac:dyDescent="0.15">
      <c r="A174" s="34" t="s">
        <v>1749</v>
      </c>
      <c r="B174" s="8" t="s">
        <v>5</v>
      </c>
      <c r="C174" s="13" t="s">
        <v>1748</v>
      </c>
      <c r="D174" s="13" t="s">
        <v>1</v>
      </c>
      <c r="E174" s="9" t="str">
        <f>HYPERLINK("http://www.coatesandseely.com/","www.coatesandseely.com")</f>
        <v>www.coatesandseely.com</v>
      </c>
      <c r="F174" s="10">
        <v>12</v>
      </c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</row>
    <row r="175" spans="1:65" ht="28.5" customHeight="1" x14ac:dyDescent="0.15">
      <c r="A175" s="78" t="s">
        <v>1894</v>
      </c>
      <c r="B175" s="11" t="s">
        <v>52</v>
      </c>
      <c r="C175" s="13" t="s">
        <v>0</v>
      </c>
      <c r="D175" s="13" t="s">
        <v>1</v>
      </c>
      <c r="E175" s="11"/>
      <c r="F175" s="24">
        <v>3.5</v>
      </c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</row>
    <row r="176" spans="1:65" ht="28.5" customHeight="1" x14ac:dyDescent="0.15">
      <c r="A176" s="34" t="s">
        <v>416</v>
      </c>
      <c r="B176" s="8" t="s">
        <v>12</v>
      </c>
      <c r="C176" s="13" t="s">
        <v>415</v>
      </c>
      <c r="D176" s="13" t="s">
        <v>1</v>
      </c>
      <c r="E176" s="9"/>
      <c r="F176" s="10">
        <v>0.25</v>
      </c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</row>
    <row r="177" spans="1:65" ht="28.5" customHeight="1" x14ac:dyDescent="0.15">
      <c r="A177" s="34" t="s">
        <v>699</v>
      </c>
      <c r="B177" s="8" t="s">
        <v>61</v>
      </c>
      <c r="C177" s="13" t="s">
        <v>698</v>
      </c>
      <c r="D177" s="13" t="s">
        <v>1</v>
      </c>
      <c r="E177" s="15" t="str">
        <f>HYPERLINK("www.coddingtonvineyard.co.uk","www.coddingtonvineyard.co.uk")</f>
        <v>www.coddingtonvineyard.co.uk</v>
      </c>
      <c r="F177" s="10">
        <v>0.6</v>
      </c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</row>
    <row r="178" spans="1:65" ht="28.5" customHeight="1" x14ac:dyDescent="0.15">
      <c r="A178" s="34" t="s">
        <v>657</v>
      </c>
      <c r="B178" s="8" t="s">
        <v>41</v>
      </c>
      <c r="C178" s="13" t="s">
        <v>658</v>
      </c>
      <c r="D178" s="13" t="s">
        <v>1</v>
      </c>
      <c r="E178" s="12"/>
      <c r="F178" s="10">
        <v>0.53</v>
      </c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</row>
    <row r="179" spans="1:65" ht="28.5" customHeight="1" x14ac:dyDescent="0.15">
      <c r="A179" s="34" t="s">
        <v>845</v>
      </c>
      <c r="B179" s="8" t="s">
        <v>41</v>
      </c>
      <c r="C179" s="13" t="s">
        <v>847</v>
      </c>
      <c r="D179" s="13" t="s">
        <v>1</v>
      </c>
      <c r="E179" s="9" t="s">
        <v>846</v>
      </c>
      <c r="F179" s="10">
        <v>0.96</v>
      </c>
      <c r="G179" s="13"/>
      <c r="H179" s="13"/>
      <c r="I179" s="13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</row>
    <row r="180" spans="1:65" ht="28.5" customHeight="1" x14ac:dyDescent="0.15">
      <c r="A180" s="78" t="s">
        <v>28</v>
      </c>
      <c r="B180" s="11" t="s">
        <v>27</v>
      </c>
      <c r="C180" s="13" t="s">
        <v>0</v>
      </c>
      <c r="D180" s="13" t="s">
        <v>1</v>
      </c>
      <c r="E180" s="11"/>
      <c r="F180" s="13" t="s">
        <v>0</v>
      </c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</row>
    <row r="181" spans="1:65" ht="28.5" customHeight="1" x14ac:dyDescent="0.15">
      <c r="A181" s="34" t="s">
        <v>577</v>
      </c>
      <c r="B181" s="8" t="s">
        <v>19</v>
      </c>
      <c r="C181" s="13" t="s">
        <v>578</v>
      </c>
      <c r="D181" s="13" t="s">
        <v>1</v>
      </c>
      <c r="E181" s="26" t="str">
        <f>HYPERLINK("http://www.combehayvineyard.co.uk/","www.combehayvineyard.co.uk")</f>
        <v>www.combehayvineyard.co.uk</v>
      </c>
      <c r="F181" s="10">
        <v>0.4</v>
      </c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</row>
    <row r="182" spans="1:65" ht="28.5" customHeight="1" x14ac:dyDescent="0.15">
      <c r="A182" s="34" t="s">
        <v>696</v>
      </c>
      <c r="B182" s="8" t="s">
        <v>41</v>
      </c>
      <c r="C182" s="13" t="s">
        <v>697</v>
      </c>
      <c r="D182" s="13" t="s">
        <v>1</v>
      </c>
      <c r="E182" s="8"/>
      <c r="F182" s="10">
        <v>0.6</v>
      </c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</row>
    <row r="183" spans="1:65" ht="28.5" customHeight="1" x14ac:dyDescent="0.15">
      <c r="A183" s="34" t="s">
        <v>243</v>
      </c>
      <c r="B183" s="8" t="s">
        <v>195</v>
      </c>
      <c r="C183" s="13" t="s">
        <v>242</v>
      </c>
      <c r="D183" s="13" t="s">
        <v>1</v>
      </c>
      <c r="E183" s="26" t="str">
        <f>HYPERLINK("http://www.bobsbuzz.com/","www.bobsbuzz.com")</f>
        <v>www.bobsbuzz.com</v>
      </c>
      <c r="F183" s="10">
        <v>0.1</v>
      </c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</row>
    <row r="184" spans="1:65" ht="28.5" customHeight="1" x14ac:dyDescent="0.15">
      <c r="A184" s="34" t="s">
        <v>1241</v>
      </c>
      <c r="B184" s="8" t="s">
        <v>86</v>
      </c>
      <c r="C184" s="13" t="s">
        <v>1242</v>
      </c>
      <c r="D184" s="13" t="s">
        <v>1</v>
      </c>
      <c r="E184" s="15" t="str">
        <f>HYPERLINK("http://www.comptongreen.co.uk/","www.comptongreen.co.uk")</f>
        <v>www.comptongreen.co.uk</v>
      </c>
      <c r="F184" s="10">
        <v>2.1</v>
      </c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</row>
    <row r="185" spans="1:65" ht="28.5" customHeight="1" x14ac:dyDescent="0.15">
      <c r="A185" s="34" t="s">
        <v>487</v>
      </c>
      <c r="B185" s="8" t="s">
        <v>67</v>
      </c>
      <c r="C185" s="13" t="s">
        <v>488</v>
      </c>
      <c r="D185" s="13" t="s">
        <v>1</v>
      </c>
      <c r="E185" s="8"/>
      <c r="F185" s="10">
        <v>0.36</v>
      </c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</row>
    <row r="186" spans="1:65" ht="28.5" customHeight="1" x14ac:dyDescent="0.15">
      <c r="A186" s="34" t="s">
        <v>511</v>
      </c>
      <c r="B186" s="17" t="s">
        <v>509</v>
      </c>
      <c r="C186" s="56" t="s">
        <v>510</v>
      </c>
      <c r="D186" s="56" t="s">
        <v>43</v>
      </c>
      <c r="E186" s="29" t="str">
        <f>HYPERLINK("https://gwinllanconwy.co.uk","gwinllanconwy.co.uk")</f>
        <v>gwinllanconwy.co.uk</v>
      </c>
      <c r="F186" s="18">
        <v>0.4</v>
      </c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</row>
    <row r="187" spans="1:65" ht="28.5" customHeight="1" x14ac:dyDescent="0.15">
      <c r="A187" s="34" t="s">
        <v>1533</v>
      </c>
      <c r="B187" s="11" t="s">
        <v>96</v>
      </c>
      <c r="C187" s="13" t="s">
        <v>1532</v>
      </c>
      <c r="D187" s="13" t="s">
        <v>1</v>
      </c>
      <c r="E187" s="9" t="str">
        <f>HYPERLINK("http://www.coolhurstvineyards.com","www.coolhurstvineyards.com")</f>
        <v>www.coolhurstvineyards.com</v>
      </c>
      <c r="F187" s="16">
        <v>4.8099999999999996</v>
      </c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</row>
    <row r="188" spans="1:65" ht="28.5" customHeight="1" x14ac:dyDescent="0.15">
      <c r="A188" s="34" t="s">
        <v>1542</v>
      </c>
      <c r="B188" s="8" t="s">
        <v>96</v>
      </c>
      <c r="C188" s="13" t="s">
        <v>1541</v>
      </c>
      <c r="D188" s="13" t="s">
        <v>1</v>
      </c>
      <c r="E188" s="8"/>
      <c r="F188" s="10">
        <v>5</v>
      </c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</row>
    <row r="189" spans="1:65" ht="28.5" customHeight="1" x14ac:dyDescent="0.15">
      <c r="A189" s="34" t="s">
        <v>770</v>
      </c>
      <c r="B189" s="8" t="s">
        <v>16</v>
      </c>
      <c r="C189" s="13" t="s">
        <v>769</v>
      </c>
      <c r="D189" s="13" t="s">
        <v>1</v>
      </c>
      <c r="E189" s="9" t="str">
        <f>HYPERLINK("http://www.coombeheadmeadow.co.uk/","www.coombeheadmeadow.co.uk")</f>
        <v>www.coombeheadmeadow.co.uk</v>
      </c>
      <c r="F189" s="10">
        <v>0.76890000000000003</v>
      </c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</row>
    <row r="190" spans="1:65" ht="28.5" customHeight="1" x14ac:dyDescent="0.15">
      <c r="A190" s="34" t="s">
        <v>418</v>
      </c>
      <c r="B190" s="8" t="s">
        <v>52</v>
      </c>
      <c r="C190" s="13" t="s">
        <v>417</v>
      </c>
      <c r="D190" s="13" t="s">
        <v>1</v>
      </c>
      <c r="E190" s="9" t="str">
        <f>HYPERLINK("www.cooperscroftvineyard.wordpress.com","cooperscroftvineyard.wordpress.com")</f>
        <v>cooperscroftvineyard.wordpress.com</v>
      </c>
      <c r="F190" s="10">
        <v>0.252</v>
      </c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</row>
    <row r="191" spans="1:65" ht="28.5" customHeight="1" x14ac:dyDescent="0.15">
      <c r="A191" s="34" t="s">
        <v>369</v>
      </c>
      <c r="B191" s="8" t="s">
        <v>52</v>
      </c>
      <c r="C191" s="13" t="s">
        <v>368</v>
      </c>
      <c r="D191" s="13" t="s">
        <v>1</v>
      </c>
      <c r="E191" s="9" t="s">
        <v>370</v>
      </c>
      <c r="F191" s="10">
        <v>0.2</v>
      </c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</row>
    <row r="192" spans="1:65" ht="28.5" customHeight="1" x14ac:dyDescent="0.15">
      <c r="A192" s="34" t="s">
        <v>575</v>
      </c>
      <c r="B192" s="8" t="s">
        <v>24</v>
      </c>
      <c r="C192" s="13" t="s">
        <v>576</v>
      </c>
      <c r="D192" s="13" t="s">
        <v>1</v>
      </c>
      <c r="E192" s="9"/>
      <c r="F192" s="10">
        <v>0.4</v>
      </c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</row>
    <row r="193" spans="1:65" ht="28.5" customHeight="1" x14ac:dyDescent="0.15">
      <c r="A193" s="34" t="s">
        <v>573</v>
      </c>
      <c r="B193" s="8" t="s">
        <v>313</v>
      </c>
      <c r="C193" s="13" t="s">
        <v>574</v>
      </c>
      <c r="D193" s="13" t="s">
        <v>1</v>
      </c>
      <c r="E193" s="8"/>
      <c r="F193" s="10">
        <v>0.4</v>
      </c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</row>
    <row r="194" spans="1:65" ht="28.5" customHeight="1" x14ac:dyDescent="0.15">
      <c r="A194" s="34" t="s">
        <v>241</v>
      </c>
      <c r="B194" s="8" t="s">
        <v>19</v>
      </c>
      <c r="C194" s="13" t="s">
        <v>0</v>
      </c>
      <c r="D194" s="13" t="s">
        <v>1</v>
      </c>
      <c r="E194" s="8"/>
      <c r="F194" s="19">
        <v>0.1</v>
      </c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</row>
    <row r="195" spans="1:65" ht="28.5" customHeight="1" x14ac:dyDescent="0.15">
      <c r="A195" s="78" t="s">
        <v>1221</v>
      </c>
      <c r="B195" s="11" t="s">
        <v>9</v>
      </c>
      <c r="C195" s="13" t="s">
        <v>1220</v>
      </c>
      <c r="D195" s="13" t="s">
        <v>1</v>
      </c>
      <c r="E195" s="11"/>
      <c r="F195" s="27">
        <v>2.0099999999999998</v>
      </c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</row>
    <row r="196" spans="1:65" ht="28.5" customHeight="1" x14ac:dyDescent="0.15">
      <c r="A196" s="34" t="s">
        <v>1368</v>
      </c>
      <c r="B196" s="8" t="s">
        <v>86</v>
      </c>
      <c r="C196" s="13" t="s">
        <v>1367</v>
      </c>
      <c r="D196" s="13" t="s">
        <v>1</v>
      </c>
      <c r="E196" s="9" t="str">
        <f>HYPERLINK("www.cotswoldhills.org.uk","www.cotswoldhills.org.uk")</f>
        <v>www.cotswoldhills.org.uk</v>
      </c>
      <c r="F196" s="10">
        <v>2.88</v>
      </c>
      <c r="G196" s="11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</row>
    <row r="197" spans="1:65" ht="28.5" customHeight="1" x14ac:dyDescent="0.15">
      <c r="A197" s="34" t="s">
        <v>1640</v>
      </c>
      <c r="B197" s="8" t="s">
        <v>195</v>
      </c>
      <c r="C197" s="13" t="s">
        <v>1639</v>
      </c>
      <c r="D197" s="13" t="s">
        <v>1</v>
      </c>
      <c r="E197" s="9" t="str">
        <f>HYPERLINK("http://www.courtgarden.com/","www.courtgarden.com")</f>
        <v>www.courtgarden.com</v>
      </c>
      <c r="F197" s="14">
        <v>7</v>
      </c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</row>
    <row r="198" spans="1:65" ht="28.5" customHeight="1" x14ac:dyDescent="0.15">
      <c r="A198" s="80" t="s">
        <v>435</v>
      </c>
      <c r="B198" s="23" t="s">
        <v>24</v>
      </c>
      <c r="C198" s="58" t="s">
        <v>436</v>
      </c>
      <c r="D198" s="13" t="s">
        <v>1</v>
      </c>
      <c r="E198" s="9"/>
      <c r="F198" s="10">
        <v>0.28000000000000003</v>
      </c>
      <c r="G198" s="11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</row>
    <row r="199" spans="1:65" ht="28.5" customHeight="1" x14ac:dyDescent="0.15">
      <c r="A199" s="78" t="s">
        <v>572</v>
      </c>
      <c r="B199" s="11" t="s">
        <v>24</v>
      </c>
      <c r="C199" s="13" t="s">
        <v>571</v>
      </c>
      <c r="D199" s="13" t="s">
        <v>1</v>
      </c>
      <c r="E199" s="11"/>
      <c r="F199" s="27">
        <v>0.4</v>
      </c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</row>
    <row r="200" spans="1:65" ht="28.5" customHeight="1" x14ac:dyDescent="0.15">
      <c r="A200" s="34" t="s">
        <v>323</v>
      </c>
      <c r="B200" s="8" t="s">
        <v>61</v>
      </c>
      <c r="C200" s="13" t="s">
        <v>324</v>
      </c>
      <c r="D200" s="13" t="s">
        <v>1</v>
      </c>
      <c r="E200" s="9" t="s">
        <v>325</v>
      </c>
      <c r="F200" s="14">
        <v>0.1822</v>
      </c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</row>
    <row r="201" spans="1:65" ht="28.5" customHeight="1" x14ac:dyDescent="0.15">
      <c r="A201" s="34" t="s">
        <v>508</v>
      </c>
      <c r="B201" s="8" t="s">
        <v>442</v>
      </c>
      <c r="C201" s="13" t="s">
        <v>507</v>
      </c>
      <c r="D201" s="13" t="s">
        <v>43</v>
      </c>
      <c r="E201" s="9" t="str">
        <f>HYPERLINK("http://www.croffta-wine.co.uk/","www.croffta-wine.co.uk")</f>
        <v>www.croffta-wine.co.uk</v>
      </c>
      <c r="F201" s="14">
        <v>0.4</v>
      </c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</row>
    <row r="202" spans="1:65" ht="27.75" customHeight="1" x14ac:dyDescent="0.15">
      <c r="A202" s="34" t="s">
        <v>1296</v>
      </c>
      <c r="B202" s="8" t="s">
        <v>96</v>
      </c>
      <c r="C202" s="13" t="s">
        <v>1295</v>
      </c>
      <c r="D202" s="13" t="s">
        <v>1</v>
      </c>
      <c r="E202" s="9"/>
      <c r="F202" s="14">
        <v>2.4279999999999999</v>
      </c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</row>
    <row r="203" spans="1:65" ht="28.5" customHeight="1" x14ac:dyDescent="0.15">
      <c r="A203" s="34" t="s">
        <v>1480</v>
      </c>
      <c r="B203" s="8" t="s">
        <v>30</v>
      </c>
      <c r="C203" s="13" t="s">
        <v>1479</v>
      </c>
      <c r="D203" s="13" t="s">
        <v>1</v>
      </c>
      <c r="E203" s="9" t="str">
        <f>HYPERLINK("http://www.crouchridge.com/","www.crouchridge.com")</f>
        <v>www.crouchridge.com</v>
      </c>
      <c r="F203" s="10">
        <v>4</v>
      </c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</row>
    <row r="204" spans="1:65" ht="28.5" customHeight="1" x14ac:dyDescent="0.15">
      <c r="A204" s="34" t="s">
        <v>1716</v>
      </c>
      <c r="B204" s="8" t="s">
        <v>30</v>
      </c>
      <c r="C204" s="13" t="s">
        <v>1717</v>
      </c>
      <c r="D204" s="13" t="s">
        <v>1</v>
      </c>
      <c r="E204" s="9" t="str">
        <f>HYPERLINK("https://www.newhallwines.com/post/crouch-valley","www.newhallwines.com")</f>
        <v>www.newhallwines.com</v>
      </c>
      <c r="F204" s="10">
        <v>10</v>
      </c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</row>
    <row r="205" spans="1:65" ht="28.5" customHeight="1" x14ac:dyDescent="0.15">
      <c r="A205" s="78" t="s">
        <v>1593</v>
      </c>
      <c r="B205" s="11" t="s">
        <v>30</v>
      </c>
      <c r="C205" s="13" t="s">
        <v>1592</v>
      </c>
      <c r="D205" s="13" t="s">
        <v>1</v>
      </c>
      <c r="E205" s="11"/>
      <c r="F205" s="16">
        <v>5.85</v>
      </c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</row>
    <row r="206" spans="1:65" ht="28.5" customHeight="1" x14ac:dyDescent="0.15">
      <c r="A206" s="34" t="s">
        <v>644</v>
      </c>
      <c r="B206" s="8" t="s">
        <v>19</v>
      </c>
      <c r="C206" s="13" t="s">
        <v>645</v>
      </c>
      <c r="D206" s="13" t="s">
        <v>1</v>
      </c>
      <c r="E206" s="8"/>
      <c r="F206" s="10">
        <v>0.5</v>
      </c>
      <c r="G206" s="11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</row>
    <row r="207" spans="1:65" ht="28.5" customHeight="1" x14ac:dyDescent="0.15">
      <c r="A207" s="34" t="s">
        <v>859</v>
      </c>
      <c r="B207" s="8" t="s">
        <v>842</v>
      </c>
      <c r="C207" s="13" t="s">
        <v>860</v>
      </c>
      <c r="D207" s="13" t="s">
        <v>43</v>
      </c>
      <c r="E207" s="9" t="str">
        <f>HYPERLINK("http://www.cwm-deri.co.uk/","www.cwm-deri.co.uk")</f>
        <v>www.cwm-deri.co.uk</v>
      </c>
      <c r="F207" s="10">
        <v>1</v>
      </c>
      <c r="G207" s="11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</row>
    <row r="208" spans="1:65" ht="28.5" customHeight="1" x14ac:dyDescent="0.15">
      <c r="A208" s="34" t="s">
        <v>494</v>
      </c>
      <c r="B208" s="8" t="s">
        <v>61</v>
      </c>
      <c r="C208" s="13" t="s">
        <v>495</v>
      </c>
      <c r="D208" s="13" t="s">
        <v>1</v>
      </c>
      <c r="E208" s="9"/>
      <c r="F208" s="14">
        <v>0.38</v>
      </c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</row>
    <row r="209" spans="1:65" ht="28.5" customHeight="1" x14ac:dyDescent="0.15">
      <c r="A209" s="34" t="s">
        <v>50</v>
      </c>
      <c r="B209" s="8" t="s">
        <v>49</v>
      </c>
      <c r="C209" s="13" t="s">
        <v>48</v>
      </c>
      <c r="D209" s="13" t="s">
        <v>47</v>
      </c>
      <c r="E209" s="8"/>
      <c r="F209" s="10">
        <v>5.0000000000000001E-3</v>
      </c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</row>
    <row r="210" spans="1:65" ht="28.5" customHeight="1" x14ac:dyDescent="0.15">
      <c r="A210" s="34" t="s">
        <v>951</v>
      </c>
      <c r="B210" s="8" t="s">
        <v>16</v>
      </c>
      <c r="C210" s="13" t="s">
        <v>952</v>
      </c>
      <c r="D210" s="13" t="s">
        <v>1</v>
      </c>
      <c r="E210" s="9" t="str">
        <f>HYPERLINK("https://www.dalwoodvineyard.co.uk","www.dalwoodvineyard.co.uk")</f>
        <v>www.dalwoodvineyard.co.uk</v>
      </c>
      <c r="F210" s="10">
        <v>1.1000000000000001</v>
      </c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</row>
    <row r="211" spans="1:65" ht="28.5" customHeight="1" x14ac:dyDescent="0.15">
      <c r="A211" s="34" t="s">
        <v>1724</v>
      </c>
      <c r="B211" s="8" t="s">
        <v>30</v>
      </c>
      <c r="C211" s="13" t="s">
        <v>1723</v>
      </c>
      <c r="D211" s="13" t="s">
        <v>1</v>
      </c>
      <c r="E211" s="9" t="str">
        <f>HYPERLINK("https://www.danburywineestate.com","www.danburywineestate.com")</f>
        <v>www.danburywineestate.com</v>
      </c>
      <c r="F211" s="16">
        <v>10.297700000000001</v>
      </c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</row>
    <row r="212" spans="1:65" ht="28.5" customHeight="1" x14ac:dyDescent="0.15">
      <c r="A212" s="34" t="s">
        <v>1374</v>
      </c>
      <c r="B212" s="8" t="s">
        <v>5</v>
      </c>
      <c r="C212" s="13" t="s">
        <v>1373</v>
      </c>
      <c r="D212" s="13" t="s">
        <v>1</v>
      </c>
      <c r="E212" s="9" t="str">
        <f>HYPERLINK("http://www.danebury.com/","www.danebury.com")</f>
        <v>www.danebury.com</v>
      </c>
      <c r="F212" s="10">
        <v>2.9</v>
      </c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</row>
    <row r="213" spans="1:65" ht="28.5" customHeight="1" x14ac:dyDescent="0.15">
      <c r="A213" s="78" t="s">
        <v>310</v>
      </c>
      <c r="B213" s="8" t="s">
        <v>309</v>
      </c>
      <c r="C213" s="13" t="s">
        <v>308</v>
      </c>
      <c r="D213" s="13" t="s">
        <v>156</v>
      </c>
      <c r="E213" s="9" t="str">
        <f>HYPERLINK("https://viticultureireland.blogspot.com","viticultureireland.blogspot.com")</f>
        <v>viticultureireland.blogspot.com</v>
      </c>
      <c r="F213" s="10">
        <v>0.16</v>
      </c>
      <c r="G213" s="11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</row>
    <row r="214" spans="1:65" ht="30.75" customHeight="1" x14ac:dyDescent="0.15">
      <c r="A214" s="80" t="s">
        <v>694</v>
      </c>
      <c r="B214" s="23" t="s">
        <v>16</v>
      </c>
      <c r="C214" s="58" t="s">
        <v>695</v>
      </c>
      <c r="D214" s="13" t="s">
        <v>1</v>
      </c>
      <c r="E214" s="8"/>
      <c r="F214" s="10">
        <v>0.6</v>
      </c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</row>
    <row r="215" spans="1:65" ht="28.5" customHeight="1" x14ac:dyDescent="0.15">
      <c r="A215" s="78" t="s">
        <v>569</v>
      </c>
      <c r="B215" s="8" t="s">
        <v>16</v>
      </c>
      <c r="C215" s="13" t="s">
        <v>570</v>
      </c>
      <c r="D215" s="13" t="s">
        <v>1</v>
      </c>
      <c r="E215" s="8"/>
      <c r="F215" s="10">
        <v>0.4</v>
      </c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</row>
    <row r="216" spans="1:65" ht="28.5" customHeight="1" x14ac:dyDescent="0.15">
      <c r="A216" s="34" t="s">
        <v>1656</v>
      </c>
      <c r="B216" s="8" t="s">
        <v>9</v>
      </c>
      <c r="C216" s="13" t="s">
        <v>1655</v>
      </c>
      <c r="D216" s="13" t="s">
        <v>1</v>
      </c>
      <c r="E216" s="9" t="str">
        <f>HYPERLINK("http://www.davenportvineyards.co.uk/","www.davenportvineyards.co.uk")</f>
        <v>www.davenportvineyards.co.uk</v>
      </c>
      <c r="F216" s="10">
        <v>7.4660000000000002</v>
      </c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</row>
    <row r="217" spans="1:65" ht="28.5" customHeight="1" x14ac:dyDescent="0.15">
      <c r="A217" s="34" t="s">
        <v>1000</v>
      </c>
      <c r="B217" s="8" t="s">
        <v>195</v>
      </c>
      <c r="C217" s="13" t="s">
        <v>999</v>
      </c>
      <c r="D217" s="13" t="s">
        <v>1</v>
      </c>
      <c r="E217" s="9" t="str">
        <f>HYPERLINK("http://www.davenportvineyards.co.uk/","www.davenportvineyards.co.uk")</f>
        <v>www.davenportvineyards.co.uk</v>
      </c>
      <c r="F217" s="10">
        <v>1.2174</v>
      </c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</row>
    <row r="218" spans="1:65" ht="28.5" customHeight="1" x14ac:dyDescent="0.15">
      <c r="A218" s="34" t="s">
        <v>1141</v>
      </c>
      <c r="B218" s="8" t="s">
        <v>2</v>
      </c>
      <c r="C218" s="13" t="s">
        <v>1140</v>
      </c>
      <c r="D218" s="13" t="s">
        <v>1</v>
      </c>
      <c r="E218" s="9" t="str">
        <f>HYPERLINK("http://www.dawshillvineyard.co.uk/","www.dawshillvineyard.co.uk")</f>
        <v>www.dawshillvineyard.co.uk</v>
      </c>
      <c r="F218" s="10">
        <v>1.7862</v>
      </c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</row>
    <row r="219" spans="1:65" ht="28.5" customHeight="1" x14ac:dyDescent="0.15">
      <c r="A219" s="34" t="s">
        <v>299</v>
      </c>
      <c r="B219" s="8" t="s">
        <v>5</v>
      </c>
      <c r="C219" s="13" t="s">
        <v>298</v>
      </c>
      <c r="D219" s="13" t="s">
        <v>1</v>
      </c>
      <c r="E219" s="8"/>
      <c r="F219" s="10">
        <v>0.1482</v>
      </c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</row>
    <row r="220" spans="1:65" ht="28.5" customHeight="1" x14ac:dyDescent="0.15">
      <c r="A220" s="34" t="s">
        <v>1320</v>
      </c>
      <c r="B220" s="8" t="s">
        <v>30</v>
      </c>
      <c r="C220" s="13" t="s">
        <v>1321</v>
      </c>
      <c r="D220" s="13" t="s">
        <v>1</v>
      </c>
      <c r="E220" s="9" t="str">
        <f>HYPERLINK("http://www.dedhamvalevineyard.com/","www.dedhamvalevineyard.com")</f>
        <v>www.dedhamvalevineyard.com</v>
      </c>
      <c r="F220" s="10">
        <v>2.61</v>
      </c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</row>
    <row r="221" spans="1:65" ht="28.5" customHeight="1" x14ac:dyDescent="0.15">
      <c r="A221" s="78" t="s">
        <v>1320</v>
      </c>
      <c r="B221" s="11" t="s">
        <v>52</v>
      </c>
      <c r="C221" s="13" t="s">
        <v>0</v>
      </c>
      <c r="D221" s="13" t="s">
        <v>1</v>
      </c>
      <c r="E221" s="11"/>
      <c r="F221" s="24">
        <v>0.56999999999999995</v>
      </c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</row>
    <row r="222" spans="1:65" ht="28.5" customHeight="1" x14ac:dyDescent="0.15">
      <c r="A222" s="34" t="s">
        <v>1858</v>
      </c>
      <c r="B222" s="8" t="s">
        <v>64</v>
      </c>
      <c r="C222" s="13" t="s">
        <v>1859</v>
      </c>
      <c r="D222" s="13" t="s">
        <v>1</v>
      </c>
      <c r="E222" s="9" t="str">
        <f>HYPERLINK("https://www.denbies.co.uk","www.denbies.co.uk")</f>
        <v>www.denbies.co.uk</v>
      </c>
      <c r="F222" s="10">
        <v>89.7</v>
      </c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</row>
    <row r="223" spans="1:65" ht="28.5" customHeight="1" x14ac:dyDescent="0.15">
      <c r="A223" s="34" t="s">
        <v>314</v>
      </c>
      <c r="B223" s="8" t="s">
        <v>313</v>
      </c>
      <c r="C223" s="13" t="s">
        <v>312</v>
      </c>
      <c r="D223" s="13" t="s">
        <v>1</v>
      </c>
      <c r="E223" s="9" t="s">
        <v>311</v>
      </c>
      <c r="F223" s="10">
        <v>0.16200000000000001</v>
      </c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</row>
    <row r="224" spans="1:65" ht="28.5" customHeight="1" x14ac:dyDescent="0.15">
      <c r="A224" s="78" t="s">
        <v>1897</v>
      </c>
      <c r="B224" s="11" t="s">
        <v>16</v>
      </c>
      <c r="C224" s="13" t="s">
        <v>0</v>
      </c>
      <c r="D224" s="13" t="s">
        <v>1</v>
      </c>
      <c r="E224" s="11"/>
      <c r="F224" s="24">
        <v>6</v>
      </c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</row>
    <row r="225" spans="1:65" ht="28.5" customHeight="1" x14ac:dyDescent="0.15">
      <c r="A225" s="34" t="s">
        <v>1433</v>
      </c>
      <c r="B225" s="8" t="s">
        <v>96</v>
      </c>
      <c r="C225" s="13" t="s">
        <v>1434</v>
      </c>
      <c r="D225" s="13" t="s">
        <v>1</v>
      </c>
      <c r="E225" s="8"/>
      <c r="F225" s="10">
        <v>3.5</v>
      </c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</row>
    <row r="226" spans="1:65" ht="28.5" customHeight="1" x14ac:dyDescent="0.15">
      <c r="A226" s="34" t="s">
        <v>1214</v>
      </c>
      <c r="B226" s="8" t="s">
        <v>9</v>
      </c>
      <c r="C226" s="13" t="s">
        <v>1213</v>
      </c>
      <c r="D226" s="63" t="s">
        <v>1</v>
      </c>
      <c r="E226" s="8"/>
      <c r="F226" s="10">
        <v>2</v>
      </c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</row>
    <row r="227" spans="1:65" ht="28.5" customHeight="1" x14ac:dyDescent="0.15">
      <c r="A227" s="34" t="s">
        <v>795</v>
      </c>
      <c r="B227" s="17" t="s">
        <v>2</v>
      </c>
      <c r="C227" s="56" t="s">
        <v>794</v>
      </c>
      <c r="D227" s="56" t="s">
        <v>1</v>
      </c>
      <c r="E227" s="29" t="str">
        <f>HYPERLINK("https://dintonwines.com","dintonwines.com")</f>
        <v>dintonwines.com</v>
      </c>
      <c r="F227" s="18">
        <v>0.8</v>
      </c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</row>
    <row r="228" spans="1:65" ht="28.5" customHeight="1" x14ac:dyDescent="0.15">
      <c r="A228" s="79" t="s">
        <v>756</v>
      </c>
      <c r="B228" s="8" t="s">
        <v>30</v>
      </c>
      <c r="C228" s="13" t="s">
        <v>755</v>
      </c>
      <c r="D228" s="63" t="s">
        <v>1</v>
      </c>
      <c r="E228" s="9"/>
      <c r="F228" s="16">
        <v>0.73129999999999995</v>
      </c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</row>
    <row r="229" spans="1:65" ht="28.5" customHeight="1" x14ac:dyDescent="0.15">
      <c r="A229" s="34" t="s">
        <v>765</v>
      </c>
      <c r="B229" s="8" t="s">
        <v>24</v>
      </c>
      <c r="C229" s="13" t="s">
        <v>766</v>
      </c>
      <c r="D229" s="13" t="s">
        <v>1</v>
      </c>
      <c r="E229" s="11"/>
      <c r="F229" s="10">
        <v>0.75</v>
      </c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</row>
    <row r="230" spans="1:65" ht="28.5" customHeight="1" x14ac:dyDescent="0.15">
      <c r="A230" s="34" t="s">
        <v>940</v>
      </c>
      <c r="B230" s="8" t="s">
        <v>245</v>
      </c>
      <c r="C230" s="13" t="s">
        <v>939</v>
      </c>
      <c r="D230" s="13" t="s">
        <v>1</v>
      </c>
      <c r="E230" s="9" t="str">
        <f>HYPERLINK("http://www.griffinfarmvineyard.co.uk/GriffinFarmVineyard/Welcome.html","www.griffinfarmvineyard.co.uk")</f>
        <v>www.griffinfarmvineyard.co.uk</v>
      </c>
      <c r="F230" s="10">
        <v>1.05</v>
      </c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</row>
    <row r="231" spans="1:65" ht="28.5" customHeight="1" x14ac:dyDescent="0.15">
      <c r="A231" s="34" t="s">
        <v>719</v>
      </c>
      <c r="B231" s="8" t="s">
        <v>195</v>
      </c>
      <c r="C231" s="13" t="s">
        <v>720</v>
      </c>
      <c r="D231" s="13" t="s">
        <v>1</v>
      </c>
      <c r="E231" s="9" t="str">
        <f>HYPERLINK("http://www.downsviewvineyard.co.uk/","www.downsviewvineyard.co.uk")</f>
        <v>www.downsviewvineyard.co.uk</v>
      </c>
      <c r="F231" s="10">
        <v>0.65</v>
      </c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</row>
    <row r="232" spans="1:65" ht="28.5" customHeight="1" x14ac:dyDescent="0.15">
      <c r="A232" s="34" t="s">
        <v>920</v>
      </c>
      <c r="B232" s="17" t="s">
        <v>205</v>
      </c>
      <c r="C232" s="56" t="s">
        <v>919</v>
      </c>
      <c r="D232" s="56" t="s">
        <v>1</v>
      </c>
      <c r="E232" s="29" t="str">
        <f>HYPERLINK("http://www.botleysfarm.co.uk/","www.botleysfarm.co.uk")</f>
        <v>www.botleysfarm.co.uk</v>
      </c>
      <c r="F232" s="18">
        <v>1</v>
      </c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</row>
    <row r="233" spans="1:65" ht="28.5" customHeight="1" x14ac:dyDescent="0.15">
      <c r="A233" s="76" t="s">
        <v>25</v>
      </c>
      <c r="B233" s="12" t="s">
        <v>24</v>
      </c>
      <c r="C233" s="47" t="s">
        <v>26</v>
      </c>
      <c r="D233" s="13" t="s">
        <v>1</v>
      </c>
      <c r="E233" s="20"/>
      <c r="F233" s="13" t="s">
        <v>0</v>
      </c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</row>
    <row r="234" spans="1:65" ht="28.5" customHeight="1" x14ac:dyDescent="0.15">
      <c r="A234" s="34" t="s">
        <v>478</v>
      </c>
      <c r="B234" s="17" t="s">
        <v>313</v>
      </c>
      <c r="C234" s="56" t="s">
        <v>477</v>
      </c>
      <c r="D234" s="56" t="s">
        <v>1</v>
      </c>
      <c r="E234" s="29" t="str">
        <f>HYPERLINK("https://www.facebook.com/DreamingSquiresVineyard","facebook.com/DreamingSquiresVineyard")</f>
        <v>facebook.com/DreamingSquiresVineyard</v>
      </c>
      <c r="F234" s="18">
        <v>0.34399999999999997</v>
      </c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</row>
    <row r="235" spans="1:65" ht="28.5" customHeight="1" x14ac:dyDescent="0.15">
      <c r="A235" s="34" t="s">
        <v>763</v>
      </c>
      <c r="B235" s="8" t="s">
        <v>2</v>
      </c>
      <c r="C235" s="13" t="s">
        <v>764</v>
      </c>
      <c r="D235" s="13" t="s">
        <v>1</v>
      </c>
      <c r="E235" s="9" t="str">
        <f>HYPERLINK("http://www.dropmorewines.co.uk/","www.dropmorewines.co.uk")</f>
        <v>www.dropmorewines.co.uk</v>
      </c>
      <c r="F235" s="10">
        <v>0.75</v>
      </c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</row>
    <row r="236" spans="1:65" ht="28.5" customHeight="1" x14ac:dyDescent="0.15">
      <c r="A236" s="34" t="s">
        <v>1096</v>
      </c>
      <c r="B236" s="8" t="s">
        <v>36</v>
      </c>
      <c r="C236" s="13" t="s">
        <v>1098</v>
      </c>
      <c r="D236" s="13" t="s">
        <v>1</v>
      </c>
      <c r="E236" s="9" t="s">
        <v>1097</v>
      </c>
      <c r="F236" s="10">
        <v>1.61</v>
      </c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</row>
    <row r="237" spans="1:65" ht="28.5" customHeight="1" x14ac:dyDescent="0.15">
      <c r="A237" s="34" t="s">
        <v>733</v>
      </c>
      <c r="B237" s="8" t="s">
        <v>133</v>
      </c>
      <c r="C237" s="13" t="s">
        <v>734</v>
      </c>
      <c r="D237" s="13" t="s">
        <v>1</v>
      </c>
      <c r="E237" s="9" t="s">
        <v>735</v>
      </c>
      <c r="F237" s="10">
        <v>0.68</v>
      </c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</row>
    <row r="238" spans="1:65" ht="28.5" customHeight="1" x14ac:dyDescent="0.15">
      <c r="A238" s="34" t="s">
        <v>366</v>
      </c>
      <c r="B238" s="8" t="s">
        <v>5</v>
      </c>
      <c r="C238" s="13" t="s">
        <v>367</v>
      </c>
      <c r="D238" s="13" t="s">
        <v>1</v>
      </c>
      <c r="E238" s="9"/>
      <c r="F238" s="10">
        <v>0.2</v>
      </c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</row>
    <row r="239" spans="1:65" ht="28.5" customHeight="1" x14ac:dyDescent="0.15">
      <c r="A239" s="34" t="s">
        <v>1135</v>
      </c>
      <c r="B239" s="17" t="s">
        <v>24</v>
      </c>
      <c r="C239" s="56" t="s">
        <v>1134</v>
      </c>
      <c r="D239" s="13" t="s">
        <v>1</v>
      </c>
      <c r="E239" s="9" t="str">
        <f>HYPERLINK("https://www.durbervillevineyard.co.uk","www.durbervillevineyard.co.uk")</f>
        <v>www.durbervillevineyard.co.uk</v>
      </c>
      <c r="F239" s="10">
        <v>1.6902999999999999</v>
      </c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</row>
    <row r="240" spans="1:65" ht="28.5" customHeight="1" x14ac:dyDescent="0.15">
      <c r="A240" s="34" t="s">
        <v>1113</v>
      </c>
      <c r="B240" s="8" t="s">
        <v>19</v>
      </c>
      <c r="C240" s="13" t="s">
        <v>1114</v>
      </c>
      <c r="D240" s="56" t="s">
        <v>1</v>
      </c>
      <c r="E240" s="8"/>
      <c r="F240" s="14">
        <v>1.6235999999999999</v>
      </c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</row>
    <row r="241" spans="1:65" ht="28.5" customHeight="1" x14ac:dyDescent="0.15">
      <c r="A241" s="34" t="s">
        <v>1247</v>
      </c>
      <c r="B241" s="8" t="s">
        <v>32</v>
      </c>
      <c r="C241" s="13" t="s">
        <v>1248</v>
      </c>
      <c r="D241" s="13" t="s">
        <v>1</v>
      </c>
      <c r="E241" s="8"/>
      <c r="F241" s="10">
        <v>2.12</v>
      </c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</row>
    <row r="242" spans="1:65" ht="28.5" customHeight="1" x14ac:dyDescent="0.15">
      <c r="A242" s="34" t="s">
        <v>239</v>
      </c>
      <c r="B242" s="8" t="s">
        <v>41</v>
      </c>
      <c r="C242" s="13" t="s">
        <v>240</v>
      </c>
      <c r="D242" s="13" t="s">
        <v>1</v>
      </c>
      <c r="E242" s="8"/>
      <c r="F242" s="10">
        <v>0.1</v>
      </c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</row>
    <row r="243" spans="1:65" ht="28.5" customHeight="1" x14ac:dyDescent="0.15">
      <c r="A243" s="77" t="s">
        <v>1011</v>
      </c>
      <c r="B243" s="20" t="s">
        <v>32</v>
      </c>
      <c r="C243" s="13" t="s">
        <v>1009</v>
      </c>
      <c r="D243" s="56" t="s">
        <v>1</v>
      </c>
      <c r="E243" s="29" t="s">
        <v>1010</v>
      </c>
      <c r="F243" s="10">
        <v>1.25</v>
      </c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</row>
    <row r="244" spans="1:65" ht="28.5" customHeight="1" x14ac:dyDescent="0.15">
      <c r="A244" s="34" t="s">
        <v>742</v>
      </c>
      <c r="B244" s="8" t="s">
        <v>9</v>
      </c>
      <c r="C244" s="13" t="s">
        <v>743</v>
      </c>
      <c r="D244" s="13" t="s">
        <v>1</v>
      </c>
      <c r="E244" s="9" t="str">
        <f>HYPERLINK("http://www.emr.ac.uk/","www.emr.ac.uk")</f>
        <v>www.emr.ac.uk</v>
      </c>
      <c r="F244" s="10">
        <v>0.7</v>
      </c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</row>
    <row r="245" spans="1:65" ht="28.5" customHeight="1" x14ac:dyDescent="0.15">
      <c r="A245" s="34" t="s">
        <v>567</v>
      </c>
      <c r="B245" s="8" t="s">
        <v>5</v>
      </c>
      <c r="C245" s="13" t="s">
        <v>568</v>
      </c>
      <c r="D245" s="13" t="s">
        <v>1</v>
      </c>
      <c r="E245" s="9" t="str">
        <f>HYPERLINK("http://www.eastmeonvineyard.co.uk/","www.eastmeonvineyard.co.uk")</f>
        <v>www.eastmeonvineyard.co.uk</v>
      </c>
      <c r="F245" s="10">
        <v>0.4</v>
      </c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</row>
    <row r="246" spans="1:65" ht="28.5" customHeight="1" x14ac:dyDescent="0.15">
      <c r="A246" s="34" t="s">
        <v>917</v>
      </c>
      <c r="B246" s="8" t="s">
        <v>96</v>
      </c>
      <c r="C246" s="13" t="s">
        <v>918</v>
      </c>
      <c r="D246" s="13" t="s">
        <v>1</v>
      </c>
      <c r="E246" s="11"/>
      <c r="F246" s="10">
        <v>1</v>
      </c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</row>
    <row r="247" spans="1:65" ht="28.5" customHeight="1" x14ac:dyDescent="0.15">
      <c r="A247" s="78" t="s">
        <v>1315</v>
      </c>
      <c r="B247" s="8" t="s">
        <v>195</v>
      </c>
      <c r="C247" s="13" t="s">
        <v>1314</v>
      </c>
      <c r="D247" s="13" t="s">
        <v>1</v>
      </c>
      <c r="E247" s="8"/>
      <c r="F247" s="10">
        <v>2.5</v>
      </c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</row>
    <row r="248" spans="1:65" ht="28.5" customHeight="1" x14ac:dyDescent="0.15">
      <c r="A248" s="34" t="s">
        <v>1020</v>
      </c>
      <c r="B248" s="8" t="s">
        <v>180</v>
      </c>
      <c r="C248" s="13" t="s">
        <v>1021</v>
      </c>
      <c r="D248" s="13" t="s">
        <v>1</v>
      </c>
      <c r="E248" s="9" t="str">
        <f>HYPERLINK("http://www.eglantinevineyard.co.uk/","www.eglantinevineyard.co.uk")</f>
        <v>www.eglantinevineyard.co.uk</v>
      </c>
      <c r="F248" s="10">
        <v>1.276</v>
      </c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</row>
    <row r="249" spans="1:65" ht="28.5" customHeight="1" x14ac:dyDescent="0.15">
      <c r="A249" s="34" t="s">
        <v>465</v>
      </c>
      <c r="B249" s="8" t="s">
        <v>9</v>
      </c>
      <c r="C249" s="13" t="s">
        <v>466</v>
      </c>
      <c r="D249" s="13" t="s">
        <v>1</v>
      </c>
      <c r="E249" s="9" t="str">
        <f>HYPERLINK("http://www.vineyardgardencentre.co.uk/","www.vineyardgardencentre.co.uk  ")</f>
        <v xml:space="preserve">www.vineyardgardencentre.co.uk  </v>
      </c>
      <c r="F249" s="10">
        <v>0.32940000000000003</v>
      </c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</row>
    <row r="250" spans="1:65" ht="28.5" customHeight="1" x14ac:dyDescent="0.15">
      <c r="A250" s="34" t="s">
        <v>316</v>
      </c>
      <c r="B250" s="8" t="s">
        <v>205</v>
      </c>
      <c r="C250" s="13" t="s">
        <v>315</v>
      </c>
      <c r="D250" s="13" t="s">
        <v>1</v>
      </c>
      <c r="E250" s="12"/>
      <c r="F250" s="14">
        <v>0.1673</v>
      </c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</row>
    <row r="251" spans="1:65" ht="28.5" customHeight="1" x14ac:dyDescent="0.15">
      <c r="A251" s="34" t="s">
        <v>916</v>
      </c>
      <c r="B251" s="8" t="s">
        <v>83</v>
      </c>
      <c r="C251" s="13" t="s">
        <v>915</v>
      </c>
      <c r="D251" s="13" t="s">
        <v>1</v>
      </c>
      <c r="E251" s="8"/>
      <c r="F251" s="10">
        <v>1</v>
      </c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</row>
    <row r="252" spans="1:65" ht="28.5" customHeight="1" x14ac:dyDescent="0.15">
      <c r="A252" s="34" t="s">
        <v>1581</v>
      </c>
      <c r="B252" s="8" t="s">
        <v>1580</v>
      </c>
      <c r="C252" s="13" t="s">
        <v>1578</v>
      </c>
      <c r="D252" s="13" t="s">
        <v>1</v>
      </c>
      <c r="E252" s="15" t="s">
        <v>1579</v>
      </c>
      <c r="F252" s="10">
        <v>5.59</v>
      </c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</row>
    <row r="253" spans="1:65" ht="28.5" customHeight="1" x14ac:dyDescent="0.15">
      <c r="A253" s="34" t="s">
        <v>1672</v>
      </c>
      <c r="B253" s="8" t="s">
        <v>24</v>
      </c>
      <c r="C253" s="13" t="s">
        <v>1673</v>
      </c>
      <c r="D253" s="13" t="s">
        <v>1</v>
      </c>
      <c r="E253" s="9" t="str">
        <f>HYPERLINK("http://www.englishoakvineyard.co.uk/","www.englishoakvineyard.co.uk")</f>
        <v>www.englishoakvineyard.co.uk</v>
      </c>
      <c r="F253" s="10">
        <v>8.06</v>
      </c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</row>
    <row r="254" spans="1:65" ht="28.5" customHeight="1" x14ac:dyDescent="0.15">
      <c r="A254" s="34" t="s">
        <v>365</v>
      </c>
      <c r="B254" s="8" t="s">
        <v>195</v>
      </c>
      <c r="C254" s="13" t="s">
        <v>364</v>
      </c>
      <c r="D254" s="13" t="s">
        <v>1</v>
      </c>
      <c r="E254" s="9"/>
      <c r="F254" s="10">
        <v>0.2</v>
      </c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</row>
    <row r="255" spans="1:65" ht="28.5" customHeight="1" x14ac:dyDescent="0.15">
      <c r="A255" s="34" t="s">
        <v>1326</v>
      </c>
      <c r="B255" s="8" t="s">
        <v>195</v>
      </c>
      <c r="C255" s="13" t="s">
        <v>1147</v>
      </c>
      <c r="D255" s="13" t="s">
        <v>1</v>
      </c>
      <c r="E255" s="8"/>
      <c r="F255" s="10">
        <v>2.637</v>
      </c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</row>
    <row r="256" spans="1:65" ht="28.5" customHeight="1" x14ac:dyDescent="0.15">
      <c r="A256" s="34" t="s">
        <v>1849</v>
      </c>
      <c r="B256" s="8" t="s">
        <v>9</v>
      </c>
      <c r="C256" s="13" t="s">
        <v>1851</v>
      </c>
      <c r="D256" s="13" t="s">
        <v>1</v>
      </c>
      <c r="E256" s="9" t="s">
        <v>1850</v>
      </c>
      <c r="F256" s="10">
        <v>45.462400000000002</v>
      </c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</row>
    <row r="257" spans="1:65" ht="28.5" customHeight="1" x14ac:dyDescent="0.15">
      <c r="A257" s="34" t="s">
        <v>1793</v>
      </c>
      <c r="B257" s="8" t="s">
        <v>5</v>
      </c>
      <c r="C257" s="13" t="s">
        <v>1791</v>
      </c>
      <c r="D257" s="13" t="s">
        <v>1</v>
      </c>
      <c r="E257" s="15" t="s">
        <v>1792</v>
      </c>
      <c r="F257" s="10">
        <v>19.32</v>
      </c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</row>
    <row r="258" spans="1:65" ht="28.5" customHeight="1" x14ac:dyDescent="0.15">
      <c r="A258" s="34" t="s">
        <v>1018</v>
      </c>
      <c r="B258" s="8" t="s">
        <v>9</v>
      </c>
      <c r="C258" s="13" t="s">
        <v>1019</v>
      </c>
      <c r="D258" s="47" t="s">
        <v>1</v>
      </c>
      <c r="E258" s="12"/>
      <c r="F258" s="10">
        <v>1.27</v>
      </c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</row>
    <row r="259" spans="1:65" ht="28.5" customHeight="1" x14ac:dyDescent="0.15">
      <c r="A259" s="78" t="s">
        <v>274</v>
      </c>
      <c r="B259" s="11" t="s">
        <v>133</v>
      </c>
      <c r="C259" s="13" t="s">
        <v>272</v>
      </c>
      <c r="D259" s="13" t="s">
        <v>1</v>
      </c>
      <c r="E259" s="15" t="s">
        <v>273</v>
      </c>
      <c r="F259" s="10">
        <v>0.115</v>
      </c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</row>
    <row r="260" spans="1:65" ht="28.5" customHeight="1" x14ac:dyDescent="0.15">
      <c r="A260" s="34" t="s">
        <v>1371</v>
      </c>
      <c r="B260" s="12" t="s">
        <v>313</v>
      </c>
      <c r="C260" s="47" t="s">
        <v>1372</v>
      </c>
      <c r="D260" s="47" t="s">
        <v>1</v>
      </c>
      <c r="E260" s="26" t="str">
        <f>HYPERLINK("http://www.fairmilevineyard.co.uk/","www.fairmilevineyard.co.uk")</f>
        <v>www.fairmilevineyard.co.uk</v>
      </c>
      <c r="F260" s="14">
        <v>2.8919999999999999</v>
      </c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</row>
    <row r="261" spans="1:65" ht="28.5" customHeight="1" x14ac:dyDescent="0.15">
      <c r="A261" s="34" t="s">
        <v>237</v>
      </c>
      <c r="B261" s="8" t="s">
        <v>236</v>
      </c>
      <c r="C261" s="13" t="s">
        <v>238</v>
      </c>
      <c r="D261" s="13" t="s">
        <v>1</v>
      </c>
      <c r="E261" s="8"/>
      <c r="F261" s="19">
        <v>0.1</v>
      </c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</row>
    <row r="262" spans="1:65" ht="28.5" customHeight="1" x14ac:dyDescent="0.15">
      <c r="A262" s="34" t="s">
        <v>235</v>
      </c>
      <c r="B262" s="8" t="s">
        <v>234</v>
      </c>
      <c r="C262" s="13" t="s">
        <v>0</v>
      </c>
      <c r="D262" s="13" t="s">
        <v>1</v>
      </c>
      <c r="E262" s="8"/>
      <c r="F262" s="19">
        <v>0.1</v>
      </c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</row>
    <row r="263" spans="1:65" ht="28.5" customHeight="1" x14ac:dyDescent="0.15">
      <c r="A263" s="34" t="s">
        <v>821</v>
      </c>
      <c r="B263" s="12" t="s">
        <v>9</v>
      </c>
      <c r="C263" s="56" t="s">
        <v>820</v>
      </c>
      <c r="D263" s="56" t="s">
        <v>1</v>
      </c>
      <c r="E263" s="9" t="str">
        <f>HYPERLINK("http://www.faracrefarm.co.uk/","www.faracrefarm.co.uk")</f>
        <v>www.faracrefarm.co.uk</v>
      </c>
      <c r="F263" s="14">
        <v>0.81</v>
      </c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</row>
    <row r="264" spans="1:65" ht="28.5" customHeight="1" x14ac:dyDescent="0.15">
      <c r="A264" s="34" t="s">
        <v>126</v>
      </c>
      <c r="B264" s="12" t="s">
        <v>9</v>
      </c>
      <c r="C264" s="56" t="s">
        <v>125</v>
      </c>
      <c r="D264" s="56" t="s">
        <v>1</v>
      </c>
      <c r="E264" s="9" t="str">
        <f>HYPERLINK("http://www.farnellfarm.co.uk/","www.farnellfarm.co.uk")</f>
        <v>www.farnellfarm.co.uk</v>
      </c>
      <c r="F264" s="14">
        <v>0.04</v>
      </c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</row>
    <row r="265" spans="1:65" ht="28.5" customHeight="1" x14ac:dyDescent="0.15">
      <c r="A265" s="34" t="s">
        <v>1226</v>
      </c>
      <c r="B265" s="21" t="s">
        <v>9</v>
      </c>
      <c r="C265" s="67" t="s">
        <v>125</v>
      </c>
      <c r="D265" s="56" t="s">
        <v>1</v>
      </c>
      <c r="E265" s="9" t="str">
        <f>HYPERLINK("http://www.farnellfarm.co.uk/","www.farnellfarm.co.uk")</f>
        <v>www.farnellfarm.co.uk</v>
      </c>
      <c r="F265" s="14">
        <v>2.0234000000000001</v>
      </c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</row>
    <row r="266" spans="1:65" ht="28.5" customHeight="1" x14ac:dyDescent="0.15">
      <c r="A266" s="34" t="s">
        <v>425</v>
      </c>
      <c r="B266" s="8" t="s">
        <v>2</v>
      </c>
      <c r="C266" s="13" t="s">
        <v>426</v>
      </c>
      <c r="D266" s="13" t="s">
        <v>1</v>
      </c>
      <c r="E266" s="8"/>
      <c r="F266" s="10">
        <v>0.26200000000000001</v>
      </c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</row>
    <row r="267" spans="1:65" ht="28.5" customHeight="1" x14ac:dyDescent="0.15">
      <c r="A267" s="35" t="s">
        <v>1589</v>
      </c>
      <c r="B267" s="8" t="s">
        <v>30</v>
      </c>
      <c r="C267" s="13" t="s">
        <v>1588</v>
      </c>
      <c r="D267" s="13" t="s">
        <v>1</v>
      </c>
      <c r="E267" s="8"/>
      <c r="F267" s="10">
        <v>5.7504999999999997</v>
      </c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</row>
    <row r="268" spans="1:65" ht="28.5" customHeight="1" x14ac:dyDescent="0.15">
      <c r="A268" s="34" t="s">
        <v>976</v>
      </c>
      <c r="B268" s="8" t="s">
        <v>19</v>
      </c>
      <c r="C268" s="13" t="s">
        <v>977</v>
      </c>
      <c r="D268" s="13" t="s">
        <v>1</v>
      </c>
      <c r="E268" s="9" t="s">
        <v>978</v>
      </c>
      <c r="F268" s="10">
        <v>1.2</v>
      </c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</row>
    <row r="269" spans="1:65" ht="28.5" customHeight="1" x14ac:dyDescent="0.15">
      <c r="A269" s="35" t="s">
        <v>811</v>
      </c>
      <c r="B269" s="8" t="s">
        <v>64</v>
      </c>
      <c r="C269" s="13" t="s">
        <v>812</v>
      </c>
      <c r="D269" s="13" t="s">
        <v>1</v>
      </c>
      <c r="E269" s="8"/>
      <c r="F269" s="10">
        <v>0.80969999999999998</v>
      </c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</row>
    <row r="270" spans="1:65" ht="28.5" customHeight="1" x14ac:dyDescent="0.15">
      <c r="A270" s="80" t="s">
        <v>505</v>
      </c>
      <c r="B270" s="23" t="s">
        <v>504</v>
      </c>
      <c r="C270" s="58" t="s">
        <v>506</v>
      </c>
      <c r="D270" s="13" t="s">
        <v>43</v>
      </c>
      <c r="E270" s="11"/>
      <c r="F270" s="10">
        <v>0.4</v>
      </c>
      <c r="G270" s="11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</row>
    <row r="271" spans="1:65" ht="28.5" customHeight="1" x14ac:dyDescent="0.15">
      <c r="A271" s="34" t="s">
        <v>414</v>
      </c>
      <c r="B271" s="17" t="s">
        <v>24</v>
      </c>
      <c r="C271" s="56" t="s">
        <v>413</v>
      </c>
      <c r="D271" s="56" t="s">
        <v>1</v>
      </c>
      <c r="E271" s="29" t="str">
        <f>HYPERLINK("http://www.fieldbarnfarm.co.uk/","www.fieldbarnfarm.co.uk")</f>
        <v>www.fieldbarnfarm.co.uk</v>
      </c>
      <c r="F271" s="18">
        <v>0.25</v>
      </c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</row>
    <row r="272" spans="1:65" ht="28.5" customHeight="1" x14ac:dyDescent="0.15">
      <c r="A272" s="34" t="s">
        <v>128</v>
      </c>
      <c r="B272" s="8" t="s">
        <v>9</v>
      </c>
      <c r="C272" s="13" t="s">
        <v>127</v>
      </c>
      <c r="D272" s="13" t="s">
        <v>1</v>
      </c>
      <c r="E272" s="9"/>
      <c r="F272" s="10">
        <v>4.7800000000000002E-2</v>
      </c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</row>
    <row r="273" spans="1:65" ht="28.5" customHeight="1" x14ac:dyDescent="0.15">
      <c r="A273" s="35" t="s">
        <v>728</v>
      </c>
      <c r="B273" s="8" t="s">
        <v>9</v>
      </c>
      <c r="C273" s="13" t="s">
        <v>727</v>
      </c>
      <c r="D273" s="13" t="s">
        <v>1</v>
      </c>
      <c r="E273" s="9" t="str">
        <f>HYPERLINK("http://www.westfisher.co.uk/","www.westfisher.co.uk")</f>
        <v>www.westfisher.co.uk</v>
      </c>
      <c r="F273" s="10">
        <v>0.66</v>
      </c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</row>
    <row r="274" spans="1:65" ht="28.5" customHeight="1" x14ac:dyDescent="0.15">
      <c r="A274" s="78" t="s">
        <v>1133</v>
      </c>
      <c r="B274" s="11" t="s">
        <v>9</v>
      </c>
      <c r="C274" s="13" t="s">
        <v>1132</v>
      </c>
      <c r="D274" s="13" t="s">
        <v>1</v>
      </c>
      <c r="E274" s="11"/>
      <c r="F274" s="24">
        <v>1.6875</v>
      </c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</row>
    <row r="275" spans="1:65" ht="28.5" customHeight="1" x14ac:dyDescent="0.15">
      <c r="A275" s="34" t="s">
        <v>1079</v>
      </c>
      <c r="B275" s="8" t="s">
        <v>110</v>
      </c>
      <c r="C275" s="13" t="s">
        <v>1078</v>
      </c>
      <c r="D275" s="13" t="s">
        <v>1</v>
      </c>
      <c r="E275" s="9" t="str">
        <f>HYPERLINK("http://www.fleurfields.co.uk/","www.fleurfields.co.uk")</f>
        <v>www.fleurfields.co.uk</v>
      </c>
      <c r="F275" s="10">
        <v>1.5</v>
      </c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</row>
    <row r="276" spans="1:65" ht="28.5" customHeight="1" x14ac:dyDescent="0.15">
      <c r="A276" s="34" t="s">
        <v>1594</v>
      </c>
      <c r="B276" s="8" t="s">
        <v>67</v>
      </c>
      <c r="C276" s="13" t="s">
        <v>1595</v>
      </c>
      <c r="D276" s="13" t="s">
        <v>1</v>
      </c>
      <c r="E276" s="9" t="str">
        <f>HYPERLINK("http://www.flintvineyard.com/","www.flintvineyard.com")</f>
        <v>www.flintvineyard.com</v>
      </c>
      <c r="F276" s="10">
        <v>5.9</v>
      </c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</row>
    <row r="277" spans="1:65" ht="28.5" customHeight="1" x14ac:dyDescent="0.15">
      <c r="A277" s="34" t="s">
        <v>122</v>
      </c>
      <c r="B277" s="8" t="s">
        <v>16</v>
      </c>
      <c r="C277" s="13" t="s">
        <v>121</v>
      </c>
      <c r="D277" s="13" t="s">
        <v>1</v>
      </c>
      <c r="E277" s="8"/>
      <c r="F277" s="16">
        <v>3.9600000000000003E-2</v>
      </c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</row>
    <row r="278" spans="1:65" ht="28.5" customHeight="1" x14ac:dyDescent="0.15">
      <c r="A278" s="78" t="s">
        <v>485</v>
      </c>
      <c r="B278" s="11" t="s">
        <v>195</v>
      </c>
      <c r="C278" s="13" t="s">
        <v>486</v>
      </c>
      <c r="D278" s="47" t="s">
        <v>1</v>
      </c>
      <c r="E278" s="20"/>
      <c r="F278" s="10">
        <v>0.36</v>
      </c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</row>
    <row r="279" spans="1:65" ht="28.5" customHeight="1" x14ac:dyDescent="0.15">
      <c r="A279" s="34" t="s">
        <v>291</v>
      </c>
      <c r="B279" s="8" t="s">
        <v>5</v>
      </c>
      <c r="C279" s="13" t="s">
        <v>292</v>
      </c>
      <c r="D279" s="13" t="s">
        <v>1</v>
      </c>
      <c r="E279" s="9" t="s">
        <v>293</v>
      </c>
      <c r="F279" s="10">
        <v>0.13489999999999999</v>
      </c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</row>
    <row r="280" spans="1:65" ht="28.5" customHeight="1" x14ac:dyDescent="0.15">
      <c r="A280" s="34" t="s">
        <v>1427</v>
      </c>
      <c r="B280" s="8" t="s">
        <v>195</v>
      </c>
      <c r="C280" s="13" t="s">
        <v>1426</v>
      </c>
      <c r="D280" s="13" t="s">
        <v>1</v>
      </c>
      <c r="E280" s="9"/>
      <c r="F280" s="10">
        <v>3.4413</v>
      </c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</row>
    <row r="281" spans="1:65" ht="28.5" customHeight="1" x14ac:dyDescent="0.15">
      <c r="A281" s="34" t="s">
        <v>1482</v>
      </c>
      <c r="B281" s="8" t="s">
        <v>21</v>
      </c>
      <c r="C281" s="13" t="s">
        <v>1483</v>
      </c>
      <c r="D281" s="13" t="s">
        <v>1</v>
      </c>
      <c r="E281" s="9" t="str">
        <f>HYPERLINK("http://www.fortyhallvineyard.org.uk/","www.fortyhallvineyard.org.uk")</f>
        <v>www.fortyhallvineyard.org.uk</v>
      </c>
      <c r="F281" s="10">
        <v>4.04</v>
      </c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</row>
    <row r="282" spans="1:65" ht="28.5" customHeight="1" x14ac:dyDescent="0.15">
      <c r="A282" s="77" t="s">
        <v>460</v>
      </c>
      <c r="B282" s="11" t="s">
        <v>78</v>
      </c>
      <c r="C282" s="13" t="s">
        <v>461</v>
      </c>
      <c r="D282" s="56" t="s">
        <v>1</v>
      </c>
      <c r="E282" s="15" t="s">
        <v>462</v>
      </c>
      <c r="F282" s="10">
        <v>0.3</v>
      </c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</row>
    <row r="283" spans="1:65" ht="28.5" customHeight="1" x14ac:dyDescent="0.15">
      <c r="A283" s="34" t="s">
        <v>168</v>
      </c>
      <c r="B283" s="8" t="s">
        <v>110</v>
      </c>
      <c r="C283" s="13" t="s">
        <v>167</v>
      </c>
      <c r="D283" s="13" t="s">
        <v>1</v>
      </c>
      <c r="E283" s="8"/>
      <c r="F283" s="16">
        <v>8.9300000000000004E-2</v>
      </c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</row>
    <row r="284" spans="1:65" ht="28.5" customHeight="1" x14ac:dyDescent="0.15">
      <c r="A284" s="34" t="s">
        <v>232</v>
      </c>
      <c r="B284" s="8" t="s">
        <v>96</v>
      </c>
      <c r="C284" s="13" t="s">
        <v>233</v>
      </c>
      <c r="D284" s="13" t="s">
        <v>1</v>
      </c>
      <c r="E284" s="8"/>
      <c r="F284" s="10">
        <v>0.1</v>
      </c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</row>
    <row r="285" spans="1:65" ht="28.5" customHeight="1" x14ac:dyDescent="0.15">
      <c r="A285" s="34" t="s">
        <v>1048</v>
      </c>
      <c r="B285" s="17" t="s">
        <v>195</v>
      </c>
      <c r="C285" s="56" t="s">
        <v>1046</v>
      </c>
      <c r="D285" s="13" t="s">
        <v>1</v>
      </c>
      <c r="E285" s="8" t="s">
        <v>1047</v>
      </c>
      <c r="F285" s="10">
        <v>1.4</v>
      </c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</row>
    <row r="286" spans="1:65" ht="28.5" customHeight="1" x14ac:dyDescent="0.15">
      <c r="A286" s="34" t="s">
        <v>565</v>
      </c>
      <c r="B286" s="8" t="s">
        <v>61</v>
      </c>
      <c r="C286" s="47" t="s">
        <v>566</v>
      </c>
      <c r="D286" s="13" t="s">
        <v>1</v>
      </c>
      <c r="E286" s="8"/>
      <c r="F286" s="10">
        <v>0.4</v>
      </c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</row>
    <row r="287" spans="1:65" ht="28.5" customHeight="1" x14ac:dyDescent="0.15">
      <c r="A287" s="34" t="s">
        <v>1510</v>
      </c>
      <c r="B287" s="8" t="s">
        <v>9</v>
      </c>
      <c r="C287" s="13" t="s">
        <v>1509</v>
      </c>
      <c r="D287" s="13" t="s">
        <v>1</v>
      </c>
      <c r="E287" s="9" t="str">
        <f>HYPERLINK("http://www.fridaystreetfarm.co.uk/","www.fridaystreetfarm.co.uk")</f>
        <v>www.fridaystreetfarm.co.uk</v>
      </c>
      <c r="F287" s="10">
        <v>4.3499999999999996</v>
      </c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</row>
    <row r="288" spans="1:65" ht="28.5" customHeight="1" x14ac:dyDescent="0.15">
      <c r="A288" s="34" t="s">
        <v>1003</v>
      </c>
      <c r="B288" s="8" t="s">
        <v>78</v>
      </c>
      <c r="C288" s="13" t="s">
        <v>1004</v>
      </c>
      <c r="D288" s="13" t="s">
        <v>1</v>
      </c>
      <c r="E288" s="8"/>
      <c r="F288" s="10">
        <v>1.232</v>
      </c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</row>
    <row r="289" spans="1:65" ht="28.5" customHeight="1" x14ac:dyDescent="0.15">
      <c r="A289" s="34" t="s">
        <v>563</v>
      </c>
      <c r="B289" s="8" t="s">
        <v>16</v>
      </c>
      <c r="C289" s="13" t="s">
        <v>564</v>
      </c>
      <c r="D289" s="13" t="s">
        <v>1</v>
      </c>
      <c r="E289" s="9" t="str">
        <f>HYPERLINK("http://www.froginwellvineyard.co.uk/","www.froginwellvineyard.co.uk")</f>
        <v>www.froginwellvineyard.co.uk</v>
      </c>
      <c r="F289" s="10">
        <v>0.4</v>
      </c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</row>
    <row r="290" spans="1:65" ht="28.5" customHeight="1" x14ac:dyDescent="0.15">
      <c r="A290" s="34" t="s">
        <v>1076</v>
      </c>
      <c r="B290" s="8" t="s">
        <v>61</v>
      </c>
      <c r="C290" s="13" t="s">
        <v>1077</v>
      </c>
      <c r="D290" s="13" t="s">
        <v>1</v>
      </c>
      <c r="E290" s="9" t="str">
        <f>HYPERLINK("http://www.fromevalleyvineyard.co.uk/","www.fromevalleyvineyard.co.uk")</f>
        <v>www.fromevalleyvineyard.co.uk</v>
      </c>
      <c r="F290" s="10">
        <v>1.5</v>
      </c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</row>
    <row r="291" spans="1:65" ht="28.5" customHeight="1" x14ac:dyDescent="0.15">
      <c r="A291" s="34" t="s">
        <v>954</v>
      </c>
      <c r="B291" s="8" t="s">
        <v>70</v>
      </c>
      <c r="C291" s="13" t="s">
        <v>955</v>
      </c>
      <c r="D291" s="13" t="s">
        <v>1</v>
      </c>
      <c r="E291" s="9" t="str">
        <f>HYPERLINK("http://www.ownsworths.co.uk/","www.ownsworths.co.uk")</f>
        <v>www.ownsworths.co.uk</v>
      </c>
      <c r="F291" s="10">
        <v>1.1439999999999999</v>
      </c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</row>
    <row r="292" spans="1:65" ht="28.5" customHeight="1" x14ac:dyDescent="0.15">
      <c r="A292" s="34" t="s">
        <v>1574</v>
      </c>
      <c r="B292" s="8" t="s">
        <v>24</v>
      </c>
      <c r="C292" s="13" t="s">
        <v>1575</v>
      </c>
      <c r="D292" s="13" t="s">
        <v>1</v>
      </c>
      <c r="E292" s="9" t="str">
        <f>HYPERLINK("http://www.furleighestate.co.uk/","www.furleighestate.co.uk")</f>
        <v>www.furleighestate.co.uk</v>
      </c>
      <c r="F292" s="14">
        <v>5.5</v>
      </c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</row>
    <row r="293" spans="1:65" ht="28.5" customHeight="1" x14ac:dyDescent="0.15">
      <c r="A293" s="34" t="s">
        <v>231</v>
      </c>
      <c r="B293" s="8" t="s">
        <v>61</v>
      </c>
      <c r="C293" s="13" t="s">
        <v>0</v>
      </c>
      <c r="D293" s="13" t="s">
        <v>1</v>
      </c>
      <c r="E293" s="8"/>
      <c r="F293" s="19">
        <v>0.1</v>
      </c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</row>
    <row r="294" spans="1:65" ht="28.5" customHeight="1" x14ac:dyDescent="0.15">
      <c r="A294" s="78" t="s">
        <v>39</v>
      </c>
      <c r="B294" s="11" t="s">
        <v>16</v>
      </c>
      <c r="C294" s="13" t="s">
        <v>38</v>
      </c>
      <c r="D294" s="13" t="s">
        <v>1</v>
      </c>
      <c r="E294" s="11"/>
      <c r="F294" s="10">
        <v>1E-4</v>
      </c>
      <c r="G294" s="11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</row>
    <row r="295" spans="1:65" ht="28.5" customHeight="1" x14ac:dyDescent="0.15">
      <c r="A295" s="34" t="s">
        <v>230</v>
      </c>
      <c r="B295" s="8" t="s">
        <v>64</v>
      </c>
      <c r="C295" s="13" t="s">
        <v>0</v>
      </c>
      <c r="D295" s="13" t="s">
        <v>1</v>
      </c>
      <c r="E295" s="8"/>
      <c r="F295" s="19">
        <v>0.1</v>
      </c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</row>
    <row r="296" spans="1:65" ht="28.5" customHeight="1" x14ac:dyDescent="0.15">
      <c r="A296" s="78" t="s">
        <v>23</v>
      </c>
      <c r="B296" s="11" t="s">
        <v>12</v>
      </c>
      <c r="C296" s="13" t="s">
        <v>0</v>
      </c>
      <c r="D296" s="13" t="s">
        <v>1</v>
      </c>
      <c r="E296" s="11"/>
      <c r="F296" s="13" t="s">
        <v>0</v>
      </c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</row>
    <row r="297" spans="1:65" ht="28.5" customHeight="1" x14ac:dyDescent="0.15">
      <c r="A297" s="34" t="s">
        <v>1358</v>
      </c>
      <c r="B297" s="8" t="s">
        <v>30</v>
      </c>
      <c r="C297" s="13" t="s">
        <v>1356</v>
      </c>
      <c r="D297" s="13" t="s">
        <v>1</v>
      </c>
      <c r="E297" s="8" t="s">
        <v>1357</v>
      </c>
      <c r="F297" s="14">
        <v>2.83</v>
      </c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</row>
    <row r="298" spans="1:65" ht="28.5" customHeight="1" x14ac:dyDescent="0.15">
      <c r="A298" s="78" t="s">
        <v>446</v>
      </c>
      <c r="B298" s="8" t="s">
        <v>442</v>
      </c>
      <c r="C298" s="68" t="s">
        <v>447</v>
      </c>
      <c r="D298" s="13" t="s">
        <v>43</v>
      </c>
      <c r="E298" s="26"/>
      <c r="F298" s="10">
        <v>0.3</v>
      </c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</row>
    <row r="299" spans="1:65" ht="28.5" customHeight="1" x14ac:dyDescent="0.15">
      <c r="A299" s="34" t="s">
        <v>445</v>
      </c>
      <c r="B299" s="8" t="s">
        <v>443</v>
      </c>
      <c r="C299" s="13" t="s">
        <v>444</v>
      </c>
      <c r="D299" s="13" t="s">
        <v>43</v>
      </c>
      <c r="E299" s="26" t="str">
        <f>HYPERLINK("http://www.gelynisfarm.co.uk/","www.gelynisfarm.co.uk")</f>
        <v>www.gelynisfarm.co.uk</v>
      </c>
      <c r="F299" s="10">
        <v>0.3</v>
      </c>
      <c r="G299" s="11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</row>
    <row r="300" spans="1:65" ht="28.5" customHeight="1" x14ac:dyDescent="0.15">
      <c r="A300" s="34" t="s">
        <v>1522</v>
      </c>
      <c r="B300" s="8" t="s">
        <v>52</v>
      </c>
      <c r="C300" s="13" t="s">
        <v>1521</v>
      </c>
      <c r="D300" s="13" t="s">
        <v>1</v>
      </c>
      <c r="E300" s="26" t="str">
        <f>HYPERLINK("http://www.giffordshall.co.uk/","www.giffordshall.co.uk")</f>
        <v>www.giffordshall.co.uk</v>
      </c>
      <c r="F300" s="10">
        <v>4.5999999999999996</v>
      </c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</row>
    <row r="301" spans="1:65" ht="28.5" customHeight="1" x14ac:dyDescent="0.15">
      <c r="A301" s="34" t="s">
        <v>229</v>
      </c>
      <c r="B301" s="8" t="s">
        <v>19</v>
      </c>
      <c r="C301" s="13" t="s">
        <v>0</v>
      </c>
      <c r="D301" s="13" t="s">
        <v>1</v>
      </c>
      <c r="E301" s="8"/>
      <c r="F301" s="19">
        <v>0.1</v>
      </c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</row>
    <row r="302" spans="1:65" ht="28.5" customHeight="1" x14ac:dyDescent="0.15">
      <c r="A302" s="34" t="s">
        <v>1115</v>
      </c>
      <c r="B302" s="12" t="s">
        <v>442</v>
      </c>
      <c r="C302" s="13" t="s">
        <v>1116</v>
      </c>
      <c r="D302" s="13" t="s">
        <v>43</v>
      </c>
      <c r="E302" s="26" t="str">
        <f>HYPERLINK("http://www.glyndwrvineyard.co.uk/","www.glyndwrvineyard.co.uk")</f>
        <v>www.glyndwrvineyard.co.uk</v>
      </c>
      <c r="F302" s="10">
        <v>1.6488</v>
      </c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</row>
    <row r="303" spans="1:65" ht="28.5" customHeight="1" x14ac:dyDescent="0.15">
      <c r="A303" s="34" t="s">
        <v>1212</v>
      </c>
      <c r="B303" s="8" t="s">
        <v>64</v>
      </c>
      <c r="C303" s="13" t="s">
        <v>1211</v>
      </c>
      <c r="D303" s="13" t="s">
        <v>1</v>
      </c>
      <c r="E303" s="9" t="str">
        <f>HYPERLINK("http://www.godstonevineyards.com/","www.godstonevineyards.com")</f>
        <v>www.godstonevineyards.com</v>
      </c>
      <c r="F303" s="10">
        <v>2</v>
      </c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</row>
    <row r="304" spans="1:65" ht="28.5" customHeight="1" x14ac:dyDescent="0.15">
      <c r="A304" s="34" t="s">
        <v>469</v>
      </c>
      <c r="B304" s="8" t="s">
        <v>83</v>
      </c>
      <c r="C304" s="13" t="s">
        <v>470</v>
      </c>
      <c r="D304" s="13" t="s">
        <v>1</v>
      </c>
      <c r="E304" s="26" t="str">
        <f>HYPERLINK("http://www.gogmagogvineyard.co.uk/","www.gogmagogvineyard.co.uk")</f>
        <v>www.gogmagogvineyard.co.uk</v>
      </c>
      <c r="F304" s="10">
        <v>0.33</v>
      </c>
      <c r="G304" s="11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</row>
    <row r="305" spans="1:65" ht="28.5" customHeight="1" x14ac:dyDescent="0.15">
      <c r="A305" s="77" t="s">
        <v>228</v>
      </c>
      <c r="B305" s="20" t="s">
        <v>9</v>
      </c>
      <c r="C305" s="57" t="s">
        <v>0</v>
      </c>
      <c r="D305" s="56" t="s">
        <v>1</v>
      </c>
      <c r="E305" s="17"/>
      <c r="F305" s="10">
        <v>0.1</v>
      </c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</row>
    <row r="306" spans="1:65" ht="28.5" customHeight="1" x14ac:dyDescent="0.15">
      <c r="A306" s="34" t="s">
        <v>71</v>
      </c>
      <c r="B306" s="8" t="s">
        <v>70</v>
      </c>
      <c r="C306" s="13" t="s">
        <v>69</v>
      </c>
      <c r="D306" s="13" t="s">
        <v>1</v>
      </c>
      <c r="E306" s="26" t="str">
        <f>HYPERLINK("http://www.an-english-vineyard.blogspot.com/","www.an-english-vineyard.blogspot.com")</f>
        <v>www.an-english-vineyard.blogspot.com</v>
      </c>
      <c r="F306" s="10">
        <v>1.44E-2</v>
      </c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</row>
    <row r="307" spans="1:65" ht="28.5" customHeight="1" x14ac:dyDescent="0.15">
      <c r="A307" s="34" t="s">
        <v>850</v>
      </c>
      <c r="B307" s="8" t="s">
        <v>30</v>
      </c>
      <c r="C307" s="13" t="s">
        <v>851</v>
      </c>
      <c r="D307" s="13" t="s">
        <v>1</v>
      </c>
      <c r="E307" s="8"/>
      <c r="F307" s="10">
        <v>0.98740000000000006</v>
      </c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</row>
    <row r="308" spans="1:65" ht="28.5" customHeight="1" x14ac:dyDescent="0.15">
      <c r="A308" s="78" t="s">
        <v>561</v>
      </c>
      <c r="B308" s="11" t="s">
        <v>5</v>
      </c>
      <c r="C308" s="13" t="s">
        <v>562</v>
      </c>
      <c r="D308" s="13" t="s">
        <v>1</v>
      </c>
      <c r="E308" s="11"/>
      <c r="F308" s="10">
        <v>0.4</v>
      </c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</row>
    <row r="309" spans="1:65" ht="28.5" customHeight="1" x14ac:dyDescent="0.15">
      <c r="A309" s="34" t="s">
        <v>913</v>
      </c>
      <c r="B309" s="8" t="s">
        <v>9</v>
      </c>
      <c r="C309" s="13" t="s">
        <v>914</v>
      </c>
      <c r="D309" s="13" t="s">
        <v>1</v>
      </c>
      <c r="E309" s="26" t="str">
        <f>HYPERLINK("https://www.facebook.com/gorsleyvineyard/","facebook.com/gorsleyvineyard")</f>
        <v>facebook.com/gorsleyvineyard</v>
      </c>
      <c r="F309" s="10">
        <v>1</v>
      </c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</row>
    <row r="310" spans="1:65" ht="28.5" customHeight="1" x14ac:dyDescent="0.15">
      <c r="A310" s="34" t="s">
        <v>1770</v>
      </c>
      <c r="B310" s="8" t="s">
        <v>195</v>
      </c>
      <c r="C310" s="13" t="s">
        <v>1769</v>
      </c>
      <c r="D310" s="13" t="s">
        <v>1</v>
      </c>
      <c r="E310" s="12"/>
      <c r="F310" s="10">
        <v>14.85</v>
      </c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</row>
    <row r="311" spans="1:65" ht="28.5" customHeight="1" x14ac:dyDescent="0.15">
      <c r="A311" s="34" t="s">
        <v>1618</v>
      </c>
      <c r="B311" s="8" t="s">
        <v>195</v>
      </c>
      <c r="C311" s="13" t="s">
        <v>1619</v>
      </c>
      <c r="D311" s="13" t="s">
        <v>1</v>
      </c>
      <c r="E311" s="12"/>
      <c r="F311" s="10">
        <v>6.4749999999999996</v>
      </c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</row>
    <row r="312" spans="1:65" ht="28.5" customHeight="1" x14ac:dyDescent="0.15">
      <c r="A312" s="34" t="s">
        <v>559</v>
      </c>
      <c r="B312" s="8" t="s">
        <v>73</v>
      </c>
      <c r="C312" s="13" t="s">
        <v>560</v>
      </c>
      <c r="D312" s="13" t="s">
        <v>1</v>
      </c>
      <c r="E312" s="9" t="str">
        <f>HYPERLINK("https://www.facebook.com/gracedieuvineyard","facebook.com/gracedieuvineyard")</f>
        <v>facebook.com/gracedieuvineyard</v>
      </c>
      <c r="F312" s="10">
        <v>0.4</v>
      </c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</row>
    <row r="313" spans="1:65" ht="28.5" customHeight="1" x14ac:dyDescent="0.15">
      <c r="A313" s="34" t="s">
        <v>280</v>
      </c>
      <c r="B313" s="12" t="s">
        <v>32</v>
      </c>
      <c r="C313" s="47" t="s">
        <v>279</v>
      </c>
      <c r="D313" s="47" t="s">
        <v>1</v>
      </c>
      <c r="E313" s="26" t="str">
        <f>HYPERLINK("https://www.granary-hotel.co.uk","www.granary-hotel.co.uk")</f>
        <v>www.granary-hotel.co.uk</v>
      </c>
      <c r="F313" s="14">
        <v>0.12</v>
      </c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</row>
    <row r="314" spans="1:65" ht="28.5" customHeight="1" x14ac:dyDescent="0.15">
      <c r="A314" s="34" t="s">
        <v>1730</v>
      </c>
      <c r="B314" s="12" t="s">
        <v>5</v>
      </c>
      <c r="C314" s="47" t="s">
        <v>1729</v>
      </c>
      <c r="D314" s="47" t="s">
        <v>1</v>
      </c>
      <c r="E314" s="26" t="str">
        <f>HYPERLINK("https://www.thegrangewine.co.uk","www.thegrangewine.co.uk")</f>
        <v>www.thegrangewine.co.uk</v>
      </c>
      <c r="F314" s="14">
        <v>10.4</v>
      </c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</row>
    <row r="315" spans="1:65" ht="28.5" customHeight="1" x14ac:dyDescent="0.15">
      <c r="A315" s="34" t="s">
        <v>120</v>
      </c>
      <c r="B315" s="8" t="s">
        <v>30</v>
      </c>
      <c r="C315" s="13" t="s">
        <v>119</v>
      </c>
      <c r="D315" s="13" t="s">
        <v>1</v>
      </c>
      <c r="E315" s="15" t="s">
        <v>118</v>
      </c>
      <c r="F315" s="16">
        <v>3.9600000000000003E-2</v>
      </c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</row>
    <row r="316" spans="1:65" ht="28.5" customHeight="1" x14ac:dyDescent="0.15">
      <c r="A316" s="34" t="s">
        <v>912</v>
      </c>
      <c r="B316" s="8" t="s">
        <v>30</v>
      </c>
      <c r="C316" s="13" t="s">
        <v>911</v>
      </c>
      <c r="D316" s="13" t="s">
        <v>1</v>
      </c>
      <c r="E316" s="36" t="str">
        <f>HYPERLINK("https://www.facebook.com/GravelLaneVineyard/","facebook.com/GravelLaneVineyard")</f>
        <v>facebook.com/GravelLaneVineyard</v>
      </c>
      <c r="F316" s="10">
        <v>1</v>
      </c>
      <c r="G316" s="11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</row>
    <row r="317" spans="1:65" ht="28.5" customHeight="1" x14ac:dyDescent="0.15">
      <c r="A317" s="34" t="s">
        <v>394</v>
      </c>
      <c r="B317" s="8" t="s">
        <v>195</v>
      </c>
      <c r="C317" s="13" t="s">
        <v>395</v>
      </c>
      <c r="D317" s="13" t="s">
        <v>1</v>
      </c>
      <c r="E317" s="12"/>
      <c r="F317" s="10">
        <v>0.23</v>
      </c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</row>
    <row r="318" spans="1:65" ht="28.5" customHeight="1" x14ac:dyDescent="0.15">
      <c r="A318" s="80" t="s">
        <v>1397</v>
      </c>
      <c r="B318" s="11" t="s">
        <v>30</v>
      </c>
      <c r="C318" s="13" t="s">
        <v>1398</v>
      </c>
      <c r="D318" s="13" t="s">
        <v>1</v>
      </c>
      <c r="E318" s="11"/>
      <c r="F318" s="16">
        <v>3.1</v>
      </c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</row>
    <row r="319" spans="1:65" ht="28.5" customHeight="1" x14ac:dyDescent="0.15">
      <c r="A319" s="34" t="s">
        <v>467</v>
      </c>
      <c r="B319" s="12" t="s">
        <v>442</v>
      </c>
      <c r="C319" s="13" t="s">
        <v>468</v>
      </c>
      <c r="D319" s="13" t="s">
        <v>43</v>
      </c>
      <c r="E319" s="12"/>
      <c r="F319" s="10">
        <v>0.33</v>
      </c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</row>
    <row r="320" spans="1:65" ht="28.5" customHeight="1" x14ac:dyDescent="0.15">
      <c r="A320" s="34" t="s">
        <v>362</v>
      </c>
      <c r="B320" s="8" t="s">
        <v>52</v>
      </c>
      <c r="C320" s="13" t="s">
        <v>363</v>
      </c>
      <c r="D320" s="13" t="s">
        <v>1</v>
      </c>
      <c r="E320" s="12"/>
      <c r="F320" s="10">
        <v>0.2</v>
      </c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</row>
    <row r="321" spans="1:65" ht="28.5" customHeight="1" x14ac:dyDescent="0.15">
      <c r="A321" s="34" t="s">
        <v>1456</v>
      </c>
      <c r="B321" s="8" t="s">
        <v>30</v>
      </c>
      <c r="C321" s="13" t="s">
        <v>1457</v>
      </c>
      <c r="D321" s="13" t="s">
        <v>1</v>
      </c>
      <c r="E321" s="9" t="str">
        <f>HYPERLINK("http://www.newhallwines.co.uk/","www.newhallwines.co.uk")</f>
        <v>www.newhallwines.co.uk</v>
      </c>
      <c r="F321" s="37">
        <v>3.75</v>
      </c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</row>
    <row r="322" spans="1:65" ht="28.5" customHeight="1" x14ac:dyDescent="0.15">
      <c r="A322" s="34" t="s">
        <v>1829</v>
      </c>
      <c r="B322" s="8" t="s">
        <v>30</v>
      </c>
      <c r="C322" s="13" t="s">
        <v>1827</v>
      </c>
      <c r="D322" s="13" t="s">
        <v>1</v>
      </c>
      <c r="E322" s="8"/>
      <c r="F322" s="14">
        <v>31.566199999999998</v>
      </c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</row>
    <row r="323" spans="1:65" ht="28.5" customHeight="1" x14ac:dyDescent="0.15">
      <c r="A323" s="34" t="s">
        <v>806</v>
      </c>
      <c r="B323" s="8" t="s">
        <v>19</v>
      </c>
      <c r="C323" s="13" t="s">
        <v>804</v>
      </c>
      <c r="D323" s="13" t="s">
        <v>1</v>
      </c>
      <c r="E323" s="15" t="s">
        <v>805</v>
      </c>
      <c r="F323" s="14">
        <v>0.80940000000000001</v>
      </c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</row>
    <row r="324" spans="1:65" ht="28.5" customHeight="1" x14ac:dyDescent="0.15">
      <c r="A324" s="34" t="s">
        <v>1775</v>
      </c>
      <c r="B324" s="8" t="s">
        <v>64</v>
      </c>
      <c r="C324" s="13" t="s">
        <v>1776</v>
      </c>
      <c r="D324" s="13" t="s">
        <v>1</v>
      </c>
      <c r="E324" s="26" t="str">
        <f>HYPERLINK("http://www.greyfriarsvineyard.com/","www.greyfriarsvineyard.com")</f>
        <v>www.greyfriarsvineyard.com</v>
      </c>
      <c r="F324" s="10">
        <v>16.2</v>
      </c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</row>
    <row r="325" spans="1:65" ht="28.5" customHeight="1" x14ac:dyDescent="0.15">
      <c r="A325" s="34" t="s">
        <v>558</v>
      </c>
      <c r="B325" s="8" t="s">
        <v>556</v>
      </c>
      <c r="C325" s="13" t="s">
        <v>557</v>
      </c>
      <c r="D325" s="13" t="s">
        <v>1</v>
      </c>
      <c r="E325" s="9" t="str">
        <f>HYPERLINK("http://www.groveestatevineyard.co.uk","www.groveestatevineyard.co.uk")</f>
        <v>www.groveestatevineyard.co.uk</v>
      </c>
      <c r="F325" s="14">
        <v>0.4</v>
      </c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</row>
    <row r="326" spans="1:65" ht="28.5" customHeight="1" x14ac:dyDescent="0.15">
      <c r="A326" s="34" t="s">
        <v>1209</v>
      </c>
      <c r="B326" s="11" t="s">
        <v>110</v>
      </c>
      <c r="C326" s="13" t="s">
        <v>1210</v>
      </c>
      <c r="D326" s="13" t="s">
        <v>1</v>
      </c>
      <c r="E326" s="8"/>
      <c r="F326" s="10">
        <v>2</v>
      </c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</row>
    <row r="327" spans="1:65" ht="28.5" customHeight="1" x14ac:dyDescent="0.15">
      <c r="A327" s="34" t="s">
        <v>186</v>
      </c>
      <c r="B327" s="8" t="s">
        <v>185</v>
      </c>
      <c r="C327" s="13" t="s">
        <v>0</v>
      </c>
      <c r="D327" s="13" t="s">
        <v>43</v>
      </c>
      <c r="E327" s="8"/>
      <c r="F327" s="19">
        <v>0.1</v>
      </c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</row>
    <row r="328" spans="1:65" ht="28.5" customHeight="1" x14ac:dyDescent="0.15">
      <c r="A328" s="35" t="s">
        <v>359</v>
      </c>
      <c r="B328" s="8" t="s">
        <v>78</v>
      </c>
      <c r="C328" s="13" t="s">
        <v>360</v>
      </c>
      <c r="D328" s="13" t="s">
        <v>1</v>
      </c>
      <c r="E328" s="26" t="str">
        <f>HYPERLINK("http://www.guildengate.co.uk/","www.guildengate.co.uk")</f>
        <v>www.guildengate.co.uk</v>
      </c>
      <c r="F328" s="10">
        <v>0.2</v>
      </c>
      <c r="G328" s="11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</row>
    <row r="329" spans="1:65" ht="28.5" customHeight="1" x14ac:dyDescent="0.15">
      <c r="A329" s="78" t="s">
        <v>22</v>
      </c>
      <c r="B329" s="11" t="s">
        <v>21</v>
      </c>
      <c r="C329" s="13" t="s">
        <v>0</v>
      </c>
      <c r="D329" s="13" t="s">
        <v>1</v>
      </c>
      <c r="E329" s="11"/>
      <c r="F329" s="13" t="s">
        <v>0</v>
      </c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</row>
    <row r="330" spans="1:65" ht="28.5" customHeight="1" x14ac:dyDescent="0.15">
      <c r="A330" s="34" t="s">
        <v>1709</v>
      </c>
      <c r="B330" s="8" t="s">
        <v>96</v>
      </c>
      <c r="C330" s="13" t="s">
        <v>1708</v>
      </c>
      <c r="D330" s="13" t="s">
        <v>1</v>
      </c>
      <c r="E330" s="9" t="str">
        <f>HYPERLINK("http://www.gusbourne.com/","www.gusbourne.com")</f>
        <v>www.gusbourne.com</v>
      </c>
      <c r="F330" s="10">
        <v>9.3000000000000007</v>
      </c>
      <c r="G330" s="11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</row>
    <row r="331" spans="1:65" ht="28.5" customHeight="1" x14ac:dyDescent="0.15">
      <c r="A331" s="34" t="s">
        <v>1855</v>
      </c>
      <c r="B331" s="8" t="s">
        <v>9</v>
      </c>
      <c r="C331" s="13" t="s">
        <v>1460</v>
      </c>
      <c r="D331" s="13" t="s">
        <v>1</v>
      </c>
      <c r="E331" s="9" t="str">
        <f>HYPERLINK("http://www.gusbourne.com/","www.gusbourne.com")</f>
        <v>www.gusbourne.com</v>
      </c>
      <c r="F331" s="10">
        <v>60.5</v>
      </c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</row>
    <row r="332" spans="1:65" ht="28.5" customHeight="1" x14ac:dyDescent="0.15">
      <c r="A332" s="34" t="s">
        <v>1462</v>
      </c>
      <c r="B332" s="8" t="s">
        <v>96</v>
      </c>
      <c r="C332" s="13" t="s">
        <v>1461</v>
      </c>
      <c r="D332" s="13" t="s">
        <v>1</v>
      </c>
      <c r="E332" s="9" t="str">
        <f>HYPERLINK("http://www.gusbourne.com/","www.gusbourne.com")</f>
        <v>www.gusbourne.com</v>
      </c>
      <c r="F332" s="10">
        <v>3.9</v>
      </c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</row>
    <row r="333" spans="1:65" ht="28.5" customHeight="1" x14ac:dyDescent="0.15">
      <c r="A333" s="34" t="s">
        <v>1790</v>
      </c>
      <c r="B333" s="12" t="s">
        <v>96</v>
      </c>
      <c r="C333" s="47" t="s">
        <v>1708</v>
      </c>
      <c r="D333" s="13" t="s">
        <v>1</v>
      </c>
      <c r="E333" s="9" t="str">
        <f>HYPERLINK("http://www.gusbourne.com/","www.gusbourne.com")</f>
        <v>www.gusbourne.com</v>
      </c>
      <c r="F333" s="10">
        <v>19</v>
      </c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</row>
    <row r="334" spans="1:65" ht="28.5" customHeight="1" x14ac:dyDescent="0.15">
      <c r="A334" s="78" t="s">
        <v>643</v>
      </c>
      <c r="B334" s="11" t="s">
        <v>642</v>
      </c>
      <c r="C334" s="13" t="s">
        <v>641</v>
      </c>
      <c r="D334" s="13" t="s">
        <v>43</v>
      </c>
      <c r="E334" s="15" t="s">
        <v>640</v>
      </c>
      <c r="F334" s="27">
        <v>0.5</v>
      </c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</row>
    <row r="335" spans="1:65" ht="28.5" customHeight="1" x14ac:dyDescent="0.15">
      <c r="A335" s="34" t="s">
        <v>554</v>
      </c>
      <c r="B335" s="8" t="s">
        <v>2</v>
      </c>
      <c r="C335" s="13" t="s">
        <v>555</v>
      </c>
      <c r="D335" s="13" t="s">
        <v>1</v>
      </c>
      <c r="E335" s="26" t="str">
        <f>HYPERLINK("http://halevalleywine.com","halevalleywine.com")</f>
        <v>halevalleywine.com</v>
      </c>
      <c r="F335" s="10">
        <v>0.4</v>
      </c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</row>
    <row r="336" spans="1:65" ht="28.5" customHeight="1" x14ac:dyDescent="0.15">
      <c r="A336" s="34" t="s">
        <v>1728</v>
      </c>
      <c r="B336" s="8" t="s">
        <v>556</v>
      </c>
      <c r="C336" s="13" t="s">
        <v>1727</v>
      </c>
      <c r="D336" s="13" t="s">
        <v>1</v>
      </c>
      <c r="E336" s="26" t="str">
        <f>HYPERLINK("http://www.halfpennygreenvineyards.co.uk/","www.halfpennygreenvineyards.co.uk")</f>
        <v>www.halfpennygreenvineyards.co.uk</v>
      </c>
      <c r="F336" s="14">
        <v>10.36</v>
      </c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</row>
    <row r="337" spans="1:65" ht="28.5" customHeight="1" x14ac:dyDescent="0.15">
      <c r="A337" s="34" t="s">
        <v>434</v>
      </c>
      <c r="B337" s="8" t="s">
        <v>195</v>
      </c>
      <c r="C337" s="13" t="s">
        <v>433</v>
      </c>
      <c r="D337" s="13" t="s">
        <v>1</v>
      </c>
      <c r="E337" s="26"/>
      <c r="F337" s="37">
        <v>0.27300000000000002</v>
      </c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</row>
    <row r="338" spans="1:65" ht="28.5" customHeight="1" x14ac:dyDescent="0.15">
      <c r="A338" s="34" t="s">
        <v>1464</v>
      </c>
      <c r="B338" s="8" t="s">
        <v>9</v>
      </c>
      <c r="C338" s="13" t="s">
        <v>1463</v>
      </c>
      <c r="D338" s="13" t="s">
        <v>1</v>
      </c>
      <c r="E338" s="9" t="str">
        <f>HYPERLINK("https://hamstreetwines.co.uk","hamstreetwines.co.uk")</f>
        <v>hamstreetwines.co.uk</v>
      </c>
      <c r="F338" s="10">
        <v>3.9407999999999999</v>
      </c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</row>
    <row r="339" spans="1:65" ht="28.5" customHeight="1" x14ac:dyDescent="0.15">
      <c r="A339" s="34" t="s">
        <v>553</v>
      </c>
      <c r="B339" s="8" t="s">
        <v>5</v>
      </c>
      <c r="C339" s="13" t="s">
        <v>552</v>
      </c>
      <c r="D339" s="13" t="s">
        <v>1</v>
      </c>
      <c r="E339" s="8"/>
      <c r="F339" s="14">
        <v>0.4</v>
      </c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</row>
    <row r="340" spans="1:65" ht="28.5" customHeight="1" x14ac:dyDescent="0.15">
      <c r="A340" s="34" t="s">
        <v>1820</v>
      </c>
      <c r="B340" s="8" t="s">
        <v>5</v>
      </c>
      <c r="C340" s="13" t="s">
        <v>1821</v>
      </c>
      <c r="D340" s="13" t="s">
        <v>1</v>
      </c>
      <c r="E340" s="26" t="str">
        <f>HYPERLINK("http://www.hambledonvineyard.co.uk/","www.hambledonvineyard.co.uk")</f>
        <v>www.hambledonvineyard.co.uk</v>
      </c>
      <c r="F340" s="14">
        <v>28.73</v>
      </c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</row>
    <row r="341" spans="1:65" ht="28.5" customHeight="1" x14ac:dyDescent="0.15">
      <c r="A341" s="34" t="s">
        <v>1431</v>
      </c>
      <c r="B341" s="8" t="s">
        <v>5</v>
      </c>
      <c r="C341" s="13" t="s">
        <v>1430</v>
      </c>
      <c r="D341" s="13" t="s">
        <v>1</v>
      </c>
      <c r="E341" s="26" t="str">
        <f>HYPERLINK("http://www.hambledonvineyard.co.uk/","www.hambledonvineyard.co.uk")</f>
        <v>www.hambledonvineyard.co.uk</v>
      </c>
      <c r="F341" s="10">
        <v>3.48</v>
      </c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</row>
    <row r="342" spans="1:65" ht="28.5" customHeight="1" x14ac:dyDescent="0.15">
      <c r="A342" s="34" t="s">
        <v>1854</v>
      </c>
      <c r="B342" s="8" t="s">
        <v>5</v>
      </c>
      <c r="C342" s="13" t="s">
        <v>1821</v>
      </c>
      <c r="D342" s="13" t="s">
        <v>1</v>
      </c>
      <c r="E342" s="26" t="str">
        <f>HYPERLINK("http://www.hambledonvineyard.co.uk/","www.hambledonvineyard.co.uk")</f>
        <v>www.hambledonvineyard.co.uk</v>
      </c>
      <c r="F342" s="14">
        <v>58.08</v>
      </c>
      <c r="G342" s="11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</row>
    <row r="343" spans="1:65" ht="28.5" customHeight="1" x14ac:dyDescent="0.15">
      <c r="A343" s="34" t="s">
        <v>227</v>
      </c>
      <c r="B343" s="8" t="s">
        <v>32</v>
      </c>
      <c r="C343" s="13" t="s">
        <v>0</v>
      </c>
      <c r="D343" s="13" t="s">
        <v>1</v>
      </c>
      <c r="E343" s="8"/>
      <c r="F343" s="19">
        <v>0.1</v>
      </c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</row>
    <row r="344" spans="1:65" ht="28.5" customHeight="1" x14ac:dyDescent="0.15">
      <c r="A344" s="34" t="s">
        <v>471</v>
      </c>
      <c r="B344" s="8" t="s">
        <v>86</v>
      </c>
      <c r="C344" s="13" t="s">
        <v>472</v>
      </c>
      <c r="D344" s="13" t="s">
        <v>1</v>
      </c>
      <c r="E344" s="8"/>
      <c r="F344" s="10">
        <v>0.33329999999999999</v>
      </c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</row>
    <row r="345" spans="1:65" ht="28.5" customHeight="1" x14ac:dyDescent="0.15">
      <c r="A345" s="34" t="s">
        <v>1312</v>
      </c>
      <c r="B345" s="8" t="s">
        <v>180</v>
      </c>
      <c r="C345" s="13" t="s">
        <v>1313</v>
      </c>
      <c r="D345" s="13" t="s">
        <v>1</v>
      </c>
      <c r="E345" s="9" t="str">
        <f>HYPERLINK("http://www.hanwellwine.co.uk/","www.hanwellwine.co.uk")</f>
        <v>www.hanwellwine.co.uk</v>
      </c>
      <c r="F345" s="14">
        <v>2.5</v>
      </c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</row>
    <row r="346" spans="1:65" ht="28.5" customHeight="1" x14ac:dyDescent="0.15">
      <c r="A346" s="34" t="s">
        <v>974</v>
      </c>
      <c r="B346" s="8" t="s">
        <v>9</v>
      </c>
      <c r="C346" s="13" t="s">
        <v>975</v>
      </c>
      <c r="D346" s="13" t="s">
        <v>1</v>
      </c>
      <c r="E346" s="9" t="str">
        <f>HYPERLINK("http://www.harbournevineyard.co.uk/","www.harbournevineyard.co.uk")</f>
        <v>www.harbournevineyard.co.uk</v>
      </c>
      <c r="F346" s="10">
        <v>1.2</v>
      </c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</row>
    <row r="347" spans="1:65" ht="28.5" customHeight="1" x14ac:dyDescent="0.15">
      <c r="A347" s="34" t="s">
        <v>838</v>
      </c>
      <c r="B347" s="8" t="s">
        <v>32</v>
      </c>
      <c r="C347" s="13" t="s">
        <v>839</v>
      </c>
      <c r="D347" s="13" t="s">
        <v>1</v>
      </c>
      <c r="E347" s="9"/>
      <c r="F347" s="10">
        <v>0.95</v>
      </c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</row>
    <row r="348" spans="1:65" ht="28.5" customHeight="1" x14ac:dyDescent="0.15">
      <c r="A348" s="34" t="s">
        <v>1393</v>
      </c>
      <c r="B348" s="8" t="s">
        <v>9</v>
      </c>
      <c r="C348" s="13" t="s">
        <v>1394</v>
      </c>
      <c r="D348" s="13" t="s">
        <v>1</v>
      </c>
      <c r="E348" s="26"/>
      <c r="F348" s="10">
        <v>3</v>
      </c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</row>
    <row r="349" spans="1:65" ht="28.5" customHeight="1" x14ac:dyDescent="0.15">
      <c r="A349" s="34" t="s">
        <v>1007</v>
      </c>
      <c r="B349" s="8" t="s">
        <v>41</v>
      </c>
      <c r="C349" s="13" t="s">
        <v>1008</v>
      </c>
      <c r="D349" s="13" t="s">
        <v>1</v>
      </c>
      <c r="E349" s="8"/>
      <c r="F349" s="10">
        <v>1.25</v>
      </c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</row>
    <row r="350" spans="1:65" ht="28.5" customHeight="1" x14ac:dyDescent="0.15">
      <c r="A350" s="34" t="s">
        <v>1088</v>
      </c>
      <c r="B350" s="8" t="s">
        <v>96</v>
      </c>
      <c r="C350" s="13" t="s">
        <v>1089</v>
      </c>
      <c r="D350" s="13" t="s">
        <v>1</v>
      </c>
      <c r="E350" s="9"/>
      <c r="F350" s="10">
        <v>1.5660000000000001</v>
      </c>
      <c r="G350" s="11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</row>
    <row r="351" spans="1:65" ht="28.5" customHeight="1" x14ac:dyDescent="0.15">
      <c r="A351" s="34" t="s">
        <v>1604</v>
      </c>
      <c r="B351" s="8" t="s">
        <v>2</v>
      </c>
      <c r="C351" s="13" t="s">
        <v>1603</v>
      </c>
      <c r="D351" s="13" t="s">
        <v>1</v>
      </c>
      <c r="E351" s="9" t="str">
        <f>HYPERLINK("http://www.harrowandhope.com/","www.harrowandhope.com")</f>
        <v>www.harrowandhope.com</v>
      </c>
      <c r="F351" s="10">
        <v>6.2</v>
      </c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</row>
    <row r="352" spans="1:65" ht="28.5" customHeight="1" x14ac:dyDescent="0.15">
      <c r="A352" s="34" t="s">
        <v>1731</v>
      </c>
      <c r="B352" s="8" t="s">
        <v>5</v>
      </c>
      <c r="C352" s="13" t="s">
        <v>1732</v>
      </c>
      <c r="D352" s="13" t="s">
        <v>1</v>
      </c>
      <c r="E352" s="9" t="str">
        <f>HYPERLINK("http://www.hattingleyvalley.co.uk/","www.hattingleyvalley.co.uk")</f>
        <v>www.hattingleyvalley.co.uk</v>
      </c>
      <c r="F352" s="10">
        <v>10.5</v>
      </c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</row>
    <row r="353" spans="1:65" ht="28.5" customHeight="1" x14ac:dyDescent="0.15">
      <c r="A353" s="34" t="s">
        <v>1151</v>
      </c>
      <c r="B353" s="8" t="s">
        <v>67</v>
      </c>
      <c r="C353" s="13" t="s">
        <v>1152</v>
      </c>
      <c r="D353" s="13" t="s">
        <v>1</v>
      </c>
      <c r="E353" s="8"/>
      <c r="F353" s="10">
        <v>1.8</v>
      </c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</row>
    <row r="354" spans="1:65" ht="28.5" customHeight="1" x14ac:dyDescent="0.15">
      <c r="A354" s="34" t="s">
        <v>225</v>
      </c>
      <c r="B354" s="8" t="s">
        <v>21</v>
      </c>
      <c r="C354" s="13" t="s">
        <v>226</v>
      </c>
      <c r="D354" s="13" t="s">
        <v>1</v>
      </c>
      <c r="E354" s="9" t="str">
        <f>HYPERLINK("http://www.organiclea.org.uk/","www.organiclea.org.uk")</f>
        <v>www.organiclea.org.uk</v>
      </c>
      <c r="F354" s="10">
        <v>0.1</v>
      </c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</row>
    <row r="355" spans="1:65" ht="28.5" customHeight="1" x14ac:dyDescent="0.15">
      <c r="A355" s="34" t="s">
        <v>1002</v>
      </c>
      <c r="B355" s="8" t="s">
        <v>30</v>
      </c>
      <c r="C355" s="13" t="s">
        <v>1001</v>
      </c>
      <c r="D355" s="13" t="s">
        <v>1</v>
      </c>
      <c r="E355" s="9" t="str">
        <f>HYPERLINK("http://www.corylet.com/","www.corylet.com")</f>
        <v>www.corylet.com</v>
      </c>
      <c r="F355" s="10">
        <v>1.2199</v>
      </c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</row>
    <row r="356" spans="1:65" ht="28.5" customHeight="1" x14ac:dyDescent="0.15">
      <c r="A356" s="34" t="s">
        <v>1784</v>
      </c>
      <c r="B356" s="8" t="s">
        <v>9</v>
      </c>
      <c r="C356" s="13" t="s">
        <v>1655</v>
      </c>
      <c r="D356" s="56" t="s">
        <v>1</v>
      </c>
      <c r="E356" s="9" t="str">
        <f>HYPERLINK("http://www.davenportvineyards.co.uk/","www.davenportvineyards.co.uk")</f>
        <v>www.davenportvineyards.co.uk</v>
      </c>
      <c r="F356" s="10">
        <v>17.1174</v>
      </c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</row>
    <row r="357" spans="1:65" ht="28.5" customHeight="1" x14ac:dyDescent="0.15">
      <c r="A357" s="77" t="s">
        <v>431</v>
      </c>
      <c r="B357" s="20" t="s">
        <v>96</v>
      </c>
      <c r="C357" s="13" t="s">
        <v>432</v>
      </c>
      <c r="D357" s="56" t="s">
        <v>1</v>
      </c>
      <c r="E357" s="17"/>
      <c r="F357" s="10">
        <v>0.27</v>
      </c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</row>
    <row r="358" spans="1:65" ht="28.5" customHeight="1" x14ac:dyDescent="0.15">
      <c r="A358" s="34" t="s">
        <v>224</v>
      </c>
      <c r="B358" s="8" t="s">
        <v>195</v>
      </c>
      <c r="C358" s="13" t="s">
        <v>0</v>
      </c>
      <c r="D358" s="13" t="s">
        <v>1</v>
      </c>
      <c r="E358" s="8"/>
      <c r="F358" s="19">
        <v>0.1</v>
      </c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</row>
    <row r="359" spans="1:65" ht="28.5" customHeight="1" x14ac:dyDescent="0.15">
      <c r="A359" s="78" t="s">
        <v>1459</v>
      </c>
      <c r="B359" s="11" t="s">
        <v>9</v>
      </c>
      <c r="C359" s="13" t="s">
        <v>1458</v>
      </c>
      <c r="D359" s="13" t="s">
        <v>1</v>
      </c>
      <c r="E359" s="11"/>
      <c r="F359" s="27">
        <v>3.8784000000000001</v>
      </c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</row>
    <row r="360" spans="1:65" ht="28.5" customHeight="1" x14ac:dyDescent="0.15">
      <c r="A360" s="34" t="s">
        <v>1162</v>
      </c>
      <c r="B360" s="8" t="s">
        <v>504</v>
      </c>
      <c r="C360" s="13" t="s">
        <v>1164</v>
      </c>
      <c r="D360" s="13" t="s">
        <v>43</v>
      </c>
      <c r="E360" s="9" t="s">
        <v>1163</v>
      </c>
      <c r="F360" s="10">
        <v>1.82</v>
      </c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</row>
    <row r="361" spans="1:65" ht="28.5" customHeight="1" x14ac:dyDescent="0.15">
      <c r="A361" s="34" t="s">
        <v>1054</v>
      </c>
      <c r="B361" s="8" t="s">
        <v>67</v>
      </c>
      <c r="C361" s="13" t="s">
        <v>1053</v>
      </c>
      <c r="D361" s="13" t="s">
        <v>1</v>
      </c>
      <c r="E361" s="9"/>
      <c r="F361" s="10">
        <v>1.43</v>
      </c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</row>
    <row r="362" spans="1:65" ht="28.5" customHeight="1" x14ac:dyDescent="0.15">
      <c r="A362" s="34" t="s">
        <v>731</v>
      </c>
      <c r="B362" s="8" t="s">
        <v>61</v>
      </c>
      <c r="C362" s="13" t="s">
        <v>732</v>
      </c>
      <c r="D362" s="13" t="s">
        <v>1</v>
      </c>
      <c r="E362" s="9"/>
      <c r="F362" s="10">
        <v>0.68</v>
      </c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</row>
    <row r="363" spans="1:65" ht="28.5" customHeight="1" x14ac:dyDescent="0.15">
      <c r="A363" s="34" t="s">
        <v>37</v>
      </c>
      <c r="B363" s="8" t="s">
        <v>36</v>
      </c>
      <c r="C363" s="13" t="s">
        <v>35</v>
      </c>
      <c r="D363" s="13" t="s">
        <v>1</v>
      </c>
      <c r="E363" s="9" t="str">
        <f>HYPERLINK("http://www.helmsleywalledgarden.org.uk/","www.helmsleywalledgarden.org.uk")</f>
        <v>www.helmsleywalledgarden.org.uk</v>
      </c>
      <c r="F363" s="10">
        <v>1E-4</v>
      </c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</row>
    <row r="364" spans="1:65" ht="28.5" customHeight="1" x14ac:dyDescent="0.15">
      <c r="A364" s="34" t="s">
        <v>1614</v>
      </c>
      <c r="B364" s="8" t="s">
        <v>41</v>
      </c>
      <c r="C364" s="13" t="s">
        <v>1615</v>
      </c>
      <c r="D364" s="13" t="s">
        <v>1</v>
      </c>
      <c r="E364" s="9" t="str">
        <f>HYPERLINK("http://www.hencote.com/","www.hencote.com")</f>
        <v>www.hencote.com</v>
      </c>
      <c r="F364" s="10">
        <v>6.46</v>
      </c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</row>
    <row r="365" spans="1:65" ht="28.5" customHeight="1" x14ac:dyDescent="0.15">
      <c r="A365" s="34" t="s">
        <v>817</v>
      </c>
      <c r="B365" s="8" t="s">
        <v>313</v>
      </c>
      <c r="C365" s="13" t="s">
        <v>818</v>
      </c>
      <c r="D365" s="13" t="s">
        <v>1</v>
      </c>
      <c r="E365" s="9" t="s">
        <v>819</v>
      </c>
      <c r="F365" s="10">
        <v>0.81</v>
      </c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</row>
    <row r="366" spans="1:65" ht="28.5" customHeight="1" x14ac:dyDescent="0.15">
      <c r="A366" s="77" t="s">
        <v>550</v>
      </c>
      <c r="B366" s="20" t="s">
        <v>41</v>
      </c>
      <c r="C366" s="57" t="s">
        <v>551</v>
      </c>
      <c r="D366" s="56" t="s">
        <v>1</v>
      </c>
      <c r="E366" s="17"/>
      <c r="F366" s="10">
        <v>0.4</v>
      </c>
      <c r="G366" s="20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</row>
    <row r="367" spans="1:65" ht="28.5" customHeight="1" x14ac:dyDescent="0.15">
      <c r="A367" s="34" t="s">
        <v>1365</v>
      </c>
      <c r="B367" s="8" t="s">
        <v>195</v>
      </c>
      <c r="C367" s="13" t="s">
        <v>1366</v>
      </c>
      <c r="D367" s="13" t="s">
        <v>1</v>
      </c>
      <c r="E367" s="9" t="str">
        <f>HYPERLINK("http://www.hennersvineyard.co.uk/","www.hennersvineyard.co.uk")</f>
        <v>www.hennersvineyard.co.uk</v>
      </c>
      <c r="F367" s="10">
        <v>2.88</v>
      </c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</row>
    <row r="368" spans="1:65" ht="28.5" customHeight="1" x14ac:dyDescent="0.15">
      <c r="A368" s="34" t="s">
        <v>1872</v>
      </c>
      <c r="B368" s="8" t="s">
        <v>139</v>
      </c>
      <c r="C368" s="13" t="s">
        <v>1871</v>
      </c>
      <c r="D368" s="56" t="s">
        <v>137</v>
      </c>
      <c r="E368" s="8"/>
      <c r="F368" s="16" t="s">
        <v>0</v>
      </c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</row>
    <row r="369" spans="1:65" ht="28.5" customHeight="1" x14ac:dyDescent="0.15">
      <c r="A369" s="34" t="s">
        <v>1868</v>
      </c>
      <c r="B369" s="12" t="s">
        <v>245</v>
      </c>
      <c r="C369" s="13" t="s">
        <v>1867</v>
      </c>
      <c r="D369" s="13" t="s">
        <v>1</v>
      </c>
      <c r="E369" s="9"/>
      <c r="F369" s="16" t="s">
        <v>0</v>
      </c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</row>
    <row r="370" spans="1:65" ht="28.5" customHeight="1" x14ac:dyDescent="0.15">
      <c r="A370" s="34" t="s">
        <v>1607</v>
      </c>
      <c r="B370" s="8" t="s">
        <v>9</v>
      </c>
      <c r="C370" s="13" t="s">
        <v>1608</v>
      </c>
      <c r="D370" s="13" t="s">
        <v>1</v>
      </c>
      <c r="E370" s="9" t="str">
        <f>HYPERLINK("www.heppingtonvineyard.co.uk","www.heppingtonvineyard.co.uk")</f>
        <v>www.heppingtonvineyard.co.uk</v>
      </c>
      <c r="F370" s="10">
        <v>6.25</v>
      </c>
      <c r="G370" s="13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</row>
    <row r="371" spans="1:65" ht="28.5" customHeight="1" x14ac:dyDescent="0.15">
      <c r="A371" s="34" t="s">
        <v>674</v>
      </c>
      <c r="B371" s="12" t="s">
        <v>673</v>
      </c>
      <c r="C371" s="47" t="s">
        <v>675</v>
      </c>
      <c r="D371" s="47" t="s">
        <v>1</v>
      </c>
      <c r="E371" s="8"/>
      <c r="F371" s="14">
        <v>0.5625</v>
      </c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</row>
    <row r="372" spans="1:65" ht="28.5" customHeight="1" x14ac:dyDescent="0.15">
      <c r="A372" s="34" t="s">
        <v>1075</v>
      </c>
      <c r="B372" s="8" t="s">
        <v>16</v>
      </c>
      <c r="C372" s="13" t="s">
        <v>1074</v>
      </c>
      <c r="D372" s="13" t="s">
        <v>1</v>
      </c>
      <c r="E372" s="9" t="s">
        <v>1073</v>
      </c>
      <c r="F372" s="10">
        <v>1.5</v>
      </c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</row>
    <row r="373" spans="1:65" ht="28.5" customHeight="1" x14ac:dyDescent="0.15">
      <c r="A373" s="34" t="s">
        <v>459</v>
      </c>
      <c r="B373" s="8" t="s">
        <v>78</v>
      </c>
      <c r="C373" s="13" t="s">
        <v>458</v>
      </c>
      <c r="D373" s="13" t="s">
        <v>1</v>
      </c>
      <c r="E373" s="9"/>
      <c r="F373" s="10">
        <v>0.3</v>
      </c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</row>
    <row r="374" spans="1:65" ht="28.5" customHeight="1" x14ac:dyDescent="0.15">
      <c r="A374" s="76" t="s">
        <v>1576</v>
      </c>
      <c r="B374" s="12" t="s">
        <v>195</v>
      </c>
      <c r="C374" s="47" t="s">
        <v>1577</v>
      </c>
      <c r="D374" s="47" t="s">
        <v>1</v>
      </c>
      <c r="E374" s="26" t="str">
        <f>HYPERLINK("http://www.hiddenspring.co.uk/","www.hiddenspring.co.uk")</f>
        <v>www.hiddenspring.co.uk</v>
      </c>
      <c r="F374" s="14">
        <v>5.53</v>
      </c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</row>
    <row r="375" spans="1:65" ht="28.5" customHeight="1" x14ac:dyDescent="0.15">
      <c r="A375" s="34" t="s">
        <v>87</v>
      </c>
      <c r="B375" s="8" t="s">
        <v>86</v>
      </c>
      <c r="C375" s="13" t="s">
        <v>85</v>
      </c>
      <c r="D375" s="13" t="s">
        <v>1</v>
      </c>
      <c r="E375" s="9"/>
      <c r="F375" s="10">
        <v>0.02</v>
      </c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</row>
    <row r="376" spans="1:65" ht="28.5" customHeight="1" x14ac:dyDescent="0.15">
      <c r="A376" s="34" t="s">
        <v>548</v>
      </c>
      <c r="B376" s="8" t="s">
        <v>64</v>
      </c>
      <c r="C376" s="13" t="s">
        <v>549</v>
      </c>
      <c r="D376" s="13" t="s">
        <v>1</v>
      </c>
      <c r="E376" s="9" t="str">
        <f>HYPERLINK("http://www.highclandon.co.uk/","www.highclandon.co.uk")</f>
        <v>www.highclandon.co.uk</v>
      </c>
      <c r="F376" s="10">
        <v>0.4</v>
      </c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</row>
    <row r="377" spans="1:65" ht="28.5" customHeight="1" x14ac:dyDescent="0.15">
      <c r="A377" s="34" t="s">
        <v>74</v>
      </c>
      <c r="B377" s="8" t="s">
        <v>73</v>
      </c>
      <c r="C377" s="57" t="s">
        <v>72</v>
      </c>
      <c r="D377" s="13" t="s">
        <v>1</v>
      </c>
      <c r="E377" s="26"/>
      <c r="F377" s="10">
        <v>1.4999999999999999E-2</v>
      </c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</row>
    <row r="378" spans="1:65" ht="28.5" customHeight="1" x14ac:dyDescent="0.15">
      <c r="A378" s="34" t="s">
        <v>223</v>
      </c>
      <c r="B378" s="8" t="s">
        <v>67</v>
      </c>
      <c r="C378" s="13" t="s">
        <v>0</v>
      </c>
      <c r="D378" s="13" t="s">
        <v>1</v>
      </c>
      <c r="E378" s="8"/>
      <c r="F378" s="19">
        <v>0.1</v>
      </c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</row>
    <row r="379" spans="1:65" ht="28.5" customHeight="1" x14ac:dyDescent="0.15">
      <c r="A379" s="34" t="s">
        <v>1310</v>
      </c>
      <c r="B379" s="8" t="s">
        <v>96</v>
      </c>
      <c r="C379" s="13" t="s">
        <v>1311</v>
      </c>
      <c r="D379" s="63" t="s">
        <v>1</v>
      </c>
      <c r="E379" s="26" t="str">
        <f>HYPERLINK("http://www.highdown-vineyard.co.uk/","www.highdown-vineyard.co.uk")</f>
        <v>www.highdown-vineyard.co.uk</v>
      </c>
      <c r="F379" s="10">
        <v>2.5</v>
      </c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</row>
    <row r="380" spans="1:65" ht="28.5" customHeight="1" x14ac:dyDescent="0.15">
      <c r="A380" s="34" t="s">
        <v>825</v>
      </c>
      <c r="B380" s="8" t="s">
        <v>16</v>
      </c>
      <c r="C380" s="13" t="s">
        <v>824</v>
      </c>
      <c r="D380" s="13" t="s">
        <v>1</v>
      </c>
      <c r="E380" s="9" t="str">
        <f>HYPERLINK("http://www.bumsley.co.uk/","www.bumsley.co.uk")</f>
        <v>www.bumsley.co.uk</v>
      </c>
      <c r="F380" s="10">
        <v>0.83</v>
      </c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</row>
    <row r="381" spans="1:65" ht="28.5" customHeight="1" x14ac:dyDescent="0.15">
      <c r="A381" s="34" t="s">
        <v>938</v>
      </c>
      <c r="B381" s="8" t="s">
        <v>19</v>
      </c>
      <c r="C381" s="13" t="s">
        <v>937</v>
      </c>
      <c r="D381" s="13" t="s">
        <v>1</v>
      </c>
      <c r="E381" s="9" t="str">
        <f>HYPERLINK("http://www.smithandevans.co.uk/","www.smithandevans.co.uk")</f>
        <v>www.smithandevans.co.uk</v>
      </c>
      <c r="F381" s="10">
        <v>1.05</v>
      </c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</row>
    <row r="382" spans="1:65" ht="28.5" customHeight="1" x14ac:dyDescent="0.15">
      <c r="A382" s="34" t="s">
        <v>358</v>
      </c>
      <c r="B382" s="8" t="s">
        <v>24</v>
      </c>
      <c r="C382" s="13" t="s">
        <v>357</v>
      </c>
      <c r="D382" s="13" t="s">
        <v>1</v>
      </c>
      <c r="E382" s="8"/>
      <c r="F382" s="10">
        <v>0.2</v>
      </c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</row>
    <row r="383" spans="1:65" ht="28.5" customHeight="1" x14ac:dyDescent="0.15">
      <c r="A383" s="78" t="s">
        <v>1895</v>
      </c>
      <c r="B383" s="11" t="s">
        <v>9</v>
      </c>
      <c r="C383" s="13" t="s">
        <v>0</v>
      </c>
      <c r="D383" s="13" t="s">
        <v>1</v>
      </c>
      <c r="E383" s="11"/>
      <c r="F383" s="24">
        <v>3</v>
      </c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</row>
    <row r="384" spans="1:65" ht="28.5" customHeight="1" x14ac:dyDescent="0.15">
      <c r="A384" s="34" t="s">
        <v>178</v>
      </c>
      <c r="B384" s="8" t="s">
        <v>52</v>
      </c>
      <c r="C384" s="13" t="s">
        <v>177</v>
      </c>
      <c r="D384" s="13" t="s">
        <v>1</v>
      </c>
      <c r="E384" s="8"/>
      <c r="F384" s="10">
        <v>0.09</v>
      </c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</row>
    <row r="385" spans="1:65" ht="28.5" customHeight="1" x14ac:dyDescent="0.15">
      <c r="A385" s="34" t="s">
        <v>1044</v>
      </c>
      <c r="B385" s="8" t="s">
        <v>9</v>
      </c>
      <c r="C385" s="13" t="s">
        <v>1045</v>
      </c>
      <c r="D385" s="13" t="s">
        <v>1</v>
      </c>
      <c r="E385" s="9" t="str">
        <f>HYPERLINK("https://hildenvineyard.co.uk","hildenvineyard.co.uk")</f>
        <v>hildenvineyard.co.uk</v>
      </c>
      <c r="F385" s="10">
        <v>1.4</v>
      </c>
      <c r="G385" s="20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</row>
    <row r="386" spans="1:65" ht="28.5" customHeight="1" x14ac:dyDescent="0.15">
      <c r="A386" s="82" t="s">
        <v>1560</v>
      </c>
      <c r="B386" s="11" t="s">
        <v>52</v>
      </c>
      <c r="C386" s="13" t="s">
        <v>1559</v>
      </c>
      <c r="D386" s="13" t="s">
        <v>1</v>
      </c>
      <c r="E386" s="11"/>
      <c r="F386" s="24">
        <v>5.3164999999999996</v>
      </c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</row>
    <row r="387" spans="1:65" ht="28.5" customHeight="1" x14ac:dyDescent="0.15">
      <c r="A387" s="34" t="s">
        <v>718</v>
      </c>
      <c r="B387" s="8" t="s">
        <v>67</v>
      </c>
      <c r="C387" s="13" t="s">
        <v>717</v>
      </c>
      <c r="D387" s="13" t="s">
        <v>1</v>
      </c>
      <c r="E387" s="8"/>
      <c r="F387" s="16">
        <v>0.64800000000000002</v>
      </c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</row>
    <row r="388" spans="1:65" ht="28.5" customHeight="1" x14ac:dyDescent="0.15">
      <c r="A388" s="34" t="s">
        <v>402</v>
      </c>
      <c r="B388" s="8" t="s">
        <v>5</v>
      </c>
      <c r="C388" s="13" t="s">
        <v>401</v>
      </c>
      <c r="D388" s="13" t="s">
        <v>400</v>
      </c>
      <c r="E388" s="8"/>
      <c r="F388" s="37">
        <v>0.24</v>
      </c>
      <c r="G388" s="11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</row>
    <row r="389" spans="1:65" ht="28.5" customHeight="1" x14ac:dyDescent="0.15">
      <c r="A389" s="34" t="s">
        <v>222</v>
      </c>
      <c r="B389" s="8" t="s">
        <v>21</v>
      </c>
      <c r="C389" s="13" t="s">
        <v>221</v>
      </c>
      <c r="D389" s="13" t="s">
        <v>1</v>
      </c>
      <c r="E389" s="8"/>
      <c r="F389" s="10">
        <v>0.1</v>
      </c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</row>
    <row r="390" spans="1:65" ht="28.5" customHeight="1" x14ac:dyDescent="0.15">
      <c r="A390" s="34" t="s">
        <v>220</v>
      </c>
      <c r="B390" s="8" t="s">
        <v>24</v>
      </c>
      <c r="C390" s="13" t="s">
        <v>0</v>
      </c>
      <c r="D390" s="13" t="s">
        <v>1</v>
      </c>
      <c r="E390" s="8"/>
      <c r="F390" s="19">
        <v>0.1</v>
      </c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</row>
    <row r="391" spans="1:65" ht="28.5" customHeight="1" x14ac:dyDescent="0.15">
      <c r="A391" s="34" t="s">
        <v>165</v>
      </c>
      <c r="B391" s="8" t="s">
        <v>41</v>
      </c>
      <c r="C391" s="13" t="s">
        <v>166</v>
      </c>
      <c r="D391" s="13" t="s">
        <v>1</v>
      </c>
      <c r="E391" s="9"/>
      <c r="F391" s="10">
        <v>8.7999999999999995E-2</v>
      </c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</row>
    <row r="392" spans="1:65" ht="28.5" customHeight="1" x14ac:dyDescent="0.15">
      <c r="A392" s="34" t="s">
        <v>1085</v>
      </c>
      <c r="B392" s="8" t="s">
        <v>32</v>
      </c>
      <c r="C392" s="13" t="s">
        <v>943</v>
      </c>
      <c r="D392" s="13" t="s">
        <v>1</v>
      </c>
      <c r="E392" s="8"/>
      <c r="F392" s="10">
        <v>1.536</v>
      </c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</row>
    <row r="393" spans="1:65" ht="28.5" customHeight="1" x14ac:dyDescent="0.15">
      <c r="A393" s="34" t="s">
        <v>219</v>
      </c>
      <c r="B393" s="8" t="s">
        <v>30</v>
      </c>
      <c r="C393" s="13" t="s">
        <v>0</v>
      </c>
      <c r="D393" s="13" t="s">
        <v>1</v>
      </c>
      <c r="E393" s="8"/>
      <c r="F393" s="19">
        <v>0.1</v>
      </c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</row>
    <row r="394" spans="1:65" ht="28.5" customHeight="1" x14ac:dyDescent="0.15">
      <c r="A394" s="34" t="s">
        <v>218</v>
      </c>
      <c r="B394" s="8" t="s">
        <v>205</v>
      </c>
      <c r="C394" s="13" t="s">
        <v>217</v>
      </c>
      <c r="D394" s="13" t="s">
        <v>1</v>
      </c>
      <c r="E394" s="9" t="str">
        <f>HYPERLINK("http://www.theholfordarms.co.uk/","www.theholfordarms.co.uk")</f>
        <v>www.theholfordarms.co.uk</v>
      </c>
      <c r="F394" s="10">
        <v>0.1</v>
      </c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</row>
    <row r="395" spans="1:65" ht="28.5" customHeight="1" x14ac:dyDescent="0.15">
      <c r="A395" s="34" t="s">
        <v>1149</v>
      </c>
      <c r="B395" s="8" t="s">
        <v>195</v>
      </c>
      <c r="C395" s="13" t="s">
        <v>1150</v>
      </c>
      <c r="D395" s="13" t="s">
        <v>1</v>
      </c>
      <c r="E395" s="9"/>
      <c r="F395" s="10">
        <v>1.8</v>
      </c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</row>
    <row r="396" spans="1:65" ht="27" customHeight="1" x14ac:dyDescent="0.15">
      <c r="A396" s="34" t="s">
        <v>1175</v>
      </c>
      <c r="B396" s="8" t="s">
        <v>1174</v>
      </c>
      <c r="C396" s="13" t="s">
        <v>1176</v>
      </c>
      <c r="D396" s="13" t="s">
        <v>1</v>
      </c>
      <c r="E396" s="9" t="str">
        <f>HYPERLINK("http://www.holmfirthvineyard.com/","www.holmfirthvineyard.com")</f>
        <v>www.holmfirthvineyard.com</v>
      </c>
      <c r="F396" s="10">
        <v>1.9319999999999999</v>
      </c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</row>
    <row r="397" spans="1:65" ht="28.5" customHeight="1" x14ac:dyDescent="0.15">
      <c r="A397" s="34" t="s">
        <v>693</v>
      </c>
      <c r="B397" s="17" t="s">
        <v>691</v>
      </c>
      <c r="C397" s="56" t="s">
        <v>692</v>
      </c>
      <c r="D397" s="56" t="s">
        <v>1</v>
      </c>
      <c r="E397" s="9" t="str">
        <f>HYPERLINK("http://www.star-castle.co.uk/","www.star-castle.co.uk")</f>
        <v>www.star-castle.co.uk</v>
      </c>
      <c r="F397" s="18">
        <v>0.6</v>
      </c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</row>
    <row r="398" spans="1:65" ht="28.5" customHeight="1" x14ac:dyDescent="0.15">
      <c r="A398" s="34" t="s">
        <v>475</v>
      </c>
      <c r="B398" s="8" t="s">
        <v>70</v>
      </c>
      <c r="C398" s="13" t="s">
        <v>476</v>
      </c>
      <c r="D398" s="13" t="s">
        <v>1</v>
      </c>
      <c r="E398" s="9"/>
      <c r="F398" s="18">
        <v>0.34</v>
      </c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</row>
    <row r="399" spans="1:65" ht="28.5" customHeight="1" x14ac:dyDescent="0.15">
      <c r="A399" s="78" t="s">
        <v>1127</v>
      </c>
      <c r="B399" s="11" t="s">
        <v>9</v>
      </c>
      <c r="C399" s="13" t="s">
        <v>1128</v>
      </c>
      <c r="D399" s="47" t="s">
        <v>1</v>
      </c>
      <c r="E399" s="36" t="s">
        <v>1129</v>
      </c>
      <c r="F399" s="10">
        <v>1.65</v>
      </c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</row>
    <row r="400" spans="1:65" ht="28.5" customHeight="1" x14ac:dyDescent="0.15">
      <c r="A400" s="34" t="s">
        <v>909</v>
      </c>
      <c r="B400" s="17" t="s">
        <v>16</v>
      </c>
      <c r="C400" s="56" t="s">
        <v>910</v>
      </c>
      <c r="D400" s="56" t="s">
        <v>1</v>
      </c>
      <c r="E400" s="29" t="str">
        <f>HYPERLINK("http://www.hooperhayne.com/","www.hooperhayne.com")</f>
        <v>www.hooperhayne.com</v>
      </c>
      <c r="F400" s="18">
        <v>1</v>
      </c>
      <c r="G400" s="11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</row>
    <row r="401" spans="1:65" ht="28.5" customHeight="1" x14ac:dyDescent="0.15">
      <c r="A401" s="34" t="s">
        <v>62</v>
      </c>
      <c r="B401" s="39" t="s">
        <v>61</v>
      </c>
      <c r="C401" s="69" t="s">
        <v>60</v>
      </c>
      <c r="D401" s="69" t="s">
        <v>1</v>
      </c>
      <c r="E401" s="29" t="str">
        <f>HYPERLINK("http://www.hopkilnsvineyard.co.uk/","www.hopkilnsvineyard.co.uk")</f>
        <v>www.hopkilnsvineyard.co.uk</v>
      </c>
      <c r="F401" s="18">
        <v>0.01</v>
      </c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</row>
    <row r="402" spans="1:65" ht="28.5" customHeight="1" x14ac:dyDescent="0.15">
      <c r="A402" s="34" t="s">
        <v>688</v>
      </c>
      <c r="B402" s="17" t="s">
        <v>130</v>
      </c>
      <c r="C402" s="56" t="s">
        <v>689</v>
      </c>
      <c r="D402" s="56" t="s">
        <v>1</v>
      </c>
      <c r="E402" s="15" t="s">
        <v>690</v>
      </c>
      <c r="F402" s="18">
        <v>0.6</v>
      </c>
      <c r="G402" s="11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</row>
    <row r="403" spans="1:65" ht="28.5" customHeight="1" x14ac:dyDescent="0.15">
      <c r="A403" s="76" t="s">
        <v>1444</v>
      </c>
      <c r="B403" s="12" t="s">
        <v>24</v>
      </c>
      <c r="C403" s="47" t="s">
        <v>1445</v>
      </c>
      <c r="D403" s="13" t="s">
        <v>1</v>
      </c>
      <c r="E403" s="20"/>
      <c r="F403" s="40">
        <v>3.63</v>
      </c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</row>
    <row r="404" spans="1:65" ht="28.5" customHeight="1" x14ac:dyDescent="0.15">
      <c r="A404" s="82" t="s">
        <v>79</v>
      </c>
      <c r="B404" s="11" t="s">
        <v>78</v>
      </c>
      <c r="C404" s="13" t="s">
        <v>77</v>
      </c>
      <c r="D404" s="13" t="s">
        <v>1</v>
      </c>
      <c r="E404" s="11"/>
      <c r="F404" s="27">
        <v>1.6199999999999999E-2</v>
      </c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</row>
    <row r="405" spans="1:65" ht="28.5" customHeight="1" x14ac:dyDescent="0.15">
      <c r="A405" s="34" t="s">
        <v>1355</v>
      </c>
      <c r="B405" s="8" t="s">
        <v>67</v>
      </c>
      <c r="C405" s="13" t="s">
        <v>1354</v>
      </c>
      <c r="D405" s="13" t="s">
        <v>1</v>
      </c>
      <c r="E405" s="9" t="str">
        <f>HYPERLINK("http://www.humbleyardenglishwine.co.uk/","www.humbleyardenglishwine.co.uk")</f>
        <v>www.humbleyardenglishwine.co.uk</v>
      </c>
      <c r="F405" s="10">
        <v>2.83</v>
      </c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</row>
    <row r="406" spans="1:65" ht="28.5" customHeight="1" x14ac:dyDescent="0.15">
      <c r="A406" s="34" t="s">
        <v>1779</v>
      </c>
      <c r="B406" s="8" t="s">
        <v>313</v>
      </c>
      <c r="C406" s="13" t="s">
        <v>1781</v>
      </c>
      <c r="D406" s="13" t="s">
        <v>1</v>
      </c>
      <c r="E406" s="9" t="s">
        <v>1780</v>
      </c>
      <c r="F406" s="14">
        <v>16.8</v>
      </c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</row>
    <row r="407" spans="1:65" ht="28.5" customHeight="1" x14ac:dyDescent="0.15">
      <c r="A407" s="78" t="s">
        <v>1351</v>
      </c>
      <c r="B407" s="11" t="s">
        <v>245</v>
      </c>
      <c r="C407" s="13" t="s">
        <v>1350</v>
      </c>
      <c r="D407" s="13" t="s">
        <v>1</v>
      </c>
      <c r="E407" s="11"/>
      <c r="F407" s="27">
        <v>2.8169</v>
      </c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</row>
    <row r="408" spans="1:65" ht="28.5" customHeight="1" x14ac:dyDescent="0.15">
      <c r="A408" s="34" t="s">
        <v>1506</v>
      </c>
      <c r="B408" s="8" t="s">
        <v>234</v>
      </c>
      <c r="C408" s="13" t="s">
        <v>1041</v>
      </c>
      <c r="D408" s="13" t="s">
        <v>1</v>
      </c>
      <c r="E408" s="9" t="str">
        <f>HYPERLINK("https://www.facebook.com/pg/HuntHallVineyard/community/?mt_nav=0&amp;msite_tab_async=0","facebook.com/pg/HuntHallVineyard")</f>
        <v>facebook.com/pg/HuntHallVineyard</v>
      </c>
      <c r="F408" s="10">
        <v>4.3</v>
      </c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</row>
    <row r="409" spans="1:65" ht="28.5" customHeight="1" x14ac:dyDescent="0.15">
      <c r="A409" s="34" t="s">
        <v>1801</v>
      </c>
      <c r="B409" s="8" t="s">
        <v>9</v>
      </c>
      <c r="C409" s="13" t="s">
        <v>1802</v>
      </c>
      <c r="D409" s="13" t="s">
        <v>1</v>
      </c>
      <c r="E409" s="9" t="str">
        <f>HYPERLINK("http://www.hushheath.com/","www.hushheath.com")</f>
        <v>www.hushheath.com</v>
      </c>
      <c r="F409" s="10">
        <v>22.2942</v>
      </c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</row>
    <row r="410" spans="1:65" ht="28.5" customHeight="1" x14ac:dyDescent="0.15">
      <c r="A410" s="34" t="s">
        <v>1477</v>
      </c>
      <c r="B410" s="8" t="s">
        <v>16</v>
      </c>
      <c r="C410" s="13" t="s">
        <v>1478</v>
      </c>
      <c r="D410" s="13" t="s">
        <v>1</v>
      </c>
      <c r="E410" s="9" t="str">
        <f>HYPERLINK("http://www.huxbear.com/","www.huxbear.com")</f>
        <v>www.huxbear.com</v>
      </c>
      <c r="F410" s="10">
        <v>4</v>
      </c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</row>
    <row r="411" spans="1:65" ht="28.5" customHeight="1" x14ac:dyDescent="0.15">
      <c r="A411" s="78" t="s">
        <v>771</v>
      </c>
      <c r="B411" s="11" t="s">
        <v>195</v>
      </c>
      <c r="C411" s="13" t="s">
        <v>772</v>
      </c>
      <c r="D411" s="47" t="s">
        <v>1</v>
      </c>
      <c r="E411" s="20"/>
      <c r="F411" s="10">
        <v>0.79</v>
      </c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</row>
    <row r="412" spans="1:65" ht="28.5" customHeight="1" x14ac:dyDescent="0.15">
      <c r="A412" s="34" t="s">
        <v>356</v>
      </c>
      <c r="B412" s="17" t="s">
        <v>30</v>
      </c>
      <c r="C412" s="56" t="s">
        <v>355</v>
      </c>
      <c r="D412" s="56" t="s">
        <v>1</v>
      </c>
      <c r="E412" s="17"/>
      <c r="F412" s="18">
        <v>0.2</v>
      </c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</row>
    <row r="413" spans="1:65" ht="28.5" customHeight="1" x14ac:dyDescent="0.15">
      <c r="A413" s="34" t="s">
        <v>158</v>
      </c>
      <c r="B413" s="8" t="s">
        <v>157</v>
      </c>
      <c r="C413" s="13" t="s">
        <v>156</v>
      </c>
      <c r="D413" s="56" t="s">
        <v>156</v>
      </c>
      <c r="E413" s="9" t="str">
        <f>HYPERLINK("http://irishgrapevines.ie","irishgrapevines.ie")</f>
        <v>irishgrapevines.ie</v>
      </c>
      <c r="F413" s="10">
        <v>0.08</v>
      </c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</row>
    <row r="414" spans="1:65" ht="28.5" customHeight="1" x14ac:dyDescent="0.15">
      <c r="A414" s="34" t="s">
        <v>815</v>
      </c>
      <c r="B414" s="8" t="s">
        <v>64</v>
      </c>
      <c r="C414" s="13" t="s">
        <v>816</v>
      </c>
      <c r="D414" s="13" t="s">
        <v>1</v>
      </c>
      <c r="E414" s="9"/>
      <c r="F414" s="10">
        <v>0.81</v>
      </c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</row>
    <row r="415" spans="1:65" ht="28.5" customHeight="1" x14ac:dyDescent="0.15">
      <c r="A415" s="34" t="s">
        <v>857</v>
      </c>
      <c r="B415" s="8" t="s">
        <v>504</v>
      </c>
      <c r="C415" s="13" t="s">
        <v>858</v>
      </c>
      <c r="D415" s="13" t="s">
        <v>43</v>
      </c>
      <c r="E415" s="9" t="str">
        <f>HYPERLINK("http://www.jabajak.co.uk/","www.jabajak.co.uk")</f>
        <v>www.jabajak.co.uk</v>
      </c>
      <c r="F415" s="10">
        <v>1</v>
      </c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</row>
    <row r="416" spans="1:65" ht="28.5" customHeight="1" x14ac:dyDescent="0.15">
      <c r="A416" s="34" t="s">
        <v>160</v>
      </c>
      <c r="B416" s="8" t="s">
        <v>30</v>
      </c>
      <c r="C416" s="13" t="s">
        <v>159</v>
      </c>
      <c r="D416" s="13" t="s">
        <v>1</v>
      </c>
      <c r="E416" s="9"/>
      <c r="F416" s="10">
        <v>0.08</v>
      </c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</row>
    <row r="417" spans="1:65" ht="28.5" customHeight="1" x14ac:dyDescent="0.15">
      <c r="A417" s="34" t="s">
        <v>638</v>
      </c>
      <c r="B417" s="8" t="s">
        <v>5</v>
      </c>
      <c r="C417" s="13" t="s">
        <v>639</v>
      </c>
      <c r="D417" s="13" t="s">
        <v>1</v>
      </c>
      <c r="E417" s="8"/>
      <c r="F417" s="10">
        <v>0.5</v>
      </c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</row>
    <row r="418" spans="1:65" ht="28.5" customHeight="1" x14ac:dyDescent="0.15">
      <c r="A418" s="34" t="s">
        <v>76</v>
      </c>
      <c r="B418" s="8" t="s">
        <v>73</v>
      </c>
      <c r="C418" s="13" t="s">
        <v>75</v>
      </c>
      <c r="D418" s="13" t="s">
        <v>1</v>
      </c>
      <c r="E418" s="9"/>
      <c r="F418" s="10">
        <v>1.5299999999999999E-2</v>
      </c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</row>
    <row r="419" spans="1:65" ht="28.5" customHeight="1" x14ac:dyDescent="0.15">
      <c r="A419" s="34" t="s">
        <v>1584</v>
      </c>
      <c r="B419" s="8" t="s">
        <v>5</v>
      </c>
      <c r="C419" s="13" t="s">
        <v>1585</v>
      </c>
      <c r="D419" s="13" t="s">
        <v>1</v>
      </c>
      <c r="E419" s="9" t="str">
        <f>HYPERLINK("http://www.jenkynplace.com/","www.jenkynplace.com")</f>
        <v>www.jenkynplace.com</v>
      </c>
      <c r="F419" s="10">
        <v>5.7</v>
      </c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</row>
    <row r="420" spans="1:65" ht="28.5" customHeight="1" x14ac:dyDescent="0.15">
      <c r="A420" s="78" t="s">
        <v>1262</v>
      </c>
      <c r="B420" s="11" t="s">
        <v>313</v>
      </c>
      <c r="C420" s="13" t="s">
        <v>1261</v>
      </c>
      <c r="D420" s="13" t="s">
        <v>1</v>
      </c>
      <c r="E420" s="15" t="s">
        <v>1260</v>
      </c>
      <c r="F420" s="27">
        <v>2.2000000000000002</v>
      </c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</row>
    <row r="421" spans="1:65" ht="28.5" customHeight="1" x14ac:dyDescent="0.15">
      <c r="A421" s="78" t="s">
        <v>1484</v>
      </c>
      <c r="B421" s="11" t="s">
        <v>16</v>
      </c>
      <c r="C421" s="13" t="s">
        <v>1485</v>
      </c>
      <c r="D421" s="13" t="s">
        <v>1</v>
      </c>
      <c r="E421" s="15" t="s">
        <v>1486</v>
      </c>
      <c r="F421" s="10">
        <v>4.0468999999999999</v>
      </c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</row>
    <row r="422" spans="1:65" ht="28.5" customHeight="1" x14ac:dyDescent="0.15">
      <c r="A422" s="34" t="s">
        <v>353</v>
      </c>
      <c r="B422" s="8" t="s">
        <v>86</v>
      </c>
      <c r="C422" s="13" t="s">
        <v>354</v>
      </c>
      <c r="D422" s="13" t="s">
        <v>1</v>
      </c>
      <c r="E422" s="9" t="str">
        <f>HYPERLINK("http://www.kentsgreenwine.co.uk/","www.kentsgreenwine.co.uk")</f>
        <v>www.kentsgreenwine.co.uk</v>
      </c>
      <c r="F422" s="10">
        <v>0.2</v>
      </c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</row>
    <row r="423" spans="1:65" ht="28.5" customHeight="1" x14ac:dyDescent="0.15">
      <c r="A423" s="34" t="s">
        <v>1207</v>
      </c>
      <c r="B423" s="8" t="s">
        <v>41</v>
      </c>
      <c r="C423" s="13" t="s">
        <v>1208</v>
      </c>
      <c r="D423" s="13" t="s">
        <v>1</v>
      </c>
      <c r="E423" s="9" t="str">
        <f>HYPERLINK("http://www.kerryvalevineyard.co.uk/","www.kerryvalevineyard.co.uk")</f>
        <v>www.kerryvalevineyard.co.uk</v>
      </c>
      <c r="F423" s="10">
        <v>2</v>
      </c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</row>
    <row r="424" spans="1:65" ht="28.5" customHeight="1" x14ac:dyDescent="0.15">
      <c r="A424" s="34" t="s">
        <v>908</v>
      </c>
      <c r="B424" s="8" t="s">
        <v>313</v>
      </c>
      <c r="C424" s="13" t="s">
        <v>907</v>
      </c>
      <c r="D424" s="13" t="s">
        <v>1</v>
      </c>
      <c r="E424" s="26"/>
      <c r="F424" s="10">
        <v>1</v>
      </c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</row>
    <row r="425" spans="1:65" ht="28.5" customHeight="1" x14ac:dyDescent="0.15">
      <c r="A425" s="34" t="s">
        <v>277</v>
      </c>
      <c r="B425" s="8" t="s">
        <v>86</v>
      </c>
      <c r="C425" s="13" t="s">
        <v>278</v>
      </c>
      <c r="D425" s="13" t="s">
        <v>1</v>
      </c>
      <c r="E425" s="26"/>
      <c r="F425" s="10">
        <v>0.12</v>
      </c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</row>
    <row r="426" spans="1:65" ht="28.5" customHeight="1" x14ac:dyDescent="0.15">
      <c r="A426" s="80" t="s">
        <v>1225</v>
      </c>
      <c r="B426" s="23" t="s">
        <v>5</v>
      </c>
      <c r="C426" s="58" t="s">
        <v>1224</v>
      </c>
      <c r="D426" s="13" t="s">
        <v>1</v>
      </c>
      <c r="E426" s="11"/>
      <c r="F426" s="10">
        <v>2.02</v>
      </c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</row>
    <row r="427" spans="1:65" ht="28.5" customHeight="1" x14ac:dyDescent="0.15">
      <c r="A427" s="34" t="s">
        <v>457</v>
      </c>
      <c r="B427" s="12" t="s">
        <v>73</v>
      </c>
      <c r="C427" s="47" t="s">
        <v>456</v>
      </c>
      <c r="D427" s="47" t="s">
        <v>1</v>
      </c>
      <c r="E427" s="26" t="str">
        <f>HYPERLINK("http://www.rothleywine.com/","www.rothleywine.com")</f>
        <v>www.rothleywine.com</v>
      </c>
      <c r="F427" s="10">
        <v>0.3</v>
      </c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</row>
    <row r="428" spans="1:65" ht="28.5" customHeight="1" x14ac:dyDescent="0.15">
      <c r="A428" s="34" t="s">
        <v>108</v>
      </c>
      <c r="B428" s="8" t="s">
        <v>107</v>
      </c>
      <c r="C428" s="13" t="s">
        <v>106</v>
      </c>
      <c r="D428" s="13" t="s">
        <v>1</v>
      </c>
      <c r="E428" s="8"/>
      <c r="F428" s="10">
        <v>3.0800000000000001E-2</v>
      </c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</row>
    <row r="429" spans="1:65" ht="28.5" customHeight="1" x14ac:dyDescent="0.15">
      <c r="A429" s="34" t="s">
        <v>1205</v>
      </c>
      <c r="B429" s="8" t="s">
        <v>107</v>
      </c>
      <c r="C429" s="13" t="s">
        <v>1206</v>
      </c>
      <c r="D429" s="13" t="s">
        <v>1</v>
      </c>
      <c r="E429" s="8"/>
      <c r="F429" s="10">
        <v>2</v>
      </c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</row>
    <row r="430" spans="1:65" ht="28.5" customHeight="1" x14ac:dyDescent="0.15">
      <c r="A430" s="78" t="s">
        <v>1525</v>
      </c>
      <c r="B430" s="11" t="s">
        <v>96</v>
      </c>
      <c r="C430" s="13" t="s">
        <v>1524</v>
      </c>
      <c r="D430" s="13" t="s">
        <v>1</v>
      </c>
      <c r="E430" s="11" t="s">
        <v>1503</v>
      </c>
      <c r="F430" s="16">
        <v>4.62</v>
      </c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</row>
    <row r="431" spans="1:65" ht="28.5" customHeight="1" x14ac:dyDescent="0.15">
      <c r="A431" s="78" t="s">
        <v>1505</v>
      </c>
      <c r="B431" s="11" t="s">
        <v>96</v>
      </c>
      <c r="C431" s="13" t="s">
        <v>1504</v>
      </c>
      <c r="D431" s="13" t="s">
        <v>1</v>
      </c>
      <c r="E431" s="11" t="s">
        <v>1503</v>
      </c>
      <c r="F431" s="27">
        <v>4.3</v>
      </c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</row>
    <row r="432" spans="1:65" ht="28.5" customHeight="1" x14ac:dyDescent="0.15">
      <c r="A432" s="34" t="s">
        <v>1339</v>
      </c>
      <c r="B432" s="12" t="s">
        <v>12</v>
      </c>
      <c r="C432" s="47" t="s">
        <v>1338</v>
      </c>
      <c r="D432" s="13" t="s">
        <v>1</v>
      </c>
      <c r="E432" s="9" t="str">
        <f>HYPERLINK("http://www.knightor.com/","www.knightor.com")</f>
        <v>www.knightor.com</v>
      </c>
      <c r="F432" s="10">
        <v>2.7115</v>
      </c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</row>
    <row r="433" spans="1:65" ht="28.5" customHeight="1" x14ac:dyDescent="0.15">
      <c r="A433" s="34" t="s">
        <v>1276</v>
      </c>
      <c r="B433" s="8" t="s">
        <v>12</v>
      </c>
      <c r="C433" s="13" t="s">
        <v>1275</v>
      </c>
      <c r="D433" s="13" t="s">
        <v>1</v>
      </c>
      <c r="E433" s="9" t="s">
        <v>102</v>
      </c>
      <c r="F433" s="10">
        <v>2.2999999999999998</v>
      </c>
      <c r="G433" s="11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</row>
    <row r="434" spans="1:65" ht="28.5" customHeight="1" x14ac:dyDescent="0.15">
      <c r="A434" s="76" t="s">
        <v>103</v>
      </c>
      <c r="B434" s="8" t="s">
        <v>12</v>
      </c>
      <c r="C434" s="13" t="s">
        <v>101</v>
      </c>
      <c r="D434" s="13" t="s">
        <v>1</v>
      </c>
      <c r="E434" s="9" t="s">
        <v>102</v>
      </c>
      <c r="F434" s="18">
        <v>0.03</v>
      </c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</row>
    <row r="435" spans="1:65" ht="28.5" customHeight="1" x14ac:dyDescent="0.15">
      <c r="A435" s="34" t="s">
        <v>154</v>
      </c>
      <c r="B435" s="8" t="s">
        <v>16</v>
      </c>
      <c r="C435" s="13" t="s">
        <v>155</v>
      </c>
      <c r="D435" s="13" t="s">
        <v>1</v>
      </c>
      <c r="E435" s="9" t="str">
        <f>HYPERLINK("http://www.nationaltrust.org.uk/","www.nationaltrust.org.uk")</f>
        <v>www.nationaltrust.org.uk</v>
      </c>
      <c r="F435" s="10">
        <v>7.1999999999999995E-2</v>
      </c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</row>
    <row r="436" spans="1:65" ht="28.5" customHeight="1" x14ac:dyDescent="0.15">
      <c r="A436" s="34" t="s">
        <v>90</v>
      </c>
      <c r="B436" s="8" t="s">
        <v>64</v>
      </c>
      <c r="C436" s="13" t="s">
        <v>89</v>
      </c>
      <c r="D436" s="13" t="s">
        <v>1</v>
      </c>
      <c r="E436" s="9" t="s">
        <v>88</v>
      </c>
      <c r="F436" s="10">
        <v>2.4E-2</v>
      </c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</row>
    <row r="437" spans="1:65" ht="28.5" customHeight="1" x14ac:dyDescent="0.15">
      <c r="A437" s="34" t="s">
        <v>1344</v>
      </c>
      <c r="B437" s="8" t="s">
        <v>107</v>
      </c>
      <c r="C437" s="13" t="s">
        <v>1343</v>
      </c>
      <c r="D437" s="13" t="s">
        <v>1</v>
      </c>
      <c r="E437" s="9" t="s">
        <v>1342</v>
      </c>
      <c r="F437" s="10">
        <v>2.76</v>
      </c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</row>
    <row r="438" spans="1:65" ht="28.5" customHeight="1" x14ac:dyDescent="0.15">
      <c r="A438" s="34" t="s">
        <v>100</v>
      </c>
      <c r="B438" s="8" t="s">
        <v>64</v>
      </c>
      <c r="C438" s="13" t="s">
        <v>99</v>
      </c>
      <c r="D438" s="13" t="s">
        <v>1</v>
      </c>
      <c r="E438" s="8" t="s">
        <v>98</v>
      </c>
      <c r="F438" s="10">
        <v>0.03</v>
      </c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</row>
    <row r="439" spans="1:65" ht="28.5" customHeight="1" x14ac:dyDescent="0.15">
      <c r="A439" s="34" t="s">
        <v>1712</v>
      </c>
      <c r="B439" s="8" t="s">
        <v>195</v>
      </c>
      <c r="C439" s="47" t="s">
        <v>1713</v>
      </c>
      <c r="D439" s="13" t="s">
        <v>1</v>
      </c>
      <c r="E439" s="8"/>
      <c r="F439" s="10">
        <v>9.6</v>
      </c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</row>
    <row r="440" spans="1:65" ht="28.5" customHeight="1" x14ac:dyDescent="0.15">
      <c r="A440" s="34" t="s">
        <v>1678</v>
      </c>
      <c r="B440" s="8" t="s">
        <v>9</v>
      </c>
      <c r="C440" s="13" t="s">
        <v>1679</v>
      </c>
      <c r="D440" s="13" t="s">
        <v>1</v>
      </c>
      <c r="E440" s="9"/>
      <c r="F440" s="10">
        <v>8.1</v>
      </c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</row>
    <row r="441" spans="1:65" ht="28.5" customHeight="1" x14ac:dyDescent="0.15">
      <c r="A441" s="77" t="s">
        <v>546</v>
      </c>
      <c r="B441" s="20" t="s">
        <v>180</v>
      </c>
      <c r="C441" s="57" t="s">
        <v>547</v>
      </c>
      <c r="D441" s="56" t="s">
        <v>1</v>
      </c>
      <c r="E441" s="17"/>
      <c r="F441" s="10">
        <v>0.4</v>
      </c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</row>
    <row r="442" spans="1:65" ht="28.5" customHeight="1" x14ac:dyDescent="0.15">
      <c r="A442" s="34" t="s">
        <v>712</v>
      </c>
      <c r="B442" s="8" t="s">
        <v>205</v>
      </c>
      <c r="C442" s="13" t="s">
        <v>711</v>
      </c>
      <c r="D442" s="13" t="s">
        <v>1</v>
      </c>
      <c r="E442" s="9"/>
      <c r="F442" s="10">
        <v>0.64</v>
      </c>
      <c r="G442" s="20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</row>
    <row r="443" spans="1:65" ht="28.5" customHeight="1" x14ac:dyDescent="0.15">
      <c r="A443" s="34" t="s">
        <v>1744</v>
      </c>
      <c r="B443" s="8" t="s">
        <v>24</v>
      </c>
      <c r="C443" s="13" t="s">
        <v>1745</v>
      </c>
      <c r="D443" s="13" t="s">
        <v>1</v>
      </c>
      <c r="E443" s="9" t="str">
        <f>HYPERLINK("http://www.langhamwine.co.uk/","www.langhamwine.co.uk")</f>
        <v>www.langhamwine.co.uk</v>
      </c>
      <c r="F443" s="10">
        <v>11.77</v>
      </c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</row>
    <row r="444" spans="1:65" ht="28.5" customHeight="1" x14ac:dyDescent="0.15">
      <c r="A444" s="34" t="s">
        <v>1476</v>
      </c>
      <c r="B444" s="12" t="s">
        <v>64</v>
      </c>
      <c r="C444" s="47" t="s">
        <v>807</v>
      </c>
      <c r="D444" s="47" t="s">
        <v>1</v>
      </c>
      <c r="E444" s="9" t="str">
        <f>HYPERLINK("http://www.alburyvineyard.com/","www.alburyvineyard.com")</f>
        <v>www.alburyvineyard.com</v>
      </c>
      <c r="F444" s="14">
        <v>4</v>
      </c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</row>
    <row r="445" spans="1:65" ht="28.5" customHeight="1" x14ac:dyDescent="0.15">
      <c r="A445" s="34" t="s">
        <v>1281</v>
      </c>
      <c r="B445" s="12" t="s">
        <v>86</v>
      </c>
      <c r="C445" s="47" t="s">
        <v>1283</v>
      </c>
      <c r="D445" s="47" t="s">
        <v>1</v>
      </c>
      <c r="E445" s="26" t="s">
        <v>1282</v>
      </c>
      <c r="F445" s="14">
        <v>2.3620000000000001</v>
      </c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</row>
    <row r="446" spans="1:65" ht="28.5" customHeight="1" x14ac:dyDescent="0.15">
      <c r="A446" s="34" t="s">
        <v>216</v>
      </c>
      <c r="B446" s="8" t="s">
        <v>107</v>
      </c>
      <c r="C446" s="13" t="s">
        <v>0</v>
      </c>
      <c r="D446" s="13" t="s">
        <v>1</v>
      </c>
      <c r="E446" s="8"/>
      <c r="F446" s="19">
        <v>0.1</v>
      </c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</row>
    <row r="447" spans="1:65" ht="28.5" customHeight="1" x14ac:dyDescent="0.15">
      <c r="A447" s="34" t="s">
        <v>1377</v>
      </c>
      <c r="B447" s="12" t="s">
        <v>14</v>
      </c>
      <c r="C447" s="47" t="s">
        <v>1378</v>
      </c>
      <c r="D447" s="47" t="s">
        <v>1</v>
      </c>
      <c r="E447" s="26" t="str">
        <f>HYPERLINK("http://www.laurel-vines.co.uk/","www.laurel-vines.co.uk")</f>
        <v>www.laurel-vines.co.uk</v>
      </c>
      <c r="F447" s="14">
        <v>2.96</v>
      </c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</row>
    <row r="448" spans="1:65" ht="28.5" customHeight="1" x14ac:dyDescent="0.15">
      <c r="A448" s="34" t="s">
        <v>1455</v>
      </c>
      <c r="B448" s="8" t="s">
        <v>52</v>
      </c>
      <c r="C448" s="13" t="s">
        <v>1454</v>
      </c>
      <c r="D448" s="13" t="s">
        <v>1</v>
      </c>
      <c r="E448" s="9" t="str">
        <f>HYPERLINK("http://www.lavenhambrook.co.uk/","www.lavenhambrook.co.uk. ")</f>
        <v xml:space="preserve">www.lavenhambrook.co.uk. </v>
      </c>
      <c r="F448" s="10">
        <v>3.7389999999999999</v>
      </c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</row>
    <row r="449" spans="1:65" ht="28.5" customHeight="1" x14ac:dyDescent="0.15">
      <c r="A449" s="34" t="s">
        <v>1703</v>
      </c>
      <c r="B449" s="8" t="s">
        <v>5</v>
      </c>
      <c r="C449" s="13" t="s">
        <v>1702</v>
      </c>
      <c r="D449" s="13" t="s">
        <v>1</v>
      </c>
      <c r="E449" s="9" t="str">
        <f>HYPERLINK("http://www.laverstokepark.co.uk/","www.laverstokepark.co.uk")</f>
        <v>www.laverstokepark.co.uk</v>
      </c>
      <c r="F449" s="10">
        <v>9</v>
      </c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</row>
    <row r="450" spans="1:65" ht="27" customHeight="1" x14ac:dyDescent="0.15">
      <c r="A450" s="34" t="s">
        <v>1633</v>
      </c>
      <c r="B450" s="8" t="s">
        <v>5</v>
      </c>
      <c r="C450" s="13" t="s">
        <v>1632</v>
      </c>
      <c r="D450" s="13" t="s">
        <v>1</v>
      </c>
      <c r="E450" s="9" t="str">
        <f>HYPERLINK("https://leckfordestate.co.uk/produce/grapes","leckfordestate.co.uk")</f>
        <v>leckfordestate.co.uk</v>
      </c>
      <c r="F450" s="10">
        <v>6.7496999999999998</v>
      </c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</row>
    <row r="451" spans="1:65" ht="27" customHeight="1" x14ac:dyDescent="0.15">
      <c r="A451" s="78" t="s">
        <v>906</v>
      </c>
      <c r="B451" s="11" t="s">
        <v>83</v>
      </c>
      <c r="C451" s="13" t="s">
        <v>905</v>
      </c>
      <c r="D451" s="13" t="s">
        <v>1</v>
      </c>
      <c r="E451" s="11"/>
      <c r="F451" s="10">
        <v>1</v>
      </c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</row>
    <row r="452" spans="1:65" ht="27" customHeight="1" x14ac:dyDescent="0.15">
      <c r="A452" s="34" t="s">
        <v>637</v>
      </c>
      <c r="B452" s="8" t="s">
        <v>205</v>
      </c>
      <c r="C452" s="13" t="s">
        <v>636</v>
      </c>
      <c r="D452" s="13" t="s">
        <v>1</v>
      </c>
      <c r="E452" s="9" t="str">
        <f>HYPERLINK("http://www.leighparkhotel.co.uk/","www.leighparkhotel.co.uk")</f>
        <v>www.leighparkhotel.co.uk</v>
      </c>
      <c r="F452" s="10">
        <v>0.5</v>
      </c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</row>
    <row r="453" spans="1:65" ht="27" customHeight="1" x14ac:dyDescent="0.15">
      <c r="A453" s="34" t="s">
        <v>1265</v>
      </c>
      <c r="B453" s="8" t="s">
        <v>1174</v>
      </c>
      <c r="C453" s="13" t="s">
        <v>1266</v>
      </c>
      <c r="D453" s="13" t="s">
        <v>1</v>
      </c>
      <c r="E453" s="15" t="s">
        <v>1267</v>
      </c>
      <c r="F453" s="10">
        <v>2.21</v>
      </c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</row>
    <row r="454" spans="1:65" ht="27" customHeight="1" x14ac:dyDescent="0.15">
      <c r="A454" s="78" t="s">
        <v>20</v>
      </c>
      <c r="B454" s="11" t="s">
        <v>19</v>
      </c>
      <c r="C454" s="13" t="s">
        <v>0</v>
      </c>
      <c r="D454" s="13" t="s">
        <v>1</v>
      </c>
      <c r="E454" s="11"/>
      <c r="F454" s="13" t="s">
        <v>0</v>
      </c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</row>
    <row r="455" spans="1:65" ht="27" customHeight="1" x14ac:dyDescent="0.15">
      <c r="A455" s="34" t="s">
        <v>680</v>
      </c>
      <c r="B455" s="8" t="s">
        <v>16</v>
      </c>
      <c r="C455" s="13" t="s">
        <v>681</v>
      </c>
      <c r="D455" s="13" t="s">
        <v>1</v>
      </c>
      <c r="E455" s="9" t="str">
        <f>HYPERLINK("http://www.lilyfarmvineyard.com/","www.lilyfarmvineyard.com")</f>
        <v>www.lilyfarmvineyard.com</v>
      </c>
      <c r="F455" s="10">
        <v>0.58899999999999997</v>
      </c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</row>
    <row r="456" spans="1:65" ht="27" customHeight="1" x14ac:dyDescent="0.15">
      <c r="A456" s="34" t="s">
        <v>792</v>
      </c>
      <c r="B456" s="8" t="s">
        <v>195</v>
      </c>
      <c r="C456" s="13" t="s">
        <v>793</v>
      </c>
      <c r="D456" s="13" t="s">
        <v>1</v>
      </c>
      <c r="E456" s="9" t="str">
        <f>HYPERLINK("https://www.facebook.com/LimdenVineyard/","facebook.com/LimdenVineyard")</f>
        <v>facebook.com/LimdenVineyard</v>
      </c>
      <c r="F456" s="14">
        <v>0.8</v>
      </c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</row>
    <row r="457" spans="1:65" ht="27.75" customHeight="1" x14ac:dyDescent="0.15">
      <c r="A457" s="34" t="s">
        <v>790</v>
      </c>
      <c r="B457" s="12" t="s">
        <v>58</v>
      </c>
      <c r="C457" s="47" t="s">
        <v>791</v>
      </c>
      <c r="D457" s="13" t="s">
        <v>1</v>
      </c>
      <c r="E457" s="9" t="str">
        <f>HYPERLINK("www.limeburnhillvineyard.co.uk","www.limeburnhillvineyard.co.uk")</f>
        <v>www.limeburnhillvineyard.co.uk</v>
      </c>
      <c r="F457" s="10">
        <v>0.8</v>
      </c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</row>
    <row r="458" spans="1:65" ht="28.5" customHeight="1" x14ac:dyDescent="0.15">
      <c r="A458" s="34" t="s">
        <v>479</v>
      </c>
      <c r="B458" s="8" t="s">
        <v>313</v>
      </c>
      <c r="C458" s="13" t="s">
        <v>480</v>
      </c>
      <c r="D458" s="13" t="s">
        <v>1</v>
      </c>
      <c r="E458" s="8"/>
      <c r="F458" s="10">
        <v>0.35</v>
      </c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</row>
    <row r="459" spans="1:65" ht="28.5" customHeight="1" x14ac:dyDescent="0.15">
      <c r="A459" s="34" t="s">
        <v>113</v>
      </c>
      <c r="B459" s="8" t="s">
        <v>67</v>
      </c>
      <c r="C459" s="13" t="s">
        <v>112</v>
      </c>
      <c r="D459" s="13" t="s">
        <v>1</v>
      </c>
      <c r="E459" s="9" t="str">
        <f>HYPERLINK("https://www.facebook.com/LincolnFieldVineyard/","facebook.com/LincolnFieldVineyard")</f>
        <v>facebook.com/LincolnFieldVineyard</v>
      </c>
      <c r="F459" s="10">
        <v>3.3000000000000002E-2</v>
      </c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</row>
    <row r="460" spans="1:65" ht="28.5" customHeight="1" x14ac:dyDescent="0.15">
      <c r="A460" s="34" t="s">
        <v>176</v>
      </c>
      <c r="B460" s="8" t="s">
        <v>70</v>
      </c>
      <c r="C460" s="13" t="s">
        <v>175</v>
      </c>
      <c r="D460" s="13" t="s">
        <v>1</v>
      </c>
      <c r="E460" s="9" t="str">
        <f>HYPERLINK("http://www.english-heritage.org.uk/daysout/properties/lincoln-medieval-bishops-palace/garden/","www.english-heritage.org.uk/daysout/properties/lincoln-medieval-bishops-palace/garden/")</f>
        <v>www.english-heritage.org.uk/daysout/properties/lincoln-medieval-bishops-palace/garden/</v>
      </c>
      <c r="F460" s="10">
        <v>0.09</v>
      </c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</row>
    <row r="461" spans="1:65" ht="28.5" customHeight="1" x14ac:dyDescent="0.15">
      <c r="A461" s="34" t="s">
        <v>214</v>
      </c>
      <c r="B461" s="17" t="s">
        <v>61</v>
      </c>
      <c r="C461" s="56" t="s">
        <v>215</v>
      </c>
      <c r="D461" s="56" t="s">
        <v>1</v>
      </c>
      <c r="E461" s="29"/>
      <c r="F461" s="18">
        <v>0.1</v>
      </c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</row>
    <row r="462" spans="1:65" ht="28.5" customHeight="1" x14ac:dyDescent="0.15">
      <c r="A462" s="34" t="s">
        <v>662</v>
      </c>
      <c r="B462" s="8" t="s">
        <v>9</v>
      </c>
      <c r="C462" s="13" t="s">
        <v>661</v>
      </c>
      <c r="D462" s="13" t="s">
        <v>1</v>
      </c>
      <c r="E462" s="11"/>
      <c r="F462" s="10">
        <v>0.53300000000000003</v>
      </c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</row>
    <row r="463" spans="1:65" ht="28.5" customHeight="1" x14ac:dyDescent="0.15">
      <c r="A463" s="34" t="s">
        <v>843</v>
      </c>
      <c r="B463" s="8" t="s">
        <v>86</v>
      </c>
      <c r="C463" s="13" t="s">
        <v>844</v>
      </c>
      <c r="D463" s="13" t="s">
        <v>1</v>
      </c>
      <c r="E463" s="9" t="str">
        <f>HYPERLINK("http://www.littleoakvineyard.co.uk/","www.littleoakvineyard.co.uk")</f>
        <v>www.littleoakvineyard.co.uk</v>
      </c>
      <c r="F463" s="10">
        <v>0.96</v>
      </c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</row>
    <row r="464" spans="1:65" ht="28.5" customHeight="1" x14ac:dyDescent="0.15">
      <c r="A464" s="78" t="s">
        <v>757</v>
      </c>
      <c r="B464" s="11" t="s">
        <v>86</v>
      </c>
      <c r="C464" s="13" t="s">
        <v>758</v>
      </c>
      <c r="D464" s="13" t="s">
        <v>1</v>
      </c>
      <c r="E464" s="11"/>
      <c r="F464" s="10">
        <v>0.73699999999999999</v>
      </c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</row>
    <row r="465" spans="1:65" ht="28.5" customHeight="1" x14ac:dyDescent="0.15">
      <c r="A465" s="34" t="s">
        <v>902</v>
      </c>
      <c r="B465" s="8" t="s">
        <v>24</v>
      </c>
      <c r="C465" s="13" t="s">
        <v>904</v>
      </c>
      <c r="D465" s="13" t="s">
        <v>1</v>
      </c>
      <c r="E465" s="9" t="s">
        <v>903</v>
      </c>
      <c r="F465" s="16">
        <v>1</v>
      </c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</row>
    <row r="466" spans="1:65" ht="28.5" customHeight="1" x14ac:dyDescent="0.15">
      <c r="A466" s="34" t="s">
        <v>1284</v>
      </c>
      <c r="B466" s="8" t="s">
        <v>14</v>
      </c>
      <c r="C466" s="13" t="s">
        <v>1286</v>
      </c>
      <c r="D466" s="13" t="s">
        <v>1</v>
      </c>
      <c r="E466" s="9" t="s">
        <v>1285</v>
      </c>
      <c r="F466" s="10">
        <v>2.3664999999999998</v>
      </c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</row>
    <row r="467" spans="1:65" ht="28.5" customHeight="1" x14ac:dyDescent="0.15">
      <c r="A467" s="34" t="s">
        <v>136</v>
      </c>
      <c r="B467" s="8" t="s">
        <v>24</v>
      </c>
      <c r="C467" s="13" t="s">
        <v>135</v>
      </c>
      <c r="D467" s="13" t="s">
        <v>1</v>
      </c>
      <c r="E467" s="9" t="str">
        <f>HYPERLINK("http://www.littlebredy.com/","www.littlebredy.com")</f>
        <v>www.littlebredy.com</v>
      </c>
      <c r="F467" s="10">
        <v>0.05</v>
      </c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</row>
    <row r="468" spans="1:65" ht="28.5" customHeight="1" x14ac:dyDescent="0.15">
      <c r="A468" s="34" t="s">
        <v>1564</v>
      </c>
      <c r="B468" s="8" t="s">
        <v>361</v>
      </c>
      <c r="C468" s="13" t="s">
        <v>1565</v>
      </c>
      <c r="D468" s="13" t="s">
        <v>43</v>
      </c>
      <c r="E468" s="9" t="str">
        <f>HYPERLINK("http://www.llaethliw.co.uk/","www.llaethliw.co.uk")</f>
        <v>www.llaethliw.co.uk</v>
      </c>
      <c r="F468" s="10">
        <v>5.46</v>
      </c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</row>
    <row r="469" spans="1:65" ht="24.75" customHeight="1" x14ac:dyDescent="0.15">
      <c r="A469" s="83" t="s">
        <v>1345</v>
      </c>
      <c r="B469" s="25" t="s">
        <v>442</v>
      </c>
      <c r="C469" s="62" t="s">
        <v>1346</v>
      </c>
      <c r="D469" s="62" t="s">
        <v>43</v>
      </c>
      <c r="E469" s="41" t="str">
        <f>HYPERLINK("http://www.llanerch-vineyard.co.uk/","www.llanerch-vineyard.co.uk")</f>
        <v>www.llanerch-vineyard.co.uk</v>
      </c>
      <c r="F469" s="42">
        <v>2.8</v>
      </c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</row>
    <row r="470" spans="1:65" ht="28.5" customHeight="1" x14ac:dyDescent="0.15">
      <c r="A470" s="34" t="s">
        <v>503</v>
      </c>
      <c r="B470" s="8" t="s">
        <v>440</v>
      </c>
      <c r="C470" s="13" t="s">
        <v>502</v>
      </c>
      <c r="D470" s="13" t="s">
        <v>43</v>
      </c>
      <c r="E470" s="8"/>
      <c r="F470" s="19">
        <v>0.4</v>
      </c>
      <c r="G470" s="11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</row>
    <row r="471" spans="1:65" ht="28.5" customHeight="1" x14ac:dyDescent="0.15">
      <c r="A471" s="34" t="s">
        <v>213</v>
      </c>
      <c r="B471" s="8" t="s">
        <v>16</v>
      </c>
      <c r="C471" s="13" t="s">
        <v>0</v>
      </c>
      <c r="D471" s="13" t="s">
        <v>1</v>
      </c>
      <c r="E471" s="9" t="str">
        <f>HYPERLINK("https://www.lobbsterplot.co.uk","www.lobbsterplot.co.uk")</f>
        <v>www.lobbsterplot.co.uk</v>
      </c>
      <c r="F471" s="19">
        <v>0.1</v>
      </c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</row>
    <row r="472" spans="1:65" ht="28.5" customHeight="1" x14ac:dyDescent="0.15">
      <c r="A472" s="34" t="s">
        <v>973</v>
      </c>
      <c r="B472" s="8" t="s">
        <v>5</v>
      </c>
      <c r="C472" s="13" t="s">
        <v>972</v>
      </c>
      <c r="D472" s="13" t="s">
        <v>1</v>
      </c>
      <c r="E472" s="9"/>
      <c r="F472" s="10">
        <v>1.2</v>
      </c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</row>
    <row r="473" spans="1:65" ht="28.5" customHeight="1" x14ac:dyDescent="0.15">
      <c r="A473" s="34" t="s">
        <v>799</v>
      </c>
      <c r="B473" s="8" t="s">
        <v>5</v>
      </c>
      <c r="C473" s="13" t="s">
        <v>801</v>
      </c>
      <c r="D473" s="13" t="s">
        <v>1</v>
      </c>
      <c r="E473" s="9" t="s">
        <v>800</v>
      </c>
      <c r="F473" s="10">
        <v>0.80900000000000005</v>
      </c>
      <c r="G473" s="11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</row>
    <row r="474" spans="1:65" ht="28.5" customHeight="1" x14ac:dyDescent="0.15">
      <c r="A474" s="34" t="s">
        <v>597</v>
      </c>
      <c r="B474" s="8" t="s">
        <v>96</v>
      </c>
      <c r="C474" s="13" t="s">
        <v>596</v>
      </c>
      <c r="D474" s="13" t="s">
        <v>1</v>
      </c>
      <c r="E474" s="9"/>
      <c r="F474" s="10">
        <v>0.42299999999999999</v>
      </c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</row>
    <row r="475" spans="1:65" ht="28.5" customHeight="1" x14ac:dyDescent="0.15">
      <c r="A475" s="34" t="s">
        <v>1051</v>
      </c>
      <c r="B475" s="8" t="s">
        <v>205</v>
      </c>
      <c r="C475" s="13" t="s">
        <v>1052</v>
      </c>
      <c r="D475" s="13" t="s">
        <v>1</v>
      </c>
      <c r="E475" s="9" t="str">
        <f>HYPERLINK("www.longleat.co.uk","www.longleat.co.uk")</f>
        <v>www.longleat.co.uk</v>
      </c>
      <c r="F475" s="10">
        <v>1.42</v>
      </c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</row>
    <row r="476" spans="1:65" ht="28.5" customHeight="1" x14ac:dyDescent="0.15">
      <c r="A476" s="34" t="s">
        <v>1124</v>
      </c>
      <c r="B476" s="8" t="s">
        <v>12</v>
      </c>
      <c r="C476" s="13" t="s">
        <v>1125</v>
      </c>
      <c r="D476" s="13" t="s">
        <v>1</v>
      </c>
      <c r="E476" s="41" t="s">
        <v>1126</v>
      </c>
      <c r="F476" s="10">
        <v>1.65</v>
      </c>
      <c r="G476" s="11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</row>
    <row r="477" spans="1:65" ht="28.5" customHeight="1" x14ac:dyDescent="0.15">
      <c r="A477" s="34" t="s">
        <v>1130</v>
      </c>
      <c r="B477" s="8" t="s">
        <v>19</v>
      </c>
      <c r="C477" s="13" t="s">
        <v>1131</v>
      </c>
      <c r="D477" s="13" t="s">
        <v>1</v>
      </c>
      <c r="E477" s="17"/>
      <c r="F477" s="10">
        <v>1.6817</v>
      </c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</row>
    <row r="478" spans="1:65" ht="28.5" customHeight="1" x14ac:dyDescent="0.15">
      <c r="A478" s="76" t="s">
        <v>901</v>
      </c>
      <c r="B478" s="12" t="s">
        <v>78</v>
      </c>
      <c r="C478" s="47" t="s">
        <v>900</v>
      </c>
      <c r="D478" s="47" t="s">
        <v>1</v>
      </c>
      <c r="E478" s="26" t="str">
        <f>HYPERLINK("http://www.lordshipsbarns.co.uk/","www.lordshipsbarns.co.uk")</f>
        <v>www.lordshipsbarns.co.uk</v>
      </c>
      <c r="F478" s="14">
        <v>1</v>
      </c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</row>
    <row r="479" spans="1:65" ht="28.5" customHeight="1" x14ac:dyDescent="0.15">
      <c r="A479" s="34" t="s">
        <v>1474</v>
      </c>
      <c r="B479" s="8" t="s">
        <v>32</v>
      </c>
      <c r="C479" s="13" t="s">
        <v>1475</v>
      </c>
      <c r="D479" s="13" t="s">
        <v>1</v>
      </c>
      <c r="E479" s="9" t="str">
        <f>HYPERLINK("http://www.lovellsvineyard.co.uk/","www.lovellsvineyard.co.uk")</f>
        <v>www.lovellsvineyard.co.uk</v>
      </c>
      <c r="F479" s="10">
        <v>4</v>
      </c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</row>
    <row r="480" spans="1:65" ht="28.5" customHeight="1" x14ac:dyDescent="0.15">
      <c r="A480" s="78" t="s">
        <v>1663</v>
      </c>
      <c r="B480" s="11" t="s">
        <v>96</v>
      </c>
      <c r="C480" s="13" t="s">
        <v>1662</v>
      </c>
      <c r="D480" s="13" t="s">
        <v>1</v>
      </c>
      <c r="E480" s="15" t="s">
        <v>1661</v>
      </c>
      <c r="F480" s="27">
        <v>7.73</v>
      </c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</row>
    <row r="481" spans="1:65" ht="28.5" customHeight="1" x14ac:dyDescent="0.15">
      <c r="A481" s="34" t="s">
        <v>991</v>
      </c>
      <c r="B481" s="8" t="s">
        <v>110</v>
      </c>
      <c r="C481" s="13" t="s">
        <v>990</v>
      </c>
      <c r="D481" s="13" t="s">
        <v>1</v>
      </c>
      <c r="E481" s="43" t="s">
        <v>992</v>
      </c>
      <c r="F481" s="10">
        <v>1.214</v>
      </c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</row>
    <row r="482" spans="1:65" ht="28.5" customHeight="1" x14ac:dyDescent="0.15">
      <c r="A482" s="34" t="s">
        <v>950</v>
      </c>
      <c r="B482" s="8" t="s">
        <v>41</v>
      </c>
      <c r="C482" s="13" t="s">
        <v>371</v>
      </c>
      <c r="D482" s="13" t="s">
        <v>1</v>
      </c>
      <c r="E482" s="9" t="str">
        <f>HYPERLINK("http://www.ludlowvineyard.co.uk/","www.ludlowvineyard.co.uk")</f>
        <v>www.ludlowvineyard.co.uk</v>
      </c>
      <c r="F482" s="10">
        <v>1.1000000000000001</v>
      </c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</row>
    <row r="483" spans="1:65" ht="28.5" customHeight="1" x14ac:dyDescent="0.15">
      <c r="A483" s="34" t="s">
        <v>997</v>
      </c>
      <c r="B483" s="8" t="s">
        <v>61</v>
      </c>
      <c r="C483" s="13" t="s">
        <v>998</v>
      </c>
      <c r="D483" s="13" t="s">
        <v>1</v>
      </c>
      <c r="E483" s="8"/>
      <c r="F483" s="10">
        <v>1.2145999999999999</v>
      </c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</row>
    <row r="484" spans="1:65" ht="28.5" customHeight="1" x14ac:dyDescent="0.15">
      <c r="A484" s="34" t="s">
        <v>303</v>
      </c>
      <c r="B484" s="8" t="s">
        <v>157</v>
      </c>
      <c r="C484" s="13" t="s">
        <v>302</v>
      </c>
      <c r="D484" s="13" t="s">
        <v>156</v>
      </c>
      <c r="E484" s="29" t="str">
        <f>HYPERLINK("http://www.llewellynsorchard.ie/","www.llewellynsorchard.ie")</f>
        <v>www.llewellynsorchard.ie</v>
      </c>
      <c r="F484" s="10">
        <v>0.15</v>
      </c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</row>
    <row r="485" spans="1:65" ht="28.5" customHeight="1" x14ac:dyDescent="0.15">
      <c r="A485" s="34" t="s">
        <v>594</v>
      </c>
      <c r="B485" s="8" t="s">
        <v>61</v>
      </c>
      <c r="C485" s="13" t="s">
        <v>595</v>
      </c>
      <c r="D485" s="13" t="s">
        <v>1</v>
      </c>
      <c r="E485" s="29" t="str">
        <f>HYPERLINK("http://www.lydearundel.com/","www.lydearundel.com")</f>
        <v>www.lydearundel.com</v>
      </c>
      <c r="F485" s="10">
        <v>0.41</v>
      </c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</row>
    <row r="486" spans="1:65" ht="28.5" customHeight="1" x14ac:dyDescent="0.15">
      <c r="A486" s="77" t="s">
        <v>1495</v>
      </c>
      <c r="B486" s="20" t="s">
        <v>16</v>
      </c>
      <c r="C486" s="13" t="s">
        <v>1497</v>
      </c>
      <c r="D486" s="56" t="s">
        <v>1</v>
      </c>
      <c r="E486" s="15" t="s">
        <v>1496</v>
      </c>
      <c r="F486" s="10">
        <v>4.2</v>
      </c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</row>
    <row r="487" spans="1:65" ht="28.5" customHeight="1" x14ac:dyDescent="0.15">
      <c r="A487" s="78" t="s">
        <v>823</v>
      </c>
      <c r="B487" s="11" t="s">
        <v>96</v>
      </c>
      <c r="C487" s="13" t="s">
        <v>822</v>
      </c>
      <c r="D487" s="13" t="s">
        <v>1</v>
      </c>
      <c r="E487" s="11"/>
      <c r="F487" s="27">
        <v>0.83</v>
      </c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</row>
    <row r="488" spans="1:65" ht="28.5" customHeight="1" x14ac:dyDescent="0.15">
      <c r="A488" s="34" t="s">
        <v>634</v>
      </c>
      <c r="B488" s="17" t="s">
        <v>16</v>
      </c>
      <c r="C488" s="56" t="s">
        <v>635</v>
      </c>
      <c r="D488" s="56" t="s">
        <v>1</v>
      </c>
      <c r="E488" s="17"/>
      <c r="F488" s="18">
        <v>0.5</v>
      </c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</row>
    <row r="489" spans="1:65" ht="28.5" customHeight="1" x14ac:dyDescent="0.15">
      <c r="A489" s="78" t="s">
        <v>1204</v>
      </c>
      <c r="B489" s="11" t="s">
        <v>1082</v>
      </c>
      <c r="C489" s="13" t="s">
        <v>1203</v>
      </c>
      <c r="D489" s="13" t="s">
        <v>1</v>
      </c>
      <c r="E489" s="15" t="s">
        <v>1202</v>
      </c>
      <c r="F489" s="27">
        <v>2</v>
      </c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</row>
    <row r="490" spans="1:65" ht="28.5" customHeight="1" x14ac:dyDescent="0.15">
      <c r="A490" s="34" t="s">
        <v>971</v>
      </c>
      <c r="B490" s="8" t="s">
        <v>195</v>
      </c>
      <c r="C490" s="13" t="s">
        <v>970</v>
      </c>
      <c r="D490" s="13" t="s">
        <v>1</v>
      </c>
      <c r="E490" s="15" t="s">
        <v>969</v>
      </c>
      <c r="F490" s="10">
        <v>1.2</v>
      </c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</row>
    <row r="491" spans="1:65" ht="28.5" customHeight="1" x14ac:dyDescent="0.15">
      <c r="A491" s="34" t="s">
        <v>968</v>
      </c>
      <c r="B491" s="8" t="s">
        <v>96</v>
      </c>
      <c r="C491" s="13" t="s">
        <v>1772</v>
      </c>
      <c r="D491" s="13" t="s">
        <v>1</v>
      </c>
      <c r="E491" s="15" t="s">
        <v>1771</v>
      </c>
      <c r="F491" s="10">
        <v>14.9</v>
      </c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</row>
    <row r="492" spans="1:65" ht="28.5" customHeight="1" x14ac:dyDescent="0.15">
      <c r="A492" s="34" t="s">
        <v>285</v>
      </c>
      <c r="B492" s="8" t="s">
        <v>73</v>
      </c>
      <c r="C492" s="13" t="s">
        <v>286</v>
      </c>
      <c r="D492" s="13" t="s">
        <v>1</v>
      </c>
      <c r="E492" s="8"/>
      <c r="F492" s="10">
        <v>0.13</v>
      </c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</row>
    <row r="493" spans="1:65" ht="28.5" customHeight="1" x14ac:dyDescent="0.15">
      <c r="A493" s="34" t="s">
        <v>290</v>
      </c>
      <c r="B493" s="8" t="s">
        <v>19</v>
      </c>
      <c r="C493" s="13" t="s">
        <v>289</v>
      </c>
      <c r="D493" s="13" t="s">
        <v>1</v>
      </c>
      <c r="E493" s="8"/>
      <c r="F493" s="16">
        <v>0.1333</v>
      </c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</row>
    <row r="494" spans="1:65" ht="28.5" customHeight="1" x14ac:dyDescent="0.15">
      <c r="A494" s="34" t="s">
        <v>1170</v>
      </c>
      <c r="B494" s="8" t="s">
        <v>16</v>
      </c>
      <c r="C494" s="13" t="s">
        <v>1171</v>
      </c>
      <c r="D494" s="13" t="s">
        <v>1</v>
      </c>
      <c r="E494" s="9" t="str">
        <f>HYPERLINK("http://www.boyces-manstree.co.uk/","www.boyces-manstree.co.uk")</f>
        <v>www.boyces-manstree.co.uk</v>
      </c>
      <c r="F494" s="10">
        <v>1.8219000000000001</v>
      </c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</row>
    <row r="495" spans="1:65" ht="28.5" customHeight="1" x14ac:dyDescent="0.15">
      <c r="A495" s="80" t="s">
        <v>899</v>
      </c>
      <c r="B495" s="8" t="s">
        <v>9</v>
      </c>
      <c r="C495" s="13" t="s">
        <v>897</v>
      </c>
      <c r="D495" s="13" t="s">
        <v>1</v>
      </c>
      <c r="E495" s="9" t="s">
        <v>898</v>
      </c>
      <c r="F495" s="10">
        <v>1</v>
      </c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</row>
    <row r="496" spans="1:65" ht="28.5" customHeight="1" x14ac:dyDescent="0.15">
      <c r="A496" s="34" t="s">
        <v>1432</v>
      </c>
      <c r="B496" s="8" t="s">
        <v>9</v>
      </c>
      <c r="C496" s="13" t="s">
        <v>897</v>
      </c>
      <c r="D496" s="13" t="s">
        <v>1</v>
      </c>
      <c r="E496" s="9" t="s">
        <v>898</v>
      </c>
      <c r="F496" s="10">
        <v>3.5</v>
      </c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</row>
    <row r="497" spans="1:65" ht="28.5" customHeight="1" x14ac:dyDescent="0.15">
      <c r="A497" s="34" t="s">
        <v>1546</v>
      </c>
      <c r="B497" s="8" t="s">
        <v>139</v>
      </c>
      <c r="C497" s="13" t="s">
        <v>1545</v>
      </c>
      <c r="D497" s="13" t="s">
        <v>137</v>
      </c>
      <c r="E497" s="9" t="str">
        <f>HYPERLINK("http://www.lamarewineestate.com/","www.lamarewineestate.com")</f>
        <v>www.lamarewineestate.com</v>
      </c>
      <c r="F497" s="10">
        <v>5</v>
      </c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</row>
    <row r="498" spans="1:65" ht="28.5" customHeight="1" x14ac:dyDescent="0.15">
      <c r="A498" s="34" t="s">
        <v>826</v>
      </c>
      <c r="B498" s="8" t="s">
        <v>5</v>
      </c>
      <c r="C498" s="13" t="s">
        <v>827</v>
      </c>
      <c r="D498" s="13" t="s">
        <v>1</v>
      </c>
      <c r="E498" s="9" t="str">
        <f>HYPERLINK("http://www.marlingsvineyard.co.uk/","www.marlingsvineyard.co.uk")</f>
        <v>www.marlingsvineyard.co.uk</v>
      </c>
      <c r="F498" s="10">
        <v>0.86</v>
      </c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</row>
    <row r="499" spans="1:65" ht="28.5" customHeight="1" x14ac:dyDescent="0.15">
      <c r="A499" s="34" t="s">
        <v>1687</v>
      </c>
      <c r="B499" s="8" t="s">
        <v>30</v>
      </c>
      <c r="C499" s="13" t="s">
        <v>1688</v>
      </c>
      <c r="D499" s="13" t="s">
        <v>1</v>
      </c>
      <c r="E499" s="9" t="str">
        <f>HYPERLINK("http://www.martinslane.co.uk/","www.martinslane.co.uk")</f>
        <v>www.martinslane.co.uk</v>
      </c>
      <c r="F499" s="10">
        <v>8.4657</v>
      </c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</row>
    <row r="500" spans="1:65" ht="28.5" customHeight="1" x14ac:dyDescent="0.15">
      <c r="A500" s="34" t="s">
        <v>1297</v>
      </c>
      <c r="B500" s="8" t="s">
        <v>205</v>
      </c>
      <c r="C500" s="13" t="s">
        <v>1298</v>
      </c>
      <c r="D500" s="13" t="s">
        <v>1</v>
      </c>
      <c r="E500" s="26" t="str">
        <f>HYPERLINK("http://www.maudheathvineyard.co.uk/","www.maudheathvineyard.co.uk")</f>
        <v>www.maudheathvineyard.co.uk</v>
      </c>
      <c r="F500" s="10">
        <v>2.4281999999999999</v>
      </c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</row>
    <row r="501" spans="1:65" ht="28.5" customHeight="1" x14ac:dyDescent="0.15">
      <c r="A501" s="78" t="s">
        <v>441</v>
      </c>
      <c r="B501" s="11" t="s">
        <v>440</v>
      </c>
      <c r="C501" s="13" t="s">
        <v>439</v>
      </c>
      <c r="D501" s="13" t="s">
        <v>43</v>
      </c>
      <c r="E501" s="11"/>
      <c r="F501" s="44">
        <v>0.3</v>
      </c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</row>
    <row r="502" spans="1:65" ht="28.5" customHeight="1" x14ac:dyDescent="0.15">
      <c r="A502" s="34" t="s">
        <v>1472</v>
      </c>
      <c r="B502" s="8" t="s">
        <v>70</v>
      </c>
      <c r="C502" s="13" t="s">
        <v>1473</v>
      </c>
      <c r="D502" s="13" t="s">
        <v>1</v>
      </c>
      <c r="E502" s="12"/>
      <c r="F502" s="14">
        <v>4</v>
      </c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</row>
    <row r="503" spans="1:65" ht="28.5" customHeight="1" x14ac:dyDescent="0.15">
      <c r="A503" s="34" t="s">
        <v>1837</v>
      </c>
      <c r="B503" s="8" t="s">
        <v>30</v>
      </c>
      <c r="C503" s="13" t="s">
        <v>1836</v>
      </c>
      <c r="D503" s="13" t="s">
        <v>1</v>
      </c>
      <c r="E503" s="15" t="s">
        <v>1835</v>
      </c>
      <c r="F503" s="10">
        <v>37.64</v>
      </c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</row>
    <row r="504" spans="1:65" ht="28.5" customHeight="1" x14ac:dyDescent="0.15">
      <c r="A504" s="34" t="s">
        <v>1159</v>
      </c>
      <c r="B504" s="8" t="s">
        <v>195</v>
      </c>
      <c r="C504" s="13" t="s">
        <v>1161</v>
      </c>
      <c r="D504" s="13" t="s">
        <v>1</v>
      </c>
      <c r="E504" s="9" t="str">
        <f>HYPERLINK("http://www.englishorganicwine.co.uk/","www.englishorganicwine.co.uk")</f>
        <v>www.englishorganicwine.co.uk</v>
      </c>
      <c r="F504" s="10">
        <v>1.81</v>
      </c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</row>
    <row r="505" spans="1:65" ht="28.5" customHeight="1" x14ac:dyDescent="0.15">
      <c r="A505" s="34" t="s">
        <v>1809</v>
      </c>
      <c r="B505" s="8" t="s">
        <v>96</v>
      </c>
      <c r="C505" s="13" t="s">
        <v>1808</v>
      </c>
      <c r="D505" s="13" t="s">
        <v>1</v>
      </c>
      <c r="E505" s="9" t="str">
        <f>HYPERLINK("http://www.kingscoteestate.com/","www.kingscoteestate.com")</f>
        <v>www.kingscoteestate.com</v>
      </c>
      <c r="F505" s="10">
        <v>24.281700000000001</v>
      </c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</row>
    <row r="506" spans="1:65" ht="28.5" customHeight="1" x14ac:dyDescent="0.15">
      <c r="A506" s="76" t="s">
        <v>1862</v>
      </c>
      <c r="B506" s="12" t="s">
        <v>9</v>
      </c>
      <c r="C506" s="47" t="s">
        <v>1863</v>
      </c>
      <c r="D506" s="13" t="s">
        <v>1</v>
      </c>
      <c r="E506" s="15" t="s">
        <v>1835</v>
      </c>
      <c r="F506" s="10">
        <v>176.9</v>
      </c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</row>
    <row r="507" spans="1:65" ht="28.5" customHeight="1" x14ac:dyDescent="0.15">
      <c r="A507" s="34" t="s">
        <v>1892</v>
      </c>
      <c r="B507" s="8" t="s">
        <v>9</v>
      </c>
      <c r="C507" s="13" t="s">
        <v>1840</v>
      </c>
      <c r="D507" s="13" t="s">
        <v>1</v>
      </c>
      <c r="E507" s="9" t="str">
        <f>HYPERLINK("http://www.englishorganicwine.co.uk/","www.englishorganicwine.co.uk")</f>
        <v>www.englishorganicwine.co.uk</v>
      </c>
      <c r="F507" s="10">
        <v>40.06</v>
      </c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</row>
    <row r="508" spans="1:65" ht="28.5" customHeight="1" x14ac:dyDescent="0.15">
      <c r="A508" s="34" t="s">
        <v>1349</v>
      </c>
      <c r="B508" s="8" t="s">
        <v>195</v>
      </c>
      <c r="C508" s="13" t="s">
        <v>1160</v>
      </c>
      <c r="D508" s="13" t="s">
        <v>1</v>
      </c>
      <c r="E508" s="9" t="str">
        <f>HYPERLINK("http://www.englishorganicwine.co.uk/","www.englishorganicwine.co.uk")</f>
        <v>www.englishorganicwine.co.uk</v>
      </c>
      <c r="F508" s="10">
        <v>2.8</v>
      </c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</row>
    <row r="509" spans="1:65" ht="28.5" customHeight="1" x14ac:dyDescent="0.15">
      <c r="A509" s="77" t="s">
        <v>1026</v>
      </c>
      <c r="B509" s="11" t="s">
        <v>96</v>
      </c>
      <c r="C509" s="13" t="s">
        <v>1027</v>
      </c>
      <c r="D509" s="56" t="s">
        <v>1</v>
      </c>
      <c r="E509" s="17"/>
      <c r="F509" s="10">
        <v>1.3</v>
      </c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</row>
    <row r="510" spans="1:65" ht="28.5" customHeight="1" x14ac:dyDescent="0.15">
      <c r="A510" s="34" t="s">
        <v>351</v>
      </c>
      <c r="B510" s="8" t="s">
        <v>313</v>
      </c>
      <c r="C510" s="13" t="s">
        <v>352</v>
      </c>
      <c r="D510" s="13" t="s">
        <v>1</v>
      </c>
      <c r="E510" s="8"/>
      <c r="F510" s="10">
        <v>0.2</v>
      </c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</row>
    <row r="511" spans="1:65" ht="28.5" customHeight="1" x14ac:dyDescent="0.15">
      <c r="A511" s="34" t="s">
        <v>500</v>
      </c>
      <c r="B511" s="12" t="s">
        <v>442</v>
      </c>
      <c r="C511" s="13" t="s">
        <v>501</v>
      </c>
      <c r="D511" s="13" t="s">
        <v>43</v>
      </c>
      <c r="E511" s="9" t="str">
        <f>HYPERLINK("https://www.facebook.com/MeadowViewWinery/","facebook.com/MeadowViewWinery")</f>
        <v>facebook.com/MeadowViewWinery</v>
      </c>
      <c r="F511" s="10">
        <v>0.4</v>
      </c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</row>
    <row r="512" spans="1:65" ht="28.5" customHeight="1" x14ac:dyDescent="0.15">
      <c r="A512" s="34" t="s">
        <v>788</v>
      </c>
      <c r="B512" s="8" t="s">
        <v>24</v>
      </c>
      <c r="C512" s="13" t="s">
        <v>789</v>
      </c>
      <c r="D512" s="13" t="s">
        <v>1</v>
      </c>
      <c r="E512" s="9" t="str">
        <f>HYPERLINK("http://www.mvwinery.co.uk/","www.mvwinery.co.uk")</f>
        <v>www.mvwinery.co.uk</v>
      </c>
      <c r="F512" s="10">
        <v>0.8</v>
      </c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</row>
    <row r="513" spans="1:65" ht="28.5" customHeight="1" x14ac:dyDescent="0.15">
      <c r="A513" s="34" t="s">
        <v>267</v>
      </c>
      <c r="B513" s="8" t="s">
        <v>9</v>
      </c>
      <c r="C513" s="13" t="s">
        <v>266</v>
      </c>
      <c r="D513" s="13" t="s">
        <v>1</v>
      </c>
      <c r="E513" s="11"/>
      <c r="F513" s="10">
        <v>0.11</v>
      </c>
      <c r="G513" s="13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</row>
    <row r="514" spans="1:65" ht="28.5" customHeight="1" x14ac:dyDescent="0.15">
      <c r="A514" s="34" t="s">
        <v>1200</v>
      </c>
      <c r="B514" s="8" t="s">
        <v>9</v>
      </c>
      <c r="C514" s="13" t="s">
        <v>1201</v>
      </c>
      <c r="D514" s="13" t="s">
        <v>1</v>
      </c>
      <c r="E514" s="9" t="str">
        <f>HYPERLINK("https://www.meophams.co.uk","www.meophams.co.uk")</f>
        <v>www.meophams.co.uk</v>
      </c>
      <c r="F514" s="10">
        <v>2</v>
      </c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</row>
    <row r="515" spans="1:65" ht="28.5" customHeight="1" x14ac:dyDescent="0.15">
      <c r="A515" s="34" t="s">
        <v>1301</v>
      </c>
      <c r="B515" s="8" t="s">
        <v>9</v>
      </c>
      <c r="C515" s="13" t="s">
        <v>1303</v>
      </c>
      <c r="D515" s="13" t="s">
        <v>1</v>
      </c>
      <c r="E515" s="15" t="s">
        <v>1302</v>
      </c>
      <c r="F515" s="10">
        <v>2.4375</v>
      </c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</row>
    <row r="516" spans="1:65" ht="28.5" customHeight="1" x14ac:dyDescent="0.15">
      <c r="A516" s="81" t="s">
        <v>671</v>
      </c>
      <c r="B516" s="28" t="s">
        <v>86</v>
      </c>
      <c r="C516" s="61" t="s">
        <v>672</v>
      </c>
      <c r="D516" s="13" t="s">
        <v>1</v>
      </c>
      <c r="E516" s="11"/>
      <c r="F516" s="10">
        <v>0.56000000000000005</v>
      </c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</row>
    <row r="517" spans="1:65" ht="28.5" customHeight="1" x14ac:dyDescent="0.15">
      <c r="A517" s="34" t="s">
        <v>1199</v>
      </c>
      <c r="B517" s="8" t="s">
        <v>30</v>
      </c>
      <c r="C517" s="13" t="s">
        <v>1198</v>
      </c>
      <c r="D517" s="13" t="s">
        <v>1</v>
      </c>
      <c r="E517" s="9" t="str">
        <f>HYPERLINK("http://vineyard.merseabrewery.co.uk/home","vineyard.merseabrewery.co.uk")</f>
        <v>vineyard.merseabrewery.co.uk</v>
      </c>
      <c r="F517" s="10">
        <v>2</v>
      </c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</row>
    <row r="518" spans="1:65" ht="28.5" customHeight="1" x14ac:dyDescent="0.15">
      <c r="A518" s="34" t="s">
        <v>966</v>
      </c>
      <c r="B518" s="8" t="s">
        <v>195</v>
      </c>
      <c r="C518" s="13" t="s">
        <v>967</v>
      </c>
      <c r="D518" s="13" t="s">
        <v>1</v>
      </c>
      <c r="E518" s="8"/>
      <c r="F518" s="10">
        <v>1.2</v>
      </c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</row>
    <row r="519" spans="1:65" ht="28.5" customHeight="1" x14ac:dyDescent="0.15">
      <c r="A519" s="78" t="s">
        <v>18</v>
      </c>
      <c r="B519" s="11" t="s">
        <v>5</v>
      </c>
      <c r="C519" s="13" t="s">
        <v>0</v>
      </c>
      <c r="D519" s="13" t="s">
        <v>1</v>
      </c>
      <c r="E519" s="11"/>
      <c r="F519" s="13" t="s">
        <v>0</v>
      </c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</row>
    <row r="520" spans="1:65" ht="28.5" customHeight="1" x14ac:dyDescent="0.15">
      <c r="A520" s="78" t="s">
        <v>1805</v>
      </c>
      <c r="B520" s="11" t="s">
        <v>30</v>
      </c>
      <c r="C520" s="13" t="s">
        <v>1804</v>
      </c>
      <c r="D520" s="13" t="s">
        <v>1</v>
      </c>
      <c r="E520" s="15" t="s">
        <v>1803</v>
      </c>
      <c r="F520" s="27">
        <v>24</v>
      </c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</row>
    <row r="521" spans="1:65" ht="28.5" customHeight="1" x14ac:dyDescent="0.15">
      <c r="A521" s="34" t="s">
        <v>212</v>
      </c>
      <c r="B521" s="8" t="s">
        <v>24</v>
      </c>
      <c r="C521" s="13" t="s">
        <v>211</v>
      </c>
      <c r="D521" s="13" t="s">
        <v>1</v>
      </c>
      <c r="E521" s="8"/>
      <c r="F521" s="16">
        <v>0.1</v>
      </c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</row>
    <row r="522" spans="1:65" ht="28.5" customHeight="1" x14ac:dyDescent="0.15">
      <c r="A522" s="34" t="s">
        <v>491</v>
      </c>
      <c r="B522" s="8" t="s">
        <v>490</v>
      </c>
      <c r="C522" s="13" t="s">
        <v>489</v>
      </c>
      <c r="D522" s="13" t="s">
        <v>47</v>
      </c>
      <c r="E522" s="9" t="str">
        <f>HYPERLINK("http://www.christophertrotter.co.uk/","www.christophertrotter.co.uk")</f>
        <v>www.christophertrotter.co.uk</v>
      </c>
      <c r="F522" s="10">
        <v>0.36580000000000001</v>
      </c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</row>
    <row r="523" spans="1:65" ht="28.5" customHeight="1" x14ac:dyDescent="0.15">
      <c r="A523" s="78" t="s">
        <v>430</v>
      </c>
      <c r="B523" s="11" t="s">
        <v>5</v>
      </c>
      <c r="C523" s="13" t="s">
        <v>429</v>
      </c>
      <c r="D523" s="13" t="s">
        <v>1</v>
      </c>
      <c r="E523" s="11"/>
      <c r="F523" s="45">
        <v>0.27</v>
      </c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</row>
    <row r="524" spans="1:65" ht="28.5" customHeight="1" x14ac:dyDescent="0.15">
      <c r="A524" s="78" t="s">
        <v>983</v>
      </c>
      <c r="B524" s="11" t="s">
        <v>195</v>
      </c>
      <c r="C524" s="13" t="s">
        <v>984</v>
      </c>
      <c r="D524" s="13" t="s">
        <v>1</v>
      </c>
      <c r="E524" s="11"/>
      <c r="F524" s="10">
        <v>1.21</v>
      </c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</row>
    <row r="525" spans="1:65" ht="28.5" customHeight="1" x14ac:dyDescent="0.15">
      <c r="A525" s="34" t="s">
        <v>1094</v>
      </c>
      <c r="B525" s="8" t="s">
        <v>621</v>
      </c>
      <c r="C525" s="13" t="s">
        <v>1095</v>
      </c>
      <c r="D525" s="13" t="s">
        <v>43</v>
      </c>
      <c r="E525" s="8"/>
      <c r="F525" s="10">
        <v>1.61</v>
      </c>
      <c r="G525" s="11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</row>
    <row r="526" spans="1:65" ht="28.5" customHeight="1" x14ac:dyDescent="0.15">
      <c r="A526" s="34" t="s">
        <v>987</v>
      </c>
      <c r="B526" s="17" t="s">
        <v>185</v>
      </c>
      <c r="C526" s="56" t="s">
        <v>988</v>
      </c>
      <c r="D526" s="56" t="s">
        <v>43</v>
      </c>
      <c r="E526" s="29" t="s">
        <v>989</v>
      </c>
      <c r="F526" s="18">
        <v>1.214</v>
      </c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</row>
    <row r="527" spans="1:65" ht="28.5" customHeight="1" x14ac:dyDescent="0.15">
      <c r="A527" s="34" t="s">
        <v>386</v>
      </c>
      <c r="B527" s="17" t="s">
        <v>205</v>
      </c>
      <c r="C527" s="56" t="s">
        <v>387</v>
      </c>
      <c r="D527" s="56" t="s">
        <v>1</v>
      </c>
      <c r="E527" s="17"/>
      <c r="F527" s="18">
        <v>0.21</v>
      </c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</row>
    <row r="528" spans="1:65" ht="28.5" customHeight="1" x14ac:dyDescent="0.15">
      <c r="A528" s="84" t="s">
        <v>1890</v>
      </c>
      <c r="B528" s="8" t="s">
        <v>107</v>
      </c>
      <c r="C528" s="13" t="s">
        <v>1789</v>
      </c>
      <c r="D528" s="13" t="s">
        <v>1</v>
      </c>
      <c r="E528" s="8"/>
      <c r="F528" s="10">
        <v>19</v>
      </c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</row>
    <row r="529" spans="1:65" ht="28.5" customHeight="1" x14ac:dyDescent="0.15">
      <c r="A529" s="80" t="s">
        <v>1034</v>
      </c>
      <c r="B529" s="23" t="s">
        <v>96</v>
      </c>
      <c r="C529" s="58" t="s">
        <v>1035</v>
      </c>
      <c r="D529" s="13" t="s">
        <v>1</v>
      </c>
      <c r="E529" s="11"/>
      <c r="F529" s="10">
        <v>1.39</v>
      </c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</row>
    <row r="530" spans="1:65" ht="28.5" customHeight="1" x14ac:dyDescent="0.15">
      <c r="A530" s="34" t="s">
        <v>1511</v>
      </c>
      <c r="B530" s="8" t="s">
        <v>52</v>
      </c>
      <c r="C530" s="13" t="s">
        <v>1512</v>
      </c>
      <c r="D530" s="13" t="s">
        <v>1</v>
      </c>
      <c r="E530" s="8"/>
      <c r="F530" s="10">
        <v>4.41</v>
      </c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</row>
    <row r="531" spans="1:65" ht="28.5" customHeight="1" x14ac:dyDescent="0.15">
      <c r="A531" s="78" t="s">
        <v>1245</v>
      </c>
      <c r="B531" s="8" t="s">
        <v>195</v>
      </c>
      <c r="C531" s="13" t="s">
        <v>1246</v>
      </c>
      <c r="D531" s="13" t="s">
        <v>1</v>
      </c>
      <c r="E531" s="8"/>
      <c r="F531" s="10">
        <v>2.1120000000000001</v>
      </c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</row>
    <row r="532" spans="1:65" ht="28.5" customHeight="1" x14ac:dyDescent="0.15">
      <c r="A532" s="34" t="s">
        <v>1450</v>
      </c>
      <c r="B532" s="8" t="s">
        <v>9</v>
      </c>
      <c r="C532" s="13" t="s">
        <v>1451</v>
      </c>
      <c r="D532" s="13" t="s">
        <v>1</v>
      </c>
      <c r="E532" s="9" t="str">
        <f>HYPERLINK("http://www.themountvineyard.co.uk/","www.themountvineyard.co.uk")</f>
        <v>www.themountvineyard.co.uk</v>
      </c>
      <c r="F532" s="10">
        <v>3.68</v>
      </c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</row>
    <row r="533" spans="1:65" ht="28.5" customHeight="1" x14ac:dyDescent="0.15">
      <c r="A533" s="34" t="s">
        <v>1417</v>
      </c>
      <c r="B533" s="8" t="s">
        <v>195</v>
      </c>
      <c r="C533" s="47" t="s">
        <v>1416</v>
      </c>
      <c r="D533" s="13" t="s">
        <v>1</v>
      </c>
      <c r="E533" s="9" t="str">
        <f>HYPERLINK("https://www.mountfieldwinery.com","www.mountfieldwinery.com")</f>
        <v>www.mountfieldwinery.com</v>
      </c>
      <c r="F533" s="10">
        <v>3.3</v>
      </c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</row>
    <row r="534" spans="1:65" ht="28.5" customHeight="1" x14ac:dyDescent="0.15">
      <c r="A534" s="34" t="s">
        <v>633</v>
      </c>
      <c r="B534" s="8" t="s">
        <v>195</v>
      </c>
      <c r="C534" s="13" t="s">
        <v>632</v>
      </c>
      <c r="D534" s="13" t="s">
        <v>1</v>
      </c>
      <c r="E534" s="8"/>
      <c r="F534" s="10">
        <v>0.5</v>
      </c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</row>
    <row r="535" spans="1:65" ht="28.5" customHeight="1" x14ac:dyDescent="0.15">
      <c r="A535" s="78" t="s">
        <v>545</v>
      </c>
      <c r="B535" s="12" t="s">
        <v>19</v>
      </c>
      <c r="C535" s="47" t="s">
        <v>543</v>
      </c>
      <c r="D535" s="13" t="s">
        <v>1</v>
      </c>
      <c r="E535" s="15" t="s">
        <v>544</v>
      </c>
      <c r="F535" s="10">
        <v>0.4</v>
      </c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</row>
    <row r="536" spans="1:65" ht="28.5" customHeight="1" x14ac:dyDescent="0.15">
      <c r="A536" s="34" t="s">
        <v>1107</v>
      </c>
      <c r="B536" s="12" t="s">
        <v>58</v>
      </c>
      <c r="C536" s="13" t="s">
        <v>1108</v>
      </c>
      <c r="D536" s="13" t="s">
        <v>1</v>
      </c>
      <c r="E536" s="9" t="str">
        <f>HYPERLINK("http://www.mumfordsvineyard.co.uk/","www.mumfordsvineyard.co.uk")</f>
        <v>www.mumfordsvineyard.co.uk</v>
      </c>
      <c r="F536" s="10">
        <v>1.6194</v>
      </c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</row>
    <row r="537" spans="1:65" ht="28.5" customHeight="1" x14ac:dyDescent="0.15">
      <c r="A537" s="34" t="s">
        <v>1742</v>
      </c>
      <c r="B537" s="8" t="s">
        <v>24</v>
      </c>
      <c r="C537" s="13" t="s">
        <v>1743</v>
      </c>
      <c r="D537" s="13" t="s">
        <v>1</v>
      </c>
      <c r="E537" s="8"/>
      <c r="F537" s="10">
        <v>11.5</v>
      </c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</row>
    <row r="538" spans="1:65" ht="28.5" customHeight="1" x14ac:dyDescent="0.15">
      <c r="A538" s="34" t="s">
        <v>1239</v>
      </c>
      <c r="B538" s="8" t="s">
        <v>9</v>
      </c>
      <c r="C538" s="13" t="s">
        <v>1238</v>
      </c>
      <c r="D538" s="13" t="s">
        <v>1</v>
      </c>
      <c r="E538" s="8"/>
      <c r="F538" s="10">
        <v>2.0499999999999998</v>
      </c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</row>
    <row r="539" spans="1:65" ht="28.5" customHeight="1" x14ac:dyDescent="0.15">
      <c r="A539" s="78" t="s">
        <v>59</v>
      </c>
      <c r="B539" s="11" t="s">
        <v>58</v>
      </c>
      <c r="C539" s="13" t="s">
        <v>57</v>
      </c>
      <c r="D539" s="13" t="s">
        <v>1</v>
      </c>
      <c r="E539" s="15" t="s">
        <v>56</v>
      </c>
      <c r="F539" s="27">
        <v>0.01</v>
      </c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</row>
    <row r="540" spans="1:65" ht="28.5" customHeight="1" x14ac:dyDescent="0.15">
      <c r="A540" s="34" t="s">
        <v>895</v>
      </c>
      <c r="B540" s="8" t="s">
        <v>32</v>
      </c>
      <c r="C540" s="13" t="s">
        <v>896</v>
      </c>
      <c r="D540" s="13" t="s">
        <v>1</v>
      </c>
      <c r="E540" s="8"/>
      <c r="F540" s="10">
        <v>1</v>
      </c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</row>
    <row r="541" spans="1:65" ht="28.5" customHeight="1" x14ac:dyDescent="0.15">
      <c r="A541" s="34" t="s">
        <v>399</v>
      </c>
      <c r="B541" s="8" t="s">
        <v>9</v>
      </c>
      <c r="C541" s="13" t="s">
        <v>398</v>
      </c>
      <c r="D541" s="13" t="s">
        <v>1</v>
      </c>
      <c r="E541" s="9" t="str">
        <f>HYPERLINK("http://www.brogdalecollections.co.uk/","www.brogdalecollections.co.uk")</f>
        <v>www.brogdalecollections.co.uk</v>
      </c>
      <c r="F541" s="10">
        <v>0.24</v>
      </c>
      <c r="G541" s="11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  <c r="BH541" s="20"/>
      <c r="BI541" s="20"/>
      <c r="BJ541" s="20"/>
      <c r="BK541" s="20"/>
      <c r="BL541" s="20"/>
      <c r="BM541" s="20"/>
    </row>
    <row r="542" spans="1:65" ht="28.5" customHeight="1" x14ac:dyDescent="0.15">
      <c r="A542" s="78" t="s">
        <v>17</v>
      </c>
      <c r="B542" s="11" t="s">
        <v>16</v>
      </c>
      <c r="C542" s="13" t="s">
        <v>0</v>
      </c>
      <c r="D542" s="13" t="s">
        <v>1</v>
      </c>
      <c r="E542" s="11"/>
      <c r="F542" s="13" t="s">
        <v>0</v>
      </c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</row>
    <row r="543" spans="1:65" ht="28.5" customHeight="1" x14ac:dyDescent="0.15">
      <c r="A543" s="34" t="s">
        <v>1846</v>
      </c>
      <c r="B543" s="8" t="s">
        <v>30</v>
      </c>
      <c r="C543" s="13" t="s">
        <v>1828</v>
      </c>
      <c r="D543" s="13" t="s">
        <v>1</v>
      </c>
      <c r="E543" s="9" t="str">
        <f>HYPERLINK("http://www.newhallwines.co.uk/","www.newhallwines.co.uk")</f>
        <v>www.newhallwines.co.uk</v>
      </c>
      <c r="F543" s="10">
        <v>44.61</v>
      </c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</row>
    <row r="544" spans="1:65" ht="28.5" customHeight="1" x14ac:dyDescent="0.15">
      <c r="A544" s="34" t="s">
        <v>1725</v>
      </c>
      <c r="B544" s="8" t="s">
        <v>195</v>
      </c>
      <c r="C544" s="13" t="s">
        <v>1726</v>
      </c>
      <c r="D544" s="13" t="s">
        <v>1</v>
      </c>
      <c r="E544" s="8"/>
      <c r="F544" s="10">
        <v>10.32</v>
      </c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</row>
    <row r="545" spans="1:65" ht="28.5" customHeight="1" x14ac:dyDescent="0.15">
      <c r="A545" s="34" t="s">
        <v>590</v>
      </c>
      <c r="B545" s="8" t="s">
        <v>110</v>
      </c>
      <c r="C545" s="13" t="s">
        <v>591</v>
      </c>
      <c r="D545" s="13" t="s">
        <v>1</v>
      </c>
      <c r="E545" s="9" t="str">
        <f>HYPERLINK("http://www.newlodgevineyard.co.uk/","www.newlodgevineyard.co.uk")</f>
        <v>www.newlodgevineyard.co.uk</v>
      </c>
      <c r="F545" s="10">
        <v>0.40489999999999998</v>
      </c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</row>
    <row r="546" spans="1:65" ht="28.5" customHeight="1" x14ac:dyDescent="0.15">
      <c r="A546" s="34" t="s">
        <v>1197</v>
      </c>
      <c r="B546" s="8" t="s">
        <v>195</v>
      </c>
      <c r="C546" s="13" t="s">
        <v>1196</v>
      </c>
      <c r="D546" s="13" t="s">
        <v>1</v>
      </c>
      <c r="E546" s="9"/>
      <c r="F546" s="10">
        <v>2</v>
      </c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</row>
    <row r="547" spans="1:65" ht="28.5" customHeight="1" x14ac:dyDescent="0.15">
      <c r="A547" s="35" t="s">
        <v>894</v>
      </c>
      <c r="B547" s="8" t="s">
        <v>96</v>
      </c>
      <c r="C547" s="13" t="s">
        <v>893</v>
      </c>
      <c r="D547" s="13" t="s">
        <v>1</v>
      </c>
      <c r="E547" s="9"/>
      <c r="F547" s="10">
        <v>1</v>
      </c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</row>
    <row r="548" spans="1:65" ht="28.5" customHeight="1" x14ac:dyDescent="0.15">
      <c r="A548" s="78" t="s">
        <v>814</v>
      </c>
      <c r="B548" s="11" t="s">
        <v>9</v>
      </c>
      <c r="C548" s="13" t="s">
        <v>813</v>
      </c>
      <c r="D548" s="13" t="s">
        <v>1</v>
      </c>
      <c r="E548" s="11"/>
      <c r="F548" s="27">
        <v>0.81</v>
      </c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</row>
    <row r="549" spans="1:65" ht="28.5" customHeight="1" x14ac:dyDescent="0.15">
      <c r="A549" s="78" t="s">
        <v>15</v>
      </c>
      <c r="B549" s="11" t="s">
        <v>14</v>
      </c>
      <c r="C549" s="13" t="s">
        <v>0</v>
      </c>
      <c r="D549" s="13" t="s">
        <v>1</v>
      </c>
      <c r="E549" s="11"/>
      <c r="F549" s="13" t="s">
        <v>0</v>
      </c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</row>
    <row r="550" spans="1:65" ht="28.5" customHeight="1" x14ac:dyDescent="0.15">
      <c r="A550" s="77" t="s">
        <v>1022</v>
      </c>
      <c r="B550" s="20" t="s">
        <v>67</v>
      </c>
      <c r="C550" s="60" t="s">
        <v>1023</v>
      </c>
      <c r="D550" s="56" t="s">
        <v>1</v>
      </c>
      <c r="E550" s="17"/>
      <c r="F550" s="10">
        <v>1.28</v>
      </c>
      <c r="G550" s="13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</row>
    <row r="551" spans="1:65" ht="28.5" customHeight="1" x14ac:dyDescent="0.15">
      <c r="A551" s="34" t="s">
        <v>153</v>
      </c>
      <c r="B551" s="8" t="s">
        <v>107</v>
      </c>
      <c r="C551" s="13" t="s">
        <v>152</v>
      </c>
      <c r="D551" s="13" t="s">
        <v>1</v>
      </c>
      <c r="E551" s="8"/>
      <c r="F551" s="10">
        <v>7.1900000000000006E-2</v>
      </c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</row>
    <row r="552" spans="1:65" ht="28.5" customHeight="1" x14ac:dyDescent="0.15">
      <c r="A552" s="34" t="s">
        <v>604</v>
      </c>
      <c r="B552" s="8" t="s">
        <v>5</v>
      </c>
      <c r="C552" s="13" t="s">
        <v>603</v>
      </c>
      <c r="D552" s="13" t="s">
        <v>1</v>
      </c>
      <c r="E552" s="9" t="s">
        <v>602</v>
      </c>
      <c r="F552" s="10">
        <v>0.44</v>
      </c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</row>
    <row r="553" spans="1:65" ht="28.5" customHeight="1" x14ac:dyDescent="0.15">
      <c r="A553" s="34" t="s">
        <v>134</v>
      </c>
      <c r="B553" s="8" t="s">
        <v>133</v>
      </c>
      <c r="C553" s="13" t="s">
        <v>132</v>
      </c>
      <c r="D553" s="13" t="s">
        <v>1</v>
      </c>
      <c r="E553" s="8"/>
      <c r="F553" s="10">
        <v>0.05</v>
      </c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</row>
    <row r="554" spans="1:65" ht="28.5" customHeight="1" x14ac:dyDescent="0.15">
      <c r="A554" s="34" t="s">
        <v>1689</v>
      </c>
      <c r="B554" s="8" t="s">
        <v>5</v>
      </c>
      <c r="C554" s="13" t="s">
        <v>1690</v>
      </c>
      <c r="D554" s="13" t="s">
        <v>1</v>
      </c>
      <c r="E554" s="8"/>
      <c r="F554" s="10">
        <v>8.5</v>
      </c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</row>
    <row r="555" spans="1:65" ht="28.5" customHeight="1" x14ac:dyDescent="0.15">
      <c r="A555" s="34" t="s">
        <v>1711</v>
      </c>
      <c r="B555" s="8" t="s">
        <v>96</v>
      </c>
      <c r="C555" s="13" t="s">
        <v>1611</v>
      </c>
      <c r="D555" s="13" t="s">
        <v>1</v>
      </c>
      <c r="E555" s="9" t="str">
        <f>HYPERLINK("http://www.nutbournevineyards.com/","www.nutbournevineyards.com")</f>
        <v>www.nutbournevineyards.com</v>
      </c>
      <c r="F555" s="10">
        <v>9.51</v>
      </c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</row>
    <row r="556" spans="1:65" ht="28.5" customHeight="1" x14ac:dyDescent="0.15">
      <c r="A556" s="34" t="s">
        <v>1813</v>
      </c>
      <c r="B556" s="8" t="s">
        <v>5</v>
      </c>
      <c r="C556" s="13" t="s">
        <v>1812</v>
      </c>
      <c r="D556" s="13" t="s">
        <v>1</v>
      </c>
      <c r="E556" s="9" t="str">
        <f t="shared" ref="E556:E567" si="1">HYPERLINK("http://www.nyetimber.com/","www.nyetimber.com")</f>
        <v>www.nyetimber.com</v>
      </c>
      <c r="F556" s="10">
        <v>25.5</v>
      </c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</row>
    <row r="557" spans="1:65" ht="28.5" customHeight="1" x14ac:dyDescent="0.15">
      <c r="A557" s="34" t="s">
        <v>1788</v>
      </c>
      <c r="B557" s="12" t="s">
        <v>9</v>
      </c>
      <c r="C557" s="47" t="s">
        <v>1787</v>
      </c>
      <c r="D557" s="47" t="s">
        <v>1</v>
      </c>
      <c r="E557" s="26" t="str">
        <f t="shared" si="1"/>
        <v>www.nyetimber.com</v>
      </c>
      <c r="F557" s="10">
        <v>19</v>
      </c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</row>
    <row r="558" spans="1:65" ht="28.5" customHeight="1" x14ac:dyDescent="0.15">
      <c r="A558" s="34" t="s">
        <v>1796</v>
      </c>
      <c r="B558" s="8" t="s">
        <v>96</v>
      </c>
      <c r="C558" s="13" t="s">
        <v>1797</v>
      </c>
      <c r="D558" s="47" t="s">
        <v>1</v>
      </c>
      <c r="E558" s="26" t="str">
        <f t="shared" si="1"/>
        <v>www.nyetimber.com</v>
      </c>
      <c r="F558" s="10">
        <v>21</v>
      </c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</row>
    <row r="559" spans="1:65" ht="28.5" customHeight="1" x14ac:dyDescent="0.15">
      <c r="A559" s="34" t="s">
        <v>1831</v>
      </c>
      <c r="B559" s="8" t="s">
        <v>5</v>
      </c>
      <c r="C559" s="13" t="s">
        <v>1830</v>
      </c>
      <c r="D559" s="13" t="s">
        <v>1</v>
      </c>
      <c r="E559" s="9" t="str">
        <f t="shared" si="1"/>
        <v>www.nyetimber.com</v>
      </c>
      <c r="F559" s="10">
        <v>32.81</v>
      </c>
      <c r="G559" s="11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/>
      <c r="BG559" s="20"/>
      <c r="BH559" s="20"/>
      <c r="BI559" s="20"/>
      <c r="BJ559" s="20"/>
      <c r="BK559" s="20"/>
      <c r="BL559" s="20"/>
      <c r="BM559" s="20"/>
    </row>
    <row r="560" spans="1:65" ht="28.5" customHeight="1" x14ac:dyDescent="0.15">
      <c r="A560" s="34" t="s">
        <v>1853</v>
      </c>
      <c r="B560" s="8" t="s">
        <v>96</v>
      </c>
      <c r="C560" s="47" t="s">
        <v>1852</v>
      </c>
      <c r="D560" s="13" t="s">
        <v>1</v>
      </c>
      <c r="E560" s="9" t="str">
        <f t="shared" si="1"/>
        <v>www.nyetimber.com</v>
      </c>
      <c r="F560" s="10">
        <v>47.2</v>
      </c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</row>
    <row r="561" spans="1:65" ht="28.5" customHeight="1" x14ac:dyDescent="0.15">
      <c r="A561" s="34" t="s">
        <v>1817</v>
      </c>
      <c r="B561" s="8" t="s">
        <v>9</v>
      </c>
      <c r="C561" s="13" t="s">
        <v>1760</v>
      </c>
      <c r="D561" s="13" t="s">
        <v>1</v>
      </c>
      <c r="E561" s="9" t="str">
        <f t="shared" si="1"/>
        <v>www.nyetimber.com</v>
      </c>
      <c r="F561" s="10">
        <v>28</v>
      </c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</row>
    <row r="562" spans="1:65" ht="28.5" customHeight="1" x14ac:dyDescent="0.15">
      <c r="A562" s="34" t="s">
        <v>1841</v>
      </c>
      <c r="B562" s="12" t="s">
        <v>96</v>
      </c>
      <c r="C562" s="47" t="s">
        <v>1611</v>
      </c>
      <c r="D562" s="47" t="s">
        <v>1</v>
      </c>
      <c r="E562" s="26" t="str">
        <f t="shared" si="1"/>
        <v>www.nyetimber.com</v>
      </c>
      <c r="F562" s="14">
        <v>42</v>
      </c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</row>
    <row r="563" spans="1:65" ht="28.5" customHeight="1" x14ac:dyDescent="0.15">
      <c r="A563" s="34" t="s">
        <v>1834</v>
      </c>
      <c r="B563" s="8" t="s">
        <v>96</v>
      </c>
      <c r="C563" s="13" t="s">
        <v>1746</v>
      </c>
      <c r="D563" s="13" t="s">
        <v>1</v>
      </c>
      <c r="E563" s="9" t="str">
        <f t="shared" si="1"/>
        <v>www.nyetimber.com</v>
      </c>
      <c r="F563" s="10">
        <v>37.39</v>
      </c>
      <c r="G563" s="11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</row>
    <row r="564" spans="1:65" ht="28.5" customHeight="1" x14ac:dyDescent="0.15">
      <c r="A564" s="34" t="s">
        <v>1613</v>
      </c>
      <c r="B564" s="8" t="s">
        <v>96</v>
      </c>
      <c r="C564" s="13" t="s">
        <v>1612</v>
      </c>
      <c r="D564" s="13" t="s">
        <v>1</v>
      </c>
      <c r="E564" s="9" t="str">
        <f t="shared" si="1"/>
        <v>www.nyetimber.com</v>
      </c>
      <c r="F564" s="10">
        <v>6.35</v>
      </c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</row>
    <row r="565" spans="1:65" ht="28.5" customHeight="1" x14ac:dyDescent="0.15">
      <c r="A565" s="34" t="s">
        <v>1747</v>
      </c>
      <c r="B565" s="8" t="s">
        <v>96</v>
      </c>
      <c r="C565" s="13" t="s">
        <v>1746</v>
      </c>
      <c r="D565" s="13" t="s">
        <v>1</v>
      </c>
      <c r="E565" s="9" t="str">
        <f t="shared" si="1"/>
        <v>www.nyetimber.com</v>
      </c>
      <c r="F565" s="10">
        <v>11.79</v>
      </c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</row>
    <row r="566" spans="1:65" ht="28.5" customHeight="1" x14ac:dyDescent="0.15">
      <c r="A566" s="34" t="s">
        <v>1843</v>
      </c>
      <c r="B566" s="8" t="s">
        <v>9</v>
      </c>
      <c r="C566" s="13" t="s">
        <v>1842</v>
      </c>
      <c r="D566" s="13" t="s">
        <v>1</v>
      </c>
      <c r="E566" s="9" t="str">
        <f t="shared" si="1"/>
        <v>www.nyetimber.com</v>
      </c>
      <c r="F566" s="10">
        <v>43</v>
      </c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</row>
    <row r="567" spans="1:65" ht="28.5" customHeight="1" x14ac:dyDescent="0.15">
      <c r="A567" s="34" t="s">
        <v>1675</v>
      </c>
      <c r="B567" s="8" t="s">
        <v>96</v>
      </c>
      <c r="C567" s="13" t="s">
        <v>1674</v>
      </c>
      <c r="D567" s="13" t="s">
        <v>1</v>
      </c>
      <c r="E567" s="9" t="str">
        <f t="shared" si="1"/>
        <v>www.nyetimber.com</v>
      </c>
      <c r="F567" s="10">
        <v>8.07</v>
      </c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</row>
    <row r="568" spans="1:65" ht="28.5" customHeight="1" x14ac:dyDescent="0.15">
      <c r="A568" s="34" t="s">
        <v>542</v>
      </c>
      <c r="B568" s="8" t="s">
        <v>52</v>
      </c>
      <c r="C568" s="13" t="s">
        <v>541</v>
      </c>
      <c r="D568" s="13" t="s">
        <v>1</v>
      </c>
      <c r="E568" s="9" t="str">
        <f>HYPERLINK("http://www.oak-hill.co.uk/","www.oak-hill.co.uk")</f>
        <v>www.oak-hill.co.uk</v>
      </c>
      <c r="F568" s="10">
        <v>0.4</v>
      </c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</row>
    <row r="569" spans="1:65" ht="28.5" customHeight="1" x14ac:dyDescent="0.15">
      <c r="A569" s="35" t="s">
        <v>1072</v>
      </c>
      <c r="B569" s="8" t="s">
        <v>313</v>
      </c>
      <c r="C569" s="13" t="s">
        <v>1071</v>
      </c>
      <c r="D569" s="13" t="s">
        <v>1</v>
      </c>
      <c r="E569" s="9" t="str">
        <f>HYPERLINK("https://www.facebook.com/OakenGroveVineyard/","facebook.com/OakenGroveVineyard")</f>
        <v>facebook.com/OakenGroveVineyard</v>
      </c>
      <c r="F569" s="10">
        <v>1.5</v>
      </c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</row>
    <row r="570" spans="1:65" ht="28.5" customHeight="1" x14ac:dyDescent="0.15">
      <c r="A570" s="78" t="s">
        <v>1513</v>
      </c>
      <c r="B570" s="8" t="s">
        <v>195</v>
      </c>
      <c r="C570" s="13" t="s">
        <v>1515</v>
      </c>
      <c r="D570" s="13" t="s">
        <v>1</v>
      </c>
      <c r="E570" s="9" t="s">
        <v>1514</v>
      </c>
      <c r="F570" s="10">
        <v>4.5</v>
      </c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</row>
    <row r="571" spans="1:65" ht="28.5" customHeight="1" x14ac:dyDescent="0.15">
      <c r="A571" s="34" t="s">
        <v>891</v>
      </c>
      <c r="B571" s="8" t="s">
        <v>19</v>
      </c>
      <c r="C571" s="13" t="s">
        <v>892</v>
      </c>
      <c r="D571" s="13" t="s">
        <v>1</v>
      </c>
      <c r="E571" s="9" t="str">
        <f>HYPERLINK("http://www.oatleyvineyard.co.uk/","www.oatleyvineyard.co.uk")</f>
        <v>www.oatleyvineyard.co.uk</v>
      </c>
      <c r="F571" s="10">
        <v>1</v>
      </c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</row>
    <row r="572" spans="1:65" ht="28.5" customHeight="1" x14ac:dyDescent="0.15">
      <c r="A572" s="34" t="s">
        <v>1347</v>
      </c>
      <c r="B572" s="8" t="s">
        <v>195</v>
      </c>
      <c r="C572" s="13" t="s">
        <v>1348</v>
      </c>
      <c r="D572" s="13" t="s">
        <v>1</v>
      </c>
      <c r="E572" s="9" t="str">
        <f>HYPERLINK("http://www.offthelinevineyard.com/","www.offthelinevineyard.com")</f>
        <v>www.offthelinevineyard.com</v>
      </c>
      <c r="F572" s="14">
        <v>2.8</v>
      </c>
      <c r="G572" s="11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</row>
    <row r="573" spans="1:65" ht="28.5" customHeight="1" x14ac:dyDescent="0.15">
      <c r="A573" s="34" t="s">
        <v>1123</v>
      </c>
      <c r="B573" s="8" t="s">
        <v>67</v>
      </c>
      <c r="C573" s="13" t="s">
        <v>1122</v>
      </c>
      <c r="D573" s="13" t="s">
        <v>1</v>
      </c>
      <c r="E573" s="9" t="s">
        <v>1121</v>
      </c>
      <c r="F573" s="16">
        <v>1.65</v>
      </c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</row>
    <row r="574" spans="1:65" ht="28.5" customHeight="1" x14ac:dyDescent="0.15">
      <c r="A574" s="78" t="s">
        <v>149</v>
      </c>
      <c r="B574" s="8" t="s">
        <v>16</v>
      </c>
      <c r="C574" s="13" t="s">
        <v>148</v>
      </c>
      <c r="D574" s="13" t="s">
        <v>1</v>
      </c>
      <c r="E574" s="11"/>
      <c r="F574" s="13">
        <v>6.25E-2</v>
      </c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</row>
    <row r="575" spans="1:65" ht="28.5" customHeight="1" x14ac:dyDescent="0.15">
      <c r="A575" s="34" t="s">
        <v>1112</v>
      </c>
      <c r="B575" s="8" t="s">
        <v>52</v>
      </c>
      <c r="C575" s="13" t="s">
        <v>1111</v>
      </c>
      <c r="D575" s="13" t="s">
        <v>1</v>
      </c>
      <c r="E575" s="8"/>
      <c r="F575" s="10">
        <v>1.62</v>
      </c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</row>
    <row r="576" spans="1:65" ht="28.5" customHeight="1" x14ac:dyDescent="0.15">
      <c r="A576" s="34" t="s">
        <v>1391</v>
      </c>
      <c r="B576" s="8" t="s">
        <v>16</v>
      </c>
      <c r="C576" s="13" t="s">
        <v>1392</v>
      </c>
      <c r="D576" s="13" t="s">
        <v>1</v>
      </c>
      <c r="E576" s="9" t="str">
        <f>HYPERLINK("http://www.oldwallsvineyard.co.uk/","www.oldwallsvineyard.co.uk")</f>
        <v>www.oldwallsvineyard.co.uk</v>
      </c>
      <c r="F576" s="10">
        <v>3</v>
      </c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</row>
    <row r="577" spans="1:65" ht="28.5" customHeight="1" x14ac:dyDescent="0.15">
      <c r="A577" s="34" t="s">
        <v>322</v>
      </c>
      <c r="B577" s="8" t="s">
        <v>24</v>
      </c>
      <c r="C577" s="13" t="s">
        <v>321</v>
      </c>
      <c r="D577" s="13" t="s">
        <v>1</v>
      </c>
      <c r="E577" s="8"/>
      <c r="F577" s="16">
        <v>0.17549999999999999</v>
      </c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</row>
    <row r="578" spans="1:65" ht="28.5" customHeight="1" x14ac:dyDescent="0.15">
      <c r="A578" s="34" t="s">
        <v>55</v>
      </c>
      <c r="B578" s="8" t="s">
        <v>21</v>
      </c>
      <c r="C578" s="13" t="s">
        <v>54</v>
      </c>
      <c r="D578" s="13" t="s">
        <v>1</v>
      </c>
      <c r="E578" s="9" t="str">
        <f>HYPERLINK("http://www.oldingmanor.co.uk/","www.oldingmanor.co.uk")</f>
        <v>www.oldingmanor.co.uk</v>
      </c>
      <c r="F578" s="10">
        <v>0.01</v>
      </c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</row>
    <row r="579" spans="1:65" ht="28.5" customHeight="1" x14ac:dyDescent="0.15">
      <c r="A579" s="34" t="s">
        <v>81</v>
      </c>
      <c r="B579" s="8" t="s">
        <v>30</v>
      </c>
      <c r="C579" s="13" t="s">
        <v>80</v>
      </c>
      <c r="D579" s="13" t="s">
        <v>1</v>
      </c>
      <c r="E579" s="9" t="str">
        <f>HYPERLINK("http://www.essex-bed-breakfast.co.uk/","www.essex-bed-breakfast.co.uk")</f>
        <v>www.essex-bed-breakfast.co.uk</v>
      </c>
      <c r="F579" s="10">
        <v>1.7000000000000001E-2</v>
      </c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</row>
    <row r="580" spans="1:65" ht="28.5" customHeight="1" x14ac:dyDescent="0.15">
      <c r="A580" s="34" t="s">
        <v>455</v>
      </c>
      <c r="B580" s="8" t="s">
        <v>313</v>
      </c>
      <c r="C580" s="13" t="s">
        <v>454</v>
      </c>
      <c r="D580" s="13" t="s">
        <v>1</v>
      </c>
      <c r="E580" s="9"/>
      <c r="F580" s="10">
        <v>0.3</v>
      </c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</row>
    <row r="581" spans="1:65" ht="28.5" customHeight="1" x14ac:dyDescent="0.15">
      <c r="A581" s="34" t="s">
        <v>1179</v>
      </c>
      <c r="B581" s="12" t="s">
        <v>70</v>
      </c>
      <c r="C581" s="47" t="s">
        <v>1177</v>
      </c>
      <c r="D581" s="13" t="s">
        <v>1</v>
      </c>
      <c r="E581" s="9" t="s">
        <v>1178</v>
      </c>
      <c r="F581" s="10">
        <v>1.98</v>
      </c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</row>
    <row r="582" spans="1:65" ht="28.5" customHeight="1" x14ac:dyDescent="0.15">
      <c r="A582" s="34" t="s">
        <v>210</v>
      </c>
      <c r="B582" s="8" t="s">
        <v>24</v>
      </c>
      <c r="C582" s="13" t="s">
        <v>209</v>
      </c>
      <c r="D582" s="13" t="s">
        <v>1</v>
      </c>
      <c r="E582" s="8"/>
      <c r="F582" s="19">
        <v>0.1</v>
      </c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</row>
    <row r="583" spans="1:65" ht="28.5" customHeight="1" x14ac:dyDescent="0.15">
      <c r="A583" s="34" t="s">
        <v>1764</v>
      </c>
      <c r="B583" s="8" t="s">
        <v>195</v>
      </c>
      <c r="C583" s="13" t="s">
        <v>1765</v>
      </c>
      <c r="D583" s="13" t="s">
        <v>1</v>
      </c>
      <c r="E583" s="9" t="str">
        <f>HYPERLINK("http://www.oxneyestate.com/","www.oxneyestate.com")</f>
        <v>www.oxneyestate.com</v>
      </c>
      <c r="F583" s="10">
        <v>13.928000000000001</v>
      </c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</row>
    <row r="584" spans="1:65" ht="28.5" customHeight="1" x14ac:dyDescent="0.15">
      <c r="A584" s="34" t="s">
        <v>753</v>
      </c>
      <c r="B584" s="8" t="s">
        <v>64</v>
      </c>
      <c r="C584" s="13" t="s">
        <v>754</v>
      </c>
      <c r="D584" s="13" t="s">
        <v>1</v>
      </c>
      <c r="E584" s="9" t="str">
        <f>HYPERLINK("http://www.painshill.co.uk/","www.painshill.co.uk")</f>
        <v>www.painshill.co.uk</v>
      </c>
      <c r="F584" s="10">
        <v>0.73</v>
      </c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</row>
    <row r="585" spans="1:65" ht="28.5" customHeight="1" x14ac:dyDescent="0.15">
      <c r="A585" s="34" t="s">
        <v>540</v>
      </c>
      <c r="B585" s="8" t="s">
        <v>110</v>
      </c>
      <c r="C585" s="13" t="s">
        <v>538</v>
      </c>
      <c r="D585" s="13" t="s">
        <v>1</v>
      </c>
      <c r="E585" s="15" t="s">
        <v>539</v>
      </c>
      <c r="F585" s="10">
        <v>0.4</v>
      </c>
      <c r="G585" s="11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</row>
    <row r="586" spans="1:65" ht="28.5" customHeight="1" x14ac:dyDescent="0.15">
      <c r="A586" s="34" t="s">
        <v>1025</v>
      </c>
      <c r="B586" s="8" t="s">
        <v>12</v>
      </c>
      <c r="C586" s="13" t="s">
        <v>1024</v>
      </c>
      <c r="D586" s="13" t="s">
        <v>1</v>
      </c>
      <c r="E586" s="9" t="str">
        <f>HYPERLINK("https://www.paleparkvineyard.co.uk","www.paleparkvineyard.co.uk")</f>
        <v>www.paleparkvineyard.co.uk</v>
      </c>
      <c r="F586" s="10">
        <v>1.3</v>
      </c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</row>
    <row r="587" spans="1:65" ht="28.5" customHeight="1" x14ac:dyDescent="0.15">
      <c r="A587" s="34" t="s">
        <v>1361</v>
      </c>
      <c r="B587" s="8" t="s">
        <v>440</v>
      </c>
      <c r="C587" s="13" t="s">
        <v>1362</v>
      </c>
      <c r="D587" s="13" t="s">
        <v>43</v>
      </c>
      <c r="E587" s="9" t="str">
        <f>HYPERLINK("http://www.pantdu.co.uk/","www.pantdu.co.uk")</f>
        <v>www.pantdu.co.uk</v>
      </c>
      <c r="F587" s="10">
        <v>2.8340000000000001</v>
      </c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</row>
    <row r="588" spans="1:65" ht="28.5" customHeight="1" x14ac:dyDescent="0.15">
      <c r="A588" s="78" t="s">
        <v>13</v>
      </c>
      <c r="B588" s="11" t="s">
        <v>12</v>
      </c>
      <c r="C588" s="13" t="s">
        <v>11</v>
      </c>
      <c r="D588" s="13" t="s">
        <v>1</v>
      </c>
      <c r="E588" s="11"/>
      <c r="F588" s="13" t="s">
        <v>0</v>
      </c>
      <c r="G588" s="11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  <c r="BC588" s="20"/>
      <c r="BD588" s="20"/>
      <c r="BE588" s="20"/>
      <c r="BF588" s="20"/>
      <c r="BG588" s="20"/>
      <c r="BH588" s="20"/>
      <c r="BI588" s="20"/>
      <c r="BJ588" s="20"/>
      <c r="BK588" s="20"/>
      <c r="BL588" s="20"/>
      <c r="BM588" s="20"/>
    </row>
    <row r="589" spans="1:65" ht="28.5" customHeight="1" x14ac:dyDescent="0.15">
      <c r="A589" s="34" t="s">
        <v>536</v>
      </c>
      <c r="B589" s="8" t="s">
        <v>24</v>
      </c>
      <c r="C589" s="13" t="s">
        <v>537</v>
      </c>
      <c r="D589" s="13" t="s">
        <v>1</v>
      </c>
      <c r="E589" s="8"/>
      <c r="F589" s="10">
        <v>0.4</v>
      </c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</row>
    <row r="590" spans="1:65" ht="28.5" customHeight="1" x14ac:dyDescent="0.15">
      <c r="A590" s="78" t="s">
        <v>1896</v>
      </c>
      <c r="B590" s="11" t="s">
        <v>41</v>
      </c>
      <c r="C590" s="13" t="s">
        <v>0</v>
      </c>
      <c r="D590" s="13" t="s">
        <v>1</v>
      </c>
      <c r="E590" s="11"/>
      <c r="F590" s="24">
        <v>1.5</v>
      </c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</row>
    <row r="591" spans="1:65" ht="28.5" customHeight="1" x14ac:dyDescent="0.15">
      <c r="A591" s="80" t="s">
        <v>1195</v>
      </c>
      <c r="B591" s="23" t="s">
        <v>9</v>
      </c>
      <c r="C591" s="58" t="s">
        <v>1194</v>
      </c>
      <c r="D591" s="13" t="s">
        <v>1</v>
      </c>
      <c r="E591" s="11"/>
      <c r="F591" s="10">
        <v>2</v>
      </c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</row>
    <row r="592" spans="1:65" ht="28.5" customHeight="1" x14ac:dyDescent="0.15">
      <c r="A592" s="78" t="s">
        <v>1193</v>
      </c>
      <c r="B592" s="11" t="s">
        <v>78</v>
      </c>
      <c r="C592" s="13" t="s">
        <v>1192</v>
      </c>
      <c r="D592" s="13" t="s">
        <v>1</v>
      </c>
      <c r="E592" s="11"/>
      <c r="F592" s="10">
        <v>2</v>
      </c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</row>
    <row r="593" spans="1:65" ht="28.5" customHeight="1" x14ac:dyDescent="0.15">
      <c r="A593" s="34" t="s">
        <v>852</v>
      </c>
      <c r="B593" s="8" t="s">
        <v>621</v>
      </c>
      <c r="C593" s="13" t="s">
        <v>853</v>
      </c>
      <c r="D593" s="13" t="s">
        <v>43</v>
      </c>
      <c r="E593" s="9" t="str">
        <f>HYPERLINK("http://www.parvafarm.com/","www.parvafarm.com")</f>
        <v>www.parvafarm.com</v>
      </c>
      <c r="F593" s="10">
        <v>0.99399999999999999</v>
      </c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</row>
    <row r="594" spans="1:65" ht="28.5" customHeight="1" x14ac:dyDescent="0.15">
      <c r="A594" s="77" t="s">
        <v>534</v>
      </c>
      <c r="B594" s="20" t="s">
        <v>30</v>
      </c>
      <c r="C594" s="13" t="s">
        <v>535</v>
      </c>
      <c r="D594" s="56" t="s">
        <v>1</v>
      </c>
      <c r="E594" s="29" t="str">
        <f>HYPERLINK("https://www.parvillsfarm.com/parvills-vineyard","www.parvillsfarm.com")</f>
        <v>www.parvillsfarm.com</v>
      </c>
      <c r="F594" s="10">
        <v>0.4</v>
      </c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</row>
    <row r="595" spans="1:65" ht="28.5" customHeight="1" x14ac:dyDescent="0.15">
      <c r="A595" s="34" t="s">
        <v>1556</v>
      </c>
      <c r="B595" s="8" t="s">
        <v>556</v>
      </c>
      <c r="C595" s="47" t="s">
        <v>1558</v>
      </c>
      <c r="D595" s="13" t="s">
        <v>1</v>
      </c>
      <c r="E595" s="9" t="s">
        <v>1557</v>
      </c>
      <c r="F595" s="10">
        <v>5.31</v>
      </c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</row>
    <row r="596" spans="1:65" ht="28.5" customHeight="1" x14ac:dyDescent="0.15">
      <c r="A596" s="34" t="s">
        <v>741</v>
      </c>
      <c r="B596" s="8" t="s">
        <v>205</v>
      </c>
      <c r="C596" s="13" t="s">
        <v>740</v>
      </c>
      <c r="D596" s="13" t="s">
        <v>1</v>
      </c>
      <c r="E596" s="9" t="str">
        <f>HYPERLINK("http://www.peartreepurton.co.uk/","www.peartreepurton.co.uk")</f>
        <v>www.peartreepurton.co.uk</v>
      </c>
      <c r="F596" s="10">
        <v>0.7</v>
      </c>
      <c r="G596" s="11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</row>
    <row r="597" spans="1:65" ht="28.5" customHeight="1" x14ac:dyDescent="0.15">
      <c r="A597" s="34" t="s">
        <v>994</v>
      </c>
      <c r="B597" s="8" t="s">
        <v>195</v>
      </c>
      <c r="C597" s="13" t="s">
        <v>993</v>
      </c>
      <c r="D597" s="13" t="s">
        <v>1</v>
      </c>
      <c r="E597" s="8"/>
      <c r="F597" s="27">
        <v>1.2141</v>
      </c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</row>
    <row r="598" spans="1:65" ht="28.5" customHeight="1" x14ac:dyDescent="0.15">
      <c r="A598" s="34" t="s">
        <v>953</v>
      </c>
      <c r="B598" s="8" t="s">
        <v>16</v>
      </c>
      <c r="C598" s="13" t="s">
        <v>348</v>
      </c>
      <c r="D598" s="63" t="s">
        <v>1</v>
      </c>
      <c r="E598" s="9" t="str">
        <f>HYPERLINK("http://www.pebblebed.co.uk/","www.pebblebed.co.uk")</f>
        <v>www.pebblebed.co.uk</v>
      </c>
      <c r="F598" s="10">
        <v>1.1335999999999999</v>
      </c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</row>
    <row r="599" spans="1:65" ht="28.5" customHeight="1" x14ac:dyDescent="0.15">
      <c r="A599" s="34" t="s">
        <v>1240</v>
      </c>
      <c r="B599" s="8" t="s">
        <v>16</v>
      </c>
      <c r="C599" s="13" t="s">
        <v>348</v>
      </c>
      <c r="D599" s="63" t="s">
        <v>1</v>
      </c>
      <c r="E599" s="9" t="str">
        <f>HYPERLINK("http://www.pebblebed.co.uk/","www.pebblebed.co.uk")</f>
        <v>www.pebblebed.co.uk</v>
      </c>
      <c r="F599" s="10">
        <v>2.1</v>
      </c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</row>
    <row r="600" spans="1:65" ht="28.5" customHeight="1" x14ac:dyDescent="0.15">
      <c r="A600" s="34" t="s">
        <v>350</v>
      </c>
      <c r="B600" s="8" t="s">
        <v>16</v>
      </c>
      <c r="C600" s="13" t="s">
        <v>349</v>
      </c>
      <c r="D600" s="63" t="s">
        <v>1</v>
      </c>
      <c r="E600" s="9" t="str">
        <f>HYPERLINK("http://www.pebblebed.co.uk/","www.pebblebed.co.uk")</f>
        <v>www.pebblebed.co.uk</v>
      </c>
      <c r="F600" s="10">
        <v>0.2</v>
      </c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</row>
    <row r="601" spans="1:65" ht="28.5" customHeight="1" x14ac:dyDescent="0.15">
      <c r="A601" s="34" t="s">
        <v>1408</v>
      </c>
      <c r="B601" s="8" t="s">
        <v>16</v>
      </c>
      <c r="C601" s="13" t="s">
        <v>349</v>
      </c>
      <c r="D601" s="63" t="s">
        <v>1</v>
      </c>
      <c r="E601" s="9" t="str">
        <f>HYPERLINK("http://www.pebblebed.co.uk/","www.pebblebed.co.uk")</f>
        <v>www.pebblebed.co.uk</v>
      </c>
      <c r="F601" s="10">
        <v>3.2374999999999998</v>
      </c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</row>
    <row r="602" spans="1:65" ht="28.5" customHeight="1" x14ac:dyDescent="0.15">
      <c r="A602" s="34" t="s">
        <v>1469</v>
      </c>
      <c r="B602" s="12" t="s">
        <v>185</v>
      </c>
      <c r="C602" s="13" t="s">
        <v>1470</v>
      </c>
      <c r="D602" s="13" t="s">
        <v>43</v>
      </c>
      <c r="E602" s="9"/>
      <c r="F602" s="10">
        <v>4</v>
      </c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</row>
    <row r="603" spans="1:65" ht="28.5" customHeight="1" x14ac:dyDescent="0.15">
      <c r="A603" s="34" t="s">
        <v>347</v>
      </c>
      <c r="B603" s="8" t="s">
        <v>61</v>
      </c>
      <c r="C603" s="13" t="s">
        <v>346</v>
      </c>
      <c r="D603" s="13" t="s">
        <v>1</v>
      </c>
      <c r="E603" s="8"/>
      <c r="F603" s="10">
        <v>0.2</v>
      </c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</row>
    <row r="604" spans="1:65" ht="28.5" customHeight="1" x14ac:dyDescent="0.15">
      <c r="A604" s="78" t="s">
        <v>1538</v>
      </c>
      <c r="B604" s="11" t="s">
        <v>5</v>
      </c>
      <c r="C604" s="13" t="s">
        <v>1537</v>
      </c>
      <c r="D604" s="13" t="s">
        <v>1</v>
      </c>
      <c r="E604" s="15" t="s">
        <v>1536</v>
      </c>
      <c r="F604" s="27">
        <v>4.8563000000000001</v>
      </c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</row>
    <row r="605" spans="1:65" ht="28.5" customHeight="1" x14ac:dyDescent="0.15">
      <c r="A605" s="34" t="s">
        <v>1763</v>
      </c>
      <c r="B605" s="17" t="s">
        <v>9</v>
      </c>
      <c r="C605" s="56" t="s">
        <v>1762</v>
      </c>
      <c r="D605" s="56" t="s">
        <v>1</v>
      </c>
      <c r="E605" s="29"/>
      <c r="F605" s="18">
        <v>13.4</v>
      </c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</row>
    <row r="606" spans="1:65" ht="28.5" customHeight="1" x14ac:dyDescent="0.15">
      <c r="A606" s="34" t="s">
        <v>619</v>
      </c>
      <c r="B606" s="8" t="s">
        <v>621</v>
      </c>
      <c r="C606" s="13" t="s">
        <v>620</v>
      </c>
      <c r="D606" s="13" t="s">
        <v>43</v>
      </c>
      <c r="E606" s="8"/>
      <c r="F606" s="10">
        <v>0.5</v>
      </c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</row>
    <row r="607" spans="1:65" ht="28.5" customHeight="1" x14ac:dyDescent="0.15">
      <c r="A607" s="34" t="s">
        <v>965</v>
      </c>
      <c r="B607" s="17" t="s">
        <v>19</v>
      </c>
      <c r="C607" s="56" t="s">
        <v>963</v>
      </c>
      <c r="D607" s="56" t="s">
        <v>1</v>
      </c>
      <c r="E607" s="46" t="s">
        <v>964</v>
      </c>
      <c r="F607" s="18">
        <v>1.2</v>
      </c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</row>
    <row r="608" spans="1:65" ht="28.5" customHeight="1" x14ac:dyDescent="0.15">
      <c r="A608" s="78" t="s">
        <v>631</v>
      </c>
      <c r="B608" s="11" t="s">
        <v>64</v>
      </c>
      <c r="C608" s="13" t="s">
        <v>630</v>
      </c>
      <c r="D608" s="13" t="s">
        <v>1</v>
      </c>
      <c r="E608" s="15" t="str">
        <f>HYPERLINK("www.pewleydownvineyard.co.uk","www.pewleydownvineyard.co.uk")</f>
        <v>www.pewleydownvineyard.co.uk</v>
      </c>
      <c r="F608" s="10">
        <v>0.5</v>
      </c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</row>
    <row r="609" spans="1:65" ht="28.5" customHeight="1" x14ac:dyDescent="0.15">
      <c r="A609" s="82" t="s">
        <v>944</v>
      </c>
      <c r="B609" s="11" t="s">
        <v>61</v>
      </c>
      <c r="C609" s="13" t="s">
        <v>943</v>
      </c>
      <c r="D609" s="13" t="s">
        <v>1</v>
      </c>
      <c r="E609" s="11"/>
      <c r="F609" s="24">
        <v>1.08</v>
      </c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</row>
    <row r="610" spans="1:65" ht="28.5" customHeight="1" x14ac:dyDescent="0.15">
      <c r="A610" s="77" t="s">
        <v>344</v>
      </c>
      <c r="B610" s="20" t="s">
        <v>9</v>
      </c>
      <c r="C610" s="60" t="s">
        <v>345</v>
      </c>
      <c r="D610" s="56" t="s">
        <v>1</v>
      </c>
      <c r="E610" s="11"/>
      <c r="F610" s="10">
        <v>0.2</v>
      </c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</row>
    <row r="611" spans="1:65" ht="28.5" customHeight="1" x14ac:dyDescent="0.15">
      <c r="A611" s="34" t="s">
        <v>889</v>
      </c>
      <c r="B611" s="8" t="s">
        <v>9</v>
      </c>
      <c r="C611" s="13" t="s">
        <v>890</v>
      </c>
      <c r="D611" s="13" t="s">
        <v>1</v>
      </c>
      <c r="E611" s="9" t="str">
        <f>HYPERLINK("https://www.facebook.com/Pimlico-Way-Vineyard-Nursery-166854936848325/","facebook.com/Pimlico-Way-Vineyard-Nursery")</f>
        <v>facebook.com/Pimlico-Way-Vineyard-Nursery</v>
      </c>
      <c r="F611" s="10">
        <v>1</v>
      </c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</row>
    <row r="612" spans="1:65" ht="28.5" customHeight="1" x14ac:dyDescent="0.15">
      <c r="A612" s="34" t="s">
        <v>1833</v>
      </c>
      <c r="B612" s="8" t="s">
        <v>5</v>
      </c>
      <c r="C612" s="13" t="s">
        <v>1832</v>
      </c>
      <c r="D612" s="13" t="s">
        <v>1</v>
      </c>
      <c r="E612" s="9"/>
      <c r="F612" s="10">
        <v>33</v>
      </c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</row>
    <row r="613" spans="1:65" ht="28.5" customHeight="1" x14ac:dyDescent="0.15">
      <c r="A613" s="78" t="s">
        <v>1068</v>
      </c>
      <c r="B613" s="11" t="s">
        <v>1067</v>
      </c>
      <c r="C613" s="13" t="s">
        <v>1066</v>
      </c>
      <c r="D613" s="13" t="s">
        <v>1</v>
      </c>
      <c r="E613" s="11"/>
      <c r="F613" s="27">
        <v>1.47</v>
      </c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</row>
    <row r="614" spans="1:65" ht="28.5" customHeight="1" x14ac:dyDescent="0.15">
      <c r="A614" s="34" t="s">
        <v>412</v>
      </c>
      <c r="B614" s="8" t="s">
        <v>32</v>
      </c>
      <c r="C614" s="13" t="s">
        <v>411</v>
      </c>
      <c r="D614" s="13" t="s">
        <v>1</v>
      </c>
      <c r="E614" s="8"/>
      <c r="F614" s="10">
        <v>0.25</v>
      </c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</row>
    <row r="615" spans="1:65" ht="28.5" customHeight="1" x14ac:dyDescent="0.15">
      <c r="A615" s="34" t="s">
        <v>1337</v>
      </c>
      <c r="B615" s="8" t="s">
        <v>9</v>
      </c>
      <c r="C615" s="13" t="s">
        <v>1336</v>
      </c>
      <c r="D615" s="13" t="s">
        <v>1</v>
      </c>
      <c r="E615" s="9"/>
      <c r="F615" s="37">
        <v>2.7</v>
      </c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</row>
    <row r="616" spans="1:65" ht="27" customHeight="1" x14ac:dyDescent="0.15">
      <c r="A616" s="34" t="s">
        <v>1148</v>
      </c>
      <c r="B616" s="8" t="s">
        <v>195</v>
      </c>
      <c r="C616" s="13" t="s">
        <v>1147</v>
      </c>
      <c r="D616" s="13" t="s">
        <v>1</v>
      </c>
      <c r="E616" s="9" t="str">
        <f>HYPERLINK("http://www.plumpton.ac.uk/","www.plumpton.ac.uk")</f>
        <v>www.plumpton.ac.uk</v>
      </c>
      <c r="F616" s="10">
        <v>1.8</v>
      </c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</row>
    <row r="617" spans="1:65" ht="28.5" customHeight="1" x14ac:dyDescent="0.15">
      <c r="A617" s="34" t="s">
        <v>1642</v>
      </c>
      <c r="B617" s="31" t="s">
        <v>96</v>
      </c>
      <c r="C617" s="13" t="s">
        <v>1641</v>
      </c>
      <c r="D617" s="13" t="s">
        <v>1</v>
      </c>
      <c r="E617" s="9" t="str">
        <f>HYPERLINK("http://www.plumpton.ac.uk/","www.plumpton.ac.uk")</f>
        <v>www.plumpton.ac.uk</v>
      </c>
      <c r="F617" s="10">
        <v>7.0590000000000002</v>
      </c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</row>
    <row r="618" spans="1:65" ht="28.5" customHeight="1" x14ac:dyDescent="0.15">
      <c r="A618" s="81" t="s">
        <v>887</v>
      </c>
      <c r="B618" s="28" t="s">
        <v>86</v>
      </c>
      <c r="C618" s="61" t="s">
        <v>888</v>
      </c>
      <c r="D618" s="13" t="s">
        <v>1</v>
      </c>
      <c r="E618" s="11"/>
      <c r="F618" s="10">
        <v>1</v>
      </c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</row>
    <row r="619" spans="1:65" ht="28.5" customHeight="1" x14ac:dyDescent="0.15">
      <c r="A619" s="34" t="s">
        <v>1493</v>
      </c>
      <c r="B619" s="8" t="s">
        <v>12</v>
      </c>
      <c r="C619" s="13" t="s">
        <v>1494</v>
      </c>
      <c r="D619" s="13" t="s">
        <v>1</v>
      </c>
      <c r="E619" s="9" t="str">
        <f>HYPERLINK("https://www.polgoon.com","www.polgoon.com")</f>
        <v>www.polgoon.com</v>
      </c>
      <c r="F619" s="10">
        <v>4.2</v>
      </c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</row>
    <row r="620" spans="1:65" ht="28.5" customHeight="1" x14ac:dyDescent="0.15">
      <c r="A620" s="34" t="s">
        <v>885</v>
      </c>
      <c r="B620" s="8" t="s">
        <v>12</v>
      </c>
      <c r="C620" s="13" t="s">
        <v>886</v>
      </c>
      <c r="D620" s="63" t="s">
        <v>1</v>
      </c>
      <c r="E620" s="9" t="str">
        <f>HYPERLINK("http://www.polmassickvineyard.co.uk/","www.polmassickvineyard.co.uk")</f>
        <v>www.polmassickvineyard.co.uk</v>
      </c>
      <c r="F620" s="10">
        <v>1</v>
      </c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</row>
    <row r="621" spans="1:65" ht="28.5" customHeight="1" x14ac:dyDescent="0.15">
      <c r="A621" s="34" t="s">
        <v>46</v>
      </c>
      <c r="B621" s="17" t="s">
        <v>45</v>
      </c>
      <c r="C621" s="56" t="s">
        <v>44</v>
      </c>
      <c r="D621" s="56" t="s">
        <v>43</v>
      </c>
      <c r="E621" s="17"/>
      <c r="F621" s="18">
        <v>5.0000000000000001E-3</v>
      </c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</row>
    <row r="622" spans="1:65" ht="28.5" customHeight="1" x14ac:dyDescent="0.15">
      <c r="A622" s="34" t="s">
        <v>428</v>
      </c>
      <c r="B622" s="8" t="s">
        <v>5</v>
      </c>
      <c r="C622" s="13" t="s">
        <v>427</v>
      </c>
      <c r="D622" s="13" t="s">
        <v>1</v>
      </c>
      <c r="E622" s="9" t="str">
        <f>HYPERLINK("https://www.poppydownvineyard.co.uk","www.poppydownvineyard.co.uk")</f>
        <v>www.poppydownvineyard.co.uk</v>
      </c>
      <c r="F622" s="10">
        <v>0.26879999999999998</v>
      </c>
      <c r="G622" s="11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</row>
    <row r="623" spans="1:65" ht="28.5" customHeight="1" x14ac:dyDescent="0.15">
      <c r="A623" s="34" t="s">
        <v>94</v>
      </c>
      <c r="B623" s="8" t="s">
        <v>9</v>
      </c>
      <c r="C623" s="13" t="s">
        <v>93</v>
      </c>
      <c r="D623" s="13" t="s">
        <v>1</v>
      </c>
      <c r="E623" s="9" t="str">
        <f>HYPERLINK("https://www.aspinallfoundation.org/port-lympne/wildlife-park/","www.aspinallfoundation.org")</f>
        <v>www.aspinallfoundation.org</v>
      </c>
      <c r="F623" s="10">
        <v>2.5000000000000001E-2</v>
      </c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</row>
    <row r="624" spans="1:65" ht="28.5" customHeight="1" x14ac:dyDescent="0.15">
      <c r="A624" s="34" t="s">
        <v>208</v>
      </c>
      <c r="B624" s="8" t="s">
        <v>30</v>
      </c>
      <c r="C624" s="13" t="s">
        <v>207</v>
      </c>
      <c r="D624" s="13" t="s">
        <v>1</v>
      </c>
      <c r="E624" s="8"/>
      <c r="F624" s="10">
        <v>0.1</v>
      </c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</row>
    <row r="625" spans="1:65" ht="28.5" customHeight="1" x14ac:dyDescent="0.15">
      <c r="A625" s="34" t="s">
        <v>1390</v>
      </c>
      <c r="B625" s="8" t="s">
        <v>86</v>
      </c>
      <c r="C625" s="13" t="s">
        <v>1389</v>
      </c>
      <c r="D625" s="13" t="s">
        <v>1</v>
      </c>
      <c r="E625" s="9" t="str">
        <f>HYPERLINK("http://www.poultonhillestate.co.uk/","www.poultonhillestate.co.uk")</f>
        <v>www.poultonhillestate.co.uk</v>
      </c>
      <c r="F625" s="10">
        <v>3</v>
      </c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</row>
    <row r="626" spans="1:65" ht="28.5" customHeight="1" x14ac:dyDescent="0.15">
      <c r="A626" s="34" t="s">
        <v>1191</v>
      </c>
      <c r="B626" s="17" t="s">
        <v>96</v>
      </c>
      <c r="C626" s="56" t="s">
        <v>1190</v>
      </c>
      <c r="D626" s="56" t="s">
        <v>1</v>
      </c>
      <c r="E626" s="17"/>
      <c r="F626" s="18">
        <v>2</v>
      </c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</row>
    <row r="627" spans="1:65" ht="28.5" customHeight="1" x14ac:dyDescent="0.15">
      <c r="A627" s="34" t="s">
        <v>1649</v>
      </c>
      <c r="B627" s="8" t="s">
        <v>30</v>
      </c>
      <c r="C627" s="13" t="s">
        <v>1650</v>
      </c>
      <c r="D627" s="13" t="s">
        <v>1</v>
      </c>
      <c r="E627" s="9" t="str">
        <f>HYPERLINK("https://www.prettyfields.com","www.prettyfields.com")</f>
        <v>www.prettyfields.com</v>
      </c>
      <c r="F627" s="10">
        <v>7.4</v>
      </c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</row>
    <row r="628" spans="1:65" ht="28.5" customHeight="1" x14ac:dyDescent="0.15">
      <c r="A628" s="34" t="s">
        <v>786</v>
      </c>
      <c r="B628" s="8" t="s">
        <v>5</v>
      </c>
      <c r="C628" s="13" t="s">
        <v>787</v>
      </c>
      <c r="D628" s="13" t="s">
        <v>1</v>
      </c>
      <c r="E628" s="9" t="str">
        <f>HYPERLINK("http://www.priorsdeanvineyard.co.uk/","www.priorsdeanvineyard.co.uk")</f>
        <v>www.priorsdeanvineyard.co.uk</v>
      </c>
      <c r="F628" s="10">
        <v>0.8</v>
      </c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</row>
    <row r="629" spans="1:65" ht="28.5" customHeight="1" x14ac:dyDescent="0.15">
      <c r="A629" s="34" t="s">
        <v>393</v>
      </c>
      <c r="B629" s="8" t="s">
        <v>64</v>
      </c>
      <c r="C629" s="13" t="s">
        <v>392</v>
      </c>
      <c r="D629" s="13" t="s">
        <v>1</v>
      </c>
      <c r="E629" s="9" t="str">
        <f>HYPERLINK("http://www.vineyarddynamics.com/","www.vineyarddynamics.com")</f>
        <v>www.vineyarddynamics.com</v>
      </c>
      <c r="F629" s="10">
        <v>0.22500000000000001</v>
      </c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</row>
    <row r="630" spans="1:65" ht="28.5" customHeight="1" x14ac:dyDescent="0.15">
      <c r="A630" s="34" t="s">
        <v>1070</v>
      </c>
      <c r="B630" s="12" t="s">
        <v>16</v>
      </c>
      <c r="C630" s="47" t="s">
        <v>1069</v>
      </c>
      <c r="D630" s="13" t="s">
        <v>1</v>
      </c>
      <c r="E630" s="8"/>
      <c r="F630" s="10">
        <v>1.5</v>
      </c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</row>
    <row r="631" spans="1:65" ht="28.5" customHeight="1" x14ac:dyDescent="0.15">
      <c r="A631" s="34" t="s">
        <v>124</v>
      </c>
      <c r="B631" s="8" t="s">
        <v>19</v>
      </c>
      <c r="C631" s="13" t="s">
        <v>123</v>
      </c>
      <c r="D631" s="63" t="s">
        <v>1</v>
      </c>
      <c r="E631" s="8"/>
      <c r="F631" s="10">
        <v>0.04</v>
      </c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</row>
    <row r="632" spans="1:65" ht="28.5" customHeight="1" x14ac:dyDescent="0.15">
      <c r="A632" s="77" t="s">
        <v>1387</v>
      </c>
      <c r="B632" s="20" t="s">
        <v>86</v>
      </c>
      <c r="C632" s="60" t="s">
        <v>1388</v>
      </c>
      <c r="D632" s="56" t="s">
        <v>1</v>
      </c>
      <c r="E632" s="11"/>
      <c r="F632" s="10">
        <v>3</v>
      </c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</row>
    <row r="633" spans="1:65" ht="28.5" customHeight="1" x14ac:dyDescent="0.15">
      <c r="A633" s="34" t="s">
        <v>1602</v>
      </c>
      <c r="B633" s="8" t="s">
        <v>5</v>
      </c>
      <c r="C633" s="13" t="s">
        <v>1601</v>
      </c>
      <c r="D633" s="13" t="s">
        <v>1</v>
      </c>
      <c r="E633" s="9" t="s">
        <v>1600</v>
      </c>
      <c r="F633" s="10">
        <v>6.2</v>
      </c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</row>
    <row r="634" spans="1:65" ht="28.5" customHeight="1" x14ac:dyDescent="0.15">
      <c r="A634" s="34" t="s">
        <v>884</v>
      </c>
      <c r="B634" s="8" t="s">
        <v>205</v>
      </c>
      <c r="C634" s="13" t="s">
        <v>883</v>
      </c>
      <c r="D634" s="13" t="s">
        <v>1</v>
      </c>
      <c r="E634" s="9" t="str">
        <f>HYPERLINK("http://www.quoinsvineyard.co.uk/","www.quoinsvineyard.co.uk")</f>
        <v>www.quoinsvineyard.co.uk</v>
      </c>
      <c r="F634" s="10">
        <v>1</v>
      </c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</row>
    <row r="635" spans="1:65" ht="28.5" customHeight="1" x14ac:dyDescent="0.15">
      <c r="A635" s="34" t="s">
        <v>1425</v>
      </c>
      <c r="B635" s="8" t="s">
        <v>5</v>
      </c>
      <c r="C635" s="13" t="s">
        <v>1424</v>
      </c>
      <c r="D635" s="13" t="s">
        <v>1</v>
      </c>
      <c r="E635" s="9" t="str">
        <f>HYPERLINK("http://www.raimes.co.uk/","www.raimes.co.uk")</f>
        <v>www.raimes.co.uk</v>
      </c>
      <c r="F635" s="10">
        <v>3.44</v>
      </c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</row>
    <row r="636" spans="1:65" ht="28.5" customHeight="1" x14ac:dyDescent="0.15">
      <c r="A636" s="34" t="s">
        <v>1860</v>
      </c>
      <c r="B636" s="8" t="s">
        <v>195</v>
      </c>
      <c r="C636" s="13" t="s">
        <v>1861</v>
      </c>
      <c r="D636" s="13" t="s">
        <v>1</v>
      </c>
      <c r="E636" s="26" t="str">
        <f>HYPERLINK("http://www.rathfinnyestate.com/","www.rathfinnyestate.com")</f>
        <v>www.rathfinnyestate.com</v>
      </c>
      <c r="F636" s="14">
        <v>93.5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</row>
    <row r="637" spans="1:65" ht="28.5" customHeight="1" x14ac:dyDescent="0.15">
      <c r="A637" s="34" t="s">
        <v>111</v>
      </c>
      <c r="B637" s="8" t="s">
        <v>110</v>
      </c>
      <c r="C637" s="13" t="s">
        <v>109</v>
      </c>
      <c r="D637" s="13" t="s">
        <v>1</v>
      </c>
      <c r="E637" s="8"/>
      <c r="F637" s="10">
        <v>3.1E-2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</row>
    <row r="638" spans="1:65" ht="28.5" customHeight="1" x14ac:dyDescent="0.15">
      <c r="A638" s="78" t="s">
        <v>664</v>
      </c>
      <c r="B638" s="11" t="s">
        <v>2</v>
      </c>
      <c r="C638" s="13" t="s">
        <v>663</v>
      </c>
      <c r="D638" s="13" t="s">
        <v>1</v>
      </c>
      <c r="E638" s="11"/>
      <c r="F638" s="27">
        <v>0.54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</row>
    <row r="639" spans="1:65" ht="28.5" customHeight="1" x14ac:dyDescent="0.15">
      <c r="A639" s="34" t="s">
        <v>1280</v>
      </c>
      <c r="B639" s="11" t="s">
        <v>5</v>
      </c>
      <c r="C639" s="13" t="s">
        <v>1279</v>
      </c>
      <c r="D639" s="13" t="s">
        <v>1</v>
      </c>
      <c r="E639" s="15" t="str">
        <f>HYPERLINK("https://www.redadmiralvineyard.co.uk","www.redadmiralvineyard.co.uk")</f>
        <v>www.redadmiralvineyard.co.uk</v>
      </c>
      <c r="F639" s="16">
        <v>2.34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</row>
    <row r="640" spans="1:65" ht="28.5" customHeight="1" x14ac:dyDescent="0.15">
      <c r="A640" s="34" t="s">
        <v>332</v>
      </c>
      <c r="B640" s="8" t="s">
        <v>334</v>
      </c>
      <c r="C640" s="13" t="s">
        <v>333</v>
      </c>
      <c r="D640" s="13" t="s">
        <v>43</v>
      </c>
      <c r="E640" s="9" t="str">
        <f>HYPERLINK("http://redwharfbayvineyard.co.uk","redwharfbayvineyard.co.uk")</f>
        <v>redwharfbayvineyard.co.uk</v>
      </c>
      <c r="F640" s="10">
        <v>0.2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</row>
    <row r="641" spans="1:65" ht="28.5" customHeight="1" x14ac:dyDescent="0.15">
      <c r="A641" s="34" t="s">
        <v>1586</v>
      </c>
      <c r="B641" s="8" t="s">
        <v>61</v>
      </c>
      <c r="C641" s="13" t="s">
        <v>1587</v>
      </c>
      <c r="D641" s="13" t="s">
        <v>1</v>
      </c>
      <c r="E641" s="8"/>
      <c r="F641" s="10">
        <v>5.7389999999999999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</row>
    <row r="642" spans="1:65" ht="28.5" customHeight="1" x14ac:dyDescent="0.15">
      <c r="A642" s="34" t="s">
        <v>1710</v>
      </c>
      <c r="B642" s="8" t="s">
        <v>96</v>
      </c>
      <c r="C642" s="13" t="s">
        <v>1612</v>
      </c>
      <c r="D642" s="13" t="s">
        <v>1</v>
      </c>
      <c r="E642" s="9" t="str">
        <f>HYPERLINK("http://www.ambrielsparkling.com/","www.ambrielsparkling.com")</f>
        <v>www.ambrielsparkling.com</v>
      </c>
      <c r="F642" s="10">
        <v>9.5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</row>
    <row r="643" spans="1:65" ht="28.5" customHeight="1" x14ac:dyDescent="0.15">
      <c r="A643" s="34" t="s">
        <v>1597</v>
      </c>
      <c r="B643" s="12" t="s">
        <v>9</v>
      </c>
      <c r="C643" s="13" t="s">
        <v>1596</v>
      </c>
      <c r="D643" s="13" t="s">
        <v>1</v>
      </c>
      <c r="E643" s="9" t="str">
        <f>HYPERLINK("http://www.redhillestate.com/","www.redhillestate.com")</f>
        <v>www.redhillestate.com</v>
      </c>
      <c r="F643" s="10">
        <v>6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</row>
    <row r="644" spans="1:65" ht="28.5" customHeight="1" x14ac:dyDescent="0.15">
      <c r="A644" s="34" t="s">
        <v>1291</v>
      </c>
      <c r="B644" s="8" t="s">
        <v>16</v>
      </c>
      <c r="C644" s="13" t="s">
        <v>1292</v>
      </c>
      <c r="D644" s="13" t="s">
        <v>1</v>
      </c>
      <c r="E644" s="8"/>
      <c r="F644" s="10">
        <v>2.4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</row>
    <row r="645" spans="1:65" ht="28.5" customHeight="1" x14ac:dyDescent="0.15">
      <c r="A645" s="34" t="s">
        <v>384</v>
      </c>
      <c r="B645" s="8" t="s">
        <v>130</v>
      </c>
      <c r="C645" s="13" t="s">
        <v>385</v>
      </c>
      <c r="D645" s="13" t="s">
        <v>1</v>
      </c>
      <c r="E645" s="9" t="str">
        <f>HYPERLINK("http://www.renishaw-hall.co.uk/","www.renishaw-hall.co.uk")</f>
        <v>www.renishaw-hall.co.uk</v>
      </c>
      <c r="F645" s="10">
        <v>0.2024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</row>
    <row r="646" spans="1:65" ht="28.5" customHeight="1" x14ac:dyDescent="0.15">
      <c r="A646" s="34" t="s">
        <v>206</v>
      </c>
      <c r="B646" s="8" t="s">
        <v>5</v>
      </c>
      <c r="C646" s="13" t="s">
        <v>0</v>
      </c>
      <c r="D646" s="13" t="s">
        <v>1</v>
      </c>
      <c r="E646" s="8"/>
      <c r="F646" s="19">
        <v>0.1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</row>
    <row r="647" spans="1:65" ht="28.5" customHeight="1" x14ac:dyDescent="0.15">
      <c r="A647" s="34" t="s">
        <v>397</v>
      </c>
      <c r="B647" s="8" t="s">
        <v>64</v>
      </c>
      <c r="C647" s="13" t="s">
        <v>396</v>
      </c>
      <c r="D647" s="13" t="s">
        <v>1</v>
      </c>
      <c r="E647" s="9" t="str">
        <f>HYPERLINK("http://www.rhs.org.uk/","www.rhs.org.uk")</f>
        <v>www.rhs.org.uk</v>
      </c>
      <c r="F647" s="10">
        <v>0.24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</row>
    <row r="648" spans="1:65" ht="28.5" customHeight="1" x14ac:dyDescent="0.15">
      <c r="A648" s="34" t="s">
        <v>1623</v>
      </c>
      <c r="B648" s="8" t="s">
        <v>195</v>
      </c>
      <c r="C648" s="13" t="s">
        <v>1622</v>
      </c>
      <c r="D648" s="13" t="s">
        <v>1</v>
      </c>
      <c r="E648" s="9" t="str">
        <f>HYPERLINK("http://www.ridgeview.co.uk/","www.ridgeview.co.uk")</f>
        <v>www.ridgeview.co.uk</v>
      </c>
      <c r="F648" s="10">
        <v>6.48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</row>
    <row r="649" spans="1:65" ht="28.5" customHeight="1" x14ac:dyDescent="0.15">
      <c r="A649" s="78" t="s">
        <v>1235</v>
      </c>
      <c r="B649" s="11" t="s">
        <v>30</v>
      </c>
      <c r="C649" s="13" t="s">
        <v>1049</v>
      </c>
      <c r="D649" s="13" t="s">
        <v>1</v>
      </c>
      <c r="E649" s="11"/>
      <c r="F649" s="24">
        <v>2.0356999999999998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</row>
    <row r="650" spans="1:65" ht="28.5" customHeight="1" x14ac:dyDescent="0.15">
      <c r="A650" s="78" t="s">
        <v>715</v>
      </c>
      <c r="B650" s="11" t="s">
        <v>86</v>
      </c>
      <c r="C650" s="13" t="s">
        <v>716</v>
      </c>
      <c r="D650" s="47" t="s">
        <v>1</v>
      </c>
      <c r="E650" s="36" t="str">
        <f>HYPERLINK("http://roadgreenvineyard.co.uk","roadgreenvineyard.co.uk")</f>
        <v>roadgreenvineyard.co.uk</v>
      </c>
      <c r="F650" s="10">
        <v>0.64349999999999996</v>
      </c>
      <c r="G650" s="11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20"/>
      <c r="BF650" s="20"/>
      <c r="BG650" s="20"/>
      <c r="BH650" s="20"/>
      <c r="BI650" s="20"/>
      <c r="BJ650" s="20"/>
      <c r="BK650" s="20"/>
      <c r="BL650" s="20"/>
      <c r="BM650" s="20"/>
    </row>
    <row r="651" spans="1:65" ht="28.5" customHeight="1" x14ac:dyDescent="0.15">
      <c r="A651" s="34" t="s">
        <v>1099</v>
      </c>
      <c r="B651" s="8" t="s">
        <v>41</v>
      </c>
      <c r="C651" s="13" t="s">
        <v>1100</v>
      </c>
      <c r="D651" s="13" t="s">
        <v>1</v>
      </c>
      <c r="E651" s="9" t="str">
        <f>HYPERLINK("http://rodingtonvineyard.co.uk","rodingtonvineyard.co.uk")</f>
        <v>rodingtonvineyard.co.uk</v>
      </c>
      <c r="F651" s="10">
        <v>1.6140000000000001</v>
      </c>
      <c r="G651" s="11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/>
      <c r="BM651" s="20"/>
    </row>
    <row r="652" spans="1:65" ht="28.5" customHeight="1" x14ac:dyDescent="0.15">
      <c r="A652" s="34" t="s">
        <v>1786</v>
      </c>
      <c r="B652" s="8" t="s">
        <v>195</v>
      </c>
      <c r="C652" s="13" t="s">
        <v>1785</v>
      </c>
      <c r="D652" s="13" t="s">
        <v>1</v>
      </c>
      <c r="E652" s="9" t="str">
        <f>HYPERLINK("https://www.roebuckestates.co.uk","www.roebuckestates.co.uk")</f>
        <v>www.roebuckestates.co.uk</v>
      </c>
      <c r="F652" s="10">
        <v>17.556000000000001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</row>
    <row r="653" spans="1:65" ht="28.5" customHeight="1" x14ac:dyDescent="0.15">
      <c r="A653" s="34" t="s">
        <v>1617</v>
      </c>
      <c r="B653" s="8" t="s">
        <v>96</v>
      </c>
      <c r="C653" s="13" t="s">
        <v>1616</v>
      </c>
      <c r="D653" s="13" t="s">
        <v>1</v>
      </c>
      <c r="E653" s="9" t="str">
        <f>HYPERLINK("https://www.roebuckestates.co.uk","www.roebuckestates.co.uk")</f>
        <v>www.roebuckestates.co.uk</v>
      </c>
      <c r="F653" s="10">
        <v>6.4749999999999996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</row>
    <row r="654" spans="1:65" ht="28.5" customHeight="1" x14ac:dyDescent="0.15">
      <c r="A654" s="34" t="s">
        <v>1552</v>
      </c>
      <c r="B654" s="8" t="s">
        <v>96</v>
      </c>
      <c r="C654" s="13" t="s">
        <v>1551</v>
      </c>
      <c r="D654" s="13" t="s">
        <v>1</v>
      </c>
      <c r="E654" s="9" t="str">
        <f>HYPERLINK("https://www.roebuckestates.co.uk","www.roebuckestates.co.uk")</f>
        <v>www.roebuckestates.co.uk</v>
      </c>
      <c r="F654" s="10">
        <v>5.24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</row>
    <row r="655" spans="1:65" ht="28.5" customHeight="1" x14ac:dyDescent="0.15">
      <c r="A655" s="34" t="s">
        <v>1705</v>
      </c>
      <c r="B655" s="8" t="s">
        <v>96</v>
      </c>
      <c r="C655" s="13" t="s">
        <v>1704</v>
      </c>
      <c r="D655" s="13" t="s">
        <v>1</v>
      </c>
      <c r="E655" s="9" t="str">
        <f>HYPERLINK("https://www.roebuckestates.co.uk","www.roebuckestates.co.uk")</f>
        <v>www.roebuckestates.co.uk</v>
      </c>
      <c r="F655" s="10">
        <v>9.08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</row>
    <row r="656" spans="1:65" ht="28.5" customHeight="1" x14ac:dyDescent="0.15">
      <c r="A656" s="34" t="s">
        <v>1677</v>
      </c>
      <c r="B656" s="8" t="s">
        <v>96</v>
      </c>
      <c r="C656" s="13" t="s">
        <v>1676</v>
      </c>
      <c r="D656" s="13" t="s">
        <v>1</v>
      </c>
      <c r="E656" s="9" t="str">
        <f>HYPERLINK("https://www.roebuckestates.co.uk","www.roebuckestates.co.uk")</f>
        <v>www.roebuckestates.co.uk</v>
      </c>
      <c r="F656" s="10">
        <v>8.093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</row>
    <row r="657" spans="1:65" ht="28.5" customHeight="1" x14ac:dyDescent="0.15">
      <c r="A657" s="34" t="s">
        <v>204</v>
      </c>
      <c r="B657" s="8" t="s">
        <v>21</v>
      </c>
      <c r="C657" s="13" t="s">
        <v>0</v>
      </c>
      <c r="D657" s="13" t="s">
        <v>1</v>
      </c>
      <c r="E657" s="8"/>
      <c r="F657" s="19">
        <v>0.1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</row>
    <row r="658" spans="1:65" ht="28.5" customHeight="1" x14ac:dyDescent="0.15">
      <c r="A658" s="34" t="s">
        <v>1735</v>
      </c>
      <c r="B658" s="8" t="s">
        <v>195</v>
      </c>
      <c r="C658" s="13" t="s">
        <v>1736</v>
      </c>
      <c r="D658" s="13" t="s">
        <v>1</v>
      </c>
      <c r="E658" s="9" t="str">
        <f>HYPERLINK("http://www.arenapursuits.com/","www.arenapursuits.com")</f>
        <v>www.arenapursuits.com</v>
      </c>
      <c r="F658" s="10">
        <v>10.8513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</row>
    <row r="659" spans="1:65" ht="28.5" customHeight="1" x14ac:dyDescent="0.15">
      <c r="A659" s="34" t="s">
        <v>1549</v>
      </c>
      <c r="B659" s="8" t="s">
        <v>1067</v>
      </c>
      <c r="C659" s="13" t="s">
        <v>1550</v>
      </c>
      <c r="D659" s="13" t="s">
        <v>1</v>
      </c>
      <c r="E659" s="9" t="str">
        <f>HYPERLINK("http://www.rosemaryvineyard.co.uk/","www.rosemaryvineyard.co.uk")</f>
        <v>www.rosemaryvineyard.co.uk</v>
      </c>
      <c r="F659" s="10">
        <v>5.24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</row>
    <row r="660" spans="1:65" ht="28.5" customHeight="1" x14ac:dyDescent="0.15">
      <c r="A660" s="77" t="s">
        <v>410</v>
      </c>
      <c r="B660" s="20" t="s">
        <v>12</v>
      </c>
      <c r="C660" s="47" t="s">
        <v>409</v>
      </c>
      <c r="D660" s="70" t="s">
        <v>1</v>
      </c>
      <c r="E660" s="20"/>
      <c r="F660" s="47">
        <v>0.25</v>
      </c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</row>
    <row r="661" spans="1:65" ht="28.5" customHeight="1" x14ac:dyDescent="0.15">
      <c r="A661" s="34" t="s">
        <v>301</v>
      </c>
      <c r="B661" s="8" t="s">
        <v>30</v>
      </c>
      <c r="C661" s="13" t="s">
        <v>300</v>
      </c>
      <c r="D661" s="13" t="s">
        <v>1</v>
      </c>
      <c r="E661" s="8"/>
      <c r="F661" s="10">
        <v>0.14849999999999999</v>
      </c>
      <c r="G661" s="11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</row>
    <row r="662" spans="1:65" ht="28.5" customHeight="1" x14ac:dyDescent="0.15">
      <c r="A662" s="34" t="s">
        <v>1120</v>
      </c>
      <c r="B662" s="8" t="s">
        <v>36</v>
      </c>
      <c r="C662" s="13" t="s">
        <v>1117</v>
      </c>
      <c r="D662" s="13" t="s">
        <v>1</v>
      </c>
      <c r="E662" s="9" t="str">
        <f>HYPERLINK("http://www.ryedalevineyards.co.uk/","www.ryedalevineyards.co.uk")</f>
        <v>www.ryedalevineyards.co.uk</v>
      </c>
      <c r="F662" s="16">
        <v>1.65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</row>
    <row r="663" spans="1:65" ht="28.5" customHeight="1" x14ac:dyDescent="0.15">
      <c r="A663" s="34" t="s">
        <v>1119</v>
      </c>
      <c r="B663" s="8" t="s">
        <v>36</v>
      </c>
      <c r="C663" s="13" t="s">
        <v>1118</v>
      </c>
      <c r="D663" s="13" t="s">
        <v>1</v>
      </c>
      <c r="E663" s="9" t="str">
        <f>HYPERLINK("http://www.ryedalevineyards.co.uk/","www.ryedalevineyards.co.uk")</f>
        <v>www.ryedalevineyards.co.uk</v>
      </c>
      <c r="F663" s="16">
        <v>1.65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</row>
    <row r="664" spans="1:65" ht="28.5" customHeight="1" x14ac:dyDescent="0.15">
      <c r="A664" s="34" t="s">
        <v>1634</v>
      </c>
      <c r="B664" s="8" t="s">
        <v>30</v>
      </c>
      <c r="C664" s="13" t="s">
        <v>1635</v>
      </c>
      <c r="D664" s="13" t="s">
        <v>1</v>
      </c>
      <c r="E664" s="9" t="str">
        <f>HYPERLINK("http://www.saffrongrange.com/","www.saffrongrange.com")</f>
        <v>www.saffrongrange.com</v>
      </c>
      <c r="F664" s="10">
        <v>6.8</v>
      </c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</row>
    <row r="665" spans="1:65" ht="28.5" customHeight="1" x14ac:dyDescent="0.15">
      <c r="A665" s="34" t="s">
        <v>1274</v>
      </c>
      <c r="B665" s="8" t="s">
        <v>86</v>
      </c>
      <c r="C665" s="13" t="s">
        <v>1273</v>
      </c>
      <c r="D665" s="13" t="s">
        <v>1</v>
      </c>
      <c r="E665" s="26"/>
      <c r="F665" s="16">
        <v>2.2799999999999998</v>
      </c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</row>
    <row r="666" spans="1:65" ht="28.5" customHeight="1" x14ac:dyDescent="0.15">
      <c r="A666" s="34" t="s">
        <v>1259</v>
      </c>
      <c r="B666" s="8" t="s">
        <v>61</v>
      </c>
      <c r="C666" s="13" t="s">
        <v>1258</v>
      </c>
      <c r="D666" s="13" t="s">
        <v>1</v>
      </c>
      <c r="E666" s="26"/>
      <c r="F666" s="10">
        <v>2.2000000000000002</v>
      </c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</row>
    <row r="667" spans="1:65" ht="28.5" customHeight="1" x14ac:dyDescent="0.15">
      <c r="A667" s="34" t="s">
        <v>1686</v>
      </c>
      <c r="B667" s="8" t="s">
        <v>86</v>
      </c>
      <c r="C667" s="13" t="s">
        <v>1685</v>
      </c>
      <c r="D667" s="13" t="s">
        <v>1</v>
      </c>
      <c r="E667" s="26"/>
      <c r="F667" s="14">
        <v>8.3591999999999995</v>
      </c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</row>
    <row r="668" spans="1:65" ht="28.5" customHeight="1" x14ac:dyDescent="0.15">
      <c r="A668" s="34" t="s">
        <v>1064</v>
      </c>
      <c r="B668" s="8" t="s">
        <v>9</v>
      </c>
      <c r="C668" s="13" t="s">
        <v>1065</v>
      </c>
      <c r="D668" s="13" t="s">
        <v>1</v>
      </c>
      <c r="E668" s="8"/>
      <c r="F668" s="10">
        <v>1.47</v>
      </c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</row>
    <row r="669" spans="1:65" ht="28.5" customHeight="1" x14ac:dyDescent="0.15">
      <c r="A669" s="34" t="s">
        <v>1666</v>
      </c>
      <c r="B669" s="8" t="s">
        <v>9</v>
      </c>
      <c r="C669" s="13" t="s">
        <v>1665</v>
      </c>
      <c r="D669" s="13" t="s">
        <v>1</v>
      </c>
      <c r="E669" s="8"/>
      <c r="F669" s="10">
        <v>7.7560000000000002</v>
      </c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</row>
    <row r="670" spans="1:65" ht="28.5" customHeight="1" x14ac:dyDescent="0.15">
      <c r="A670" s="34" t="s">
        <v>1800</v>
      </c>
      <c r="B670" s="8" t="s">
        <v>9</v>
      </c>
      <c r="C670" s="13" t="s">
        <v>1664</v>
      </c>
      <c r="D670" s="13" t="s">
        <v>1</v>
      </c>
      <c r="E670" s="8"/>
      <c r="F670" s="10">
        <v>22.193999999999999</v>
      </c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</row>
    <row r="671" spans="1:65" ht="28.5" customHeight="1" x14ac:dyDescent="0.15">
      <c r="A671" s="34" t="s">
        <v>1697</v>
      </c>
      <c r="B671" s="8" t="s">
        <v>16</v>
      </c>
      <c r="C671" s="13" t="s">
        <v>1699</v>
      </c>
      <c r="D671" s="13" t="s">
        <v>1</v>
      </c>
      <c r="E671" s="9" t="s">
        <v>1698</v>
      </c>
      <c r="F671" s="10">
        <v>8.93</v>
      </c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</row>
    <row r="672" spans="1:65" ht="28.5" customHeight="1" x14ac:dyDescent="0.15">
      <c r="A672" s="34" t="s">
        <v>810</v>
      </c>
      <c r="B672" s="8" t="s">
        <v>30</v>
      </c>
      <c r="C672" s="13" t="s">
        <v>809</v>
      </c>
      <c r="D672" s="13" t="s">
        <v>1</v>
      </c>
      <c r="E672" s="9" t="str">
        <f>HYPERLINK("https://www.salixfarmturkeys.co.uk","www.salixfarmturkeys.co.uk")</f>
        <v>www.salixfarmturkeys.co.uk</v>
      </c>
      <c r="F672" s="10">
        <v>0.80969999999999998</v>
      </c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</row>
    <row r="673" spans="1:65" ht="28.5" customHeight="1" x14ac:dyDescent="0.15">
      <c r="A673" s="34" t="s">
        <v>10</v>
      </c>
      <c r="B673" s="8" t="s">
        <v>9</v>
      </c>
      <c r="C673" s="13" t="s">
        <v>0</v>
      </c>
      <c r="D673" s="13" t="s">
        <v>1</v>
      </c>
      <c r="E673" s="8"/>
      <c r="F673" s="13" t="s">
        <v>0</v>
      </c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</row>
    <row r="674" spans="1:65" ht="28.5" customHeight="1" x14ac:dyDescent="0.15">
      <c r="A674" s="34" t="s">
        <v>1701</v>
      </c>
      <c r="B674" s="8" t="s">
        <v>9</v>
      </c>
      <c r="C674" s="13" t="s">
        <v>1700</v>
      </c>
      <c r="D674" s="13" t="s">
        <v>1</v>
      </c>
      <c r="E674" s="8"/>
      <c r="F674" s="10">
        <v>8.9499999999999993</v>
      </c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</row>
    <row r="675" spans="1:65" ht="28.5" customHeight="1" x14ac:dyDescent="0.15">
      <c r="A675" s="34" t="s">
        <v>498</v>
      </c>
      <c r="B675" s="8" t="s">
        <v>130</v>
      </c>
      <c r="C675" s="13" t="s">
        <v>499</v>
      </c>
      <c r="D675" s="13" t="s">
        <v>1</v>
      </c>
      <c r="E675" s="9" t="str">
        <f>HYPERLINK("http://www.scaddowsfarm.co.uk/","www.scaddowsfarm.co.uk")</f>
        <v>www.scaddowsfarm.co.uk</v>
      </c>
      <c r="F675" s="10">
        <v>0.39</v>
      </c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</row>
    <row r="676" spans="1:65" ht="28.5" customHeight="1" x14ac:dyDescent="0.15">
      <c r="A676" s="34" t="s">
        <v>617</v>
      </c>
      <c r="B676" s="8" t="s">
        <v>195</v>
      </c>
      <c r="C676" s="13" t="s">
        <v>618</v>
      </c>
      <c r="D676" s="13" t="s">
        <v>1</v>
      </c>
      <c r="E676" s="9" t="str">
        <f>HYPERLINK("https://www.facebook.com/Sussex-Tipi-Holidays-1614677138810834/","facebook.com/Sussex-Tipi-Holidays")</f>
        <v>facebook.com/Sussex-Tipi-Holidays</v>
      </c>
      <c r="F676" s="10">
        <v>0.49</v>
      </c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</row>
    <row r="677" spans="1:65" ht="28.5" customHeight="1" x14ac:dyDescent="0.15">
      <c r="A677" s="34" t="s">
        <v>961</v>
      </c>
      <c r="B677" s="8" t="s">
        <v>130</v>
      </c>
      <c r="C677" s="13" t="s">
        <v>962</v>
      </c>
      <c r="D677" s="13" t="s">
        <v>1</v>
      </c>
      <c r="E677" s="9" t="str">
        <f>HYPERLINK("http://www.sealwoodcottage.co.uk/","www.sealwoodcottage.co.uk")</f>
        <v>www.sealwoodcottage.co.uk</v>
      </c>
      <c r="F677" s="10">
        <v>1.2</v>
      </c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</row>
    <row r="678" spans="1:65" ht="28.5" customHeight="1" x14ac:dyDescent="0.15">
      <c r="A678" s="34" t="s">
        <v>1188</v>
      </c>
      <c r="B678" s="8" t="s">
        <v>19</v>
      </c>
      <c r="C678" s="13" t="s">
        <v>1189</v>
      </c>
      <c r="D678" s="13" t="s">
        <v>1</v>
      </c>
      <c r="E678" s="9" t="str">
        <f>HYPERLINK("http://www.secret-valley.co.uk/","www.secret-valley.co.uk")</f>
        <v>www.secret-valley.co.uk</v>
      </c>
      <c r="F678" s="10">
        <v>2</v>
      </c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</row>
    <row r="679" spans="1:65" ht="28.5" customHeight="1" x14ac:dyDescent="0.15">
      <c r="A679" s="78" t="s">
        <v>342</v>
      </c>
      <c r="B679" s="11" t="s">
        <v>2</v>
      </c>
      <c r="C679" s="13" t="s">
        <v>343</v>
      </c>
      <c r="D679" s="13" t="s">
        <v>1</v>
      </c>
      <c r="E679" s="15" t="str">
        <f>HYPERLINK("http://www.seergreenvineyard.co.uk/","www.seergreenvineyard.co.uk")</f>
        <v>www.seergreenvineyard.co.uk</v>
      </c>
      <c r="F679" s="10">
        <v>0.2</v>
      </c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</row>
    <row r="680" spans="1:65" ht="28.5" customHeight="1" x14ac:dyDescent="0.15">
      <c r="A680" s="34" t="s">
        <v>1304</v>
      </c>
      <c r="B680" s="8" t="s">
        <v>5</v>
      </c>
      <c r="C680" s="13" t="s">
        <v>1305</v>
      </c>
      <c r="D680" s="13" t="s">
        <v>1</v>
      </c>
      <c r="E680" s="9" t="str">
        <f>HYPERLINK("https://www.setleyridge.co.uk","www.setleyridge.co.uk")</f>
        <v>www.setleyridge.co.uk</v>
      </c>
      <c r="F680" s="10">
        <v>2.48</v>
      </c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</row>
    <row r="681" spans="1:65" ht="28.5" customHeight="1" x14ac:dyDescent="0.15">
      <c r="A681" s="78" t="s">
        <v>340</v>
      </c>
      <c r="B681" s="11" t="s">
        <v>83</v>
      </c>
      <c r="C681" s="13" t="s">
        <v>341</v>
      </c>
      <c r="D681" s="47" t="s">
        <v>1</v>
      </c>
      <c r="E681" s="20"/>
      <c r="F681" s="10">
        <v>0.2</v>
      </c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</row>
    <row r="682" spans="1:65" ht="28.5" customHeight="1" x14ac:dyDescent="0.15">
      <c r="A682" s="78" t="s">
        <v>1891</v>
      </c>
      <c r="B682" s="11" t="s">
        <v>52</v>
      </c>
      <c r="C682" s="13" t="s">
        <v>0</v>
      </c>
      <c r="D682" s="13" t="s">
        <v>1</v>
      </c>
      <c r="E682" s="11"/>
      <c r="F682" s="24">
        <v>1.43</v>
      </c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</row>
    <row r="683" spans="1:65" ht="28.5" customHeight="1" x14ac:dyDescent="0.15">
      <c r="A683" s="34" t="s">
        <v>1421</v>
      </c>
      <c r="B683" s="8" t="s">
        <v>16</v>
      </c>
      <c r="C683" s="13" t="s">
        <v>1420</v>
      </c>
      <c r="D683" s="13" t="s">
        <v>1</v>
      </c>
      <c r="E683" s="9" t="str">
        <f>HYPERLINK("http://www.sharpham.com/","www.sharpham.com")</f>
        <v>www.sharpham.com</v>
      </c>
      <c r="F683" s="10">
        <v>3.4</v>
      </c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</row>
    <row r="684" spans="1:65" ht="28.5" customHeight="1" x14ac:dyDescent="0.15">
      <c r="A684" s="34" t="s">
        <v>1572</v>
      </c>
      <c r="B684" s="8" t="s">
        <v>52</v>
      </c>
      <c r="C684" s="13" t="s">
        <v>1573</v>
      </c>
      <c r="D684" s="63" t="s">
        <v>1</v>
      </c>
      <c r="E684" s="9" t="str">
        <f>HYPERLINK("http://www.shawsgate.co.uk/","www.shawsgate.co.uk")</f>
        <v>www.shawsgate.co.uk</v>
      </c>
      <c r="F684" s="10">
        <v>5.5</v>
      </c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</row>
    <row r="685" spans="1:65" ht="28.5" customHeight="1" x14ac:dyDescent="0.15">
      <c r="A685" s="34" t="s">
        <v>1468</v>
      </c>
      <c r="B685" s="8" t="s">
        <v>9</v>
      </c>
      <c r="C685" s="13" t="s">
        <v>1467</v>
      </c>
      <c r="D685" s="13" t="s">
        <v>1</v>
      </c>
      <c r="E685" s="8"/>
      <c r="F685" s="10">
        <v>3.9689999999999999</v>
      </c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</row>
    <row r="686" spans="1:65" ht="28.5" customHeight="1" x14ac:dyDescent="0.15">
      <c r="A686" s="34" t="s">
        <v>995</v>
      </c>
      <c r="B686" s="8" t="s">
        <v>195</v>
      </c>
      <c r="C686" s="13" t="s">
        <v>996</v>
      </c>
      <c r="D686" s="13" t="s">
        <v>1</v>
      </c>
      <c r="E686" s="9" t="str">
        <f>HYPERLINK("http://www.sheffieldparkvineyard.co.uk","www.sheffieldparkvineyard.co.uk")</f>
        <v>www.sheffieldparkvineyard.co.uk</v>
      </c>
      <c r="F686" s="10">
        <v>1.2144999999999999</v>
      </c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</row>
    <row r="687" spans="1:65" ht="28.5" customHeight="1" x14ac:dyDescent="0.15">
      <c r="A687" s="34" t="s">
        <v>1646</v>
      </c>
      <c r="B687" s="8" t="s">
        <v>36</v>
      </c>
      <c r="C687" s="13" t="s">
        <v>1645</v>
      </c>
      <c r="D687" s="13" t="s">
        <v>1</v>
      </c>
      <c r="E687" s="9" t="str">
        <f>HYPERLINK("http://www.holmfirthvineyard.com/","www.holmfirthvineyard.com")</f>
        <v>www.holmfirthvineyard.com</v>
      </c>
      <c r="F687" s="16">
        <v>7.28</v>
      </c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</row>
    <row r="688" spans="1:65" ht="28.5" customHeight="1" x14ac:dyDescent="0.15">
      <c r="A688" s="34" t="s">
        <v>452</v>
      </c>
      <c r="B688" s="8" t="s">
        <v>41</v>
      </c>
      <c r="C688" s="13" t="s">
        <v>453</v>
      </c>
      <c r="D688" s="56" t="s">
        <v>1</v>
      </c>
      <c r="E688" s="8"/>
      <c r="F688" s="14">
        <v>0.3</v>
      </c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</row>
    <row r="689" spans="1:65" ht="28.5" customHeight="1" x14ac:dyDescent="0.15">
      <c r="A689" s="34" t="s">
        <v>97</v>
      </c>
      <c r="B689" s="8" t="s">
        <v>96</v>
      </c>
      <c r="C689" s="13" t="s">
        <v>95</v>
      </c>
      <c r="D689" s="13" t="s">
        <v>1</v>
      </c>
      <c r="E689" s="8"/>
      <c r="F689" s="10">
        <v>0.03</v>
      </c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</row>
    <row r="690" spans="1:65" ht="28.5" customHeight="1" x14ac:dyDescent="0.15">
      <c r="A690" s="34" t="s">
        <v>929</v>
      </c>
      <c r="B690" s="8" t="s">
        <v>96</v>
      </c>
      <c r="C690" s="13" t="s">
        <v>95</v>
      </c>
      <c r="D690" s="13" t="s">
        <v>1</v>
      </c>
      <c r="E690" s="8"/>
      <c r="F690" s="10">
        <v>1.0185</v>
      </c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</row>
    <row r="691" spans="1:65" ht="28.5" customHeight="1" x14ac:dyDescent="0.15">
      <c r="A691" s="78" t="s">
        <v>1329</v>
      </c>
      <c r="B691" s="11" t="s">
        <v>70</v>
      </c>
      <c r="C691" s="13" t="s">
        <v>1330</v>
      </c>
      <c r="D691" s="47" t="s">
        <v>1</v>
      </c>
      <c r="E691" s="36" t="s">
        <v>1331</v>
      </c>
      <c r="F691" s="10">
        <v>2.67</v>
      </c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</row>
    <row r="692" spans="1:65" ht="28.5" customHeight="1" x14ac:dyDescent="0.15">
      <c r="A692" s="34" t="s">
        <v>131</v>
      </c>
      <c r="B692" s="17" t="s">
        <v>130</v>
      </c>
      <c r="C692" s="13" t="s">
        <v>129</v>
      </c>
      <c r="D692" s="56" t="s">
        <v>1</v>
      </c>
      <c r="E692" s="29" t="str">
        <f>HYPERLINK("http://www.shiresvineyard.co.uk/","www.shiresvineyard.co.uk")</f>
        <v>www.shiresvineyard.co.uk</v>
      </c>
      <c r="F692" s="18">
        <v>0.05</v>
      </c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</row>
    <row r="693" spans="1:65" ht="28.5" customHeight="1" x14ac:dyDescent="0.15">
      <c r="A693" s="34" t="s">
        <v>1563</v>
      </c>
      <c r="B693" s="8" t="s">
        <v>52</v>
      </c>
      <c r="C693" s="47" t="s">
        <v>1561</v>
      </c>
      <c r="D693" s="13" t="s">
        <v>1</v>
      </c>
      <c r="E693" s="9" t="s">
        <v>1562</v>
      </c>
      <c r="F693" s="10">
        <v>5.3659999999999997</v>
      </c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</row>
    <row r="694" spans="1:65" ht="28.5" customHeight="1" x14ac:dyDescent="0.15">
      <c r="A694" s="78" t="s">
        <v>1448</v>
      </c>
      <c r="B694" s="11" t="s">
        <v>32</v>
      </c>
      <c r="C694" s="13" t="s">
        <v>1449</v>
      </c>
      <c r="D694" s="47" t="s">
        <v>1</v>
      </c>
      <c r="E694" s="20"/>
      <c r="F694" s="10">
        <v>3.64</v>
      </c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</row>
    <row r="695" spans="1:65" ht="28.5" customHeight="1" x14ac:dyDescent="0.15">
      <c r="A695" s="34" t="s">
        <v>736</v>
      </c>
      <c r="B695" s="8" t="s">
        <v>16</v>
      </c>
      <c r="C695" s="13" t="s">
        <v>737</v>
      </c>
      <c r="D695" s="13" t="s">
        <v>1</v>
      </c>
      <c r="E695" s="9" t="str">
        <f>HYPERLINK("http://www.sidburyvineyard.co.uk/","www.sidburyvineyard.co.uk")</f>
        <v>www.sidburyvineyard.co.uk</v>
      </c>
      <c r="F695" s="10">
        <v>0.69750000000000001</v>
      </c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</row>
    <row r="696" spans="1:65" ht="28.5" customHeight="1" x14ac:dyDescent="0.15">
      <c r="A696" s="34" t="s">
        <v>1707</v>
      </c>
      <c r="B696" s="12" t="s">
        <v>9</v>
      </c>
      <c r="C696" s="13" t="s">
        <v>1706</v>
      </c>
      <c r="D696" s="13" t="s">
        <v>1</v>
      </c>
      <c r="E696" s="9" t="str">
        <f>HYPERLINK("http://www.simpsonswine.com/","www.simpsonswine.com")</f>
        <v>www.simpsonswine.com</v>
      </c>
      <c r="F696" s="10">
        <v>9.24</v>
      </c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</row>
    <row r="697" spans="1:65" ht="28.5" customHeight="1" x14ac:dyDescent="0.15">
      <c r="A697" s="34" t="s">
        <v>1778</v>
      </c>
      <c r="B697" s="12" t="s">
        <v>9</v>
      </c>
      <c r="C697" s="13" t="s">
        <v>1777</v>
      </c>
      <c r="D697" s="13" t="s">
        <v>1</v>
      </c>
      <c r="E697" s="9" t="str">
        <f>HYPERLINK("http://www.simpsonswine.com/","www.simpsonswine.com")</f>
        <v>www.simpsonswine.com</v>
      </c>
      <c r="F697" s="10">
        <v>16.579999999999998</v>
      </c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</row>
    <row r="698" spans="1:65" ht="28.5" customHeight="1" x14ac:dyDescent="0.15">
      <c r="A698" s="34" t="s">
        <v>1412</v>
      </c>
      <c r="B698" s="8" t="s">
        <v>32</v>
      </c>
      <c r="C698" s="13" t="s">
        <v>1413</v>
      </c>
      <c r="D698" s="13" t="s">
        <v>1</v>
      </c>
      <c r="E698" s="9" t="str">
        <f>HYPERLINK("http://www.sixteenridges.com/","www.sixteenridges.com")</f>
        <v>www.sixteenridges.com</v>
      </c>
      <c r="F698" s="10">
        <v>3.2927</v>
      </c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</row>
    <row r="699" spans="1:65" ht="28.5" customHeight="1" x14ac:dyDescent="0.15">
      <c r="A699" s="34" t="s">
        <v>1741</v>
      </c>
      <c r="B699" s="8" t="s">
        <v>5</v>
      </c>
      <c r="C699" s="13" t="s">
        <v>1739</v>
      </c>
      <c r="D699" s="13" t="s">
        <v>1</v>
      </c>
      <c r="E699" s="46" t="s">
        <v>1740</v>
      </c>
      <c r="F699" s="10">
        <v>11</v>
      </c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</row>
    <row r="700" spans="1:65" ht="28.5" customHeight="1" x14ac:dyDescent="0.15">
      <c r="A700" s="34" t="s">
        <v>1571</v>
      </c>
      <c r="B700" s="8" t="s">
        <v>70</v>
      </c>
      <c r="C700" s="13" t="s">
        <v>476</v>
      </c>
      <c r="D700" s="13" t="s">
        <v>1</v>
      </c>
      <c r="E700" s="9" t="s">
        <v>1570</v>
      </c>
      <c r="F700" s="10">
        <v>5.5</v>
      </c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</row>
    <row r="701" spans="1:65" ht="28.5" customHeight="1" x14ac:dyDescent="0.15">
      <c r="A701" s="78" t="s">
        <v>53</v>
      </c>
      <c r="B701" s="11" t="s">
        <v>52</v>
      </c>
      <c r="C701" s="13" t="s">
        <v>51</v>
      </c>
      <c r="D701" s="13" t="s">
        <v>1</v>
      </c>
      <c r="E701" s="11"/>
      <c r="F701" s="27">
        <v>0.01</v>
      </c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</row>
    <row r="702" spans="1:65" ht="28.5" customHeight="1" x14ac:dyDescent="0.15">
      <c r="A702" s="34" t="s">
        <v>1419</v>
      </c>
      <c r="B702" s="8" t="s">
        <v>96</v>
      </c>
      <c r="C702" s="13" t="s">
        <v>304</v>
      </c>
      <c r="D702" s="13" t="s">
        <v>1</v>
      </c>
      <c r="E702" s="9" t="s">
        <v>1418</v>
      </c>
      <c r="F702" s="10">
        <v>3.4</v>
      </c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</row>
    <row r="703" spans="1:65" ht="28.5" customHeight="1" x14ac:dyDescent="0.15">
      <c r="A703" s="78" t="s">
        <v>42</v>
      </c>
      <c r="B703" s="11" t="s">
        <v>41</v>
      </c>
      <c r="C703" s="13" t="s">
        <v>40</v>
      </c>
      <c r="D703" s="13" t="s">
        <v>1</v>
      </c>
      <c r="E703" s="11"/>
      <c r="F703" s="27">
        <v>2.5000000000000001E-3</v>
      </c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</row>
    <row r="704" spans="1:65" ht="28.5" customHeight="1" x14ac:dyDescent="0.15">
      <c r="A704" s="34" t="s">
        <v>589</v>
      </c>
      <c r="B704" s="8" t="s">
        <v>5</v>
      </c>
      <c r="C704" s="13" t="s">
        <v>588</v>
      </c>
      <c r="D704" s="13" t="s">
        <v>1</v>
      </c>
      <c r="E704" s="48" t="str">
        <f>HYPERLINK("http://www.sourgrapesvineyard.co.uk/","www.sourgrapesvineyard.co.uk")</f>
        <v>www.sourgrapesvineyard.co.uk</v>
      </c>
      <c r="F704" s="10">
        <v>0.40489999999999998</v>
      </c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</row>
    <row r="705" spans="1:65" ht="28.5" customHeight="1" x14ac:dyDescent="0.15">
      <c r="A705" s="34" t="s">
        <v>532</v>
      </c>
      <c r="B705" s="8" t="s">
        <v>70</v>
      </c>
      <c r="C705" s="13" t="s">
        <v>533</v>
      </c>
      <c r="D705" s="13" t="s">
        <v>1</v>
      </c>
      <c r="E705" s="8"/>
      <c r="F705" s="14">
        <v>0.4</v>
      </c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</row>
    <row r="706" spans="1:65" ht="28.5" customHeight="1" x14ac:dyDescent="0.15">
      <c r="A706" s="34" t="s">
        <v>1232</v>
      </c>
      <c r="B706" s="8" t="s">
        <v>67</v>
      </c>
      <c r="C706" s="13" t="s">
        <v>1231</v>
      </c>
      <c r="D706" s="13" t="s">
        <v>1</v>
      </c>
      <c r="E706" s="9" t="str">
        <f>HYPERLINK("http://www.southpickenham.co.uk/","www.southpickenham.co.uk")</f>
        <v>www.southpickenham.co.uk</v>
      </c>
      <c r="F706" s="10">
        <v>2.0299999999999998</v>
      </c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</row>
    <row r="707" spans="1:65" ht="28.5" customHeight="1" x14ac:dyDescent="0.15">
      <c r="A707" s="34" t="s">
        <v>305</v>
      </c>
      <c r="B707" s="8" t="s">
        <v>96</v>
      </c>
      <c r="C707" s="13" t="s">
        <v>304</v>
      </c>
      <c r="D707" s="13" t="s">
        <v>1</v>
      </c>
      <c r="E707" s="9"/>
      <c r="F707" s="10">
        <v>0.15</v>
      </c>
      <c r="G707" s="13"/>
      <c r="H707" s="20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</row>
    <row r="708" spans="1:65" ht="28.5" customHeight="1" x14ac:dyDescent="0.15">
      <c r="A708" s="34" t="s">
        <v>686</v>
      </c>
      <c r="B708" s="8" t="s">
        <v>205</v>
      </c>
      <c r="C708" s="13" t="s">
        <v>687</v>
      </c>
      <c r="D708" s="13" t="s">
        <v>1</v>
      </c>
      <c r="E708" s="9" t="str">
        <f>HYPERLINK("http://www.southcottvineyard.co.uk","www.southcottvineyard.co.uk")</f>
        <v>www.southcottvineyard.co.uk</v>
      </c>
      <c r="F708" s="10">
        <v>0.6</v>
      </c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</row>
    <row r="709" spans="1:65" ht="28.5" customHeight="1" x14ac:dyDescent="0.15">
      <c r="A709" s="34" t="s">
        <v>784</v>
      </c>
      <c r="B709" s="8" t="s">
        <v>96</v>
      </c>
      <c r="C709" s="13" t="s">
        <v>785</v>
      </c>
      <c r="D709" s="13" t="s">
        <v>1</v>
      </c>
      <c r="E709" s="41" t="str">
        <f>HYPERLINK("https://www.southlandsvalleywines.com","www.southlandsvalleywines.com")</f>
        <v>www.southlandsvalleywines.com</v>
      </c>
      <c r="F709" s="10">
        <v>0.8</v>
      </c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</row>
    <row r="710" spans="1:65" ht="28.5" customHeight="1" x14ac:dyDescent="0.15">
      <c r="A710" s="34" t="s">
        <v>598</v>
      </c>
      <c r="B710" s="8" t="s">
        <v>16</v>
      </c>
      <c r="C710" s="13" t="s">
        <v>599</v>
      </c>
      <c r="D710" s="13" t="s">
        <v>1</v>
      </c>
      <c r="E710" s="8"/>
      <c r="F710" s="10">
        <v>0.434</v>
      </c>
      <c r="G710" s="13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</row>
    <row r="711" spans="1:65" ht="28.5" customHeight="1" x14ac:dyDescent="0.15">
      <c r="A711" s="78" t="s">
        <v>1360</v>
      </c>
      <c r="B711" s="11" t="s">
        <v>30</v>
      </c>
      <c r="C711" s="13" t="s">
        <v>1359</v>
      </c>
      <c r="D711" s="13" t="s">
        <v>1</v>
      </c>
      <c r="E711" s="11"/>
      <c r="F711" s="16">
        <v>2.8338000000000001</v>
      </c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</row>
    <row r="712" spans="1:65" ht="28.5" customHeight="1" x14ac:dyDescent="0.15">
      <c r="A712" s="34" t="s">
        <v>926</v>
      </c>
      <c r="B712" s="8" t="s">
        <v>61</v>
      </c>
      <c r="C712" s="13" t="s">
        <v>925</v>
      </c>
      <c r="D712" s="13" t="s">
        <v>1</v>
      </c>
      <c r="E712" s="8"/>
      <c r="F712" s="10">
        <v>1.0088999999999999</v>
      </c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</row>
    <row r="713" spans="1:65" ht="28.5" customHeight="1" x14ac:dyDescent="0.15">
      <c r="A713" s="34" t="s">
        <v>880</v>
      </c>
      <c r="B713" s="8" t="s">
        <v>19</v>
      </c>
      <c r="C713" s="13" t="s">
        <v>881</v>
      </c>
      <c r="D713" s="13" t="s">
        <v>1</v>
      </c>
      <c r="E713" s="46" t="s">
        <v>882</v>
      </c>
      <c r="F713" s="10">
        <v>1</v>
      </c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</row>
    <row r="714" spans="1:65" ht="28.5" customHeight="1" x14ac:dyDescent="0.15">
      <c r="A714" s="77" t="s">
        <v>147</v>
      </c>
      <c r="B714" s="20" t="s">
        <v>146</v>
      </c>
      <c r="C714" s="13" t="s">
        <v>145</v>
      </c>
      <c r="D714" s="56" t="s">
        <v>1</v>
      </c>
      <c r="E714" s="17"/>
      <c r="F714" s="10">
        <v>0.06</v>
      </c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</row>
    <row r="715" spans="1:65" ht="28.5" customHeight="1" x14ac:dyDescent="0.15">
      <c r="A715" s="78" t="s">
        <v>1036</v>
      </c>
      <c r="B715" s="11" t="s">
        <v>504</v>
      </c>
      <c r="C715" s="13" t="s">
        <v>1037</v>
      </c>
      <c r="D715" s="56" t="s">
        <v>43</v>
      </c>
      <c r="E715" s="29" t="str">
        <f>HYPERLINK("www.springhollowvineyard.co.uk","www.springhollowvineyard.co.uk")</f>
        <v>www.springhollowvineyard.co.uk</v>
      </c>
      <c r="F715" s="10">
        <v>1.4</v>
      </c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</row>
    <row r="716" spans="1:65" ht="28.5" customHeight="1" x14ac:dyDescent="0.15">
      <c r="A716" s="34" t="s">
        <v>1411</v>
      </c>
      <c r="B716" s="8" t="s">
        <v>195</v>
      </c>
      <c r="C716" s="13" t="s">
        <v>1409</v>
      </c>
      <c r="D716" s="13" t="s">
        <v>1</v>
      </c>
      <c r="E716" s="49" t="s">
        <v>1410</v>
      </c>
      <c r="F716" s="16">
        <v>3.25</v>
      </c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</row>
    <row r="717" spans="1:65" ht="28.5" customHeight="1" x14ac:dyDescent="0.15">
      <c r="A717" s="78" t="s">
        <v>530</v>
      </c>
      <c r="B717" s="11" t="s">
        <v>86</v>
      </c>
      <c r="C717" s="13" t="s">
        <v>531</v>
      </c>
      <c r="D717" s="47" t="s">
        <v>1</v>
      </c>
      <c r="E717" s="36" t="str">
        <f>HYPERLINK("https://www.spuncombebottomvineyard.com","www.spuncombebottomvineyard.com")</f>
        <v>www.spuncombebottomvineyard.com</v>
      </c>
      <c r="F717" s="10">
        <v>0.4</v>
      </c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</row>
    <row r="718" spans="1:65" ht="28.5" customHeight="1" x14ac:dyDescent="0.15">
      <c r="A718" s="34" t="s">
        <v>957</v>
      </c>
      <c r="B718" s="8" t="s">
        <v>9</v>
      </c>
      <c r="C718" s="13" t="s">
        <v>956</v>
      </c>
      <c r="D718" s="13" t="s">
        <v>1</v>
      </c>
      <c r="E718" s="9" t="str">
        <f>HYPERLINK("http://www.squerryes.co.uk/","www.squerryes.co.uk")</f>
        <v>www.squerryes.co.uk</v>
      </c>
      <c r="F718" s="10">
        <v>1.1819999999999999</v>
      </c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</row>
    <row r="719" spans="1:65" ht="28.5" customHeight="1" x14ac:dyDescent="0.15">
      <c r="A719" s="34" t="s">
        <v>1795</v>
      </c>
      <c r="B719" s="8" t="s">
        <v>9</v>
      </c>
      <c r="C719" s="13" t="s">
        <v>1794</v>
      </c>
      <c r="D719" s="13" t="s">
        <v>1</v>
      </c>
      <c r="E719" s="9" t="str">
        <f>HYPERLINK("http://www.squerryes.co.uk/","www.squerryes.co.uk")</f>
        <v>www.squerryes.co.uk</v>
      </c>
      <c r="F719" s="10">
        <v>19.463000000000001</v>
      </c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</row>
    <row r="720" spans="1:65" ht="28.5" customHeight="1" x14ac:dyDescent="0.15">
      <c r="A720" s="34" t="s">
        <v>68</v>
      </c>
      <c r="B720" s="8" t="s">
        <v>67</v>
      </c>
      <c r="C720" s="13" t="s">
        <v>66</v>
      </c>
      <c r="D720" s="13" t="s">
        <v>1</v>
      </c>
      <c r="E720" s="9"/>
      <c r="F720" s="10">
        <v>1.2E-2</v>
      </c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</row>
    <row r="721" spans="1:65" ht="28.5" customHeight="1" x14ac:dyDescent="0.15">
      <c r="A721" s="34" t="s">
        <v>837</v>
      </c>
      <c r="B721" s="8" t="s">
        <v>691</v>
      </c>
      <c r="C721" s="13" t="s">
        <v>836</v>
      </c>
      <c r="D721" s="13" t="s">
        <v>1</v>
      </c>
      <c r="E721" s="9" t="str">
        <f>HYPERLINK("http://www.stmartinsvineyard.co.uk/","www.stmartinsvineyard.co.uk")</f>
        <v>www.stmartinsvineyard.co.uk</v>
      </c>
      <c r="F721" s="10">
        <v>0.95</v>
      </c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</row>
    <row r="722" spans="1:65" ht="28.5" customHeight="1" x14ac:dyDescent="0.15">
      <c r="A722" s="34" t="s">
        <v>1167</v>
      </c>
      <c r="B722" s="8" t="s">
        <v>691</v>
      </c>
      <c r="C722" s="47" t="s">
        <v>692</v>
      </c>
      <c r="D722" s="13" t="s">
        <v>1</v>
      </c>
      <c r="E722" s="9" t="str">
        <f>HYPERLINK("http://www.star-castle.co.uk/","www.star-castle.co.uk")</f>
        <v>www.star-castle.co.uk</v>
      </c>
      <c r="F722" s="10">
        <v>1.82</v>
      </c>
      <c r="G722" s="13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</row>
    <row r="723" spans="1:65" ht="28.5" customHeight="1" x14ac:dyDescent="0.15">
      <c r="A723" s="34" t="s">
        <v>879</v>
      </c>
      <c r="B723" s="8" t="s">
        <v>96</v>
      </c>
      <c r="C723" s="13" t="s">
        <v>878</v>
      </c>
      <c r="D723" s="13" t="s">
        <v>1</v>
      </c>
      <c r="E723" s="8"/>
      <c r="F723" s="10">
        <v>1</v>
      </c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</row>
    <row r="724" spans="1:65" ht="28.5" customHeight="1" x14ac:dyDescent="0.15">
      <c r="A724" s="34" t="s">
        <v>203</v>
      </c>
      <c r="B724" s="8" t="s">
        <v>9</v>
      </c>
      <c r="C724" s="13" t="s">
        <v>202</v>
      </c>
      <c r="D724" s="13" t="s">
        <v>1</v>
      </c>
      <c r="E724" s="8"/>
      <c r="F724" s="10">
        <v>0.1</v>
      </c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</row>
    <row r="725" spans="1:65" ht="28.5" customHeight="1" x14ac:dyDescent="0.15">
      <c r="A725" s="34" t="s">
        <v>1499</v>
      </c>
      <c r="B725" s="8" t="s">
        <v>107</v>
      </c>
      <c r="C725" s="13" t="s">
        <v>1498</v>
      </c>
      <c r="D725" s="13" t="s">
        <v>1</v>
      </c>
      <c r="E725" s="9" t="str">
        <f>HYPERLINK("http://www.stanlakepark.com/","www.stanlakepark.com")</f>
        <v>www.stanlakepark.com</v>
      </c>
      <c r="F725" s="14">
        <v>4.26</v>
      </c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</row>
    <row r="726" spans="1:65" ht="28.5" customHeight="1" x14ac:dyDescent="0.15">
      <c r="A726" s="34" t="s">
        <v>655</v>
      </c>
      <c r="B726" s="8" t="s">
        <v>52</v>
      </c>
      <c r="C726" s="13" t="s">
        <v>656</v>
      </c>
      <c r="D726" s="13" t="s">
        <v>1</v>
      </c>
      <c r="E726" s="8"/>
      <c r="F726" s="10">
        <v>0.53</v>
      </c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</row>
    <row r="727" spans="1:65" ht="28.5" customHeight="1" x14ac:dyDescent="0.15">
      <c r="A727" s="34" t="s">
        <v>614</v>
      </c>
      <c r="B727" s="8" t="s">
        <v>5</v>
      </c>
      <c r="C727" s="13" t="s">
        <v>616</v>
      </c>
      <c r="D727" s="13" t="s">
        <v>1</v>
      </c>
      <c r="E727" s="9" t="s">
        <v>615</v>
      </c>
      <c r="F727" s="10">
        <v>0.48</v>
      </c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</row>
    <row r="728" spans="1:65" ht="28.5" customHeight="1" x14ac:dyDescent="0.15">
      <c r="A728" s="34" t="s">
        <v>174</v>
      </c>
      <c r="B728" s="8" t="s">
        <v>32</v>
      </c>
      <c r="C728" s="13" t="s">
        <v>173</v>
      </c>
      <c r="D728" s="13" t="s">
        <v>1</v>
      </c>
      <c r="E728" s="9" t="str">
        <f>HYPERLINK("http://www.shcn.co.uk/","www.shcn.co.uk")</f>
        <v>www.shcn.co.uk</v>
      </c>
      <c r="F728" s="10">
        <v>0.09</v>
      </c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</row>
    <row r="729" spans="1:65" ht="28.5" customHeight="1" x14ac:dyDescent="0.15">
      <c r="A729" s="34" t="s">
        <v>1582</v>
      </c>
      <c r="B729" s="8" t="s">
        <v>96</v>
      </c>
      <c r="C729" s="13" t="s">
        <v>1583</v>
      </c>
      <c r="D729" s="13" t="s">
        <v>1</v>
      </c>
      <c r="E729" s="9" t="str">
        <f>HYPERLINK("http://www.stophamvineyard.co.uk/","www.stophamvineyard.co.uk")</f>
        <v>www.stophamvineyard.co.uk</v>
      </c>
      <c r="F729" s="10">
        <v>5.6</v>
      </c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</row>
    <row r="730" spans="1:65" ht="28.5" customHeight="1" x14ac:dyDescent="0.15">
      <c r="A730" s="34" t="s">
        <v>930</v>
      </c>
      <c r="B730" s="8" t="s">
        <v>96</v>
      </c>
      <c r="C730" s="13" t="s">
        <v>932</v>
      </c>
      <c r="D730" s="13" t="s">
        <v>1</v>
      </c>
      <c r="E730" s="9" t="str">
        <f>HYPERLINK("https://www.dermotsugrue.com","www.dermotsugrue.com")</f>
        <v>www.dermotsugrue.com</v>
      </c>
      <c r="F730" s="10">
        <v>1.0396000000000001</v>
      </c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</row>
    <row r="731" spans="1:65" ht="28.5" customHeight="1" x14ac:dyDescent="0.15">
      <c r="A731" s="34" t="s">
        <v>201</v>
      </c>
      <c r="B731" s="8" t="s">
        <v>30</v>
      </c>
      <c r="C731" s="13" t="s">
        <v>0</v>
      </c>
      <c r="D731" s="13" t="s">
        <v>1</v>
      </c>
      <c r="E731" s="8"/>
      <c r="F731" s="19">
        <v>0.1</v>
      </c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</row>
    <row r="732" spans="1:65" ht="28.5" customHeight="1" x14ac:dyDescent="0.15">
      <c r="A732" s="34" t="s">
        <v>1146</v>
      </c>
      <c r="B732" s="8" t="s">
        <v>86</v>
      </c>
      <c r="C732" s="13" t="s">
        <v>672</v>
      </c>
      <c r="D732" s="13" t="s">
        <v>1</v>
      </c>
      <c r="E732" s="8"/>
      <c r="F732" s="10">
        <v>1.8</v>
      </c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</row>
    <row r="733" spans="1:65" ht="28.5" customHeight="1" x14ac:dyDescent="0.15">
      <c r="A733" s="34" t="s">
        <v>1182</v>
      </c>
      <c r="B733" s="8" t="s">
        <v>621</v>
      </c>
      <c r="C733" s="13" t="s">
        <v>1183</v>
      </c>
      <c r="D733" s="13" t="s">
        <v>43</v>
      </c>
      <c r="E733" s="9" t="str">
        <f>HYPERLINK("http://www.sugarloafvineyard.co.uk/","www.sugarloafvineyard.co.uk")</f>
        <v>www.sugarloafvineyard.co.uk</v>
      </c>
      <c r="F733" s="10">
        <v>2</v>
      </c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</row>
    <row r="734" spans="1:65" ht="28.5" customHeight="1" x14ac:dyDescent="0.15">
      <c r="A734" s="34" t="s">
        <v>677</v>
      </c>
      <c r="B734" s="8" t="s">
        <v>676</v>
      </c>
      <c r="C734" s="13" t="s">
        <v>678</v>
      </c>
      <c r="D734" s="13" t="s">
        <v>1</v>
      </c>
      <c r="E734" s="26" t="s">
        <v>679</v>
      </c>
      <c r="F734" s="10">
        <v>0.57199999999999995</v>
      </c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</row>
    <row r="735" spans="1:65" ht="28.5" customHeight="1" x14ac:dyDescent="0.15">
      <c r="A735" s="34" t="s">
        <v>474</v>
      </c>
      <c r="B735" s="8" t="s">
        <v>61</v>
      </c>
      <c r="C735" s="13" t="s">
        <v>473</v>
      </c>
      <c r="D735" s="13" t="s">
        <v>1</v>
      </c>
      <c r="E735" s="9" t="str">
        <f>HYPERLINK("http://www.sunnybankvines.co.uk/","www.sunnybankvines.co.uk")</f>
        <v>www.sunnybankvines.co.uk</v>
      </c>
      <c r="F735" s="10">
        <v>0.34</v>
      </c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</row>
    <row r="736" spans="1:65" ht="28.5" customHeight="1" x14ac:dyDescent="0.15">
      <c r="A736" s="78" t="s">
        <v>746</v>
      </c>
      <c r="B736" s="11" t="s">
        <v>313</v>
      </c>
      <c r="C736" s="13" t="s">
        <v>745</v>
      </c>
      <c r="D736" s="13" t="s">
        <v>1</v>
      </c>
      <c r="E736" s="15" t="s">
        <v>744</v>
      </c>
      <c r="F736" s="27">
        <v>0.70689999999999997</v>
      </c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</row>
    <row r="737" spans="1:65" ht="28.5" customHeight="1" x14ac:dyDescent="0.15">
      <c r="A737" s="34" t="s">
        <v>529</v>
      </c>
      <c r="B737" s="8" t="s">
        <v>9</v>
      </c>
      <c r="C737" s="13" t="s">
        <v>528</v>
      </c>
      <c r="D737" s="13" t="s">
        <v>1</v>
      </c>
      <c r="E737" s="8"/>
      <c r="F737" s="10">
        <v>0.4</v>
      </c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</row>
    <row r="738" spans="1:65" ht="28.5" customHeight="1" x14ac:dyDescent="0.15">
      <c r="A738" s="34" t="s">
        <v>144</v>
      </c>
      <c r="B738" s="8" t="s">
        <v>36</v>
      </c>
      <c r="C738" s="13" t="s">
        <v>143</v>
      </c>
      <c r="D738" s="13" t="s">
        <v>1</v>
      </c>
      <c r="E738" s="48" t="str">
        <f>HYPERLINK("http://www.sutton-grange-wines.uk/","www.sutton-grange-wines.uk")</f>
        <v>www.sutton-grange-wines.uk</v>
      </c>
      <c r="F738" s="10">
        <v>0.06</v>
      </c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</row>
    <row r="739" spans="1:65" ht="28.5" customHeight="1" x14ac:dyDescent="0.15">
      <c r="A739" s="34" t="s">
        <v>782</v>
      </c>
      <c r="B739" s="8" t="s">
        <v>133</v>
      </c>
      <c r="C739" s="13" t="s">
        <v>783</v>
      </c>
      <c r="D739" s="13" t="s">
        <v>1</v>
      </c>
      <c r="E739" s="48" t="str">
        <f>HYPERLINK("http://www.suttonridgevineyard.co.uk/","www.suttonridgevineyard.co.uk")</f>
        <v>www.suttonridgevineyard.co.uk</v>
      </c>
      <c r="F739" s="10">
        <v>0.8</v>
      </c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</row>
    <row r="740" spans="1:65" ht="28.5" customHeight="1" x14ac:dyDescent="0.15">
      <c r="A740" s="78" t="s">
        <v>605</v>
      </c>
      <c r="B740" s="11" t="s">
        <v>67</v>
      </c>
      <c r="C740" s="13" t="s">
        <v>606</v>
      </c>
      <c r="D740" s="47" t="s">
        <v>1</v>
      </c>
      <c r="E740" s="20"/>
      <c r="F740" s="10">
        <v>0.45</v>
      </c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</row>
    <row r="741" spans="1:65" ht="28.5" customHeight="1" x14ac:dyDescent="0.15">
      <c r="A741" s="34" t="s">
        <v>1403</v>
      </c>
      <c r="B741" s="8" t="s">
        <v>16</v>
      </c>
      <c r="C741" s="13" t="s">
        <v>1404</v>
      </c>
      <c r="D741" s="13" t="s">
        <v>1</v>
      </c>
      <c r="E741" s="9" t="s">
        <v>1405</v>
      </c>
      <c r="F741" s="14">
        <v>3.2</v>
      </c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</row>
    <row r="742" spans="1:65" ht="28.5" customHeight="1" x14ac:dyDescent="0.15">
      <c r="A742" s="78" t="s">
        <v>270</v>
      </c>
      <c r="B742" s="11" t="s">
        <v>32</v>
      </c>
      <c r="C742" s="13" t="s">
        <v>271</v>
      </c>
      <c r="D742" s="47" t="s">
        <v>1</v>
      </c>
      <c r="E742" s="20"/>
      <c r="F742" s="10">
        <v>0.114</v>
      </c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</row>
    <row r="743" spans="1:65" ht="28.5" customHeight="1" x14ac:dyDescent="0.15">
      <c r="A743" s="78" t="s">
        <v>1610</v>
      </c>
      <c r="B743" s="11" t="s">
        <v>9</v>
      </c>
      <c r="C743" s="13" t="s">
        <v>1609</v>
      </c>
      <c r="D743" s="13" t="s">
        <v>1</v>
      </c>
      <c r="E743" s="11"/>
      <c r="F743" s="24">
        <v>6.3259999999999996</v>
      </c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</row>
    <row r="744" spans="1:65" ht="28.5" customHeight="1" x14ac:dyDescent="0.15">
      <c r="A744" s="78" t="s">
        <v>200</v>
      </c>
      <c r="B744" s="11" t="s">
        <v>32</v>
      </c>
      <c r="C744" s="13" t="s">
        <v>199</v>
      </c>
      <c r="D744" s="13" t="s">
        <v>1</v>
      </c>
      <c r="E744" s="8"/>
      <c r="F744" s="19">
        <v>0.1</v>
      </c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</row>
    <row r="745" spans="1:65" ht="28.5" customHeight="1" x14ac:dyDescent="0.15">
      <c r="A745" s="34" t="s">
        <v>1091</v>
      </c>
      <c r="B745" s="8" t="s">
        <v>9</v>
      </c>
      <c r="C745" s="13" t="s">
        <v>1090</v>
      </c>
      <c r="D745" s="13" t="s">
        <v>1</v>
      </c>
      <c r="E745" s="8"/>
      <c r="F745" s="10">
        <v>1.57</v>
      </c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</row>
    <row r="746" spans="1:65" ht="28.5" customHeight="1" x14ac:dyDescent="0.15">
      <c r="A746" s="78" t="s">
        <v>331</v>
      </c>
      <c r="B746" s="11" t="s">
        <v>16</v>
      </c>
      <c r="C746" s="13" t="s">
        <v>330</v>
      </c>
      <c r="D746" s="47" t="s">
        <v>1</v>
      </c>
      <c r="E746" s="36" t="str">
        <f>HYPERLINK("https://www.facebook.com/pg/TamarValleyVines/posts/","facebook.com/pg/TamarValleyVines")</f>
        <v>facebook.com/pg/TamarValleyVines</v>
      </c>
      <c r="F746" s="10">
        <v>0.192</v>
      </c>
      <c r="G746" s="11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</row>
    <row r="747" spans="1:65" ht="28.5" customHeight="1" x14ac:dyDescent="0.15">
      <c r="A747" s="78" t="s">
        <v>611</v>
      </c>
      <c r="B747" s="11" t="s">
        <v>16</v>
      </c>
      <c r="C747" s="13" t="s">
        <v>612</v>
      </c>
      <c r="D747" s="47" t="s">
        <v>1</v>
      </c>
      <c r="E747" s="36" t="s">
        <v>613</v>
      </c>
      <c r="F747" s="10">
        <v>0.46410000000000001</v>
      </c>
      <c r="G747" s="11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</row>
    <row r="748" spans="1:65" ht="28.5" customHeight="1" x14ac:dyDescent="0.15">
      <c r="A748" s="78" t="s">
        <v>1145</v>
      </c>
      <c r="B748" s="11" t="s">
        <v>64</v>
      </c>
      <c r="C748" s="13" t="s">
        <v>1144</v>
      </c>
      <c r="D748" s="13" t="s">
        <v>1</v>
      </c>
      <c r="E748" s="11"/>
      <c r="F748" s="27">
        <v>1.8</v>
      </c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</row>
    <row r="749" spans="1:65" ht="28.5" customHeight="1" x14ac:dyDescent="0.15">
      <c r="A749" s="77" t="s">
        <v>492</v>
      </c>
      <c r="B749" s="20" t="s">
        <v>96</v>
      </c>
      <c r="C749" s="60" t="s">
        <v>493</v>
      </c>
      <c r="D749" s="56" t="s">
        <v>1</v>
      </c>
      <c r="E749" s="17"/>
      <c r="F749" s="10">
        <v>0.37</v>
      </c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</row>
    <row r="750" spans="1:65" ht="28.5" customHeight="1" x14ac:dyDescent="0.15">
      <c r="A750" s="78" t="s">
        <v>1056</v>
      </c>
      <c r="B750" s="11" t="s">
        <v>5</v>
      </c>
      <c r="C750" s="13" t="s">
        <v>1055</v>
      </c>
      <c r="D750" s="13" t="s">
        <v>1</v>
      </c>
      <c r="E750" s="15" t="str">
        <f>HYPERLINK("http://www.teffontwines.co.uk/","www.teffontwines.co.uk")</f>
        <v>www.teffontwines.co.uk</v>
      </c>
      <c r="F750" s="10">
        <v>1.45</v>
      </c>
      <c r="G750" s="11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</row>
    <row r="751" spans="1:65" ht="28.5" customHeight="1" x14ac:dyDescent="0.15">
      <c r="A751" s="34" t="s">
        <v>527</v>
      </c>
      <c r="B751" s="8" t="s">
        <v>205</v>
      </c>
      <c r="C751" s="13" t="s">
        <v>526</v>
      </c>
      <c r="D751" s="13" t="s">
        <v>1</v>
      </c>
      <c r="E751" s="9" t="str">
        <f>HYPERLINK("http://www.teffontwines.co.uk/","www.teffontwines.co.uk")</f>
        <v>www.teffontwines.co.uk</v>
      </c>
      <c r="F751" s="10">
        <v>0.4</v>
      </c>
      <c r="G751" s="13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</row>
    <row r="752" spans="1:65" ht="28.5" customHeight="1" x14ac:dyDescent="0.15">
      <c r="A752" s="34" t="s">
        <v>525</v>
      </c>
      <c r="B752" s="8" t="s">
        <v>205</v>
      </c>
      <c r="C752" s="13" t="s">
        <v>524</v>
      </c>
      <c r="D752" s="13" t="s">
        <v>1</v>
      </c>
      <c r="E752" s="9" t="str">
        <f>HYPERLINK("http://www.teffontwines.co.uk/","www.teffontwines.co.uk")</f>
        <v>www.teffontwines.co.uk</v>
      </c>
      <c r="F752" s="10">
        <v>0.4</v>
      </c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</row>
    <row r="753" spans="1:65" ht="28.5" customHeight="1" x14ac:dyDescent="0.15">
      <c r="A753" s="34" t="s">
        <v>863</v>
      </c>
      <c r="B753" s="8" t="s">
        <v>862</v>
      </c>
      <c r="C753" s="13" t="s">
        <v>861</v>
      </c>
      <c r="D753" s="71" t="s">
        <v>47</v>
      </c>
      <c r="E753" s="9" t="str">
        <f>HYPERLINK("https://www.facebook.com/TemplarsOakVineyard/","facebook.com/TemplarsOakVineyard")</f>
        <v>facebook.com/TemplarsOakVineyard</v>
      </c>
      <c r="F753" s="10">
        <v>1</v>
      </c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</row>
    <row r="754" spans="1:65" ht="28.5" customHeight="1" x14ac:dyDescent="0.15">
      <c r="A754" s="80" t="s">
        <v>522</v>
      </c>
      <c r="B754" s="23" t="s">
        <v>9</v>
      </c>
      <c r="C754" s="58" t="s">
        <v>523</v>
      </c>
      <c r="D754" s="13" t="s">
        <v>1</v>
      </c>
      <c r="E754" s="11"/>
      <c r="F754" s="10">
        <v>0.4</v>
      </c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</row>
    <row r="755" spans="1:65" ht="28.5" customHeight="1" x14ac:dyDescent="0.15">
      <c r="A755" s="34" t="s">
        <v>832</v>
      </c>
      <c r="B755" s="8" t="s">
        <v>16</v>
      </c>
      <c r="C755" s="13" t="s">
        <v>833</v>
      </c>
      <c r="D755" s="71" t="s">
        <v>1</v>
      </c>
      <c r="E755" s="9" t="str">
        <f>HYPERLINK("http://www.tenacresvineyardcamping.co.uk/","www.tenacresvineyardcamping.co.uk")</f>
        <v>www.tenacresvineyardcamping.co.uk</v>
      </c>
      <c r="F755" s="10">
        <v>0.9</v>
      </c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</row>
    <row r="756" spans="1:65" ht="28.5" customHeight="1" x14ac:dyDescent="0.15">
      <c r="A756" s="34" t="s">
        <v>1030</v>
      </c>
      <c r="B756" s="8" t="s">
        <v>9</v>
      </c>
      <c r="C756" s="13" t="s">
        <v>1031</v>
      </c>
      <c r="D756" s="13" t="s">
        <v>1</v>
      </c>
      <c r="E756" s="9" t="str">
        <f>HYPERLINK("http://www.terlinghamvineyard.co.uk/","www.terlinghamvineyard.co.uk")</f>
        <v>www.terlinghamvineyard.co.uk</v>
      </c>
      <c r="F756" s="10">
        <v>1.34</v>
      </c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</row>
    <row r="757" spans="1:65" ht="28.5" customHeight="1" x14ac:dyDescent="0.15">
      <c r="A757" s="79" t="s">
        <v>877</v>
      </c>
      <c r="B757" s="21" t="s">
        <v>86</v>
      </c>
      <c r="C757" s="57" t="s">
        <v>876</v>
      </c>
      <c r="D757" s="13" t="s">
        <v>1</v>
      </c>
      <c r="E757" s="8"/>
      <c r="F757" s="16">
        <v>1</v>
      </c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</row>
    <row r="758" spans="1:65" ht="28.5" customHeight="1" x14ac:dyDescent="0.15">
      <c r="A758" s="34" t="s">
        <v>781</v>
      </c>
      <c r="B758" s="8" t="s">
        <v>67</v>
      </c>
      <c r="C758" s="13" t="s">
        <v>780</v>
      </c>
      <c r="D758" s="13" t="s">
        <v>1</v>
      </c>
      <c r="E758" s="9" t="str">
        <f>HYPERLINK("http://www.thelnethamvineyard.com/","www.thelnethamvineyard.com")</f>
        <v>www.thelnethamvineyard.com</v>
      </c>
      <c r="F758" s="10">
        <v>0.8</v>
      </c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</row>
    <row r="759" spans="1:65" ht="28.5" customHeight="1" x14ac:dyDescent="0.15">
      <c r="A759" s="34" t="s">
        <v>849</v>
      </c>
      <c r="B759" s="8" t="s">
        <v>848</v>
      </c>
      <c r="C759" s="13" t="s">
        <v>156</v>
      </c>
      <c r="D759" s="13" t="s">
        <v>156</v>
      </c>
      <c r="E759" s="9" t="str">
        <f>HYPERLINK("http://www.thomaswalk-vineyard.com/","www.thomaswalk-vineyard.com")</f>
        <v>www.thomaswalk-vineyard.com</v>
      </c>
      <c r="F759" s="10">
        <v>0.98</v>
      </c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</row>
    <row r="760" spans="1:65" ht="28.5" customHeight="1" x14ac:dyDescent="0.15">
      <c r="A760" s="34" t="s">
        <v>337</v>
      </c>
      <c r="B760" s="8" t="s">
        <v>339</v>
      </c>
      <c r="C760" s="13" t="s">
        <v>338</v>
      </c>
      <c r="D760" s="13" t="s">
        <v>1</v>
      </c>
      <c r="E760" s="9" t="str">
        <f>HYPERLINK("http://www.thornburycastle.co.uk/","www.thornburycastle.co.uk")</f>
        <v>www.thornburycastle.co.uk</v>
      </c>
      <c r="F760" s="10">
        <v>0.2</v>
      </c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</row>
    <row r="761" spans="1:65" ht="28.5" customHeight="1" x14ac:dyDescent="0.15">
      <c r="A761" s="34" t="s">
        <v>521</v>
      </c>
      <c r="B761" s="8" t="s">
        <v>64</v>
      </c>
      <c r="C761" s="13" t="s">
        <v>520</v>
      </c>
      <c r="D761" s="13" t="s">
        <v>1</v>
      </c>
      <c r="E761" s="9" t="str">
        <f>HYPERLINK("http://www.yumchadrinks.com/","www.yumchadrinks.com")</f>
        <v>www.yumchadrinks.com</v>
      </c>
      <c r="F761" s="10">
        <v>0.4</v>
      </c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</row>
    <row r="762" spans="1:65" ht="28.5" customHeight="1" x14ac:dyDescent="0.15">
      <c r="A762" s="34" t="s">
        <v>1535</v>
      </c>
      <c r="B762" s="8" t="s">
        <v>30</v>
      </c>
      <c r="C762" s="13" t="s">
        <v>1534</v>
      </c>
      <c r="D762" s="13" t="s">
        <v>1</v>
      </c>
      <c r="E762" s="9" t="str">
        <f>HYPERLINK("www.thorringtonmillvineyard.co.uk ","www.thorringtonmillvineyard.co.uk ")</f>
        <v xml:space="preserve">www.thorringtonmillvineyard.co.uk </v>
      </c>
      <c r="F762" s="10">
        <v>4.8563000000000001</v>
      </c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</row>
    <row r="763" spans="1:65" ht="28.5" customHeight="1" x14ac:dyDescent="0.15">
      <c r="A763" s="34" t="s">
        <v>1819</v>
      </c>
      <c r="B763" s="8" t="s">
        <v>86</v>
      </c>
      <c r="C763" s="13" t="s">
        <v>1818</v>
      </c>
      <c r="D763" s="13" t="s">
        <v>1</v>
      </c>
      <c r="E763" s="9" t="str">
        <f>HYPERLINK("http://www.three-choirs-vineyards.co.uk/","www.three-choirs-vineyards.co.uk")</f>
        <v>www.three-choirs-vineyards.co.uk</v>
      </c>
      <c r="F763" s="10">
        <v>28.7</v>
      </c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</row>
    <row r="764" spans="1:65" ht="28.5" customHeight="1" x14ac:dyDescent="0.15">
      <c r="A764" s="34" t="s">
        <v>198</v>
      </c>
      <c r="B764" s="8" t="s">
        <v>195</v>
      </c>
      <c r="C764" s="13" t="s">
        <v>0</v>
      </c>
      <c r="D764" s="13" t="s">
        <v>1</v>
      </c>
      <c r="E764" s="8"/>
      <c r="F764" s="19">
        <v>0.1</v>
      </c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</row>
    <row r="765" spans="1:65" ht="28.5" customHeight="1" x14ac:dyDescent="0.15">
      <c r="A765" s="34" t="s">
        <v>1032</v>
      </c>
      <c r="B765" s="8" t="s">
        <v>9</v>
      </c>
      <c r="C765" s="13" t="s">
        <v>1033</v>
      </c>
      <c r="D765" s="63" t="s">
        <v>1</v>
      </c>
      <c r="E765" s="12"/>
      <c r="F765" s="10">
        <v>1.38</v>
      </c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</row>
    <row r="766" spans="1:65" ht="28.5" customHeight="1" x14ac:dyDescent="0.15">
      <c r="A766" s="78" t="s">
        <v>265</v>
      </c>
      <c r="B766" s="11" t="s">
        <v>67</v>
      </c>
      <c r="C766" s="13" t="s">
        <v>264</v>
      </c>
      <c r="D766" s="13" t="s">
        <v>1</v>
      </c>
      <c r="E766" s="11"/>
      <c r="F766" s="27">
        <v>0.11</v>
      </c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</row>
    <row r="767" spans="1:65" ht="28.5" customHeight="1" x14ac:dyDescent="0.15">
      <c r="A767" s="34" t="s">
        <v>710</v>
      </c>
      <c r="B767" s="8" t="s">
        <v>52</v>
      </c>
      <c r="C767" s="13" t="s">
        <v>709</v>
      </c>
      <c r="D767" s="13" t="s">
        <v>1</v>
      </c>
      <c r="E767" s="8"/>
      <c r="F767" s="10">
        <v>0.63</v>
      </c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</row>
    <row r="768" spans="1:65" ht="28.5" customHeight="1" x14ac:dyDescent="0.15">
      <c r="A768" s="77" t="s">
        <v>1722</v>
      </c>
      <c r="B768" s="20" t="s">
        <v>195</v>
      </c>
      <c r="C768" s="47" t="s">
        <v>1720</v>
      </c>
      <c r="D768" s="47" t="s">
        <v>1</v>
      </c>
      <c r="E768" s="26" t="s">
        <v>1721</v>
      </c>
      <c r="F768" s="10">
        <v>10.199999999999999</v>
      </c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</row>
    <row r="769" spans="1:65" ht="28.5" customHeight="1" x14ac:dyDescent="0.15">
      <c r="A769" s="34" t="s">
        <v>1143</v>
      </c>
      <c r="B769" s="8" t="s">
        <v>195</v>
      </c>
      <c r="C769" s="13" t="s">
        <v>1142</v>
      </c>
      <c r="D769" s="13" t="s">
        <v>1</v>
      </c>
      <c r="E769" s="9"/>
      <c r="F769" s="10">
        <v>1.8</v>
      </c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</row>
    <row r="770" spans="1:65" ht="28.5" customHeight="1" x14ac:dyDescent="0.15">
      <c r="A770" s="34" t="s">
        <v>1848</v>
      </c>
      <c r="B770" s="8" t="s">
        <v>96</v>
      </c>
      <c r="C770" s="13" t="s">
        <v>1847</v>
      </c>
      <c r="D770" s="13" t="s">
        <v>1</v>
      </c>
      <c r="E770" s="9" t="str">
        <f>HYPERLINK("http://www.tinwoodestate.com/","www.tinwoodestate.com")</f>
        <v>www.tinwoodestate.com</v>
      </c>
      <c r="F770" s="10">
        <v>44.624000000000002</v>
      </c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</row>
    <row r="771" spans="1:65" ht="24.75" customHeight="1" x14ac:dyDescent="0.15">
      <c r="A771" s="77" t="s">
        <v>684</v>
      </c>
      <c r="B771" s="11" t="s">
        <v>19</v>
      </c>
      <c r="C771" s="13" t="s">
        <v>685</v>
      </c>
      <c r="D771" s="13" t="s">
        <v>1</v>
      </c>
      <c r="E771" s="15" t="str">
        <f>HYPERLINK("www.willowfarmgourmet.co.uk","www.willowfarmgourmet.co.uk")</f>
        <v>www.willowfarmgourmet.co.uk</v>
      </c>
      <c r="F771" s="10">
        <v>0.6</v>
      </c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</row>
    <row r="772" spans="1:65" ht="28.5" customHeight="1" x14ac:dyDescent="0.15">
      <c r="A772" s="34" t="s">
        <v>874</v>
      </c>
      <c r="B772" s="8" t="s">
        <v>30</v>
      </c>
      <c r="C772" s="13" t="s">
        <v>875</v>
      </c>
      <c r="D772" s="13" t="s">
        <v>1</v>
      </c>
      <c r="E772" s="26"/>
      <c r="F772" s="10">
        <v>1</v>
      </c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</row>
    <row r="773" spans="1:65" ht="28.5" customHeight="1" x14ac:dyDescent="0.15">
      <c r="A773" s="77" t="s">
        <v>1138</v>
      </c>
      <c r="B773" s="20" t="s">
        <v>12</v>
      </c>
      <c r="C773" s="47" t="s">
        <v>1139</v>
      </c>
      <c r="D773" s="47" t="s">
        <v>1</v>
      </c>
      <c r="E773" s="12"/>
      <c r="F773" s="10">
        <v>1.72</v>
      </c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</row>
    <row r="774" spans="1:65" ht="28.5" customHeight="1" x14ac:dyDescent="0.15">
      <c r="A774" s="34" t="s">
        <v>948</v>
      </c>
      <c r="B774" s="8" t="s">
        <v>5</v>
      </c>
      <c r="C774" s="13" t="s">
        <v>949</v>
      </c>
      <c r="D774" s="13" t="s">
        <v>1</v>
      </c>
      <c r="E774" s="9" t="str">
        <f>HYPERLINK("http://www.titchfieldvineyard.co.uk/","www.titchfieldvineyard.co.uk")</f>
        <v>www.titchfieldvineyard.co.uk</v>
      </c>
      <c r="F774" s="10">
        <v>1.1000000000000001</v>
      </c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</row>
    <row r="775" spans="1:65" ht="28.5" customHeight="1" x14ac:dyDescent="0.15">
      <c r="A775" s="34" t="s">
        <v>422</v>
      </c>
      <c r="B775" s="8" t="s">
        <v>9</v>
      </c>
      <c r="C775" s="13" t="s">
        <v>421</v>
      </c>
      <c r="D775" s="13" t="s">
        <v>1</v>
      </c>
      <c r="E775" s="8"/>
      <c r="F775" s="10">
        <v>0.26</v>
      </c>
      <c r="G775" s="11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</row>
    <row r="776" spans="1:65" ht="28.5" customHeight="1" x14ac:dyDescent="0.15">
      <c r="A776" s="78" t="s">
        <v>945</v>
      </c>
      <c r="B776" s="11" t="s">
        <v>30</v>
      </c>
      <c r="C776" s="13" t="s">
        <v>946</v>
      </c>
      <c r="D776" s="13" t="s">
        <v>1</v>
      </c>
      <c r="E776" s="15" t="s">
        <v>947</v>
      </c>
      <c r="F776" s="10">
        <v>1.1000000000000001</v>
      </c>
      <c r="G776" s="11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</row>
    <row r="777" spans="1:65" ht="28.5" customHeight="1" x14ac:dyDescent="0.15">
      <c r="A777" s="34" t="s">
        <v>1252</v>
      </c>
      <c r="B777" s="8" t="s">
        <v>16</v>
      </c>
      <c r="C777" s="13" t="s">
        <v>1251</v>
      </c>
      <c r="D777" s="13" t="s">
        <v>1</v>
      </c>
      <c r="E777" s="15" t="str">
        <f>HYPERLINK("http://www.torview.co.uk/","www.torview.co.uk")</f>
        <v>www.torview.co.uk</v>
      </c>
      <c r="F777" s="10">
        <v>2.13</v>
      </c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</row>
    <row r="778" spans="1:65" ht="28.5" customHeight="1" x14ac:dyDescent="0.15">
      <c r="A778" s="78" t="s">
        <v>408</v>
      </c>
      <c r="B778" s="11" t="s">
        <v>36</v>
      </c>
      <c r="C778" s="13" t="s">
        <v>407</v>
      </c>
      <c r="D778" s="13" t="s">
        <v>1</v>
      </c>
      <c r="E778" s="15" t="s">
        <v>406</v>
      </c>
      <c r="F778" s="13">
        <v>0.25</v>
      </c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</row>
    <row r="779" spans="1:65" ht="28.5" customHeight="1" x14ac:dyDescent="0.15">
      <c r="A779" s="78" t="s">
        <v>1429</v>
      </c>
      <c r="B779" s="11" t="s">
        <v>12</v>
      </c>
      <c r="C779" s="13" t="s">
        <v>1428</v>
      </c>
      <c r="D779" s="13" t="s">
        <v>1</v>
      </c>
      <c r="E779" s="15" t="str">
        <f>HYPERLINK("www.healeyscyder.co.uk","www.healeyscyder.co.uk")</f>
        <v>www.healeyscyder.co.uk</v>
      </c>
      <c r="F779" s="24">
        <v>3.456</v>
      </c>
      <c r="G779" s="11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</row>
    <row r="780" spans="1:65" ht="28.5" customHeight="1" x14ac:dyDescent="0.15">
      <c r="A780" s="34" t="s">
        <v>262</v>
      </c>
      <c r="B780" s="8" t="s">
        <v>19</v>
      </c>
      <c r="C780" s="13" t="s">
        <v>263</v>
      </c>
      <c r="D780" s="13" t="s">
        <v>1</v>
      </c>
      <c r="E780" s="8"/>
      <c r="F780" s="10">
        <v>0.11</v>
      </c>
      <c r="G780" s="11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</row>
    <row r="781" spans="1:65" ht="28.5" customHeight="1" x14ac:dyDescent="0.15">
      <c r="A781" s="34" t="s">
        <v>1042</v>
      </c>
      <c r="B781" s="8" t="s">
        <v>556</v>
      </c>
      <c r="C781" s="13" t="s">
        <v>1043</v>
      </c>
      <c r="D781" s="13" t="s">
        <v>1</v>
      </c>
      <c r="E781" s="9" t="str">
        <f>HYPERLINK("http://www.trentham.co.uk/","www.trentham.co.uk")</f>
        <v>www.trentham.co.uk</v>
      </c>
      <c r="F781" s="10">
        <v>1.4</v>
      </c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</row>
    <row r="782" spans="1:65" ht="28.5" customHeight="1" x14ac:dyDescent="0.15">
      <c r="A782" s="34" t="s">
        <v>1385</v>
      </c>
      <c r="B782" s="8" t="s">
        <v>12</v>
      </c>
      <c r="C782" s="13" t="s">
        <v>1386</v>
      </c>
      <c r="D782" s="13" t="s">
        <v>1</v>
      </c>
      <c r="E782" s="9" t="str">
        <f>HYPERLINK("http://www.trevibbanmill.com/","www.trevibbanmill.com")</f>
        <v>www.trevibbanmill.com</v>
      </c>
      <c r="F782" s="10">
        <v>3</v>
      </c>
      <c r="G782" s="11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</row>
    <row r="783" spans="1:65" ht="28.5" customHeight="1" x14ac:dyDescent="0.15">
      <c r="A783" s="76" t="s">
        <v>1471</v>
      </c>
      <c r="B783" s="8" t="s">
        <v>30</v>
      </c>
      <c r="C783" s="13" t="s">
        <v>706</v>
      </c>
      <c r="D783" s="13" t="s">
        <v>1</v>
      </c>
      <c r="E783" s="8"/>
      <c r="F783" s="16">
        <v>4</v>
      </c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</row>
    <row r="784" spans="1:65" ht="28.5" customHeight="1" x14ac:dyDescent="0.15">
      <c r="A784" s="34" t="s">
        <v>1187</v>
      </c>
      <c r="B784" s="8" t="s">
        <v>96</v>
      </c>
      <c r="C784" s="13" t="s">
        <v>1186</v>
      </c>
      <c r="D784" s="13" t="s">
        <v>1</v>
      </c>
      <c r="E784" s="9" t="str">
        <f>HYPERLINK("http://www.trottonestatevineyards.com/","www.trottonestatevineyards.com")</f>
        <v>www.trottonestatevineyards.com</v>
      </c>
      <c r="F784" s="10">
        <v>2</v>
      </c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</row>
    <row r="785" spans="1:65" ht="28.5" customHeight="1" x14ac:dyDescent="0.15">
      <c r="A785" s="34" t="s">
        <v>1384</v>
      </c>
      <c r="B785" s="8" t="s">
        <v>30</v>
      </c>
      <c r="C785" s="13" t="s">
        <v>1383</v>
      </c>
      <c r="D785" s="13" t="s">
        <v>1</v>
      </c>
      <c r="E785" s="9" t="str">
        <f>HYPERLINK("http://www.tuffonhall.co.uk/","www.tuffonhall.co.uk")</f>
        <v>www.tuffonhall.co.uk</v>
      </c>
      <c r="F785" s="10">
        <v>3</v>
      </c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</row>
    <row r="786" spans="1:65" ht="28.5" customHeight="1" x14ac:dyDescent="0.15">
      <c r="A786" s="34" t="s">
        <v>1658</v>
      </c>
      <c r="B786" s="8" t="s">
        <v>96</v>
      </c>
      <c r="C786" s="13" t="s">
        <v>1657</v>
      </c>
      <c r="D786" s="13" t="s">
        <v>1</v>
      </c>
      <c r="E786" s="9" t="str">
        <f>HYPERLINK("http://www.tullens.co.uk","www.tullens.co.uk")</f>
        <v>www.tullens.co.uk</v>
      </c>
      <c r="F786" s="10">
        <v>7.5</v>
      </c>
      <c r="G786" s="11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</row>
    <row r="787" spans="1:65" ht="28.5" customHeight="1" x14ac:dyDescent="0.15">
      <c r="A787" s="78" t="s">
        <v>629</v>
      </c>
      <c r="B787" s="11" t="s">
        <v>67</v>
      </c>
      <c r="C787" s="13" t="s">
        <v>628</v>
      </c>
      <c r="D787" s="13" t="s">
        <v>1</v>
      </c>
      <c r="E787" s="11"/>
      <c r="F787" s="10">
        <v>0.5</v>
      </c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</row>
    <row r="788" spans="1:65" ht="28.5" customHeight="1" x14ac:dyDescent="0.15">
      <c r="A788" s="34" t="s">
        <v>1103</v>
      </c>
      <c r="B788" s="8" t="s">
        <v>334</v>
      </c>
      <c r="C788" s="13" t="s">
        <v>1104</v>
      </c>
      <c r="D788" s="13" t="s">
        <v>43</v>
      </c>
      <c r="E788" s="9" t="str">
        <f>HYPERLINK("http://www.tycroesvineyard.co.uk/","www.tycroesvineyard.co.uk")</f>
        <v>www.tycroesvineyard.co.uk</v>
      </c>
      <c r="F788" s="10">
        <v>1.6194</v>
      </c>
      <c r="G788" s="11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</row>
    <row r="789" spans="1:65" ht="28.5" customHeight="1" x14ac:dyDescent="0.15">
      <c r="A789" s="34" t="s">
        <v>721</v>
      </c>
      <c r="B789" s="8" t="s">
        <v>2</v>
      </c>
      <c r="C789" s="13" t="s">
        <v>722</v>
      </c>
      <c r="D789" s="13" t="s">
        <v>1</v>
      </c>
      <c r="E789" s="8"/>
      <c r="F789" s="10">
        <v>0.65100000000000002</v>
      </c>
      <c r="G789" s="11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</row>
    <row r="790" spans="1:65" ht="28.5" customHeight="1" x14ac:dyDescent="0.15">
      <c r="A790" s="76" t="s">
        <v>725</v>
      </c>
      <c r="B790" s="12" t="s">
        <v>205</v>
      </c>
      <c r="C790" s="47" t="s">
        <v>726</v>
      </c>
      <c r="D790" s="47" t="s">
        <v>1</v>
      </c>
      <c r="E790" s="20"/>
      <c r="F790" s="40">
        <v>0.66</v>
      </c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</row>
    <row r="791" spans="1:65" ht="28.5" customHeight="1" x14ac:dyDescent="0.15">
      <c r="A791" s="34" t="s">
        <v>779</v>
      </c>
      <c r="B791" s="8" t="s">
        <v>9</v>
      </c>
      <c r="C791" s="13" t="s">
        <v>778</v>
      </c>
      <c r="D791" s="13" t="s">
        <v>1</v>
      </c>
      <c r="E791" s="9" t="str">
        <f>HYPERLINK("https://www.facebook.com/ulleyvineyard/","facebook.com/ulleyvineyard")</f>
        <v>facebook.com/ulleyvineyard</v>
      </c>
      <c r="F791" s="10">
        <v>0.8</v>
      </c>
      <c r="G791" s="11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</row>
    <row r="792" spans="1:65" ht="28.5" customHeight="1" x14ac:dyDescent="0.15">
      <c r="A792" s="78" t="s">
        <v>752</v>
      </c>
      <c r="B792" s="11" t="s">
        <v>751</v>
      </c>
      <c r="C792" s="13" t="s">
        <v>750</v>
      </c>
      <c r="D792" s="47" t="s">
        <v>1</v>
      </c>
      <c r="E792" s="36" t="s">
        <v>749</v>
      </c>
      <c r="F792" s="16">
        <v>0.72</v>
      </c>
      <c r="G792" s="11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</row>
    <row r="793" spans="1:65" ht="28.5" customHeight="1" x14ac:dyDescent="0.15">
      <c r="A793" s="78" t="s">
        <v>626</v>
      </c>
      <c r="B793" s="11" t="s">
        <v>61</v>
      </c>
      <c r="C793" s="13" t="s">
        <v>627</v>
      </c>
      <c r="D793" s="47" t="s">
        <v>1</v>
      </c>
      <c r="E793" s="36" t="str">
        <f>HYPERLINK("https://www.facebook.com/pages/category/Food---Beverage-Company/Upper-Bigsweir-Vineyard-367084066816719/","facebook.com/Upper-Bigsweir-Vineyard")</f>
        <v>facebook.com/Upper-Bigsweir-Vineyard</v>
      </c>
      <c r="F793" s="10">
        <v>0.5</v>
      </c>
      <c r="G793" s="11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</row>
    <row r="794" spans="1:65" ht="28.5" customHeight="1" x14ac:dyDescent="0.15">
      <c r="A794" s="34" t="s">
        <v>1180</v>
      </c>
      <c r="B794" s="8" t="s">
        <v>45</v>
      </c>
      <c r="C794" s="13" t="s">
        <v>1181</v>
      </c>
      <c r="D794" s="13" t="s">
        <v>43</v>
      </c>
      <c r="E794" s="9" t="str">
        <f>HYPERLINK("https://www.facebook.com/valevineyard/","facebook.com/valevineyard")</f>
        <v>facebook.com/valevineyard</v>
      </c>
      <c r="F794" s="10">
        <v>2</v>
      </c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</row>
    <row r="795" spans="1:65" ht="28.5" customHeight="1" x14ac:dyDescent="0.15">
      <c r="A795" s="34" t="s">
        <v>1402</v>
      </c>
      <c r="B795" s="8" t="s">
        <v>52</v>
      </c>
      <c r="C795" s="13" t="s">
        <v>1401</v>
      </c>
      <c r="D795" s="13" t="s">
        <v>1</v>
      </c>
      <c r="E795" s="9" t="str">
        <f>HYPERLINK("http://www.valleyfarmvineyards.co.uk/","www.valleyfarmvineyards.co.uk")</f>
        <v>www.valleyfarmvineyards.co.uk</v>
      </c>
      <c r="F795" s="10">
        <v>3.2</v>
      </c>
      <c r="G795" s="11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</row>
    <row r="796" spans="1:65" ht="28.5" customHeight="1" x14ac:dyDescent="0.15">
      <c r="A796" s="34" t="s">
        <v>419</v>
      </c>
      <c r="B796" s="17" t="s">
        <v>24</v>
      </c>
      <c r="C796" s="56" t="s">
        <v>420</v>
      </c>
      <c r="D796" s="56" t="s">
        <v>1</v>
      </c>
      <c r="E796" s="29" t="str">
        <f>HYPERLINK("http://www.vamiltonvalley.co.uk/","www.vamiltonvalley.co.uk")</f>
        <v>www.vamiltonvalley.co.uk</v>
      </c>
      <c r="F796" s="18">
        <v>0.26</v>
      </c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</row>
    <row r="797" spans="1:65" ht="28.5" customHeight="1" x14ac:dyDescent="0.15">
      <c r="A797" s="34" t="s">
        <v>840</v>
      </c>
      <c r="B797" s="8" t="s">
        <v>842</v>
      </c>
      <c r="C797" s="13" t="s">
        <v>841</v>
      </c>
      <c r="D797" s="13" t="s">
        <v>43</v>
      </c>
      <c r="E797" s="9" t="str">
        <f>HYPERLINK("www.velfrey.com","www.velfrey.com")</f>
        <v>www.velfrey.com</v>
      </c>
      <c r="F797" s="10">
        <v>0.96</v>
      </c>
      <c r="G797" s="11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</row>
    <row r="798" spans="1:65" ht="28.5" customHeight="1" x14ac:dyDescent="0.15">
      <c r="A798" s="34" t="s">
        <v>1324</v>
      </c>
      <c r="B798" s="8" t="s">
        <v>16</v>
      </c>
      <c r="C798" s="13" t="s">
        <v>1325</v>
      </c>
      <c r="D798" s="13" t="s">
        <v>1</v>
      </c>
      <c r="E798" s="8"/>
      <c r="F798" s="10">
        <v>2.6305000000000001</v>
      </c>
      <c r="G798" s="11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</row>
    <row r="799" spans="1:65" ht="28.5" customHeight="1" x14ac:dyDescent="0.15">
      <c r="A799" s="34" t="s">
        <v>172</v>
      </c>
      <c r="B799" s="8" t="s">
        <v>110</v>
      </c>
      <c r="C799" s="13" t="s">
        <v>171</v>
      </c>
      <c r="D799" s="13" t="s">
        <v>1</v>
      </c>
      <c r="E799" s="8"/>
      <c r="F799" s="10">
        <v>0.09</v>
      </c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</row>
    <row r="800" spans="1:65" ht="28.5" customHeight="1" x14ac:dyDescent="0.15">
      <c r="A800" s="34" t="s">
        <v>739</v>
      </c>
      <c r="B800" s="8" t="s">
        <v>32</v>
      </c>
      <c r="C800" s="13" t="s">
        <v>738</v>
      </c>
      <c r="D800" s="13" t="s">
        <v>1</v>
      </c>
      <c r="E800" s="9" t="str">
        <f>HYPERLINK("http://www.vigornia.co.uk/","www.vigornia.co.uk")</f>
        <v>www.vigornia.co.uk</v>
      </c>
      <c r="F800" s="10">
        <v>0.7</v>
      </c>
      <c r="G800" s="11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</row>
    <row r="801" spans="1:65" ht="28.5" customHeight="1" x14ac:dyDescent="0.15">
      <c r="A801" s="78" t="s">
        <v>865</v>
      </c>
      <c r="B801" s="8" t="s">
        <v>864</v>
      </c>
      <c r="C801" s="13" t="s">
        <v>156</v>
      </c>
      <c r="D801" s="13" t="s">
        <v>156</v>
      </c>
      <c r="E801" s="9" t="str">
        <f>HYPERLINK("https://www.facebook.com/viking.irish.drinks/","facebook.com/viking.irish.drinks")</f>
        <v>facebook.com/viking.irish.drinks</v>
      </c>
      <c r="F801" s="10">
        <v>1</v>
      </c>
      <c r="G801" s="11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</row>
    <row r="802" spans="1:65" ht="28.5" customHeight="1" x14ac:dyDescent="0.15">
      <c r="A802" s="34" t="s">
        <v>828</v>
      </c>
      <c r="B802" s="8" t="s">
        <v>96</v>
      </c>
      <c r="C802" s="13" t="s">
        <v>829</v>
      </c>
      <c r="D802" s="13" t="s">
        <v>1</v>
      </c>
      <c r="E802" s="8"/>
      <c r="F802" s="10">
        <v>0.88</v>
      </c>
      <c r="G802" s="38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</row>
    <row r="803" spans="1:65" ht="28.5" customHeight="1" x14ac:dyDescent="0.15">
      <c r="A803" s="34" t="s">
        <v>519</v>
      </c>
      <c r="B803" s="8" t="s">
        <v>9</v>
      </c>
      <c r="C803" s="47" t="s">
        <v>518</v>
      </c>
      <c r="D803" s="13" t="s">
        <v>1</v>
      </c>
      <c r="E803" s="8"/>
      <c r="F803" s="10">
        <v>0.4</v>
      </c>
      <c r="G803" s="11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</row>
    <row r="804" spans="1:65" ht="28.5" customHeight="1" x14ac:dyDescent="0.15">
      <c r="A804" s="34" t="s">
        <v>959</v>
      </c>
      <c r="B804" s="8" t="s">
        <v>185</v>
      </c>
      <c r="C804" s="13" t="s">
        <v>958</v>
      </c>
      <c r="D804" s="13" t="s">
        <v>43</v>
      </c>
      <c r="E804" s="8"/>
      <c r="F804" s="10">
        <v>1.2</v>
      </c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</row>
    <row r="805" spans="1:65" ht="28.5" customHeight="1" x14ac:dyDescent="0.15">
      <c r="A805" s="77" t="s">
        <v>483</v>
      </c>
      <c r="B805" s="20" t="s">
        <v>86</v>
      </c>
      <c r="C805" s="60" t="s">
        <v>484</v>
      </c>
      <c r="D805" s="56" t="s">
        <v>1</v>
      </c>
      <c r="E805" s="11"/>
      <c r="F805" s="10">
        <v>0.36</v>
      </c>
      <c r="G805" s="11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</row>
    <row r="806" spans="1:65" ht="28.5" customHeight="1" x14ac:dyDescent="0.15">
      <c r="A806" s="34" t="s">
        <v>1309</v>
      </c>
      <c r="B806" s="8" t="s">
        <v>24</v>
      </c>
      <c r="C806" s="13" t="s">
        <v>1308</v>
      </c>
      <c r="D806" s="13" t="s">
        <v>1</v>
      </c>
      <c r="E806" s="9" t="str">
        <f>HYPERLINK("http://www.sherbornecastle.com/","www.sherbornecastle.com")</f>
        <v>www.sherbornecastle.com</v>
      </c>
      <c r="F806" s="10">
        <v>2.5</v>
      </c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</row>
    <row r="807" spans="1:65" ht="28.5" customHeight="1" x14ac:dyDescent="0.15">
      <c r="A807" s="34" t="s">
        <v>336</v>
      </c>
      <c r="B807" s="8" t="s">
        <v>41</v>
      </c>
      <c r="C807" s="13" t="s">
        <v>335</v>
      </c>
      <c r="D807" s="13" t="s">
        <v>1</v>
      </c>
      <c r="E807" s="8"/>
      <c r="F807" s="14">
        <v>0.2</v>
      </c>
      <c r="G807" s="11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</row>
    <row r="808" spans="1:65" ht="28.5" customHeight="1" x14ac:dyDescent="0.15">
      <c r="A808" s="78" t="s">
        <v>391</v>
      </c>
      <c r="B808" s="11" t="s">
        <v>14</v>
      </c>
      <c r="C808" s="13" t="s">
        <v>390</v>
      </c>
      <c r="D808" s="13" t="s">
        <v>1</v>
      </c>
      <c r="E808" s="11"/>
      <c r="F808" s="13">
        <v>0.2203</v>
      </c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</row>
    <row r="809" spans="1:65" ht="28.5" customHeight="1" x14ac:dyDescent="0.15">
      <c r="A809" s="77" t="s">
        <v>450</v>
      </c>
      <c r="B809" s="20" t="s">
        <v>12</v>
      </c>
      <c r="C809" s="60" t="s">
        <v>451</v>
      </c>
      <c r="D809" s="56" t="s">
        <v>1</v>
      </c>
      <c r="E809" s="17"/>
      <c r="F809" s="10">
        <v>0.3</v>
      </c>
      <c r="G809" s="11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</row>
    <row r="810" spans="1:65" ht="28.5" customHeight="1" x14ac:dyDescent="0.15">
      <c r="A810" s="85" t="s">
        <v>8</v>
      </c>
      <c r="B810" s="50" t="s">
        <v>2</v>
      </c>
      <c r="C810" s="51" t="s">
        <v>7</v>
      </c>
      <c r="D810" s="13" t="s">
        <v>1</v>
      </c>
      <c r="E810" s="50"/>
      <c r="F810" s="51" t="s">
        <v>0</v>
      </c>
      <c r="G810" s="50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  <c r="BI810" s="51"/>
      <c r="BJ810" s="51"/>
      <c r="BK810" s="51"/>
      <c r="BL810" s="51"/>
      <c r="BM810" s="51"/>
    </row>
    <row r="811" spans="1:65" ht="28.5" customHeight="1" x14ac:dyDescent="0.15">
      <c r="A811" s="34" t="s">
        <v>276</v>
      </c>
      <c r="B811" s="8" t="s">
        <v>16</v>
      </c>
      <c r="C811" s="13" t="s">
        <v>275</v>
      </c>
      <c r="D811" s="13" t="s">
        <v>1</v>
      </c>
      <c r="E811" s="8"/>
      <c r="F811" s="10">
        <v>0.11799999999999999</v>
      </c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</row>
    <row r="812" spans="1:65" ht="28.5" customHeight="1" x14ac:dyDescent="0.15">
      <c r="A812" s="34" t="s">
        <v>1446</v>
      </c>
      <c r="B812" s="8" t="s">
        <v>67</v>
      </c>
      <c r="C812" s="13" t="s">
        <v>1447</v>
      </c>
      <c r="D812" s="13" t="s">
        <v>1</v>
      </c>
      <c r="E812" s="9" t="str">
        <f>HYPERLINK("www.walsinghamestate.co.uk","www.walsinghamestate.co.uk")</f>
        <v>www.walsinghamestate.co.uk</v>
      </c>
      <c r="F812" s="10">
        <v>3.64</v>
      </c>
      <c r="G812" s="11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</row>
    <row r="813" spans="1:65" ht="28.5" customHeight="1" x14ac:dyDescent="0.15">
      <c r="A813" s="34" t="s">
        <v>1172</v>
      </c>
      <c r="B813" s="8" t="s">
        <v>73</v>
      </c>
      <c r="C813" s="13" t="s">
        <v>1173</v>
      </c>
      <c r="D813" s="13" t="s">
        <v>1</v>
      </c>
      <c r="E813" s="9" t="str">
        <f>HYPERLINK("http://www.waltonbrook.com/","www.waltonbrook.com")</f>
        <v>www.waltonbrook.com</v>
      </c>
      <c r="F813" s="10">
        <v>1.92</v>
      </c>
      <c r="G813" s="11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</row>
    <row r="814" spans="1:65" ht="28.5" customHeight="1" x14ac:dyDescent="0.15">
      <c r="A814" s="34" t="s">
        <v>1105</v>
      </c>
      <c r="B814" s="8" t="s">
        <v>245</v>
      </c>
      <c r="C814" s="13" t="s">
        <v>1106</v>
      </c>
      <c r="D814" s="13" t="s">
        <v>1</v>
      </c>
      <c r="E814" s="9" t="str">
        <f>HYPERLINK("http://www.wardenvineyard.org.uk/","www.wardenvineyard.org.uk")</f>
        <v>www.wardenvineyard.org.uk</v>
      </c>
      <c r="F814" s="10">
        <v>1.6194</v>
      </c>
      <c r="G814" s="11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</row>
    <row r="815" spans="1:65" ht="28.5" customHeight="1" x14ac:dyDescent="0.15">
      <c r="A815" s="78" t="s">
        <v>1502</v>
      </c>
      <c r="B815" s="11" t="s">
        <v>9</v>
      </c>
      <c r="C815" s="13" t="s">
        <v>1501</v>
      </c>
      <c r="D815" s="13" t="s">
        <v>1</v>
      </c>
      <c r="E815" s="15" t="s">
        <v>1500</v>
      </c>
      <c r="F815" s="27">
        <v>4.3</v>
      </c>
      <c r="G815" s="11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</row>
    <row r="816" spans="1:65" ht="28.5" customHeight="1" x14ac:dyDescent="0.15">
      <c r="A816" s="34" t="s">
        <v>448</v>
      </c>
      <c r="B816" s="8" t="s">
        <v>30</v>
      </c>
      <c r="C816" s="13" t="s">
        <v>449</v>
      </c>
      <c r="D816" s="13" t="s">
        <v>1</v>
      </c>
      <c r="E816" s="8"/>
      <c r="F816" s="10">
        <v>0.3</v>
      </c>
      <c r="G816" s="11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</row>
    <row r="817" spans="1:65" ht="28.5" customHeight="1" x14ac:dyDescent="0.15">
      <c r="A817" s="34" t="s">
        <v>776</v>
      </c>
      <c r="B817" s="8" t="s">
        <v>96</v>
      </c>
      <c r="C817" s="13" t="s">
        <v>777</v>
      </c>
      <c r="D817" s="13" t="s">
        <v>1</v>
      </c>
      <c r="E817" s="9"/>
      <c r="F817" s="10">
        <v>0.8</v>
      </c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</row>
    <row r="818" spans="1:65" ht="28.5" customHeight="1" x14ac:dyDescent="0.15">
      <c r="A818" s="34" t="s">
        <v>775</v>
      </c>
      <c r="B818" s="8" t="s">
        <v>16</v>
      </c>
      <c r="C818" s="13" t="s">
        <v>774</v>
      </c>
      <c r="D818" s="13" t="s">
        <v>1</v>
      </c>
      <c r="E818" s="8"/>
      <c r="F818" s="10">
        <v>0.8</v>
      </c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</row>
    <row r="819" spans="1:65" ht="28.5" customHeight="1" x14ac:dyDescent="0.15">
      <c r="A819" s="77" t="s">
        <v>1864</v>
      </c>
      <c r="B819" s="22" t="s">
        <v>848</v>
      </c>
      <c r="C819" s="47" t="s">
        <v>156</v>
      </c>
      <c r="D819" s="56" t="s">
        <v>156</v>
      </c>
      <c r="E819" s="22"/>
      <c r="F819" s="16" t="s">
        <v>0</v>
      </c>
      <c r="G819" s="11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</row>
    <row r="820" spans="1:65" ht="28.5" customHeight="1" x14ac:dyDescent="0.15">
      <c r="A820" s="77" t="s">
        <v>1237</v>
      </c>
      <c r="B820" s="22" t="s">
        <v>195</v>
      </c>
      <c r="C820" s="47" t="s">
        <v>1236</v>
      </c>
      <c r="D820" s="56" t="s">
        <v>1</v>
      </c>
      <c r="E820" s="22"/>
      <c r="F820" s="10">
        <v>2.04</v>
      </c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</row>
    <row r="821" spans="1:65" ht="28.5" customHeight="1" x14ac:dyDescent="0.15">
      <c r="A821" s="34" t="s">
        <v>668</v>
      </c>
      <c r="B821" s="8" t="s">
        <v>9</v>
      </c>
      <c r="C821" s="13" t="s">
        <v>1255</v>
      </c>
      <c r="D821" s="13" t="s">
        <v>1</v>
      </c>
      <c r="E821" s="9" t="s">
        <v>669</v>
      </c>
      <c r="F821" s="10">
        <v>2.1368</v>
      </c>
      <c r="G821" s="11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</row>
    <row r="822" spans="1:65" ht="28.5" customHeight="1" x14ac:dyDescent="0.15">
      <c r="A822" s="34" t="s">
        <v>668</v>
      </c>
      <c r="B822" s="8" t="s">
        <v>9</v>
      </c>
      <c r="C822" s="13" t="s">
        <v>670</v>
      </c>
      <c r="D822" s="13" t="s">
        <v>1</v>
      </c>
      <c r="E822" s="9" t="s">
        <v>669</v>
      </c>
      <c r="F822" s="10">
        <v>0.56000000000000005</v>
      </c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</row>
    <row r="823" spans="1:65" ht="28.5" customHeight="1" x14ac:dyDescent="0.15">
      <c r="A823" s="34" t="s">
        <v>1137</v>
      </c>
      <c r="B823" s="8" t="s">
        <v>19</v>
      </c>
      <c r="C823" s="13" t="s">
        <v>1136</v>
      </c>
      <c r="D823" s="13" t="s">
        <v>1</v>
      </c>
      <c r="E823" s="9" t="str">
        <f>HYPERLINK("http://www.wayfordvineyard.com/","www.wayfordvineyard.com")</f>
        <v>www.wayfordvineyard.com</v>
      </c>
      <c r="F823" s="10">
        <v>1.7</v>
      </c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</row>
    <row r="824" spans="1:65" ht="28.5" customHeight="1" x14ac:dyDescent="0.15">
      <c r="A824" s="34" t="s">
        <v>1407</v>
      </c>
      <c r="B824" s="8" t="s">
        <v>5</v>
      </c>
      <c r="C824" s="13" t="s">
        <v>1406</v>
      </c>
      <c r="D824" s="13" t="s">
        <v>1</v>
      </c>
      <c r="E824" s="9" t="str">
        <f>HYPERLINK("http://www.webbsland.com/","www.webbsland.com")</f>
        <v>www.webbsland.com</v>
      </c>
      <c r="F824" s="10">
        <v>3.21</v>
      </c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</row>
    <row r="825" spans="1:65" ht="28.5" customHeight="1" x14ac:dyDescent="0.15">
      <c r="A825" s="34" t="s">
        <v>747</v>
      </c>
      <c r="B825" s="8" t="s">
        <v>234</v>
      </c>
      <c r="C825" s="13" t="s">
        <v>748</v>
      </c>
      <c r="D825" s="13" t="s">
        <v>1</v>
      </c>
      <c r="E825" s="9" t="str">
        <f>HYPERLINK("http://www.welcombehills.co.uk/","www.welcombehills.co.uk")</f>
        <v>www.welcombehills.co.uk</v>
      </c>
      <c r="F825" s="10">
        <v>0.71</v>
      </c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</row>
    <row r="826" spans="1:65" ht="28.5" customHeight="1" x14ac:dyDescent="0.15">
      <c r="A826" s="34" t="s">
        <v>1040</v>
      </c>
      <c r="B826" s="8" t="s">
        <v>234</v>
      </c>
      <c r="C826" s="13" t="s">
        <v>1041</v>
      </c>
      <c r="D826" s="13" t="s">
        <v>1</v>
      </c>
      <c r="E826" s="9"/>
      <c r="F826" s="10">
        <v>1.4</v>
      </c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</row>
    <row r="827" spans="1:65" ht="28.5" customHeight="1" x14ac:dyDescent="0.15">
      <c r="A827" s="34" t="s">
        <v>625</v>
      </c>
      <c r="B827" s="8" t="s">
        <v>110</v>
      </c>
      <c r="C827" s="13" t="s">
        <v>624</v>
      </c>
      <c r="D827" s="13" t="s">
        <v>1</v>
      </c>
      <c r="E827" s="9" t="str">
        <f>HYPERLINK("http://www.welland-valley-vineyard.com/","www.welland-valley-vineyard.com")</f>
        <v>www.welland-valley-vineyard.com</v>
      </c>
      <c r="F827" s="10">
        <v>0.5</v>
      </c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</row>
    <row r="828" spans="1:65" ht="28.5" customHeight="1" x14ac:dyDescent="0.15">
      <c r="A828" s="34" t="s">
        <v>872</v>
      </c>
      <c r="B828" s="8" t="s">
        <v>16</v>
      </c>
      <c r="C828" s="13" t="s">
        <v>873</v>
      </c>
      <c r="D828" s="13" t="s">
        <v>1</v>
      </c>
      <c r="E828" s="15" t="str">
        <f>HYPERLINK("http://www.wellhayesvineyard.co.uk/","www.wellhayesvineyard.co.uk")</f>
        <v>www.wellhayesvineyard.co.uk</v>
      </c>
      <c r="F828" s="14">
        <v>1</v>
      </c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</row>
    <row r="829" spans="1:65" ht="28.5" customHeight="1" x14ac:dyDescent="0.15">
      <c r="A829" s="79" t="s">
        <v>1290</v>
      </c>
      <c r="B829" s="8" t="s">
        <v>1289</v>
      </c>
      <c r="C829" s="13" t="s">
        <v>156</v>
      </c>
      <c r="D829" s="56" t="s">
        <v>156</v>
      </c>
      <c r="E829" s="8"/>
      <c r="F829" s="16">
        <v>2.4</v>
      </c>
      <c r="G829" s="11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</row>
    <row r="830" spans="1:65" ht="28.5" customHeight="1" x14ac:dyDescent="0.15">
      <c r="A830" s="34" t="s">
        <v>296</v>
      </c>
      <c r="B830" s="8" t="s">
        <v>195</v>
      </c>
      <c r="C830" s="13" t="s">
        <v>297</v>
      </c>
      <c r="D830" s="13" t="s">
        <v>1</v>
      </c>
      <c r="E830" s="9"/>
      <c r="F830" s="10">
        <v>0.14000000000000001</v>
      </c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</row>
    <row r="831" spans="1:65" ht="28.5" customHeight="1" x14ac:dyDescent="0.15">
      <c r="A831" s="34" t="s">
        <v>1568</v>
      </c>
      <c r="B831" s="12" t="s">
        <v>5</v>
      </c>
      <c r="C831" s="47" t="s">
        <v>1569</v>
      </c>
      <c r="D831" s="47" t="s">
        <v>1</v>
      </c>
      <c r="E831" s="26"/>
      <c r="F831" s="14">
        <v>5.5</v>
      </c>
      <c r="G831" s="11"/>
      <c r="H831" s="11"/>
      <c r="I831" s="11"/>
      <c r="J831" s="11"/>
      <c r="K831" s="11"/>
      <c r="L831" s="13"/>
      <c r="M831" s="13"/>
      <c r="N831" s="11"/>
      <c r="O831" s="11"/>
      <c r="P831" s="11"/>
      <c r="Q831" s="11"/>
      <c r="R831" s="11"/>
      <c r="S831" s="11"/>
      <c r="T831" s="13" t="s">
        <v>163</v>
      </c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</row>
    <row r="832" spans="1:65" ht="28.5" customHeight="1" x14ac:dyDescent="0.15">
      <c r="A832" s="34" t="s">
        <v>935</v>
      </c>
      <c r="B832" s="8" t="s">
        <v>30</v>
      </c>
      <c r="C832" s="13" t="s">
        <v>936</v>
      </c>
      <c r="D832" s="13" t="s">
        <v>1</v>
      </c>
      <c r="E832" s="9" t="str">
        <f>HYPERLINK("http://www.weststreetvineyard.co.uk/","www.weststreetvineyard.co.uk")</f>
        <v>www.weststreetvineyard.co.uk</v>
      </c>
      <c r="F832" s="10">
        <v>1.048</v>
      </c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</row>
    <row r="833" spans="1:65" ht="28.5" customHeight="1" x14ac:dyDescent="0.15">
      <c r="A833" s="78" t="s">
        <v>1898</v>
      </c>
      <c r="B833" s="11" t="s">
        <v>5</v>
      </c>
      <c r="C833" s="13" t="s">
        <v>0</v>
      </c>
      <c r="D833" s="13" t="s">
        <v>1</v>
      </c>
      <c r="E833" s="11"/>
      <c r="F833" s="27">
        <v>1.8</v>
      </c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</row>
    <row r="834" spans="1:65" ht="28.5" customHeight="1" x14ac:dyDescent="0.15">
      <c r="A834" s="34" t="s">
        <v>1165</v>
      </c>
      <c r="B834" s="12" t="s">
        <v>14</v>
      </c>
      <c r="C834" s="13" t="s">
        <v>1166</v>
      </c>
      <c r="D834" s="13" t="s">
        <v>1</v>
      </c>
      <c r="E834" s="9" t="str">
        <f>HYPERLINK("https://www.facebook.com/pages/category/Personal-Blog/Westfield-Gritts-Vineyards-613230965716048/","facebook.com/Westfield-Gritts-Vineyards")</f>
        <v>facebook.com/Westfield-Gritts-Vineyards</v>
      </c>
      <c r="F834" s="10">
        <v>1.82</v>
      </c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</row>
    <row r="835" spans="1:65" ht="28.5" customHeight="1" x14ac:dyDescent="0.15">
      <c r="A835" s="34" t="s">
        <v>1529</v>
      </c>
      <c r="B835" s="8" t="s">
        <v>195</v>
      </c>
      <c r="C835" s="13" t="s">
        <v>1530</v>
      </c>
      <c r="D835" s="13" t="s">
        <v>1</v>
      </c>
      <c r="E835" s="9" t="s">
        <v>1531</v>
      </c>
      <c r="F835" s="14">
        <v>4.7</v>
      </c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</row>
    <row r="836" spans="1:65" ht="28.5" customHeight="1" x14ac:dyDescent="0.15">
      <c r="A836" s="34" t="s">
        <v>682</v>
      </c>
      <c r="B836" s="8" t="s">
        <v>14</v>
      </c>
      <c r="C836" s="13" t="s">
        <v>683</v>
      </c>
      <c r="D836" s="13" t="s">
        <v>1</v>
      </c>
      <c r="E836" s="9" t="str">
        <f>HYPERLINK("https://www.westowvineyard.co.uk","www.westowvineyard.co.uk")</f>
        <v>www.westowvineyard.co.uk</v>
      </c>
      <c r="F836" s="14">
        <v>0.6</v>
      </c>
      <c r="G836" s="13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</row>
    <row r="837" spans="1:65" ht="28.5" customHeight="1" x14ac:dyDescent="0.15">
      <c r="A837" s="34" t="s">
        <v>1761</v>
      </c>
      <c r="B837" s="8" t="s">
        <v>9</v>
      </c>
      <c r="C837" s="13" t="s">
        <v>1759</v>
      </c>
      <c r="D837" s="13" t="s">
        <v>1</v>
      </c>
      <c r="E837" s="9" t="str">
        <f>HYPERLINK("http://www.westwellwines.co.uk/","www.westwellwines.co.uk")</f>
        <v>www.westwellwines.co.uk</v>
      </c>
      <c r="F837" s="10">
        <v>13.0389</v>
      </c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</row>
    <row r="838" spans="1:65" ht="28.5" customHeight="1" x14ac:dyDescent="0.15">
      <c r="A838" s="78" t="s">
        <v>1680</v>
      </c>
      <c r="B838" s="11" t="s">
        <v>96</v>
      </c>
      <c r="C838" s="13" t="s">
        <v>1682</v>
      </c>
      <c r="D838" s="13" t="s">
        <v>1</v>
      </c>
      <c r="E838" s="15" t="s">
        <v>1681</v>
      </c>
      <c r="F838" s="10">
        <v>8.3000000000000007</v>
      </c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</row>
    <row r="839" spans="1:65" ht="28.5" customHeight="1" x14ac:dyDescent="0.15">
      <c r="A839" s="78" t="s">
        <v>6</v>
      </c>
      <c r="B839" s="11" t="s">
        <v>5</v>
      </c>
      <c r="C839" s="13" t="s">
        <v>4</v>
      </c>
      <c r="D839" s="13" t="s">
        <v>1</v>
      </c>
      <c r="E839" s="11"/>
      <c r="F839" s="13" t="s">
        <v>0</v>
      </c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</row>
    <row r="840" spans="1:65" ht="28.5" customHeight="1" x14ac:dyDescent="0.15">
      <c r="A840" s="34" t="s">
        <v>197</v>
      </c>
      <c r="B840" s="8" t="s">
        <v>19</v>
      </c>
      <c r="C840" s="13" t="s">
        <v>0</v>
      </c>
      <c r="D840" s="13" t="s">
        <v>1</v>
      </c>
      <c r="E840" s="8"/>
      <c r="F840" s="19">
        <v>0.1</v>
      </c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</row>
    <row r="841" spans="1:65" ht="28.5" customHeight="1" x14ac:dyDescent="0.15">
      <c r="A841" s="34" t="s">
        <v>196</v>
      </c>
      <c r="B841" s="8" t="s">
        <v>195</v>
      </c>
      <c r="C841" s="13" t="s">
        <v>0</v>
      </c>
      <c r="D841" s="13" t="s">
        <v>1</v>
      </c>
      <c r="E841" s="8"/>
      <c r="F841" s="19">
        <v>0.1</v>
      </c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</row>
    <row r="842" spans="1:65" ht="28.5" customHeight="1" x14ac:dyDescent="0.15">
      <c r="A842" s="34" t="s">
        <v>871</v>
      </c>
      <c r="B842" s="8" t="s">
        <v>676</v>
      </c>
      <c r="C842" s="13" t="s">
        <v>870</v>
      </c>
      <c r="D842" s="13" t="s">
        <v>1</v>
      </c>
      <c r="E842" s="9" t="str">
        <f>HYPERLINK("http://www.whirlowhallfarm.org/","www.whirlowhallfarm.org")</f>
        <v>www.whirlowhallfarm.org</v>
      </c>
      <c r="F842" s="14">
        <v>1</v>
      </c>
      <c r="G842" s="13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</row>
    <row r="843" spans="1:65" ht="28.5" customHeight="1" x14ac:dyDescent="0.15">
      <c r="A843" s="78" t="s">
        <v>194</v>
      </c>
      <c r="B843" s="11" t="s">
        <v>9</v>
      </c>
      <c r="C843" s="13" t="s">
        <v>193</v>
      </c>
      <c r="D843" s="13" t="s">
        <v>1</v>
      </c>
      <c r="E843" s="11"/>
      <c r="F843" s="10">
        <v>0.1</v>
      </c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</row>
    <row r="844" spans="1:65" ht="28.5" customHeight="1" x14ac:dyDescent="0.15">
      <c r="A844" s="34" t="s">
        <v>192</v>
      </c>
      <c r="B844" s="8" t="s">
        <v>621</v>
      </c>
      <c r="C844" s="13" t="s">
        <v>1307</v>
      </c>
      <c r="D844" s="13" t="s">
        <v>43</v>
      </c>
      <c r="E844" s="9" t="str">
        <f>HYPERLINK("http://www.whitecastlevineyard.com/","www.whitecastlevineyard.com")</f>
        <v>www.whitecastlevineyard.com</v>
      </c>
      <c r="F844" s="10">
        <v>2.5</v>
      </c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</row>
    <row r="845" spans="1:65" ht="28.5" customHeight="1" x14ac:dyDescent="0.15">
      <c r="A845" s="77" t="s">
        <v>1306</v>
      </c>
      <c r="B845" s="20" t="s">
        <v>205</v>
      </c>
      <c r="C845" s="13" t="s">
        <v>1648</v>
      </c>
      <c r="D845" s="56" t="s">
        <v>1</v>
      </c>
      <c r="E845" s="29" t="s">
        <v>1647</v>
      </c>
      <c r="F845" s="10">
        <v>7.3579999999999997</v>
      </c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</row>
    <row r="846" spans="1:65" ht="28.5" customHeight="1" x14ac:dyDescent="0.15">
      <c r="A846" s="78" t="s">
        <v>1694</v>
      </c>
      <c r="B846" s="11" t="s">
        <v>9</v>
      </c>
      <c r="C846" s="13" t="s">
        <v>1220</v>
      </c>
      <c r="D846" s="13" t="s">
        <v>1</v>
      </c>
      <c r="E846" s="15" t="s">
        <v>1693</v>
      </c>
      <c r="F846" s="27">
        <v>8.83</v>
      </c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</row>
    <row r="847" spans="1:65" ht="28.5" customHeight="1" x14ac:dyDescent="0.15">
      <c r="A847" s="34" t="s">
        <v>856</v>
      </c>
      <c r="B847" s="8" t="s">
        <v>855</v>
      </c>
      <c r="C847" s="13" t="s">
        <v>854</v>
      </c>
      <c r="D847" s="13" t="s">
        <v>1</v>
      </c>
      <c r="E847" s="9" t="str">
        <f>HYPERLINK("http://www.whitworthhall.co.uk/","www.whitworthhall.co.uk")</f>
        <v>www.whitworthhall.co.uk</v>
      </c>
      <c r="F847" s="10">
        <v>0.99990000000000001</v>
      </c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</row>
    <row r="848" spans="1:65" ht="28.5" customHeight="1" x14ac:dyDescent="0.15">
      <c r="A848" s="77" t="s">
        <v>516</v>
      </c>
      <c r="B848" s="20" t="s">
        <v>195</v>
      </c>
      <c r="C848" s="47" t="s">
        <v>517</v>
      </c>
      <c r="D848" s="56" t="s">
        <v>1</v>
      </c>
      <c r="E848" s="29" t="str">
        <f>HYPERLINK("www.wildwoodvineyard.co.uk","www.wildwoodvineyard.co.uk")</f>
        <v>www.wildwoodvineyard.co.uk</v>
      </c>
      <c r="F848" s="10">
        <v>0.4</v>
      </c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</row>
    <row r="849" spans="1:65" ht="28.5" customHeight="1" x14ac:dyDescent="0.15">
      <c r="A849" s="34" t="s">
        <v>515</v>
      </c>
      <c r="B849" s="8" t="s">
        <v>52</v>
      </c>
      <c r="C849" s="13" t="s">
        <v>514</v>
      </c>
      <c r="D849" s="13" t="s">
        <v>1</v>
      </c>
      <c r="E849" s="8"/>
      <c r="F849" s="10">
        <v>0.4</v>
      </c>
      <c r="G849" s="11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</row>
    <row r="850" spans="1:65" ht="28.5" customHeight="1" x14ac:dyDescent="0.15">
      <c r="A850" s="78" t="s">
        <v>164</v>
      </c>
      <c r="B850" s="11" t="s">
        <v>27</v>
      </c>
      <c r="C850" s="13" t="s">
        <v>0</v>
      </c>
      <c r="D850" s="13" t="s">
        <v>1</v>
      </c>
      <c r="E850" s="52"/>
      <c r="F850" s="16">
        <v>8.7999999999999995E-2</v>
      </c>
      <c r="G850" s="11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</row>
    <row r="851" spans="1:65" ht="28.5" customHeight="1" x14ac:dyDescent="0.15">
      <c r="A851" s="34" t="s">
        <v>294</v>
      </c>
      <c r="B851" s="8" t="s">
        <v>78</v>
      </c>
      <c r="C851" s="13" t="s">
        <v>295</v>
      </c>
      <c r="D851" s="13" t="s">
        <v>1</v>
      </c>
      <c r="E851" s="8"/>
      <c r="F851" s="10">
        <v>0.14000000000000001</v>
      </c>
      <c r="G851" s="13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</row>
    <row r="852" spans="1:65" ht="28.5" customHeight="1" x14ac:dyDescent="0.15">
      <c r="A852" s="34" t="s">
        <v>1757</v>
      </c>
      <c r="B852" s="8" t="s">
        <v>67</v>
      </c>
      <c r="C852" s="13" t="s">
        <v>1758</v>
      </c>
      <c r="D852" s="13" t="s">
        <v>1</v>
      </c>
      <c r="E852" s="9" t="str">
        <f>HYPERLINK("http://www.winbirri.com/","www.winbirri.com")</f>
        <v>www.winbirri.com</v>
      </c>
      <c r="F852" s="10">
        <v>12.99</v>
      </c>
      <c r="G852" s="13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</row>
    <row r="853" spans="1:65" ht="28.5" customHeight="1" x14ac:dyDescent="0.15">
      <c r="A853" s="78" t="s">
        <v>960</v>
      </c>
      <c r="B853" s="11" t="s">
        <v>67</v>
      </c>
      <c r="C853" s="13" t="s">
        <v>0</v>
      </c>
      <c r="D853" s="13" t="s">
        <v>1</v>
      </c>
      <c r="E853" s="9" t="str">
        <f>HYPERLINK("http://www.winbirri.com/","www.winbirri.com")</f>
        <v>www.winbirri.com</v>
      </c>
      <c r="F853" s="24">
        <v>4</v>
      </c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</row>
    <row r="854" spans="1:65" ht="28.5" customHeight="1" x14ac:dyDescent="0.15">
      <c r="A854" s="78" t="s">
        <v>960</v>
      </c>
      <c r="B854" s="11" t="s">
        <v>67</v>
      </c>
      <c r="C854" s="13" t="s">
        <v>0</v>
      </c>
      <c r="D854" s="13" t="s">
        <v>1</v>
      </c>
      <c r="E854" s="9" t="str">
        <f>HYPERLINK("http://www.winbirri.com/","www.winbirri.com")</f>
        <v>www.winbirri.com</v>
      </c>
      <c r="F854" s="24">
        <v>1.2</v>
      </c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</row>
    <row r="855" spans="1:65" ht="28.5" customHeight="1" x14ac:dyDescent="0.15">
      <c r="A855" s="34" t="s">
        <v>623</v>
      </c>
      <c r="B855" s="17" t="s">
        <v>107</v>
      </c>
      <c r="C855" s="56" t="s">
        <v>622</v>
      </c>
      <c r="D855" s="56" t="s">
        <v>1</v>
      </c>
      <c r="E855" s="29" t="str">
        <f>HYPERLINK("https://www.windingwoodvineyard.co.uk","www.windingwoodvineyard.co.uk")</f>
        <v>www.windingwoodvineyard.co.uk</v>
      </c>
      <c r="F855" s="18">
        <v>0.5</v>
      </c>
      <c r="G855" s="11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</row>
    <row r="856" spans="1:65" ht="28.5" customHeight="1" x14ac:dyDescent="0.15">
      <c r="A856" s="34" t="s">
        <v>170</v>
      </c>
      <c r="B856" s="17" t="s">
        <v>133</v>
      </c>
      <c r="C856" s="56" t="s">
        <v>169</v>
      </c>
      <c r="D856" s="56" t="s">
        <v>1</v>
      </c>
      <c r="E856" s="17"/>
      <c r="F856" s="18">
        <v>0.09</v>
      </c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</row>
    <row r="857" spans="1:65" ht="28.5" customHeight="1" x14ac:dyDescent="0.15">
      <c r="A857" s="34" t="s">
        <v>92</v>
      </c>
      <c r="B857" s="8" t="s">
        <v>83</v>
      </c>
      <c r="C857" s="13" t="s">
        <v>91</v>
      </c>
      <c r="D857" s="13" t="s">
        <v>1</v>
      </c>
      <c r="E857" s="9"/>
      <c r="F857" s="10">
        <v>2.5000000000000001E-2</v>
      </c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</row>
    <row r="858" spans="1:65" ht="28.5" customHeight="1" x14ac:dyDescent="0.15">
      <c r="A858" s="78" t="s">
        <v>667</v>
      </c>
      <c r="B858" s="11" t="s">
        <v>195</v>
      </c>
      <c r="C858" s="13" t="s">
        <v>666</v>
      </c>
      <c r="D858" s="13" t="s">
        <v>1</v>
      </c>
      <c r="E858" s="15" t="s">
        <v>665</v>
      </c>
      <c r="F858" s="27">
        <v>0.55000000000000004</v>
      </c>
      <c r="G858" s="13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</row>
    <row r="859" spans="1:65" ht="28.5" customHeight="1" x14ac:dyDescent="0.15">
      <c r="A859" s="34" t="s">
        <v>512</v>
      </c>
      <c r="B859" s="8" t="s">
        <v>86</v>
      </c>
      <c r="C859" s="13" t="s">
        <v>513</v>
      </c>
      <c r="D859" s="13" t="s">
        <v>1</v>
      </c>
      <c r="E859" s="9" t="str">
        <f>HYPERLINK("https://winnerhillvineyard.co.uk","winnerhillvineyard.co.uk")</f>
        <v>winnerhillvineyard.co.uk</v>
      </c>
      <c r="F859" s="10">
        <v>0.4</v>
      </c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</row>
    <row r="860" spans="1:65" ht="28.5" customHeight="1" x14ac:dyDescent="0.15">
      <c r="A860" s="34" t="s">
        <v>808</v>
      </c>
      <c r="B860" s="8" t="s">
        <v>64</v>
      </c>
      <c r="C860" s="13" t="s">
        <v>807</v>
      </c>
      <c r="D860" s="13" t="s">
        <v>1</v>
      </c>
      <c r="E860" s="17"/>
      <c r="F860" s="10">
        <v>0.80969999999999998</v>
      </c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</row>
    <row r="861" spans="1:65" ht="28.5" customHeight="1" x14ac:dyDescent="0.15">
      <c r="A861" s="34" t="s">
        <v>1319</v>
      </c>
      <c r="B861" s="8" t="s">
        <v>96</v>
      </c>
      <c r="C861" s="13" t="s">
        <v>1318</v>
      </c>
      <c r="D861" s="13" t="s">
        <v>1</v>
      </c>
      <c r="E861" s="9" t="str">
        <f>HYPERLINK("http://www.wistonestate.com/","www.wistonestate.com")</f>
        <v>www.wistonestate.com</v>
      </c>
      <c r="F861" s="10">
        <v>2.57</v>
      </c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</row>
    <row r="862" spans="1:65" ht="30" customHeight="1" x14ac:dyDescent="0.15">
      <c r="A862" s="34" t="s">
        <v>1624</v>
      </c>
      <c r="B862" s="8" t="s">
        <v>96</v>
      </c>
      <c r="C862" s="13" t="s">
        <v>933</v>
      </c>
      <c r="D862" s="13" t="s">
        <v>1</v>
      </c>
      <c r="E862" s="9" t="str">
        <f>HYPERLINK("http://www.wistonestate.com/","www.wistonestate.com")</f>
        <v>www.wistonestate.com</v>
      </c>
      <c r="F862" s="10">
        <v>6.5460000000000003</v>
      </c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</row>
    <row r="863" spans="1:65" ht="30" customHeight="1" x14ac:dyDescent="0.15">
      <c r="A863" s="34" t="s">
        <v>934</v>
      </c>
      <c r="B863" s="8" t="s">
        <v>96</v>
      </c>
      <c r="C863" s="13" t="s">
        <v>931</v>
      </c>
      <c r="D863" s="13" t="s">
        <v>1</v>
      </c>
      <c r="E863" s="9" t="str">
        <f>HYPERLINK("http://www.wistonestate.com/","www.wistonestate.com")</f>
        <v>www.wistonestate.com</v>
      </c>
      <c r="F863" s="10">
        <v>1.0448</v>
      </c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</row>
    <row r="864" spans="1:65" ht="27" customHeight="1" x14ac:dyDescent="0.15">
      <c r="A864" s="78" t="s">
        <v>3</v>
      </c>
      <c r="B864" s="11" t="s">
        <v>2</v>
      </c>
      <c r="C864" s="13" t="s">
        <v>0</v>
      </c>
      <c r="D864" s="13" t="s">
        <v>1</v>
      </c>
      <c r="E864" s="11"/>
      <c r="F864" s="13" t="s">
        <v>0</v>
      </c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</row>
    <row r="865" spans="1:65" ht="28.5" customHeight="1" x14ac:dyDescent="0.15">
      <c r="A865" s="34" t="s">
        <v>1737</v>
      </c>
      <c r="B865" s="8" t="s">
        <v>24</v>
      </c>
      <c r="C865" s="13" t="s">
        <v>1738</v>
      </c>
      <c r="D865" s="13" t="s">
        <v>1</v>
      </c>
      <c r="E865" s="9" t="str">
        <f>HYPERLINK("https://twitter.com/wodetonev?lang=en","twitter.com/wodetonev")</f>
        <v>twitter.com/wodetonev</v>
      </c>
      <c r="F865" s="10">
        <v>10.92</v>
      </c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</row>
    <row r="866" spans="1:65" ht="28.5" customHeight="1" x14ac:dyDescent="0.15">
      <c r="A866" s="34" t="s">
        <v>1369</v>
      </c>
      <c r="B866" s="8" t="s">
        <v>107</v>
      </c>
      <c r="C866" s="72" t="s">
        <v>1370</v>
      </c>
      <c r="D866" s="13" t="s">
        <v>1</v>
      </c>
      <c r="E866" s="8"/>
      <c r="F866" s="10">
        <v>2.89</v>
      </c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</row>
    <row r="867" spans="1:65" ht="28.5" customHeight="1" x14ac:dyDescent="0.15">
      <c r="A867" s="34" t="s">
        <v>653</v>
      </c>
      <c r="B867" s="8" t="s">
        <v>180</v>
      </c>
      <c r="C867" s="13" t="s">
        <v>654</v>
      </c>
      <c r="D867" s="13" t="s">
        <v>1</v>
      </c>
      <c r="E867" s="8"/>
      <c r="F867" s="10">
        <v>0.53</v>
      </c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</row>
    <row r="868" spans="1:65" ht="28.5" customHeight="1" x14ac:dyDescent="0.15">
      <c r="A868" s="34" t="s">
        <v>593</v>
      </c>
      <c r="B868" s="8" t="s">
        <v>16</v>
      </c>
      <c r="C868" s="13" t="s">
        <v>592</v>
      </c>
      <c r="D868" s="13" t="s">
        <v>1</v>
      </c>
      <c r="E868" s="8"/>
      <c r="F868" s="14">
        <v>0.41</v>
      </c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</row>
    <row r="869" spans="1:65" ht="28.5" customHeight="1" x14ac:dyDescent="0.15">
      <c r="A869" s="78" t="s">
        <v>497</v>
      </c>
      <c r="B869" s="11" t="s">
        <v>5</v>
      </c>
      <c r="C869" s="13" t="s">
        <v>496</v>
      </c>
      <c r="D869" s="13" t="s">
        <v>1</v>
      </c>
      <c r="E869" s="11"/>
      <c r="F869" s="27">
        <v>0.39</v>
      </c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</row>
    <row r="870" spans="1:65" ht="28.5" customHeight="1" x14ac:dyDescent="0.15">
      <c r="A870" s="34" t="s">
        <v>1625</v>
      </c>
      <c r="B870" s="8" t="s">
        <v>86</v>
      </c>
      <c r="C870" s="13" t="s">
        <v>1766</v>
      </c>
      <c r="D870" s="13" t="s">
        <v>1</v>
      </c>
      <c r="E870" s="9" t="str">
        <f>HYPERLINK("http://www.woodchestervalleyvineyard.co.uk/","www.woodchestervalleyvineyard.co.uk")</f>
        <v>www.woodchestervalleyvineyard.co.uk</v>
      </c>
      <c r="F870" s="10">
        <v>14.23</v>
      </c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</row>
    <row r="871" spans="1:65" ht="28.5" customHeight="1" x14ac:dyDescent="0.15">
      <c r="A871" s="34" t="s">
        <v>1185</v>
      </c>
      <c r="B871" s="8" t="s">
        <v>86</v>
      </c>
      <c r="C871" s="13" t="s">
        <v>1184</v>
      </c>
      <c r="D871" s="13" t="s">
        <v>1</v>
      </c>
      <c r="E871" s="9" t="str">
        <f>HYPERLINK("http://www.woodchestervalleyvineyard.co.uk/","www.woodchestervalleyvineyard.co.uk")</f>
        <v>www.woodchestervalleyvineyard.co.uk</v>
      </c>
      <c r="F871" s="10">
        <v>2</v>
      </c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</row>
    <row r="872" spans="1:65" ht="28.5" customHeight="1" x14ac:dyDescent="0.15">
      <c r="A872" s="34" t="s">
        <v>1627</v>
      </c>
      <c r="B872" s="8" t="s">
        <v>86</v>
      </c>
      <c r="C872" s="13" t="s">
        <v>1626</v>
      </c>
      <c r="D872" s="13" t="s">
        <v>1</v>
      </c>
      <c r="E872" s="9" t="str">
        <f>HYPERLINK("http://www.woodchestervalleyvineyard.co.uk/","www.woodchestervalleyvineyard.co.uk")</f>
        <v>www.woodchestervalleyvineyard.co.uk</v>
      </c>
      <c r="F872" s="10">
        <v>6.68</v>
      </c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</row>
    <row r="873" spans="1:65" ht="28.5" customHeight="1" x14ac:dyDescent="0.15">
      <c r="A873" s="34" t="s">
        <v>1415</v>
      </c>
      <c r="B873" s="8" t="s">
        <v>9</v>
      </c>
      <c r="C873" s="13" t="s">
        <v>1414</v>
      </c>
      <c r="D873" s="13" t="s">
        <v>1</v>
      </c>
      <c r="E873" s="9" t="str">
        <f>HYPERLINK("http://www.woodchurchwine.co.uk/","www.woodchurchwine.co.uk")</f>
        <v>www.woodchurchwine.co.uk</v>
      </c>
      <c r="F873" s="10">
        <v>3.3</v>
      </c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</row>
    <row r="874" spans="1:65" ht="28.5" customHeight="1" x14ac:dyDescent="0.15">
      <c r="A874" s="34" t="s">
        <v>191</v>
      </c>
      <c r="B874" s="8" t="s">
        <v>19</v>
      </c>
      <c r="C874" s="13" t="s">
        <v>190</v>
      </c>
      <c r="D874" s="13" t="s">
        <v>1</v>
      </c>
      <c r="E874" s="8"/>
      <c r="F874" s="10">
        <v>0.1</v>
      </c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</row>
    <row r="875" spans="1:65" ht="28.5" customHeight="1" x14ac:dyDescent="0.15">
      <c r="A875" s="34" t="s">
        <v>1287</v>
      </c>
      <c r="B875" s="8" t="s">
        <v>96</v>
      </c>
      <c r="C875" s="13" t="s">
        <v>1288</v>
      </c>
      <c r="D875" s="13" t="s">
        <v>1</v>
      </c>
      <c r="E875" s="8"/>
      <c r="F875" s="10">
        <v>2.38</v>
      </c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</row>
    <row r="876" spans="1:65" ht="28.5" customHeight="1" x14ac:dyDescent="0.15">
      <c r="A876" s="34" t="s">
        <v>868</v>
      </c>
      <c r="B876" s="8" t="s">
        <v>195</v>
      </c>
      <c r="C876" s="13" t="s">
        <v>869</v>
      </c>
      <c r="D876" s="13" t="s">
        <v>1</v>
      </c>
      <c r="E876" s="8"/>
      <c r="F876" s="14">
        <v>1</v>
      </c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</row>
    <row r="877" spans="1:65" ht="28.5" customHeight="1" x14ac:dyDescent="0.15">
      <c r="A877" s="34" t="s">
        <v>189</v>
      </c>
      <c r="B877" s="8" t="s">
        <v>107</v>
      </c>
      <c r="C877" s="13" t="s">
        <v>0</v>
      </c>
      <c r="D877" s="13" t="s">
        <v>1</v>
      </c>
      <c r="E877" s="8"/>
      <c r="F877" s="19">
        <v>0.1</v>
      </c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</row>
    <row r="878" spans="1:65" ht="28.5" customHeight="1" x14ac:dyDescent="0.15">
      <c r="A878" s="77" t="s">
        <v>867</v>
      </c>
      <c r="B878" s="12" t="s">
        <v>9</v>
      </c>
      <c r="C878" s="47" t="s">
        <v>866</v>
      </c>
      <c r="D878" s="47" t="s">
        <v>1</v>
      </c>
      <c r="E878" s="26" t="str">
        <f>HYPERLINK("www.wooltonfarm.co.uk","www.wooltonfarm.co.uk")</f>
        <v>www.wooltonfarm.co.uk</v>
      </c>
      <c r="F878" s="14">
        <v>1</v>
      </c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</row>
    <row r="879" spans="1:65" ht="28.5" customHeight="1" x14ac:dyDescent="0.15">
      <c r="A879" s="77" t="s">
        <v>187</v>
      </c>
      <c r="B879" s="20" t="s">
        <v>19</v>
      </c>
      <c r="C879" s="47" t="s">
        <v>188</v>
      </c>
      <c r="D879" s="47" t="s">
        <v>1</v>
      </c>
      <c r="E879" s="12"/>
      <c r="F879" s="14">
        <v>0.1</v>
      </c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</row>
    <row r="880" spans="1:65" ht="28.5" customHeight="1" x14ac:dyDescent="0.15">
      <c r="A880" s="34" t="s">
        <v>1271</v>
      </c>
      <c r="B880" s="8" t="s">
        <v>19</v>
      </c>
      <c r="C880" s="13" t="s">
        <v>1272</v>
      </c>
      <c r="D880" s="13" t="s">
        <v>1</v>
      </c>
      <c r="E880" s="9" t="str">
        <f>HYPERLINK("http://www.wraxallvineyard.co.uk/","www.wraxallvineyard.co.uk")</f>
        <v>www.wraxallvineyard.co.uk</v>
      </c>
      <c r="F880" s="10">
        <v>2.2799999999999998</v>
      </c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</row>
    <row r="881" spans="1:65" ht="28.5" customHeight="1" x14ac:dyDescent="0.15">
      <c r="A881" s="34" t="s">
        <v>1334</v>
      </c>
      <c r="B881" s="8" t="s">
        <v>41</v>
      </c>
      <c r="C881" s="13" t="s">
        <v>1335</v>
      </c>
      <c r="D881" s="13" t="s">
        <v>1</v>
      </c>
      <c r="E881" s="9" t="str">
        <f>HYPERLINK("http://www.wroxetervineyard.co.uk/","www.wroxetervineyard.co.uk")</f>
        <v>www.wroxetervineyard.co.uk</v>
      </c>
      <c r="F881" s="10">
        <v>2.6850000000000001</v>
      </c>
      <c r="G881" s="13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</row>
    <row r="882" spans="1:65" ht="28.5" customHeight="1" x14ac:dyDescent="0.15">
      <c r="A882" s="86" t="s">
        <v>1879</v>
      </c>
      <c r="B882" s="53" t="s">
        <v>16</v>
      </c>
      <c r="C882" s="13" t="s">
        <v>1878</v>
      </c>
      <c r="D882" s="47" t="s">
        <v>1</v>
      </c>
      <c r="E882" s="11"/>
      <c r="F882" s="10">
        <v>1.2</v>
      </c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</row>
    <row r="883" spans="1:65" ht="28.5" customHeight="1" x14ac:dyDescent="0.15">
      <c r="A883" s="87" t="s">
        <v>1877</v>
      </c>
      <c r="B883" s="11" t="s">
        <v>86</v>
      </c>
      <c r="C883" s="13" t="s">
        <v>1875</v>
      </c>
      <c r="D883" s="13" t="s">
        <v>1</v>
      </c>
      <c r="E883" s="36" t="s">
        <v>1876</v>
      </c>
      <c r="F883" s="10">
        <v>0.80900000000000005</v>
      </c>
      <c r="G883" s="13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</row>
    <row r="884" spans="1:65" ht="28.5" customHeight="1" x14ac:dyDescent="0.15">
      <c r="A884" s="88" t="s">
        <v>1874</v>
      </c>
      <c r="B884" s="8" t="s">
        <v>24</v>
      </c>
      <c r="C884" s="13" t="s">
        <v>1873</v>
      </c>
      <c r="D884" s="13" t="s">
        <v>1</v>
      </c>
      <c r="E884" s="9"/>
      <c r="F884" s="10">
        <v>0.315</v>
      </c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</row>
    <row r="885" spans="1:65" ht="28.5" customHeight="1" x14ac:dyDescent="0.15">
      <c r="A885" s="88" t="s">
        <v>1881</v>
      </c>
      <c r="B885" s="8" t="s">
        <v>313</v>
      </c>
      <c r="C885" s="13" t="s">
        <v>1880</v>
      </c>
      <c r="D885" s="13" t="s">
        <v>1</v>
      </c>
      <c r="E885" s="9"/>
      <c r="F885" s="10">
        <v>2.2000000000000002</v>
      </c>
      <c r="G885" s="11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  <c r="BA885" s="20"/>
      <c r="BB885" s="20"/>
      <c r="BC885" s="20"/>
      <c r="BD885" s="20"/>
      <c r="BE885" s="20"/>
      <c r="BF885" s="20"/>
      <c r="BG885" s="20"/>
      <c r="BH885" s="20"/>
      <c r="BI885" s="20"/>
      <c r="BJ885" s="20"/>
      <c r="BK885" s="20"/>
      <c r="BL885" s="20"/>
      <c r="BM885" s="20"/>
    </row>
    <row r="886" spans="1:65" ht="28.5" customHeight="1" x14ac:dyDescent="0.15">
      <c r="A886" s="88" t="s">
        <v>1883</v>
      </c>
      <c r="B886" s="1" t="s">
        <v>9</v>
      </c>
      <c r="C886" s="73" t="s">
        <v>1882</v>
      </c>
      <c r="D886" s="73" t="s">
        <v>1</v>
      </c>
      <c r="E886" s="54"/>
      <c r="F886" s="14">
        <v>20</v>
      </c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</row>
    <row r="887" spans="1:65" ht="28.5" customHeight="1" x14ac:dyDescent="0.15">
      <c r="A887" s="78" t="s">
        <v>1059</v>
      </c>
      <c r="B887" s="12" t="s">
        <v>5</v>
      </c>
      <c r="C887" s="13" t="s">
        <v>1057</v>
      </c>
      <c r="D887" s="47" t="s">
        <v>1</v>
      </c>
      <c r="E887" s="55" t="s">
        <v>1058</v>
      </c>
      <c r="F887" s="37">
        <v>1.4543999999999999</v>
      </c>
      <c r="G887" s="13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</row>
    <row r="888" spans="1:65" ht="28.5" customHeight="1" x14ac:dyDescent="0.15">
      <c r="A888" s="34" t="s">
        <v>1268</v>
      </c>
      <c r="B888" s="8" t="s">
        <v>313</v>
      </c>
      <c r="C888" s="13" t="s">
        <v>1269</v>
      </c>
      <c r="D888" s="13" t="s">
        <v>1</v>
      </c>
      <c r="E888" s="9" t="str">
        <f>HYPERLINK("http://www.wyfoldvineyard.com/","www.wyfoldvineyard.com")</f>
        <v>www.wyfoldvineyard.com</v>
      </c>
      <c r="F888" s="10">
        <v>2.23</v>
      </c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</row>
    <row r="889" spans="1:65" ht="28.5" customHeight="1" x14ac:dyDescent="0.15">
      <c r="A889" s="34" t="s">
        <v>1341</v>
      </c>
      <c r="B889" s="8" t="s">
        <v>52</v>
      </c>
      <c r="C889" s="13" t="s">
        <v>1340</v>
      </c>
      <c r="D889" s="13" t="s">
        <v>1</v>
      </c>
      <c r="E889" s="9" t="str">
        <f>HYPERLINK("http://www.wykenvineyards.co.uk/","www.wykenvineyards.co.uk")</f>
        <v>www.wykenvineyards.co.uk</v>
      </c>
      <c r="F889" s="10">
        <v>2.76</v>
      </c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</row>
    <row r="890" spans="1:65" ht="28.5" customHeight="1" x14ac:dyDescent="0.15">
      <c r="A890" s="34" t="s">
        <v>1442</v>
      </c>
      <c r="B890" s="12" t="s">
        <v>205</v>
      </c>
      <c r="C890" s="47" t="s">
        <v>1443</v>
      </c>
      <c r="D890" s="13" t="s">
        <v>1</v>
      </c>
      <c r="E890" s="8"/>
      <c r="F890" s="10">
        <v>3.6</v>
      </c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</row>
    <row r="891" spans="1:65" ht="28.5" customHeight="1" x14ac:dyDescent="0.15">
      <c r="A891" s="34" t="s">
        <v>1038</v>
      </c>
      <c r="B891" s="8" t="s">
        <v>61</v>
      </c>
      <c r="C891" s="13" t="s">
        <v>1039</v>
      </c>
      <c r="D891" s="13" t="s">
        <v>1</v>
      </c>
      <c r="E891" s="9" t="str">
        <f>HYPERLINK("http://www.wythallestate.co.uk/","www.wythallestate.co.uk")</f>
        <v>www.wythallestate.co.uk</v>
      </c>
      <c r="F891" s="10">
        <v>1.4</v>
      </c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</row>
    <row r="892" spans="1:65" ht="28.5" customHeight="1" x14ac:dyDescent="0.15">
      <c r="A892" s="34" t="s">
        <v>1222</v>
      </c>
      <c r="B892" s="11" t="s">
        <v>61</v>
      </c>
      <c r="C892" s="13" t="s">
        <v>1223</v>
      </c>
      <c r="D892" s="13" t="s">
        <v>1</v>
      </c>
      <c r="E892" s="11"/>
      <c r="F892" s="16">
        <v>2.02</v>
      </c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</row>
    <row r="893" spans="1:65" ht="28.5" customHeight="1" x14ac:dyDescent="0.15">
      <c r="A893" s="34" t="s">
        <v>1381</v>
      </c>
      <c r="B893" s="8" t="s">
        <v>16</v>
      </c>
      <c r="C893" s="13" t="s">
        <v>1382</v>
      </c>
      <c r="D893" s="13" t="s">
        <v>1</v>
      </c>
      <c r="E893" s="9" t="str">
        <f>HYPERLINK("http://www.yearlstone.co.uk/","www.yearlstone.co.uk")</f>
        <v>www.yearlstone.co.uk</v>
      </c>
      <c r="F893" s="10">
        <v>3</v>
      </c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</row>
    <row r="894" spans="1:65" ht="28.5" customHeight="1" x14ac:dyDescent="0.15">
      <c r="A894" s="34" t="s">
        <v>283</v>
      </c>
      <c r="B894" s="8" t="s">
        <v>9</v>
      </c>
      <c r="C894" s="13" t="s">
        <v>284</v>
      </c>
      <c r="D894" s="13" t="s">
        <v>1</v>
      </c>
      <c r="E894" s="8"/>
      <c r="F894" s="14">
        <v>0.13</v>
      </c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</row>
    <row r="895" spans="1:65" ht="28.5" customHeight="1" x14ac:dyDescent="0.15">
      <c r="A895" s="34" t="s">
        <v>1547</v>
      </c>
      <c r="B895" s="8" t="s">
        <v>36</v>
      </c>
      <c r="C895" s="13" t="s">
        <v>1548</v>
      </c>
      <c r="D895" s="13" t="s">
        <v>1</v>
      </c>
      <c r="E895" s="9" t="str">
        <f>HYPERLINK("http://www.yorkshireheart.com/","www.yorkshireheart.com")</f>
        <v>www.yorkshireheart.com</v>
      </c>
      <c r="F895" s="10">
        <v>5.2</v>
      </c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</row>
    <row r="896" spans="1:65" ht="28.5" customHeight="1" x14ac:dyDescent="0.15">
      <c r="A896" s="89" t="s">
        <v>1826</v>
      </c>
      <c r="B896" s="11" t="s">
        <v>9</v>
      </c>
      <c r="C896" s="13" t="s">
        <v>1825</v>
      </c>
      <c r="D896" s="13" t="s">
        <v>1</v>
      </c>
      <c r="E896" s="15" t="s">
        <v>1824</v>
      </c>
      <c r="F896" s="10">
        <v>30.265000000000001</v>
      </c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</row>
    <row r="897" spans="1:65" ht="28.5" customHeight="1" x14ac:dyDescent="0.15">
      <c r="A897" s="78"/>
      <c r="B897" s="11"/>
      <c r="C897" s="13"/>
      <c r="D897" s="13"/>
      <c r="E897" s="11"/>
      <c r="F897" s="10">
        <f>SUM(F2:F896)</f>
        <v>3494.8551699999994</v>
      </c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</row>
    <row r="898" spans="1:65" ht="28.5" customHeight="1" x14ac:dyDescent="0.15">
      <c r="A898" s="78"/>
      <c r="B898" s="11"/>
      <c r="C898" s="13"/>
      <c r="D898" s="13"/>
      <c r="E898" s="11"/>
      <c r="F898" s="9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</row>
    <row r="899" spans="1:65" ht="28.5" customHeight="1" x14ac:dyDescent="0.15">
      <c r="A899" s="78"/>
      <c r="B899" s="11"/>
      <c r="C899" s="13"/>
      <c r="D899" s="13"/>
      <c r="E899" s="11"/>
      <c r="F899" s="10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</row>
    <row r="900" spans="1:65" ht="28.5" customHeight="1" x14ac:dyDescent="0.15">
      <c r="A900" s="78"/>
      <c r="B900" s="11"/>
      <c r="C900" s="13"/>
      <c r="D900" s="13"/>
      <c r="E900" s="11"/>
      <c r="F900" s="10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</row>
    <row r="901" spans="1:65" ht="28.5" customHeight="1" x14ac:dyDescent="0.15">
      <c r="A901" s="78"/>
      <c r="B901" s="11"/>
      <c r="C901" s="13"/>
      <c r="D901" s="13"/>
      <c r="E901" s="11"/>
      <c r="F901" s="10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</row>
    <row r="902" spans="1:65" ht="28.5" customHeight="1" x14ac:dyDescent="0.15">
      <c r="A902" s="78"/>
      <c r="B902" s="11"/>
      <c r="C902" s="13"/>
      <c r="D902" s="13"/>
      <c r="E902" s="11"/>
      <c r="F902" s="10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</row>
    <row r="903" spans="1:65" ht="28.5" customHeight="1" x14ac:dyDescent="0.15">
      <c r="A903" s="78"/>
      <c r="B903" s="11"/>
      <c r="C903" s="13"/>
      <c r="D903" s="13"/>
      <c r="E903" s="11"/>
      <c r="F903" s="10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</row>
    <row r="904" spans="1:65" ht="28.5" customHeight="1" x14ac:dyDescent="0.15">
      <c r="A904" s="78"/>
      <c r="B904" s="11"/>
      <c r="C904" s="13"/>
      <c r="D904" s="13"/>
      <c r="E904" s="11"/>
      <c r="F904" s="10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</row>
    <row r="905" spans="1:65" ht="28.5" customHeight="1" x14ac:dyDescent="0.15">
      <c r="A905" s="78"/>
      <c r="B905" s="11"/>
      <c r="C905" s="13"/>
      <c r="D905" s="13"/>
      <c r="E905" s="11"/>
      <c r="F905" s="10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</row>
    <row r="906" spans="1:65" ht="28.5" customHeight="1" x14ac:dyDescent="0.15">
      <c r="A906" s="78"/>
      <c r="B906" s="11"/>
      <c r="C906" s="13"/>
      <c r="D906" s="13"/>
      <c r="E906" s="11"/>
      <c r="F906" s="10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</row>
    <row r="907" spans="1:65" ht="28.5" customHeight="1" x14ac:dyDescent="0.15">
      <c r="A907" s="78"/>
      <c r="B907" s="11"/>
      <c r="C907" s="13"/>
      <c r="D907" s="13"/>
      <c r="E907" s="11"/>
      <c r="F907" s="10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</row>
    <row r="908" spans="1:65" ht="28.5" customHeight="1" x14ac:dyDescent="0.15">
      <c r="A908" s="78"/>
      <c r="B908" s="11"/>
      <c r="C908" s="13"/>
      <c r="D908" s="13"/>
      <c r="E908" s="11"/>
      <c r="F908" s="10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</row>
    <row r="909" spans="1:65" ht="28.5" customHeight="1" x14ac:dyDescent="0.15">
      <c r="A909" s="78"/>
      <c r="B909" s="11"/>
      <c r="C909" s="13"/>
      <c r="D909" s="13"/>
      <c r="E909" s="11"/>
      <c r="F909" s="10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</row>
    <row r="910" spans="1:65" ht="28.5" customHeight="1" x14ac:dyDescent="0.15">
      <c r="A910" s="78"/>
      <c r="B910" s="11"/>
      <c r="C910" s="13"/>
      <c r="D910" s="13"/>
      <c r="E910" s="11"/>
      <c r="F910" s="10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</row>
    <row r="911" spans="1:65" ht="28.5" customHeight="1" x14ac:dyDescent="0.15">
      <c r="A911" s="78"/>
      <c r="B911" s="11"/>
      <c r="C911" s="13"/>
      <c r="D911" s="13"/>
      <c r="E911" s="11"/>
      <c r="F911" s="10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</row>
    <row r="912" spans="1:65" ht="28.5" customHeight="1" x14ac:dyDescent="0.15">
      <c r="A912" s="78"/>
      <c r="B912" s="11"/>
      <c r="C912" s="13"/>
      <c r="D912" s="13"/>
      <c r="E912" s="11"/>
      <c r="F912" s="10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</row>
    <row r="913" spans="1:65" ht="28.5" customHeight="1" x14ac:dyDescent="0.15">
      <c r="A913" s="78"/>
      <c r="B913" s="11"/>
      <c r="C913" s="13"/>
      <c r="D913" s="13"/>
      <c r="E913" s="11"/>
      <c r="F913" s="10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</row>
    <row r="914" spans="1:65" ht="28.5" customHeight="1" x14ac:dyDescent="0.15">
      <c r="A914" s="78"/>
      <c r="B914" s="11"/>
      <c r="C914" s="13"/>
      <c r="D914" s="13"/>
      <c r="E914" s="11"/>
      <c r="F914" s="10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</row>
    <row r="915" spans="1:65" ht="28.5" customHeight="1" x14ac:dyDescent="0.15">
      <c r="A915" s="78"/>
      <c r="B915" s="11"/>
      <c r="C915" s="13"/>
      <c r="D915" s="13"/>
      <c r="E915" s="11"/>
      <c r="F915" s="10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</row>
    <row r="916" spans="1:65" ht="28.5" customHeight="1" x14ac:dyDescent="0.15">
      <c r="A916" s="78"/>
      <c r="B916" s="11"/>
      <c r="C916" s="13"/>
      <c r="D916" s="13"/>
      <c r="E916" s="11"/>
      <c r="F916" s="10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</row>
    <row r="917" spans="1:65" ht="28.5" customHeight="1" x14ac:dyDescent="0.15">
      <c r="A917" s="78"/>
      <c r="B917" s="11"/>
      <c r="C917" s="13"/>
      <c r="D917" s="13"/>
      <c r="E917" s="11"/>
      <c r="F917" s="10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</row>
    <row r="918" spans="1:65" ht="28.5" customHeight="1" x14ac:dyDescent="0.15">
      <c r="A918" s="78"/>
      <c r="B918" s="11"/>
      <c r="C918" s="13"/>
      <c r="D918" s="13"/>
      <c r="E918" s="11"/>
      <c r="F918" s="10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</row>
    <row r="919" spans="1:65" ht="28.5" customHeight="1" x14ac:dyDescent="0.15">
      <c r="A919" s="78"/>
      <c r="B919" s="11"/>
      <c r="C919" s="13"/>
      <c r="D919" s="13"/>
      <c r="E919" s="11"/>
      <c r="F919" s="10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</row>
    <row r="920" spans="1:65" ht="28.5" customHeight="1" x14ac:dyDescent="0.15">
      <c r="A920" s="78"/>
      <c r="B920" s="11"/>
      <c r="C920" s="13"/>
      <c r="D920" s="13"/>
      <c r="E920" s="11"/>
      <c r="F920" s="10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</row>
    <row r="921" spans="1:65" ht="28.5" customHeight="1" x14ac:dyDescent="0.15">
      <c r="A921" s="78"/>
      <c r="B921" s="11"/>
      <c r="C921" s="13"/>
      <c r="D921" s="13"/>
      <c r="E921" s="11"/>
      <c r="F921" s="10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</row>
    <row r="922" spans="1:65" ht="28.5" customHeight="1" x14ac:dyDescent="0.15">
      <c r="A922" s="78"/>
      <c r="B922" s="11"/>
      <c r="C922" s="13"/>
      <c r="D922" s="13"/>
      <c r="E922" s="11"/>
      <c r="F922" s="10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</row>
    <row r="923" spans="1:65" ht="28.5" customHeight="1" x14ac:dyDescent="0.15">
      <c r="A923" s="78"/>
      <c r="B923" s="11"/>
      <c r="C923" s="13"/>
      <c r="D923" s="13"/>
      <c r="E923" s="11"/>
      <c r="F923" s="10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</row>
    <row r="924" spans="1:65" ht="28.5" customHeight="1" x14ac:dyDescent="0.15">
      <c r="A924" s="78"/>
      <c r="B924" s="11"/>
      <c r="C924" s="13"/>
      <c r="D924" s="13"/>
      <c r="E924" s="11"/>
      <c r="F924" s="10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</row>
    <row r="925" spans="1:65" ht="28.5" customHeight="1" x14ac:dyDescent="0.15">
      <c r="A925" s="78"/>
      <c r="B925" s="11"/>
      <c r="C925" s="13"/>
      <c r="D925" s="13"/>
      <c r="E925" s="11"/>
      <c r="F925" s="10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</row>
    <row r="926" spans="1:65" ht="28.5" customHeight="1" x14ac:dyDescent="0.15">
      <c r="A926" s="78"/>
      <c r="B926" s="11"/>
      <c r="C926" s="13"/>
      <c r="D926" s="13"/>
      <c r="E926" s="11"/>
      <c r="F926" s="10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</row>
    <row r="927" spans="1:65" ht="28.5" customHeight="1" x14ac:dyDescent="0.15">
      <c r="A927" s="78"/>
      <c r="B927" s="11"/>
      <c r="C927" s="13"/>
      <c r="D927" s="13"/>
      <c r="E927" s="11"/>
      <c r="F927" s="10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</row>
    <row r="928" spans="1:65" ht="28.5" customHeight="1" x14ac:dyDescent="0.15">
      <c r="A928" s="78"/>
      <c r="B928" s="11"/>
      <c r="C928" s="13"/>
      <c r="D928" s="13"/>
      <c r="E928" s="11"/>
      <c r="F928" s="10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</row>
    <row r="929" spans="1:65" ht="28.5" customHeight="1" x14ac:dyDescent="0.15">
      <c r="A929" s="78"/>
      <c r="B929" s="11"/>
      <c r="C929" s="13"/>
      <c r="D929" s="13"/>
      <c r="E929" s="11"/>
      <c r="F929" s="10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</row>
    <row r="930" spans="1:65" ht="28.5" customHeight="1" x14ac:dyDescent="0.15">
      <c r="A930" s="78"/>
      <c r="B930" s="11"/>
      <c r="C930" s="13"/>
      <c r="D930" s="13"/>
      <c r="E930" s="11"/>
      <c r="F930" s="10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</row>
    <row r="931" spans="1:65" ht="28.5" customHeight="1" x14ac:dyDescent="0.15">
      <c r="A931" s="78"/>
      <c r="B931" s="11"/>
      <c r="C931" s="13"/>
      <c r="D931" s="13"/>
      <c r="E931" s="11"/>
      <c r="F931" s="10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</row>
    <row r="932" spans="1:65" ht="28.5" customHeight="1" x14ac:dyDescent="0.15">
      <c r="A932" s="78"/>
      <c r="B932" s="11"/>
      <c r="C932" s="13"/>
      <c r="D932" s="13"/>
      <c r="E932" s="11"/>
      <c r="F932" s="10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</row>
    <row r="933" spans="1:65" ht="28.5" customHeight="1" x14ac:dyDescent="0.15">
      <c r="A933" s="78"/>
      <c r="B933" s="11"/>
      <c r="C933" s="13"/>
      <c r="D933" s="13"/>
      <c r="E933" s="11"/>
      <c r="F933" s="10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</row>
    <row r="934" spans="1:65" ht="28.5" customHeight="1" x14ac:dyDescent="0.15">
      <c r="A934" s="78"/>
      <c r="B934" s="11"/>
      <c r="C934" s="13"/>
      <c r="D934" s="13"/>
      <c r="E934" s="11"/>
      <c r="F934" s="10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</row>
    <row r="935" spans="1:65" ht="28.5" customHeight="1" x14ac:dyDescent="0.15">
      <c r="A935" s="78"/>
      <c r="B935" s="11"/>
      <c r="C935" s="13"/>
      <c r="D935" s="13"/>
      <c r="E935" s="11"/>
      <c r="F935" s="10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</row>
    <row r="936" spans="1:65" ht="28.5" customHeight="1" x14ac:dyDescent="0.15">
      <c r="A936" s="78"/>
      <c r="B936" s="11"/>
      <c r="C936" s="13"/>
      <c r="D936" s="13"/>
      <c r="E936" s="11"/>
      <c r="F936" s="10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</row>
    <row r="937" spans="1:65" ht="28.5" customHeight="1" x14ac:dyDescent="0.15">
      <c r="A937" s="78"/>
      <c r="B937" s="11"/>
      <c r="C937" s="13"/>
      <c r="D937" s="13"/>
      <c r="E937" s="11"/>
      <c r="F937" s="10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</row>
    <row r="938" spans="1:65" ht="28.5" customHeight="1" x14ac:dyDescent="0.15">
      <c r="A938" s="78"/>
      <c r="B938" s="11"/>
      <c r="C938" s="13"/>
      <c r="D938" s="13"/>
      <c r="E938" s="11"/>
      <c r="F938" s="10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</row>
    <row r="939" spans="1:65" ht="28.5" customHeight="1" x14ac:dyDescent="0.15">
      <c r="A939" s="78"/>
      <c r="B939" s="11"/>
      <c r="C939" s="13"/>
      <c r="D939" s="13"/>
      <c r="E939" s="11"/>
      <c r="F939" s="10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</row>
    <row r="940" spans="1:65" ht="28.5" customHeight="1" x14ac:dyDescent="0.15">
      <c r="A940" s="78"/>
      <c r="B940" s="11"/>
      <c r="C940" s="13"/>
      <c r="D940" s="13"/>
      <c r="E940" s="11"/>
      <c r="F940" s="10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</row>
    <row r="941" spans="1:65" ht="28.5" customHeight="1" x14ac:dyDescent="0.15">
      <c r="A941" s="78"/>
      <c r="B941" s="11"/>
      <c r="C941" s="13"/>
      <c r="D941" s="13"/>
      <c r="E941" s="11"/>
      <c r="F941" s="10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</row>
    <row r="942" spans="1:65" ht="28.5" customHeight="1" x14ac:dyDescent="0.15">
      <c r="A942" s="78"/>
      <c r="B942" s="11"/>
      <c r="C942" s="13"/>
      <c r="D942" s="13"/>
      <c r="E942" s="11"/>
      <c r="F942" s="10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</row>
    <row r="943" spans="1:65" ht="28.5" customHeight="1" x14ac:dyDescent="0.15">
      <c r="A943" s="78"/>
      <c r="B943" s="11"/>
      <c r="C943" s="13"/>
      <c r="D943" s="13"/>
      <c r="E943" s="11"/>
      <c r="F943" s="10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</row>
    <row r="944" spans="1:65" ht="28.5" customHeight="1" x14ac:dyDescent="0.15">
      <c r="A944" s="78"/>
      <c r="B944" s="11"/>
      <c r="C944" s="13"/>
      <c r="D944" s="13"/>
      <c r="E944" s="11"/>
      <c r="F944" s="10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</row>
    <row r="945" spans="1:65" ht="28.5" customHeight="1" x14ac:dyDescent="0.15">
      <c r="A945" s="78"/>
      <c r="B945" s="11"/>
      <c r="C945" s="13"/>
      <c r="D945" s="13"/>
      <c r="E945" s="11"/>
      <c r="F945" s="10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</row>
    <row r="946" spans="1:65" ht="28.5" customHeight="1" x14ac:dyDescent="0.15">
      <c r="A946" s="78"/>
      <c r="B946" s="11"/>
      <c r="C946" s="13"/>
      <c r="D946" s="13"/>
      <c r="E946" s="11"/>
      <c r="F946" s="10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</row>
    <row r="947" spans="1:65" ht="28.5" customHeight="1" x14ac:dyDescent="0.15">
      <c r="A947" s="78"/>
      <c r="B947" s="11"/>
      <c r="C947" s="13"/>
      <c r="D947" s="13"/>
      <c r="E947" s="11"/>
      <c r="F947" s="10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</row>
    <row r="948" spans="1:65" ht="28.5" customHeight="1" x14ac:dyDescent="0.15">
      <c r="A948" s="78"/>
      <c r="B948" s="11"/>
      <c r="C948" s="13"/>
      <c r="D948" s="13"/>
      <c r="E948" s="11"/>
      <c r="F948" s="10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</row>
    <row r="949" spans="1:65" ht="28.5" customHeight="1" x14ac:dyDescent="0.15">
      <c r="A949" s="78"/>
      <c r="B949" s="11"/>
      <c r="C949" s="13"/>
      <c r="D949" s="13"/>
      <c r="E949" s="11"/>
      <c r="F949" s="10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</row>
    <row r="950" spans="1:65" ht="28.5" customHeight="1" x14ac:dyDescent="0.15">
      <c r="A950" s="78"/>
      <c r="B950" s="11"/>
      <c r="C950" s="13"/>
      <c r="D950" s="13"/>
      <c r="E950" s="11"/>
      <c r="F950" s="10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</row>
    <row r="951" spans="1:65" ht="28.5" customHeight="1" x14ac:dyDescent="0.15">
      <c r="A951" s="78"/>
      <c r="B951" s="11"/>
      <c r="C951" s="13"/>
      <c r="D951" s="13"/>
      <c r="E951" s="11"/>
      <c r="F951" s="10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</row>
    <row r="952" spans="1:65" ht="28.5" customHeight="1" x14ac:dyDescent="0.15">
      <c r="A952" s="78"/>
      <c r="B952" s="11"/>
      <c r="C952" s="13"/>
      <c r="D952" s="13"/>
      <c r="E952" s="11"/>
      <c r="F952" s="10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</row>
    <row r="953" spans="1:65" ht="28.5" customHeight="1" x14ac:dyDescent="0.15">
      <c r="A953" s="78"/>
      <c r="B953" s="11"/>
      <c r="C953" s="13"/>
      <c r="D953" s="13"/>
      <c r="E953" s="11"/>
      <c r="F953" s="10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</row>
    <row r="954" spans="1:65" ht="28.5" customHeight="1" x14ac:dyDescent="0.15">
      <c r="A954" s="78"/>
      <c r="B954" s="11"/>
      <c r="C954" s="13"/>
      <c r="D954" s="13"/>
      <c r="E954" s="11"/>
      <c r="F954" s="10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</row>
    <row r="955" spans="1:65" ht="28.5" customHeight="1" x14ac:dyDescent="0.15">
      <c r="A955" s="78"/>
      <c r="B955" s="11"/>
      <c r="C955" s="13"/>
      <c r="D955" s="13"/>
      <c r="E955" s="11"/>
      <c r="F955" s="10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</row>
    <row r="956" spans="1:65" ht="28.5" customHeight="1" x14ac:dyDescent="0.15">
      <c r="A956" s="78"/>
      <c r="B956" s="11"/>
      <c r="C956" s="13"/>
      <c r="D956" s="13"/>
      <c r="E956" s="11"/>
      <c r="F956" s="10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</row>
    <row r="957" spans="1:65" ht="28.5" customHeight="1" x14ac:dyDescent="0.15">
      <c r="A957" s="78"/>
      <c r="B957" s="11"/>
      <c r="C957" s="13"/>
      <c r="D957" s="13"/>
      <c r="E957" s="11"/>
      <c r="F957" s="10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</row>
    <row r="958" spans="1:65" ht="28.5" customHeight="1" x14ac:dyDescent="0.15">
      <c r="A958" s="78"/>
      <c r="B958" s="11"/>
      <c r="C958" s="13"/>
      <c r="D958" s="13"/>
      <c r="E958" s="11"/>
      <c r="F958" s="10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</row>
    <row r="959" spans="1:65" ht="28.5" customHeight="1" x14ac:dyDescent="0.15">
      <c r="A959" s="78"/>
      <c r="B959" s="11"/>
      <c r="C959" s="13"/>
      <c r="D959" s="13"/>
      <c r="E959" s="11"/>
      <c r="F959" s="10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</row>
    <row r="960" spans="1:65" ht="28.5" customHeight="1" x14ac:dyDescent="0.15">
      <c r="A960" s="78"/>
      <c r="B960" s="11"/>
      <c r="C960" s="13"/>
      <c r="D960" s="13"/>
      <c r="E960" s="11"/>
      <c r="F960" s="10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</row>
    <row r="961" spans="1:65" ht="28.5" customHeight="1" x14ac:dyDescent="0.15">
      <c r="A961" s="78"/>
      <c r="B961" s="11"/>
      <c r="C961" s="13"/>
      <c r="D961" s="13"/>
      <c r="E961" s="11"/>
      <c r="F961" s="10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</row>
    <row r="962" spans="1:65" ht="28.5" customHeight="1" x14ac:dyDescent="0.15">
      <c r="A962" s="78"/>
      <c r="B962" s="11"/>
      <c r="C962" s="13"/>
      <c r="D962" s="13"/>
      <c r="E962" s="11"/>
      <c r="F962" s="10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</row>
    <row r="963" spans="1:65" ht="28.5" customHeight="1" x14ac:dyDescent="0.15">
      <c r="A963" s="78"/>
      <c r="B963" s="11"/>
      <c r="C963" s="13"/>
      <c r="D963" s="13"/>
      <c r="E963" s="11"/>
      <c r="F963" s="10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</row>
    <row r="964" spans="1:65" ht="28.5" customHeight="1" x14ac:dyDescent="0.15">
      <c r="A964" s="78"/>
      <c r="B964" s="11"/>
      <c r="C964" s="13"/>
      <c r="D964" s="13"/>
      <c r="E964" s="11"/>
      <c r="F964" s="10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</row>
    <row r="965" spans="1:65" ht="28.5" customHeight="1" x14ac:dyDescent="0.15">
      <c r="A965" s="78"/>
      <c r="B965" s="11"/>
      <c r="C965" s="13"/>
      <c r="D965" s="13"/>
      <c r="E965" s="11"/>
      <c r="F965" s="10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</row>
  </sheetData>
  <sortState xmlns:xlrd2="http://schemas.microsoft.com/office/spreadsheetml/2017/richdata2" ref="A2:BM965">
    <sortCondition ref="A2:A965"/>
  </sortState>
  <hyperlinks>
    <hyperlink ref="E12" r:id="rId1" xr:uid="{DB016CB0-25E1-4DAF-9756-FEFCF99840F9}"/>
    <hyperlink ref="E19" r:id="rId2" xr:uid="{484B4953-B0BF-4FE9-8D8D-9091B649E601}"/>
    <hyperlink ref="E33" r:id="rId3" xr:uid="{38DEA5EC-A981-4304-9C7A-453DBA56D7A3}"/>
    <hyperlink ref="E36" r:id="rId4" xr:uid="{9C0A53E0-6CDF-4A07-BD46-A271EB80293B}"/>
    <hyperlink ref="E41" r:id="rId5" xr:uid="{342BFAAF-7889-4837-AE18-89818CD96BA8}"/>
    <hyperlink ref="E47" r:id="rId6" xr:uid="{739A9024-9B74-4807-88E8-DABE5E194EB3}"/>
    <hyperlink ref="E81" r:id="rId7" xr:uid="{76D06FCF-3F11-4BBF-9192-7BD8A9C4C6C0}"/>
    <hyperlink ref="E86" r:id="rId8" xr:uid="{8732B20B-A64E-40B9-85E3-A5F673D501F5}"/>
    <hyperlink ref="E121" r:id="rId9" xr:uid="{A3FE5CF6-2A49-4A12-A7C0-B957C64C7542}"/>
    <hyperlink ref="E130" r:id="rId10" xr:uid="{1C5C9EA7-4D04-4FD2-8C41-52577CF6671B}"/>
    <hyperlink ref="E138" r:id="rId11" xr:uid="{58FF9BF2-D2F4-48B2-847E-85588DBE9C5D}"/>
    <hyperlink ref="E157" r:id="rId12" xr:uid="{CA17567C-7742-4266-AFE7-9F759E21A4B9}"/>
    <hyperlink ref="E164" r:id="rId13" xr:uid="{54275A0E-1BCB-4D0D-B9FD-1580339756EE}"/>
    <hyperlink ref="E168" r:id="rId14" xr:uid="{6BB43335-3928-4E67-A13E-C2F69F492436}"/>
    <hyperlink ref="E179" r:id="rId15" xr:uid="{CC1F887C-C128-4DDF-AEE5-4BCCFC7B20A4}"/>
    <hyperlink ref="E191" r:id="rId16" xr:uid="{C432F4D3-39B9-4150-A94A-81AA0490BF67}"/>
    <hyperlink ref="E200" r:id="rId17" xr:uid="{CEC22D61-B179-4166-8A14-52D22A9F80F6}"/>
    <hyperlink ref="E223" r:id="rId18" xr:uid="{9685A740-0013-4099-8C7D-1F2B85AC5325}"/>
    <hyperlink ref="E883" r:id="rId19" xr:uid="{B3CE4B17-883D-4C18-90B7-2B04429A5627}"/>
    <hyperlink ref="E236" r:id="rId20" xr:uid="{A907B5BC-A820-492A-9CF8-9283FFF02E94}"/>
    <hyperlink ref="E237" r:id="rId21" xr:uid="{7730012C-B08B-4E2D-ABD1-4A2FE5742161}"/>
    <hyperlink ref="E243" r:id="rId22" xr:uid="{4E5C96DE-3EF7-4BEC-81F6-0321BEA7163D}"/>
    <hyperlink ref="E252" r:id="rId23" xr:uid="{CC33941D-9C98-4C0E-A092-262A872DC1FC}"/>
    <hyperlink ref="E256" r:id="rId24" xr:uid="{97B641C5-6109-4D79-B667-9CDE1E27E573}"/>
    <hyperlink ref="E257" r:id="rId25" xr:uid="{29E65CE1-AFCE-4CBE-9C14-5A558343AC39}"/>
    <hyperlink ref="E259" r:id="rId26" xr:uid="{847C4509-D3AB-4A84-A0DE-C2A0A0B9A8D6}"/>
    <hyperlink ref="E268" r:id="rId27" xr:uid="{5A85C335-5CEF-4318-805F-B328362475FE}"/>
    <hyperlink ref="E279" r:id="rId28" xr:uid="{36D42076-E4DE-434C-B5B0-8AE8D8E19835}"/>
    <hyperlink ref="E282" r:id="rId29" xr:uid="{C505489B-966F-49F0-A56F-55C2189BAAD5}"/>
    <hyperlink ref="E315" r:id="rId30" xr:uid="{FD6167E1-F61F-4FEC-B26A-AC760A7396F5}"/>
    <hyperlink ref="E323" r:id="rId31" xr:uid="{AF32F86A-9766-4BF1-920A-D1E77FC8B123}"/>
    <hyperlink ref="E334" r:id="rId32" xr:uid="{48207DAE-9378-47ED-A45C-12D28127F3F5}"/>
    <hyperlink ref="E360" r:id="rId33" xr:uid="{C8C7FF0F-4764-4045-8BF1-EBF6354135AF}"/>
    <hyperlink ref="E365" r:id="rId34" xr:uid="{8BC7181C-306D-4D93-810F-E25BE898473C}"/>
    <hyperlink ref="E372" r:id="rId35" xr:uid="{FF279888-5EB7-4094-8D08-019CF615DD91}"/>
    <hyperlink ref="E399" r:id="rId36" xr:uid="{9EC2273C-CA44-4676-8CF2-581D538FAD26}"/>
    <hyperlink ref="E402" r:id="rId37" xr:uid="{06D75963-FBF1-4A81-A46F-47CF011834B2}"/>
    <hyperlink ref="E406" r:id="rId38" xr:uid="{470EBDBC-A316-4F30-A9C8-0CD5FF47FABB}"/>
    <hyperlink ref="E420" r:id="rId39" xr:uid="{D7F9617C-E4EB-4C88-8CC3-B671542D1C57}"/>
    <hyperlink ref="E421" r:id="rId40" xr:uid="{41DEBA89-6E59-4505-AF14-07978827BAD2}"/>
    <hyperlink ref="E436" r:id="rId41" xr:uid="{8F9CC0D2-208C-4F56-90E6-C8B9FD5C9DC9}"/>
    <hyperlink ref="E437" r:id="rId42" xr:uid="{8FDA2F25-AD45-49DB-BAD4-51C6F36CBA55}"/>
    <hyperlink ref="E445" r:id="rId43" xr:uid="{97EF1C57-FF83-4259-9960-4FC84C925D83}"/>
    <hyperlink ref="E453" r:id="rId44" xr:uid="{2ECF3865-16D5-46C6-B54C-E02F2751958E}"/>
    <hyperlink ref="E465" r:id="rId45" xr:uid="{5B67808C-CE10-4528-A9AB-924AA1E719B7}"/>
    <hyperlink ref="E466" r:id="rId46" xr:uid="{96AC1AE3-895E-48EB-A3BD-5817C31428CE}"/>
    <hyperlink ref="E473" r:id="rId47" xr:uid="{5396BD72-FA39-4F17-B551-BB5968AF421B}"/>
    <hyperlink ref="E476" r:id="rId48" xr:uid="{875880CF-C8E3-40E0-8720-BB8D9FA95A48}"/>
    <hyperlink ref="E480" r:id="rId49" xr:uid="{FC24807A-ADA0-463C-941D-E332E67660C4}"/>
    <hyperlink ref="E481" r:id="rId50" xr:uid="{87848312-B7C9-47A7-B4B7-8C5542E8996E}"/>
    <hyperlink ref="E486" r:id="rId51" xr:uid="{4B015D1B-2A80-441D-9C86-7B03421B568E}"/>
    <hyperlink ref="E489" r:id="rId52" xr:uid="{A7BC9F98-E916-44C6-BD7E-A7A075784074}"/>
    <hyperlink ref="E490" r:id="rId53" xr:uid="{A0F732E0-E962-4902-ADF1-B220E8813BD5}"/>
    <hyperlink ref="E491" r:id="rId54" xr:uid="{3862E7F3-401F-404B-8866-025109277593}"/>
    <hyperlink ref="E495" r:id="rId55" xr:uid="{F2653C6E-8E34-49C2-BAC1-74842E63334A}"/>
    <hyperlink ref="E496" r:id="rId56" xr:uid="{1877CCD1-81D2-4568-AC69-6A1869842BF5}"/>
    <hyperlink ref="E503" r:id="rId57" xr:uid="{BE9FD61B-59A8-4C11-865F-154AF718B243}"/>
    <hyperlink ref="E506" r:id="rId58" xr:uid="{1023D294-91DA-487A-998E-65DFE8271167}"/>
    <hyperlink ref="E515" r:id="rId59" xr:uid="{795C467A-B296-49FC-93FE-FBB2CA763917}"/>
    <hyperlink ref="E520" r:id="rId60" xr:uid="{EA304B86-519F-4909-B849-BB326813F251}"/>
    <hyperlink ref="E526" r:id="rId61" xr:uid="{924A4872-0E05-4418-BA23-AB6ED765F8E2}"/>
    <hyperlink ref="E535" r:id="rId62" xr:uid="{CF8338D0-42C4-46B8-B7C3-F179A50AF272}"/>
    <hyperlink ref="E539" r:id="rId63" xr:uid="{060594E0-0892-46CA-BE54-2A9A23269525}"/>
    <hyperlink ref="E552" r:id="rId64" xr:uid="{6C3FCDF8-AF2F-44CA-909E-E367BE7093BD}"/>
    <hyperlink ref="E570" r:id="rId65" xr:uid="{E3EBA158-1E7F-42B1-8B41-9FE2DB4EF894}"/>
    <hyperlink ref="E573" r:id="rId66" xr:uid="{ED743BEF-F96D-4F2C-A539-7EBE72482757}"/>
    <hyperlink ref="E581" r:id="rId67" xr:uid="{F3DFE86E-EAB1-4E24-9627-5126E35A7F28}"/>
    <hyperlink ref="E585" r:id="rId68" xr:uid="{1C7506CA-4327-4E63-834C-6C05F7B6CBC0}"/>
    <hyperlink ref="E595" r:id="rId69" xr:uid="{36E83688-0E86-488E-AFC9-524382977CB1}"/>
    <hyperlink ref="E604" r:id="rId70" xr:uid="{965E2557-DD4F-4663-B845-9A7DF7F58E1B}"/>
    <hyperlink ref="E607" r:id="rId71" xr:uid="{7ABF87DF-31FF-4627-ACD4-60DDFC5FA939}"/>
    <hyperlink ref="E633" r:id="rId72" xr:uid="{2F84F04C-0606-4802-8B13-E4C96FAE6B2B}"/>
    <hyperlink ref="E671" r:id="rId73" xr:uid="{C92DB361-E63F-44DC-A8EA-2A95ADBB84C9}"/>
    <hyperlink ref="E691" r:id="rId74" xr:uid="{2E69AD4F-A155-42BB-89A9-8989FB95726C}"/>
    <hyperlink ref="E693" r:id="rId75" xr:uid="{FDAAF02B-38B7-4233-8F65-E8EA9D4F4640}"/>
    <hyperlink ref="E699" r:id="rId76" xr:uid="{B6AEC9CE-147E-46C3-A0FB-A9603917569C}"/>
    <hyperlink ref="E700" r:id="rId77" xr:uid="{C73F99D0-0F7C-4F20-AC05-400DA6CDCB71}"/>
    <hyperlink ref="E702" r:id="rId78" xr:uid="{D984456D-EFCF-4278-A0F6-F1538F11CA51}"/>
    <hyperlink ref="E713" r:id="rId79" xr:uid="{55B2519C-CD65-4212-8474-C8D507C49B6F}"/>
    <hyperlink ref="E716" r:id="rId80" xr:uid="{14C6040F-7208-43B0-AEF5-1E8925E278CB}"/>
    <hyperlink ref="E727" r:id="rId81" xr:uid="{803888F3-FC93-46AC-8C75-FDCD17036C2C}"/>
    <hyperlink ref="E736" r:id="rId82" xr:uid="{F3F98841-4778-41BC-9248-C42E031516CF}"/>
    <hyperlink ref="E741" r:id="rId83" xr:uid="{EE1BEAF6-2714-4925-B5AA-E0FED0EBE2E9}"/>
    <hyperlink ref="E747" r:id="rId84" xr:uid="{5FB5CD02-57F3-4C06-B00B-5EDDEC90B24B}"/>
    <hyperlink ref="E768" r:id="rId85" xr:uid="{B234058C-B3A3-4FFE-9B0B-4F17094F6F74}"/>
    <hyperlink ref="E776" r:id="rId86" xr:uid="{09F74F28-1C74-4286-B487-33B83185538D}"/>
    <hyperlink ref="E778" r:id="rId87" xr:uid="{BD564C24-1F5E-49D3-B842-1D5CCE6C0812}"/>
    <hyperlink ref="E792" r:id="rId88" xr:uid="{A8EB4F28-94BE-496F-AF88-44DA8BE48601}"/>
    <hyperlink ref="E815" r:id="rId89" xr:uid="{FFE9EB98-7696-4EFF-9208-960BA2137163}"/>
    <hyperlink ref="E822" r:id="rId90" xr:uid="{3BD81D0E-B0AB-4578-AE07-14C64042ED6F}"/>
    <hyperlink ref="E821" r:id="rId91" xr:uid="{828ADED4-2495-4D1C-B886-F6005B3EF81A}"/>
    <hyperlink ref="E835" r:id="rId92" xr:uid="{7F240FB7-B965-4F77-B0C2-E826992743CF}"/>
    <hyperlink ref="E838" r:id="rId93" xr:uid="{ED8052C0-E4F2-46EF-8FD7-540617FD8603}"/>
    <hyperlink ref="E845" r:id="rId94" xr:uid="{B694B611-ED7E-4FD6-B8CB-656C345AECB8}"/>
    <hyperlink ref="E846" r:id="rId95" xr:uid="{298125BF-AE54-44B1-8BC3-665A2BF50294}"/>
    <hyperlink ref="E858" r:id="rId96" xr:uid="{61633782-CD11-4EEA-8CB8-4337B1CD7C4B}"/>
    <hyperlink ref="E887" r:id="rId97" xr:uid="{F3CED1F1-FBA0-45FD-BD79-FC8F91DFEFD2}"/>
    <hyperlink ref="E896" r:id="rId98" xr:uid="{1BE2F748-0D52-4FEB-95F5-4A4F11CB8494}"/>
  </hyperlinks>
  <printOptions horizontalCentered="1" gridLines="1"/>
  <pageMargins left="0.7" right="0.7" top="0.75" bottom="0.75" header="0" footer="0"/>
  <pageSetup paperSize="9" scale="71" fitToHeight="0" pageOrder="overThenDown" orientation="portrait" r:id="rId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11-11-20</vt:lpstr>
      <vt:lpstr>'11-11-20'!Print_Area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Microsoft Office User</cp:lastModifiedBy>
  <dcterms:created xsi:type="dcterms:W3CDTF">2020-11-10T16:47:20Z</dcterms:created>
  <dcterms:modified xsi:type="dcterms:W3CDTF">2022-04-07T19:47:38Z</dcterms:modified>
</cp:coreProperties>
</file>