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111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Rae/Documents/websites/Environment Technology/new website 2017/2019 website/uploads/"/>
    </mc:Choice>
  </mc:AlternateContent>
  <xr:revisionPtr revIDLastSave="0" documentId="8_{D8F4B6A4-4DEC-D049-94A8-34907C439409}" xr6:coauthVersionLast="47" xr6:coauthVersionMax="47" xr10:uidLastSave="{00000000-0000-0000-0000-000000000000}"/>
  <workbookProtection lockStructure="1"/>
  <bookViews>
    <workbookView xWindow="2160" yWindow="480" windowWidth="28800" windowHeight="17540" tabRatio="500"/>
  </bookViews>
  <sheets>
    <sheet name="Sheet1" sheetId="1" r:id="rId1"/>
  </sheets>
  <definedNames>
    <definedName name="_xlnm.Print_Area" localSheetId="0">Sheet1!$A$1:$J$58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8" i="1" l="1"/>
  <c r="E14" i="1"/>
  <c r="E15" i="1"/>
  <c r="B25" i="1"/>
  <c r="G33" i="1"/>
  <c r="E33" i="1"/>
  <c r="E21" i="1"/>
  <c r="I33" i="1"/>
  <c r="C14" i="1"/>
  <c r="D41" i="1"/>
  <c r="E34" i="1"/>
  <c r="F34" i="1"/>
  <c r="G34" i="1"/>
  <c r="I34" i="1"/>
  <c r="F13" i="1"/>
  <c r="F18" i="1"/>
  <c r="E16" i="1"/>
  <c r="B22" i="1"/>
  <c r="B20" i="1"/>
  <c r="D27" i="1"/>
  <c r="D18" i="1" s="1"/>
  <c r="D28" i="1"/>
  <c r="F33" i="1"/>
  <c r="B35" i="1"/>
  <c r="F12" i="1"/>
  <c r="E11" i="1"/>
  <c r="D42" i="1"/>
  <c r="G37" i="1"/>
  <c r="D29" i="1"/>
  <c r="H27" i="1"/>
  <c r="D33" i="1" s="1"/>
  <c r="D46" i="1" s="1"/>
  <c r="D45" i="1"/>
  <c r="D47" i="1"/>
  <c r="H30" i="1"/>
  <c r="D39" i="1"/>
  <c r="D40" i="1"/>
  <c r="D30" i="1"/>
  <c r="H29" i="1"/>
  <c r="H33" i="1"/>
  <c r="D43" i="1" s="1"/>
  <c r="D34" i="1"/>
  <c r="H34" i="1"/>
</calcChain>
</file>

<file path=xl/sharedStrings.xml><?xml version="1.0" encoding="utf-8"?>
<sst xmlns="http://schemas.openxmlformats.org/spreadsheetml/2006/main" count="87" uniqueCount="85">
  <si>
    <t xml:space="preserve">Number of FULL AES Pipe lengths per row </t>
  </si>
  <si>
    <t xml:space="preserve">Length  </t>
  </si>
  <si>
    <t xml:space="preserve">          AES dimensions</t>
  </si>
  <si>
    <t xml:space="preserve">             Enter Custom Width m &gt;</t>
  </si>
  <si>
    <t xml:space="preserve">Width m:(W) </t>
  </si>
  <si>
    <t xml:space="preserve">TOTAL SYSTEM SAND REQUIRED   (Guide Only)   </t>
  </si>
  <si>
    <t>AES-PIPE</t>
  </si>
  <si>
    <t>Area m2</t>
  </si>
  <si>
    <t xml:space="preserve">Number of person       </t>
  </si>
  <si>
    <t xml:space="preserve">Is this a new home installation     Y or N       </t>
  </si>
  <si>
    <t xml:space="preserve">m3 </t>
  </si>
  <si>
    <t xml:space="preserve">AES 3 mtr Lths required </t>
  </si>
  <si>
    <t>AESO Offset adaptors</t>
  </si>
  <si>
    <t>Client Name</t>
  </si>
  <si>
    <t xml:space="preserve">Date </t>
  </si>
  <si>
    <t>ltr.</t>
  </si>
  <si>
    <t>Council Area</t>
    <phoneticPr fontId="3"/>
  </si>
  <si>
    <t>Site Address</t>
    <phoneticPr fontId="3"/>
  </si>
  <si>
    <t>AESC Couplings required</t>
  </si>
  <si>
    <t>Width</t>
  </si>
  <si>
    <t xml:space="preserve">Daily Design Flow Allowance Litre/Person/Day       </t>
  </si>
  <si>
    <t xml:space="preserve">      IMPORTANT  NOTES</t>
  </si>
  <si>
    <t xml:space="preserve">Min Length of AES pipe rows to treat loading    </t>
  </si>
  <si>
    <t xml:space="preserve">Buffer Capacity of AES System pipe in Litres    </t>
  </si>
  <si>
    <t>Sand Depth :</t>
  </si>
  <si>
    <t xml:space="preserve">     Minimum AES foot print required .</t>
  </si>
  <si>
    <t>AES System Calculator Outcomes</t>
  </si>
  <si>
    <t xml:space="preserve">Total System load - litres / day  (Q).    </t>
  </si>
  <si>
    <t xml:space="preserve">Lth m : (L) </t>
  </si>
  <si>
    <t xml:space="preserve">Designed By </t>
  </si>
  <si>
    <t>This Calculator is a guide only. Receiving soil classification, surface water, water tables and all other site constraints are required to be addressed by the design.</t>
  </si>
  <si>
    <t>l/d</t>
  </si>
  <si>
    <t>lm</t>
  </si>
  <si>
    <t>lths</t>
  </si>
  <si>
    <t>Code</t>
  </si>
  <si>
    <t>AESC</t>
  </si>
  <si>
    <t>AESO</t>
  </si>
  <si>
    <t>AESODV</t>
  </si>
  <si>
    <t>AES System Bill of Materials.</t>
  </si>
  <si>
    <t xml:space="preserve">               Environment Technology  Use Only</t>
  </si>
  <si>
    <t>System Designers site and soil calculation data entry. Enter data  in all light blue fields</t>
  </si>
  <si>
    <t xml:space="preserve"> Plumb/Drainlayer Lic Number</t>
  </si>
  <si>
    <t>Designer AES    Cert.  Number</t>
  </si>
  <si>
    <t>Installer</t>
  </si>
  <si>
    <t xml:space="preserve">Designer         Ph. Number </t>
  </si>
  <si>
    <t>Installer        Ph. Number</t>
  </si>
  <si>
    <t>Installer AES    Cert. Number</t>
  </si>
  <si>
    <t xml:space="preserve">&gt; AES pipes can be cut to length on site. They are supplied in 3 metre lengths only. </t>
  </si>
  <si>
    <t>design@environmenttechnology.co.nz</t>
  </si>
  <si>
    <t>Open PDF in Adobe Acrobat to view signature</t>
  </si>
  <si>
    <t xml:space="preserve">&gt; The AES Calculator is a design aid to allow checking of the AES components and configuration and is a guide only. </t>
  </si>
  <si>
    <t xml:space="preserve">&gt; Environment Technology has no responsibility for the soil evaluation, loading calculations or DLR entered by the designer </t>
  </si>
  <si>
    <t xml:space="preserve">  for this calculator.</t>
  </si>
  <si>
    <t xml:space="preserve">&gt; Site and soil  conditions referencing as specified in AS/NZS 1547:2012 are calculated and designed by a Qualified Designer </t>
  </si>
  <si>
    <t xml:space="preserve">www.securedsigning.com/products/signature-verification-service </t>
  </si>
  <si>
    <t>Follow link below to download Signature Verficiation marco</t>
  </si>
  <si>
    <t>Click on signature to view signature validation</t>
  </si>
  <si>
    <t xml:space="preserve">   m2 total</t>
  </si>
  <si>
    <t>DLR for AES lined bed (mm/day)</t>
  </si>
  <si>
    <t xml:space="preserve">Soil Category of Disposal Field established by site and soil evaluation    </t>
  </si>
  <si>
    <t>RENCH EXTENSION DESIGN OPTION NOT REQUIRED FOR AES LINED BED</t>
  </si>
  <si>
    <t xml:space="preserve">DLR/DIR for Disposal Field based on site &amp; soil evaluation (mm/day)       </t>
  </si>
  <si>
    <t xml:space="preserve">Is this design a gravity system between house and AES bed    Y or N        </t>
  </si>
  <si>
    <t>COMMENTS :</t>
  </si>
  <si>
    <t xml:space="preserve">      AES bed area       </t>
  </si>
  <si>
    <t xml:space="preserve">AES-Design-V9- Standard Calculator Copyright 2018 - Environment Technology Ltd </t>
  </si>
  <si>
    <t xml:space="preserve"> Please email your AES calculations and drawings to: - design@et.nz </t>
  </si>
  <si>
    <t>AES-38 Lined Bed Calculator</t>
  </si>
  <si>
    <r>
      <t>Phone:</t>
    </r>
    <r>
      <rPr>
        <b/>
        <sz val="16"/>
        <rFont val="Times CE"/>
      </rPr>
      <t xml:space="preserve"> 03 970 7979  </t>
    </r>
    <r>
      <rPr>
        <sz val="14"/>
        <rFont val="Times CE"/>
      </rPr>
      <t xml:space="preserve">                                             </t>
    </r>
  </si>
  <si>
    <r>
      <t xml:space="preserve">Email: </t>
    </r>
    <r>
      <rPr>
        <b/>
        <sz val="16"/>
        <rFont val="Times CE"/>
      </rPr>
      <t>design@et.nz</t>
    </r>
  </si>
  <si>
    <t xml:space="preserve">         Dripper  Disposal Field Area Minimum</t>
  </si>
  <si>
    <t>AES Air Inlet vent</t>
  </si>
  <si>
    <t>LINER M2</t>
  </si>
  <si>
    <t>m2</t>
  </si>
  <si>
    <t>Area of bed lining required</t>
  </si>
  <si>
    <t>Underdrain Pipe</t>
  </si>
  <si>
    <t>m</t>
  </si>
  <si>
    <t>Drainflo65mm</t>
  </si>
  <si>
    <t xml:space="preserve">Flanged Connector Underdrain thru Liner </t>
  </si>
  <si>
    <t>(Approx equal to the length of dripper line required @ 1m line spacing)</t>
  </si>
  <si>
    <t>Flanged Conn</t>
  </si>
  <si>
    <t>Bidum A14</t>
  </si>
  <si>
    <t>Geotextile to excavation sides if required</t>
  </si>
  <si>
    <t>each</t>
  </si>
  <si>
    <t xml:space="preserve">Client Email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</si>
</sst>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"/>
  </numFmts>
  <fonts count="40">
    <font>
      <sz val="10"/>
      <name val="Times CE"/>
      <charset val="238"/>
    </font>
    <font>
      <b/>
      <sz val="10"/>
      <name val="Times CE"/>
      <charset val="238"/>
    </font>
    <font>
      <sz val="10"/>
      <name val="Times CE"/>
      <charset val="238"/>
    </font>
    <font>
      <sz val="8"/>
      <name val="Times CE"/>
      <charset val="238"/>
    </font>
    <font>
      <u/>
      <sz val="10"/>
      <color indexed="12"/>
      <name val="Times CE"/>
      <charset val="238"/>
    </font>
    <font>
      <b/>
      <sz val="12"/>
      <name val="Times CE"/>
      <charset val="238"/>
    </font>
    <font>
      <sz val="10"/>
      <color indexed="10"/>
      <name val="Times CE"/>
      <charset val="238"/>
    </font>
    <font>
      <sz val="12"/>
      <name val="Times CE"/>
      <charset val="238"/>
    </font>
    <font>
      <sz val="16"/>
      <color indexed="9"/>
      <name val="Times CE"/>
      <charset val="238"/>
    </font>
    <font>
      <b/>
      <sz val="13"/>
      <name val="Times CE"/>
      <charset val="238"/>
    </font>
    <font>
      <sz val="10"/>
      <name val="Times CE"/>
      <charset val="238"/>
    </font>
    <font>
      <b/>
      <sz val="10"/>
      <color indexed="10"/>
      <name val="Times CE"/>
      <charset val="238"/>
    </font>
    <font>
      <sz val="10"/>
      <color indexed="48"/>
      <name val="Times CE"/>
    </font>
    <font>
      <b/>
      <sz val="10"/>
      <color indexed="9"/>
      <name val="Times CE"/>
    </font>
    <font>
      <sz val="10"/>
      <color indexed="9"/>
      <name val="Times CE"/>
    </font>
    <font>
      <sz val="10"/>
      <color indexed="10"/>
      <name val="Times CE"/>
      <charset val="238"/>
    </font>
    <font>
      <b/>
      <sz val="10"/>
      <color indexed="10"/>
      <name val="Times"/>
      <family val="1"/>
    </font>
    <font>
      <b/>
      <u/>
      <sz val="10"/>
      <color indexed="48"/>
      <name val="Times CE"/>
    </font>
    <font>
      <sz val="12"/>
      <color indexed="9"/>
      <name val="Times CE"/>
    </font>
    <font>
      <sz val="14"/>
      <color indexed="9"/>
      <name val="Times CE"/>
    </font>
    <font>
      <b/>
      <sz val="12"/>
      <name val="Times CE"/>
    </font>
    <font>
      <sz val="12"/>
      <color indexed="10"/>
      <name val="Times CE"/>
      <charset val="238"/>
    </font>
    <font>
      <i/>
      <sz val="12"/>
      <color indexed="10"/>
      <name val="Times CE"/>
    </font>
    <font>
      <b/>
      <sz val="12"/>
      <color indexed="10"/>
      <name val="Times CE"/>
    </font>
    <font>
      <b/>
      <sz val="14"/>
      <name val="Times CE"/>
      <charset val="238"/>
    </font>
    <font>
      <b/>
      <sz val="14"/>
      <name val="Times"/>
      <family val="1"/>
    </font>
    <font>
      <sz val="14"/>
      <name val="Times CE"/>
      <charset val="238"/>
    </font>
    <font>
      <b/>
      <sz val="14"/>
      <name val="Times CE"/>
    </font>
    <font>
      <b/>
      <sz val="14"/>
      <color indexed="8"/>
      <name val="Times"/>
      <family val="1"/>
    </font>
    <font>
      <b/>
      <sz val="14"/>
      <color indexed="10"/>
      <name val="Times CE"/>
      <charset val="238"/>
    </font>
    <font>
      <sz val="14"/>
      <color indexed="9"/>
      <name val="Times CE"/>
      <charset val="238"/>
    </font>
    <font>
      <b/>
      <sz val="14"/>
      <color indexed="48"/>
      <name val="Times CE"/>
    </font>
    <font>
      <b/>
      <u/>
      <sz val="8"/>
      <color indexed="12"/>
      <name val="Times CE"/>
      <charset val="238"/>
    </font>
    <font>
      <b/>
      <sz val="9"/>
      <name val="Times CE"/>
    </font>
    <font>
      <sz val="14"/>
      <name val="Times CE"/>
    </font>
    <font>
      <b/>
      <sz val="16"/>
      <name val="Times CE"/>
    </font>
    <font>
      <sz val="12"/>
      <name val="Times CE"/>
    </font>
    <font>
      <b/>
      <sz val="24"/>
      <color rgb="FF00B050"/>
      <name val="Arial Rounded MT Bold"/>
      <family val="2"/>
    </font>
    <font>
      <b/>
      <sz val="12"/>
      <color theme="0"/>
      <name val="Times CE"/>
      <charset val="238"/>
    </font>
    <font>
      <b/>
      <sz val="20"/>
      <color rgb="FF00B050"/>
      <name val="Arial Rounded MT Bold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0"/>
        <bgColor rgb="FF000000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234">
    <xf numFmtId="0" fontId="0" fillId="0" borderId="0" xfId="0"/>
    <xf numFmtId="0" fontId="5" fillId="0" borderId="0" xfId="0" applyFont="1"/>
    <xf numFmtId="0" fontId="7" fillId="0" borderId="0" xfId="0" applyFont="1"/>
    <xf numFmtId="0" fontId="2" fillId="0" borderId="0" xfId="0" applyFont="1"/>
    <xf numFmtId="0" fontId="6" fillId="0" borderId="0" xfId="0" applyFont="1"/>
    <xf numFmtId="1" fontId="0" fillId="0" borderId="0" xfId="0" applyNumberFormat="1" applyAlignment="1">
      <alignment horizontal="center"/>
    </xf>
    <xf numFmtId="0" fontId="8" fillId="0" borderId="0" xfId="0" applyFont="1"/>
    <xf numFmtId="0" fontId="9" fillId="0" borderId="0" xfId="0" applyFont="1"/>
    <xf numFmtId="0" fontId="0" fillId="0" borderId="0" xfId="0" applyAlignment="1">
      <alignment horizontal="left"/>
    </xf>
    <xf numFmtId="0" fontId="10" fillId="0" borderId="0" xfId="0" applyFont="1"/>
    <xf numFmtId="16" fontId="7" fillId="0" borderId="0" xfId="0" applyNumberFormat="1" applyFont="1"/>
    <xf numFmtId="0" fontId="7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7" fillId="0" borderId="0" xfId="0" applyFont="1" applyAlignment="1">
      <alignment horizontal="left"/>
    </xf>
    <xf numFmtId="0" fontId="11" fillId="2" borderId="1" xfId="0" applyFont="1" applyFill="1" applyBorder="1" applyAlignment="1">
      <alignment vertical="center"/>
    </xf>
    <xf numFmtId="0" fontId="11" fillId="2" borderId="2" xfId="0" applyFont="1" applyFill="1" applyBorder="1" applyAlignment="1">
      <alignment vertical="center"/>
    </xf>
    <xf numFmtId="0" fontId="11" fillId="2" borderId="0" xfId="0" applyFont="1" applyFill="1" applyAlignment="1">
      <alignment vertical="center"/>
    </xf>
    <xf numFmtId="0" fontId="0" fillId="0" borderId="3" xfId="0" applyBorder="1"/>
    <xf numFmtId="0" fontId="0" fillId="0" borderId="4" xfId="0" applyBorder="1"/>
    <xf numFmtId="0" fontId="12" fillId="2" borderId="2" xfId="0" applyFont="1" applyFill="1" applyBorder="1"/>
    <xf numFmtId="0" fontId="11" fillId="2" borderId="4" xfId="0" applyFont="1" applyFill="1" applyBorder="1" applyAlignment="1">
      <alignment vertical="center"/>
    </xf>
    <xf numFmtId="0" fontId="0" fillId="0" borderId="5" xfId="0" applyBorder="1"/>
    <xf numFmtId="0" fontId="0" fillId="0" borderId="3" xfId="0" applyBorder="1" applyAlignment="1">
      <alignment horizontal="center"/>
    </xf>
    <xf numFmtId="0" fontId="0" fillId="3" borderId="6" xfId="0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12" fillId="3" borderId="7" xfId="0" applyFont="1" applyFill="1" applyBorder="1" applyAlignment="1">
      <alignment vertical="center"/>
    </xf>
    <xf numFmtId="0" fontId="0" fillId="3" borderId="8" xfId="0" applyFill="1" applyBorder="1" applyAlignment="1">
      <alignment vertical="center"/>
    </xf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0" xfId="0" applyFill="1"/>
    <xf numFmtId="0" fontId="0" fillId="2" borderId="4" xfId="0" applyFill="1" applyBorder="1"/>
    <xf numFmtId="0" fontId="1" fillId="2" borderId="0" xfId="0" applyFont="1" applyFill="1"/>
    <xf numFmtId="0" fontId="0" fillId="2" borderId="0" xfId="0" applyFill="1" applyAlignment="1">
      <alignment vertical="center"/>
    </xf>
    <xf numFmtId="0" fontId="0" fillId="2" borderId="4" xfId="0" applyFill="1" applyBorder="1" applyAlignment="1">
      <alignment vertical="center"/>
    </xf>
    <xf numFmtId="0" fontId="0" fillId="0" borderId="9" xfId="0" applyBorder="1"/>
    <xf numFmtId="0" fontId="1" fillId="0" borderId="10" xfId="0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2" borderId="10" xfId="0" applyFill="1" applyBorder="1" applyAlignment="1">
      <alignment vertical="center"/>
    </xf>
    <xf numFmtId="0" fontId="0" fillId="2" borderId="11" xfId="0" applyFill="1" applyBorder="1" applyAlignment="1">
      <alignment vertical="center"/>
    </xf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14" fillId="3" borderId="12" xfId="0" applyFont="1" applyFill="1" applyBorder="1"/>
    <xf numFmtId="0" fontId="14" fillId="3" borderId="13" xfId="0" applyFont="1" applyFill="1" applyBorder="1"/>
    <xf numFmtId="0" fontId="0" fillId="0" borderId="5" xfId="0" applyBorder="1" applyAlignment="1">
      <alignment horizontal="center"/>
    </xf>
    <xf numFmtId="0" fontId="0" fillId="0" borderId="2" xfId="0" applyBorder="1"/>
    <xf numFmtId="0" fontId="0" fillId="0" borderId="1" xfId="0" applyBorder="1"/>
    <xf numFmtId="0" fontId="0" fillId="0" borderId="4" xfId="0" applyBorder="1" applyAlignment="1">
      <alignment horizontal="left"/>
    </xf>
    <xf numFmtId="0" fontId="12" fillId="2" borderId="5" xfId="0" applyFont="1" applyFill="1" applyBorder="1" applyAlignment="1">
      <alignment horizontal="left"/>
    </xf>
    <xf numFmtId="0" fontId="17" fillId="2" borderId="1" xfId="1" applyFont="1" applyFill="1" applyBorder="1" applyAlignment="1" applyProtection="1"/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left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/>
    </xf>
    <xf numFmtId="0" fontId="0" fillId="0" borderId="10" xfId="0" applyBorder="1" applyAlignment="1">
      <alignment horizontal="left"/>
    </xf>
    <xf numFmtId="0" fontId="19" fillId="3" borderId="7" xfId="0" applyFont="1" applyFill="1" applyBorder="1" applyAlignment="1">
      <alignment horizontal="center"/>
    </xf>
    <xf numFmtId="0" fontId="19" fillId="3" borderId="14" xfId="0" applyFont="1" applyFill="1" applyBorder="1" applyAlignment="1">
      <alignment horizontal="center"/>
    </xf>
    <xf numFmtId="0" fontId="7" fillId="0" borderId="3" xfId="0" applyFont="1" applyBorder="1"/>
    <xf numFmtId="49" fontId="22" fillId="0" borderId="5" xfId="0" applyNumberFormat="1" applyFont="1" applyBorder="1" applyAlignment="1">
      <alignment horizontal="left" vertical="center"/>
    </xf>
    <xf numFmtId="49" fontId="22" fillId="0" borderId="3" xfId="0" applyNumberFormat="1" applyFont="1" applyBorder="1" applyAlignment="1">
      <alignment horizontal="left" vertical="center"/>
    </xf>
    <xf numFmtId="49" fontId="22" fillId="2" borderId="3" xfId="0" applyNumberFormat="1" applyFont="1" applyFill="1" applyBorder="1" applyAlignment="1">
      <alignment horizontal="left" vertical="center"/>
    </xf>
    <xf numFmtId="0" fontId="18" fillId="3" borderId="7" xfId="0" applyFont="1" applyFill="1" applyBorder="1" applyAlignment="1">
      <alignment vertical="center"/>
    </xf>
    <xf numFmtId="0" fontId="5" fillId="0" borderId="0" xfId="0" applyFont="1" applyAlignment="1">
      <alignment horizontal="right"/>
    </xf>
    <xf numFmtId="0" fontId="7" fillId="2" borderId="0" xfId="0" applyFont="1" applyFill="1" applyAlignment="1">
      <alignment vertical="center"/>
    </xf>
    <xf numFmtId="0" fontId="5" fillId="2" borderId="0" xfId="0" applyFont="1" applyFill="1"/>
    <xf numFmtId="0" fontId="7" fillId="2" borderId="0" xfId="0" applyFont="1" applyFill="1"/>
    <xf numFmtId="0" fontId="5" fillId="2" borderId="0" xfId="0" applyFont="1" applyFill="1" applyAlignment="1">
      <alignment horizontal="left"/>
    </xf>
    <xf numFmtId="0" fontId="5" fillId="0" borderId="1" xfId="0" applyFont="1" applyBorder="1" applyAlignment="1">
      <alignment horizontal="right"/>
    </xf>
    <xf numFmtId="0" fontId="23" fillId="2" borderId="3" xfId="0" applyFont="1" applyFill="1" applyBorder="1" applyAlignment="1">
      <alignment horizontal="left" vertical="center"/>
    </xf>
    <xf numFmtId="0" fontId="21" fillId="2" borderId="5" xfId="0" applyFont="1" applyFill="1" applyBorder="1" applyAlignment="1">
      <alignment vertical="center"/>
    </xf>
    <xf numFmtId="0" fontId="5" fillId="2" borderId="3" xfId="0" applyFont="1" applyFill="1" applyBorder="1" applyAlignment="1">
      <alignment vertical="center"/>
    </xf>
    <xf numFmtId="0" fontId="5" fillId="2" borderId="9" xfId="0" applyFont="1" applyFill="1" applyBorder="1" applyAlignment="1">
      <alignment vertical="center"/>
    </xf>
    <xf numFmtId="0" fontId="5" fillId="0" borderId="9" xfId="0" applyFont="1" applyBorder="1" applyAlignment="1">
      <alignment horizontal="left"/>
    </xf>
    <xf numFmtId="0" fontId="18" fillId="3" borderId="7" xfId="0" applyFont="1" applyFill="1" applyBorder="1" applyAlignment="1">
      <alignment horizontal="left" vertical="center"/>
    </xf>
    <xf numFmtId="0" fontId="37" fillId="0" borderId="1" xfId="0" applyFont="1" applyBorder="1" applyAlignment="1">
      <alignment horizontal="left" vertical="top"/>
    </xf>
    <xf numFmtId="0" fontId="5" fillId="0" borderId="10" xfId="0" applyFont="1" applyBorder="1" applyAlignment="1">
      <alignment horizontal="left"/>
    </xf>
    <xf numFmtId="0" fontId="5" fillId="2" borderId="5" xfId="0" applyFont="1" applyFill="1" applyBorder="1" applyAlignment="1">
      <alignment horizontal="left"/>
    </xf>
    <xf numFmtId="0" fontId="25" fillId="4" borderId="3" xfId="0" applyFont="1" applyFill="1" applyBorder="1" applyAlignment="1">
      <alignment horizontal="left" vertical="center"/>
    </xf>
    <xf numFmtId="0" fontId="24" fillId="4" borderId="0" xfId="0" applyFont="1" applyFill="1" applyAlignment="1">
      <alignment vertical="center"/>
    </xf>
    <xf numFmtId="0" fontId="24" fillId="4" borderId="0" xfId="0" applyFont="1" applyFill="1" applyAlignment="1">
      <alignment horizontal="center" vertical="center"/>
    </xf>
    <xf numFmtId="0" fontId="26" fillId="4" borderId="2" xfId="0" applyFont="1" applyFill="1" applyBorder="1" applyAlignment="1">
      <alignment vertical="center"/>
    </xf>
    <xf numFmtId="2" fontId="27" fillId="4" borderId="1" xfId="0" applyNumberFormat="1" applyFont="1" applyFill="1" applyBorder="1" applyAlignment="1">
      <alignment horizontal="center" vertical="center"/>
    </xf>
    <xf numFmtId="0" fontId="24" fillId="4" borderId="10" xfId="0" applyFont="1" applyFill="1" applyBorder="1" applyAlignment="1">
      <alignment horizontal="left" vertical="center"/>
    </xf>
    <xf numFmtId="0" fontId="24" fillId="4" borderId="11" xfId="0" applyFont="1" applyFill="1" applyBorder="1" applyAlignment="1">
      <alignment horizontal="left" vertical="center"/>
    </xf>
    <xf numFmtId="0" fontId="26" fillId="0" borderId="5" xfId="0" applyFont="1" applyBorder="1" applyAlignment="1">
      <alignment horizontal="left"/>
    </xf>
    <xf numFmtId="0" fontId="26" fillId="0" borderId="1" xfId="0" applyFont="1" applyBorder="1" applyAlignment="1">
      <alignment horizontal="center"/>
    </xf>
    <xf numFmtId="1" fontId="24" fillId="0" borderId="1" xfId="0" applyNumberFormat="1" applyFont="1" applyBorder="1" applyAlignment="1">
      <alignment horizontal="center"/>
    </xf>
    <xf numFmtId="0" fontId="24" fillId="0" borderId="2" xfId="0" applyFont="1" applyBorder="1"/>
    <xf numFmtId="0" fontId="26" fillId="0" borderId="3" xfId="0" applyFont="1" applyBorder="1" applyAlignment="1">
      <alignment horizontal="center"/>
    </xf>
    <xf numFmtId="0" fontId="26" fillId="0" borderId="0" xfId="0" applyFont="1" applyAlignment="1">
      <alignment horizontal="center"/>
    </xf>
    <xf numFmtId="1" fontId="24" fillId="0" borderId="0" xfId="0" applyNumberFormat="1" applyFont="1" applyAlignment="1">
      <alignment horizontal="center"/>
    </xf>
    <xf numFmtId="0" fontId="26" fillId="0" borderId="4" xfId="0" applyFont="1" applyBorder="1"/>
    <xf numFmtId="0" fontId="24" fillId="0" borderId="0" xfId="0" applyFont="1" applyAlignment="1">
      <alignment horizontal="center"/>
    </xf>
    <xf numFmtId="0" fontId="24" fillId="0" borderId="9" xfId="0" applyFont="1" applyBorder="1"/>
    <xf numFmtId="0" fontId="26" fillId="0" borderId="10" xfId="0" applyFont="1" applyBorder="1" applyAlignment="1">
      <alignment horizontal="center"/>
    </xf>
    <xf numFmtId="1" fontId="24" fillId="0" borderId="10" xfId="0" applyNumberFormat="1" applyFont="1" applyBorder="1" applyAlignment="1">
      <alignment horizontal="center"/>
    </xf>
    <xf numFmtId="0" fontId="24" fillId="0" borderId="11" xfId="0" applyFont="1" applyBorder="1"/>
    <xf numFmtId="0" fontId="24" fillId="0" borderId="1" xfId="0" applyFont="1" applyBorder="1" applyAlignment="1">
      <alignment horizontal="right"/>
    </xf>
    <xf numFmtId="0" fontId="24" fillId="0" borderId="1" xfId="0" applyFont="1" applyBorder="1" applyAlignment="1">
      <alignment horizontal="center"/>
    </xf>
    <xf numFmtId="0" fontId="24" fillId="0" borderId="3" xfId="0" applyFont="1" applyBorder="1"/>
    <xf numFmtId="0" fontId="24" fillId="0" borderId="0" xfId="0" applyFont="1" applyAlignment="1">
      <alignment horizontal="right"/>
    </xf>
    <xf numFmtId="172" fontId="24" fillId="0" borderId="0" xfId="0" applyNumberFormat="1" applyFont="1" applyAlignment="1">
      <alignment horizontal="center"/>
    </xf>
    <xf numFmtId="0" fontId="24" fillId="0" borderId="4" xfId="0" applyFont="1" applyBorder="1"/>
    <xf numFmtId="0" fontId="24" fillId="2" borderId="6" xfId="0" applyFont="1" applyFill="1" applyBorder="1" applyAlignment="1">
      <alignment horizontal="center"/>
    </xf>
    <xf numFmtId="0" fontId="26" fillId="0" borderId="3" xfId="0" applyFont="1" applyBorder="1"/>
    <xf numFmtId="0" fontId="24" fillId="2" borderId="9" xfId="0" applyFont="1" applyFill="1" applyBorder="1" applyAlignment="1">
      <alignment horizontal="center" vertical="center" wrapText="1"/>
    </xf>
    <xf numFmtId="0" fontId="26" fillId="0" borderId="9" xfId="0" applyFont="1" applyBorder="1" applyProtection="1">
      <protection hidden="1"/>
    </xf>
    <xf numFmtId="0" fontId="24" fillId="2" borderId="6" xfId="0" applyFont="1" applyFill="1" applyBorder="1" applyAlignment="1" applyProtection="1">
      <alignment horizontal="center"/>
      <protection hidden="1"/>
    </xf>
    <xf numFmtId="0" fontId="24" fillId="0" borderId="1" xfId="0" applyFont="1" applyBorder="1" applyAlignment="1">
      <alignment horizontal="center" vertical="center"/>
    </xf>
    <xf numFmtId="0" fontId="31" fillId="2" borderId="1" xfId="0" applyFont="1" applyFill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3" xfId="0" applyFont="1" applyBorder="1" applyProtection="1">
      <protection hidden="1"/>
    </xf>
    <xf numFmtId="0" fontId="0" fillId="3" borderId="0" xfId="0" applyFill="1"/>
    <xf numFmtId="0" fontId="0" fillId="0" borderId="3" xfId="0" applyBorder="1" applyAlignment="1">
      <alignment horizontal="left"/>
    </xf>
    <xf numFmtId="0" fontId="7" fillId="0" borderId="3" xfId="0" applyFont="1" applyBorder="1" applyAlignment="1">
      <alignment horizontal="left"/>
    </xf>
    <xf numFmtId="0" fontId="24" fillId="2" borderId="15" xfId="0" applyFont="1" applyFill="1" applyBorder="1" applyAlignment="1">
      <alignment horizontal="center"/>
    </xf>
    <xf numFmtId="0" fontId="26" fillId="0" borderId="1" xfId="0" applyFont="1" applyBorder="1"/>
    <xf numFmtId="0" fontId="7" fillId="0" borderId="7" xfId="0" applyFont="1" applyBorder="1"/>
    <xf numFmtId="0" fontId="0" fillId="0" borderId="1" xfId="0" applyBorder="1" applyAlignment="1">
      <alignment vertical="top"/>
    </xf>
    <xf numFmtId="0" fontId="12" fillId="2" borderId="3" xfId="0" applyFont="1" applyFill="1" applyBorder="1" applyAlignment="1">
      <alignment horizontal="left"/>
    </xf>
    <xf numFmtId="0" fontId="17" fillId="2" borderId="0" xfId="1" applyFont="1" applyFill="1" applyAlignment="1" applyProtection="1"/>
    <xf numFmtId="0" fontId="12" fillId="2" borderId="4" xfId="0" applyFont="1" applyFill="1" applyBorder="1"/>
    <xf numFmtId="0" fontId="7" fillId="0" borderId="4" xfId="0" applyFont="1" applyBorder="1"/>
    <xf numFmtId="0" fontId="4" fillId="0" borderId="3" xfId="1" applyBorder="1" applyAlignment="1" applyProtection="1"/>
    <xf numFmtId="0" fontId="32" fillId="0" borderId="0" xfId="1" applyFont="1" applyAlignment="1" applyProtection="1"/>
    <xf numFmtId="0" fontId="32" fillId="0" borderId="4" xfId="1" applyFont="1" applyBorder="1" applyAlignment="1" applyProtection="1"/>
    <xf numFmtId="0" fontId="4" fillId="0" borderId="0" xfId="1" applyAlignment="1" applyProtection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26" fillId="0" borderId="0" xfId="0" applyFont="1" applyAlignment="1">
      <alignment horizontal="right"/>
    </xf>
    <xf numFmtId="0" fontId="34" fillId="0" borderId="0" xfId="0" applyFont="1" applyAlignment="1">
      <alignment horizontal="right"/>
    </xf>
    <xf numFmtId="0" fontId="20" fillId="5" borderId="7" xfId="0" applyFont="1" applyFill="1" applyBorder="1" applyAlignment="1" applyProtection="1">
      <alignment vertical="center"/>
      <protection locked="0"/>
    </xf>
    <xf numFmtId="0" fontId="20" fillId="5" borderId="10" xfId="0" applyFont="1" applyFill="1" applyBorder="1" applyAlignment="1" applyProtection="1">
      <alignment vertical="center"/>
      <protection locked="0"/>
    </xf>
    <xf numFmtId="0" fontId="20" fillId="5" borderId="8" xfId="0" applyFont="1" applyFill="1" applyBorder="1" applyAlignment="1" applyProtection="1">
      <alignment vertical="center"/>
      <protection locked="0"/>
    </xf>
    <xf numFmtId="0" fontId="20" fillId="5" borderId="8" xfId="0" applyFont="1" applyFill="1" applyBorder="1" applyAlignment="1" applyProtection="1">
      <alignment horizontal="center" vertical="center"/>
      <protection locked="0"/>
    </xf>
    <xf numFmtId="0" fontId="20" fillId="5" borderId="2" xfId="0" applyFont="1" applyFill="1" applyBorder="1" applyAlignment="1" applyProtection="1">
      <alignment horizontal="center" vertical="center"/>
      <protection locked="0"/>
    </xf>
    <xf numFmtId="14" fontId="20" fillId="5" borderId="8" xfId="0" applyNumberFormat="1" applyFont="1" applyFill="1" applyBorder="1" applyAlignment="1" applyProtection="1">
      <alignment horizontal="center" vertical="center"/>
      <protection locked="0"/>
    </xf>
    <xf numFmtId="0" fontId="27" fillId="5" borderId="6" xfId="0" applyFont="1" applyFill="1" applyBorder="1" applyAlignment="1" applyProtection="1">
      <alignment horizontal="center"/>
      <protection locked="0"/>
    </xf>
    <xf numFmtId="0" fontId="27" fillId="5" borderId="15" xfId="0" applyFont="1" applyFill="1" applyBorder="1" applyAlignment="1" applyProtection="1">
      <alignment horizontal="center"/>
      <protection locked="0"/>
    </xf>
    <xf numFmtId="0" fontId="27" fillId="5" borderId="15" xfId="0" applyFont="1" applyFill="1" applyBorder="1" applyAlignment="1" applyProtection="1">
      <alignment horizontal="center" vertical="center"/>
      <protection locked="0"/>
    </xf>
    <xf numFmtId="0" fontId="11" fillId="2" borderId="5" xfId="0" applyFont="1" applyFill="1" applyBorder="1" applyAlignment="1">
      <alignment horizontal="left" vertical="center"/>
    </xf>
    <xf numFmtId="0" fontId="15" fillId="2" borderId="1" xfId="0" applyFont="1" applyFill="1" applyBorder="1" applyAlignment="1">
      <alignment vertical="center"/>
    </xf>
    <xf numFmtId="172" fontId="16" fillId="2" borderId="1" xfId="0" applyNumberFormat="1" applyFont="1" applyFill="1" applyBorder="1" applyAlignment="1">
      <alignment horizontal="center"/>
    </xf>
    <xf numFmtId="0" fontId="15" fillId="2" borderId="1" xfId="0" applyFont="1" applyFill="1" applyBorder="1" applyAlignment="1">
      <alignment horizontal="center"/>
    </xf>
    <xf numFmtId="0" fontId="14" fillId="3" borderId="0" xfId="0" applyFont="1" applyFill="1"/>
    <xf numFmtId="0" fontId="14" fillId="3" borderId="4" xfId="0" applyFont="1" applyFill="1" applyBorder="1"/>
    <xf numFmtId="0" fontId="24" fillId="4" borderId="5" xfId="0" applyFont="1" applyFill="1" applyBorder="1" applyAlignment="1">
      <alignment horizontal="center" vertical="center"/>
    </xf>
    <xf numFmtId="0" fontId="25" fillId="4" borderId="1" xfId="0" applyFont="1" applyFill="1" applyBorder="1" applyAlignment="1">
      <alignment vertical="center"/>
    </xf>
    <xf numFmtId="0" fontId="24" fillId="4" borderId="4" xfId="0" applyFont="1" applyFill="1" applyBorder="1" applyAlignment="1">
      <alignment horizontal="center" vertical="center"/>
    </xf>
    <xf numFmtId="172" fontId="16" fillId="2" borderId="10" xfId="0" applyNumberFormat="1" applyFont="1" applyFill="1" applyBorder="1" applyAlignment="1">
      <alignment horizontal="center"/>
    </xf>
    <xf numFmtId="0" fontId="15" fillId="2" borderId="10" xfId="0" applyFont="1" applyFill="1" applyBorder="1" applyAlignment="1">
      <alignment horizontal="center"/>
    </xf>
    <xf numFmtId="172" fontId="25" fillId="4" borderId="5" xfId="0" applyNumberFormat="1" applyFont="1" applyFill="1" applyBorder="1" applyAlignment="1">
      <alignment horizontal="center" vertical="center"/>
    </xf>
    <xf numFmtId="0" fontId="27" fillId="4" borderId="1" xfId="0" applyFont="1" applyFill="1" applyBorder="1" applyAlignment="1">
      <alignment horizontal="center" vertical="center"/>
    </xf>
    <xf numFmtId="2" fontId="25" fillId="4" borderId="1" xfId="0" applyNumberFormat="1" applyFont="1" applyFill="1" applyBorder="1" applyAlignment="1">
      <alignment horizontal="center" vertical="center"/>
    </xf>
    <xf numFmtId="172" fontId="25" fillId="4" borderId="1" xfId="0" applyNumberFormat="1" applyFont="1" applyFill="1" applyBorder="1" applyAlignment="1">
      <alignment horizontal="center" vertical="center"/>
    </xf>
    <xf numFmtId="2" fontId="27" fillId="4" borderId="2" xfId="0" applyNumberFormat="1" applyFont="1" applyFill="1" applyBorder="1" applyAlignment="1">
      <alignment horizontal="left" vertical="center"/>
    </xf>
    <xf numFmtId="172" fontId="25" fillId="4" borderId="10" xfId="0" applyNumberFormat="1" applyFont="1" applyFill="1" applyBorder="1" applyAlignment="1">
      <alignment horizontal="center"/>
    </xf>
    <xf numFmtId="0" fontId="14" fillId="3" borderId="16" xfId="0" applyFont="1" applyFill="1" applyBorder="1"/>
    <xf numFmtId="0" fontId="13" fillId="3" borderId="0" xfId="0" applyFont="1" applyFill="1" applyAlignment="1">
      <alignment horizontal="center"/>
    </xf>
    <xf numFmtId="1" fontId="14" fillId="3" borderId="4" xfId="0" applyNumberFormat="1" applyFont="1" applyFill="1" applyBorder="1"/>
    <xf numFmtId="0" fontId="27" fillId="4" borderId="8" xfId="0" applyFont="1" applyFill="1" applyBorder="1" applyAlignment="1">
      <alignment vertical="center"/>
    </xf>
    <xf numFmtId="0" fontId="8" fillId="0" borderId="5" xfId="0" applyFont="1" applyBorder="1"/>
    <xf numFmtId="0" fontId="8" fillId="0" borderId="3" xfId="0" applyFont="1" applyBorder="1"/>
    <xf numFmtId="0" fontId="18" fillId="3" borderId="3" xfId="0" applyFont="1" applyFill="1" applyBorder="1" applyAlignment="1">
      <alignment horizontal="center"/>
    </xf>
    <xf numFmtId="0" fontId="18" fillId="3" borderId="0" xfId="0" applyFont="1" applyFill="1" applyAlignment="1">
      <alignment horizontal="center"/>
    </xf>
    <xf numFmtId="0" fontId="0" fillId="3" borderId="4" xfId="0" applyFill="1" applyBorder="1"/>
    <xf numFmtId="0" fontId="15" fillId="2" borderId="11" xfId="0" applyFont="1" applyFill="1" applyBorder="1" applyAlignment="1">
      <alignment horizontal="left" vertical="center"/>
    </xf>
    <xf numFmtId="172" fontId="28" fillId="4" borderId="3" xfId="0" applyNumberFormat="1" applyFont="1" applyFill="1" applyBorder="1" applyAlignment="1">
      <alignment horizontal="center"/>
    </xf>
    <xf numFmtId="0" fontId="26" fillId="4" borderId="0" xfId="0" applyFont="1" applyFill="1" applyAlignment="1">
      <alignment horizontal="center" vertical="center"/>
    </xf>
    <xf numFmtId="0" fontId="24" fillId="4" borderId="0" xfId="0" applyFont="1" applyFill="1" applyAlignment="1">
      <alignment horizontal="center"/>
    </xf>
    <xf numFmtId="0" fontId="15" fillId="2" borderId="2" xfId="0" applyFont="1" applyFill="1" applyBorder="1" applyAlignment="1">
      <alignment horizontal="left" vertical="center"/>
    </xf>
    <xf numFmtId="0" fontId="11" fillId="2" borderId="9" xfId="0" applyFont="1" applyFill="1" applyBorder="1" applyAlignment="1">
      <alignment horizontal="left" vertical="center"/>
    </xf>
    <xf numFmtId="0" fontId="15" fillId="2" borderId="10" xfId="0" applyFont="1" applyFill="1" applyBorder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26" fillId="4" borderId="15" xfId="0" applyFont="1" applyFill="1" applyBorder="1" applyAlignment="1" applyProtection="1">
      <alignment horizontal="center" vertical="center"/>
      <protection locked="0"/>
    </xf>
    <xf numFmtId="0" fontId="38" fillId="2" borderId="3" xfId="0" applyFont="1" applyFill="1" applyBorder="1" applyAlignment="1">
      <alignment vertical="center"/>
    </xf>
    <xf numFmtId="0" fontId="29" fillId="6" borderId="5" xfId="0" applyFont="1" applyFill="1" applyBorder="1" applyAlignment="1">
      <alignment vertical="center"/>
    </xf>
    <xf numFmtId="0" fontId="26" fillId="4" borderId="5" xfId="0" applyFont="1" applyFill="1" applyBorder="1" applyAlignment="1">
      <alignment vertical="center"/>
    </xf>
    <xf numFmtId="0" fontId="24" fillId="4" borderId="9" xfId="0" applyFont="1" applyFill="1" applyBorder="1" applyAlignment="1">
      <alignment vertical="center"/>
    </xf>
    <xf numFmtId="0" fontId="26" fillId="4" borderId="11" xfId="0" applyFont="1" applyFill="1" applyBorder="1" applyAlignment="1">
      <alignment vertical="center"/>
    </xf>
    <xf numFmtId="0" fontId="29" fillId="2" borderId="10" xfId="0" applyFont="1" applyFill="1" applyBorder="1" applyAlignment="1">
      <alignment horizontal="right" vertical="center"/>
    </xf>
    <xf numFmtId="0" fontId="26" fillId="4" borderId="17" xfId="0" applyFont="1" applyFill="1" applyBorder="1" applyAlignment="1" applyProtection="1">
      <alignment horizontal="center" vertical="center"/>
      <protection locked="0"/>
    </xf>
    <xf numFmtId="0" fontId="0" fillId="0" borderId="18" xfId="0" applyBorder="1"/>
    <xf numFmtId="0" fontId="29" fillId="0" borderId="19" xfId="0" applyFont="1" applyBorder="1" applyAlignment="1">
      <alignment horizontal="center"/>
    </xf>
    <xf numFmtId="0" fontId="26" fillId="0" borderId="19" xfId="0" applyFont="1" applyBorder="1"/>
    <xf numFmtId="0" fontId="30" fillId="2" borderId="20" xfId="0" applyFont="1" applyFill="1" applyBorder="1" applyProtection="1">
      <protection hidden="1"/>
    </xf>
    <xf numFmtId="0" fontId="0" fillId="0" borderId="15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26" fillId="4" borderId="4" xfId="0" applyFont="1" applyFill="1" applyBorder="1" applyAlignment="1">
      <alignment horizontal="right" vertical="center"/>
    </xf>
    <xf numFmtId="0" fontId="4" fillId="2" borderId="0" xfId="1" applyFill="1" applyAlignment="1" applyProtection="1">
      <alignment horizontal="center" vertical="center"/>
    </xf>
    <xf numFmtId="172" fontId="20" fillId="0" borderId="0" xfId="0" applyNumberFormat="1" applyFont="1"/>
    <xf numFmtId="0" fontId="27" fillId="0" borderId="4" xfId="0" applyFont="1" applyBorder="1"/>
    <xf numFmtId="0" fontId="27" fillId="0" borderId="11" xfId="0" applyFont="1" applyBorder="1"/>
    <xf numFmtId="0" fontId="19" fillId="3" borderId="0" xfId="0" applyFont="1" applyFill="1" applyAlignment="1">
      <alignment horizontal="center" vertical="center"/>
    </xf>
    <xf numFmtId="0" fontId="11" fillId="2" borderId="3" xfId="0" applyFont="1" applyFill="1" applyBorder="1" applyAlignment="1">
      <alignment horizontal="left" vertical="center"/>
    </xf>
    <xf numFmtId="0" fontId="15" fillId="2" borderId="0" xfId="0" applyFont="1" applyFill="1" applyAlignment="1">
      <alignment vertical="center"/>
    </xf>
    <xf numFmtId="172" fontId="16" fillId="2" borderId="0" xfId="0" applyNumberFormat="1" applyFont="1" applyFill="1" applyAlignment="1">
      <alignment horizontal="center"/>
    </xf>
    <xf numFmtId="0" fontId="15" fillId="2" borderId="0" xfId="0" applyFont="1" applyFill="1" applyAlignment="1">
      <alignment horizontal="center"/>
    </xf>
    <xf numFmtId="0" fontId="15" fillId="2" borderId="4" xfId="0" applyFont="1" applyFill="1" applyBorder="1" applyAlignment="1">
      <alignment horizontal="left" vertical="center"/>
    </xf>
    <xf numFmtId="0" fontId="36" fillId="0" borderId="3" xfId="0" applyFont="1" applyBorder="1"/>
    <xf numFmtId="0" fontId="24" fillId="2" borderId="0" xfId="0" applyFont="1" applyFill="1" applyAlignment="1">
      <alignment vertical="center"/>
    </xf>
    <xf numFmtId="0" fontId="0" fillId="0" borderId="15" xfId="0" applyFill="1" applyBorder="1" applyAlignment="1">
      <alignment vertical="center"/>
    </xf>
    <xf numFmtId="0" fontId="39" fillId="0" borderId="1" xfId="0" applyFont="1" applyBorder="1" applyAlignment="1">
      <alignment horizontal="center" vertical="center"/>
    </xf>
    <xf numFmtId="0" fontId="39" fillId="0" borderId="2" xfId="0" applyFont="1" applyBorder="1" applyAlignment="1">
      <alignment horizontal="center" vertical="center"/>
    </xf>
    <xf numFmtId="0" fontId="37" fillId="0" borderId="0" xfId="0" applyFont="1" applyAlignment="1">
      <alignment horizontal="center" vertical="top"/>
    </xf>
    <xf numFmtId="0" fontId="37" fillId="0" borderId="4" xfId="0" applyFont="1" applyBorder="1" applyAlignment="1">
      <alignment horizontal="center" vertical="top"/>
    </xf>
    <xf numFmtId="0" fontId="37" fillId="0" borderId="10" xfId="0" applyFont="1" applyBorder="1" applyAlignment="1">
      <alignment horizontal="center" vertical="top"/>
    </xf>
    <xf numFmtId="0" fontId="37" fillId="0" borderId="11" xfId="0" applyFont="1" applyBorder="1" applyAlignment="1">
      <alignment horizontal="center" vertical="top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4" fillId="0" borderId="3" xfId="1" applyBorder="1" applyAlignment="1" applyProtection="1">
      <alignment horizontal="center"/>
    </xf>
    <xf numFmtId="172" fontId="24" fillId="0" borderId="6" xfId="0" applyNumberFormat="1" applyFont="1" applyBorder="1" applyAlignment="1">
      <alignment horizontal="center"/>
    </xf>
    <xf numFmtId="172" fontId="24" fillId="0" borderId="8" xfId="0" applyNumberFormat="1" applyFont="1" applyBorder="1" applyAlignment="1">
      <alignment horizontal="center"/>
    </xf>
    <xf numFmtId="2" fontId="24" fillId="0" borderId="6" xfId="0" applyNumberFormat="1" applyFont="1" applyBorder="1" applyAlignment="1">
      <alignment horizontal="center"/>
    </xf>
    <xf numFmtId="2" fontId="24" fillId="0" borderId="8" xfId="0" applyNumberFormat="1" applyFont="1" applyBorder="1" applyAlignment="1">
      <alignment horizontal="center"/>
    </xf>
    <xf numFmtId="0" fontId="24" fillId="0" borderId="6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172" fontId="24" fillId="0" borderId="15" xfId="0" applyNumberFormat="1" applyFont="1" applyBorder="1" applyAlignment="1" applyProtection="1">
      <alignment horizontal="center"/>
      <protection hidden="1"/>
    </xf>
    <xf numFmtId="0" fontId="0" fillId="5" borderId="6" xfId="0" applyFill="1" applyBorder="1" applyAlignment="1" applyProtection="1">
      <alignment vertical="center"/>
      <protection locked="0"/>
    </xf>
    <xf numFmtId="0" fontId="0" fillId="0" borderId="7" xfId="0" applyBorder="1" applyAlignment="1" applyProtection="1">
      <alignment vertical="center"/>
      <protection locked="0"/>
    </xf>
    <xf numFmtId="0" fontId="0" fillId="0" borderId="8" xfId="0" applyBorder="1" applyAlignment="1" applyProtection="1">
      <alignment vertical="center"/>
      <protection locked="0"/>
    </xf>
    <xf numFmtId="0" fontId="0" fillId="5" borderId="7" xfId="0" applyFill="1" applyBorder="1" applyAlignment="1" applyProtection="1">
      <alignment vertical="center"/>
      <protection locked="0"/>
    </xf>
    <xf numFmtId="0" fontId="33" fillId="0" borderId="3" xfId="0" applyFont="1" applyBorder="1" applyAlignment="1">
      <alignment horizontal="center"/>
    </xf>
    <xf numFmtId="0" fontId="33" fillId="0" borderId="0" xfId="0" applyFont="1" applyAlignment="1">
      <alignment horizontal="center"/>
    </xf>
    <xf numFmtId="0" fontId="33" fillId="0" borderId="4" xfId="0" applyFont="1" applyBorder="1" applyAlignment="1">
      <alignment horizontal="center"/>
    </xf>
    <xf numFmtId="0" fontId="20" fillId="5" borderId="7" xfId="0" applyFont="1" applyFill="1" applyBorder="1" applyAlignment="1" applyProtection="1">
      <alignment horizontal="center" vertical="center"/>
      <protection locked="0"/>
    </xf>
    <xf numFmtId="0" fontId="20" fillId="5" borderId="8" xfId="0" applyFont="1" applyFill="1" applyBorder="1" applyAlignment="1" applyProtection="1">
      <alignment horizontal="center" vertical="center"/>
      <protection locked="0"/>
    </xf>
    <xf numFmtId="0" fontId="27" fillId="4" borderId="7" xfId="0" applyFont="1" applyFill="1" applyBorder="1" applyAlignment="1">
      <alignment horizontal="right" vertical="center"/>
    </xf>
  </cellXfs>
  <cellStyles count="2">
    <cellStyle name="Hyperlink" xfId="1" builtinId="8"/>
    <cellStyle name="Normal" xfId="0" builtinId="0"/>
  </cellStyles>
  <dxfs count="10">
    <dxf>
      <font>
        <color theme="0"/>
      </font>
      <fill>
        <patternFill patternType="none">
          <fgColor indexed="64"/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CFFCC"/>
      </font>
      <fill>
        <patternFill patternType="solid">
          <fgColor indexed="64"/>
          <bgColor rgb="FFCCFFCC"/>
        </patternFill>
      </fill>
    </dxf>
    <dxf>
      <font>
        <color theme="0"/>
      </font>
      <fill>
        <patternFill patternType="none">
          <fgColor indexed="64"/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9"/>
      </font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279400</xdr:colOff>
      <xdr:row>0</xdr:row>
      <xdr:rowOff>101600</xdr:rowOff>
    </xdr:from>
    <xdr:to>
      <xdr:col>2</xdr:col>
      <xdr:colOff>1346200</xdr:colOff>
      <xdr:row>1</xdr:row>
      <xdr:rowOff>203200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42A637BE-A55B-8041-9796-787C7CE96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000" y="101600"/>
          <a:ext cx="2184400" cy="901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1854200</xdr:colOff>
      <xdr:row>0</xdr:row>
      <xdr:rowOff>139700</xdr:rowOff>
    </xdr:from>
    <xdr:to>
      <xdr:col>5</xdr:col>
      <xdr:colOff>38100</xdr:colOff>
      <xdr:row>0</xdr:row>
      <xdr:rowOff>673100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82711591-1CF9-4045-99FB-3FFD5A9072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0400" y="139700"/>
          <a:ext cx="510540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1095375</xdr:colOff>
      <xdr:row>50</xdr:row>
      <xdr:rowOff>92075</xdr:rowOff>
    </xdr:from>
    <xdr:to>
      <xdr:col>7</xdr:col>
      <xdr:colOff>1095375</xdr:colOff>
      <xdr:row>51</xdr:row>
      <xdr:rowOff>66848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9E485E30-B87B-8D46-B99D-221CA2996BD8}"/>
            </a:ext>
          </a:extLst>
        </xdr:cNvPr>
        <xdr:cNvCxnSpPr/>
      </xdr:nvCxnSpPr>
      <xdr:spPr>
        <a:xfrm flipV="1">
          <a:off x="10058400" y="15001875"/>
          <a:ext cx="0" cy="266700"/>
        </a:xfrm>
        <a:prstGeom prst="straightConnector1">
          <a:avLst/>
        </a:prstGeom>
        <a:ln w="57150">
          <a:solidFill>
            <a:srgbClr val="00B050"/>
          </a:solidFill>
          <a:tailEnd type="triangle"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://www.securedsigning.com/products/signature-verification-service" TargetMode="External"/><Relationship Id="rId1" Type="http://schemas.openxmlformats.org/officeDocument/2006/relationships/hyperlink" Target="mailto:design@environmenttechnology.co.n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85"/>
  <sheetViews>
    <sheetView showGridLines="0" tabSelected="1" zoomScale="70" zoomScaleNormal="70" workbookViewId="0">
      <selection activeCell="D13" sqref="D13"/>
    </sheetView>
  </sheetViews>
  <sheetFormatPr baseColWidth="10" defaultColWidth="10.796875" defaultRowHeight="14"/>
  <cols>
    <col min="1" max="1" width="3.59765625" customWidth="1"/>
    <col min="2" max="2" width="17.59765625" customWidth="1"/>
    <col min="3" max="3" width="89" customWidth="1"/>
    <col min="4" max="4" width="13.796875" customWidth="1"/>
    <col min="5" max="5" width="6.19921875" customWidth="1"/>
    <col min="6" max="6" width="11.3984375" customWidth="1"/>
    <col min="7" max="7" width="19.59765625" customWidth="1"/>
    <col min="8" max="8" width="19.3984375" customWidth="1"/>
    <col min="9" max="9" width="37" customWidth="1"/>
    <col min="10" max="10" width="5.796875" customWidth="1"/>
    <col min="11" max="11" width="14.59765625" bestFit="1" customWidth="1"/>
    <col min="12" max="12" width="10.796875" customWidth="1"/>
    <col min="13" max="13" width="2.3984375" customWidth="1"/>
    <col min="14" max="14" width="10.3984375" customWidth="1"/>
    <col min="15" max="15" width="30.796875" customWidth="1"/>
  </cols>
  <sheetData>
    <row r="1" spans="1:17" ht="63.75" customHeight="1">
      <c r="B1" s="166"/>
      <c r="C1" s="122"/>
      <c r="D1" s="77"/>
      <c r="E1" s="77"/>
      <c r="F1" s="207" t="s">
        <v>67</v>
      </c>
      <c r="G1" s="207"/>
      <c r="H1" s="207"/>
      <c r="I1" s="208"/>
    </row>
    <row r="2" spans="1:17" ht="19.5" customHeight="1">
      <c r="B2" s="167"/>
      <c r="C2" s="135" t="s">
        <v>68</v>
      </c>
      <c r="E2" s="6"/>
      <c r="F2" s="209"/>
      <c r="G2" s="209"/>
      <c r="H2" s="209"/>
      <c r="I2" s="210"/>
    </row>
    <row r="3" spans="1:17" ht="25" customHeight="1">
      <c r="A3" s="18"/>
      <c r="B3" s="18"/>
      <c r="C3" s="134" t="s">
        <v>69</v>
      </c>
      <c r="F3" s="211"/>
      <c r="G3" s="211"/>
      <c r="H3" s="211"/>
      <c r="I3" s="212"/>
    </row>
    <row r="4" spans="1:17" s="12" customFormat="1" ht="29" customHeight="1">
      <c r="A4" s="113"/>
      <c r="B4" s="191" t="s">
        <v>17</v>
      </c>
      <c r="C4" s="136"/>
      <c r="D4" s="227"/>
      <c r="E4" s="225"/>
      <c r="F4" s="225"/>
      <c r="G4" s="225"/>
      <c r="H4" s="225"/>
      <c r="I4" s="226"/>
    </row>
    <row r="5" spans="1:17" s="12" customFormat="1" ht="29" customHeight="1">
      <c r="A5" s="113"/>
      <c r="B5" s="191" t="s">
        <v>13</v>
      </c>
      <c r="C5" s="137"/>
      <c r="D5" s="206" t="s">
        <v>84</v>
      </c>
      <c r="E5" s="224"/>
      <c r="F5" s="225"/>
      <c r="G5" s="225"/>
      <c r="H5" s="225"/>
      <c r="I5" s="226"/>
    </row>
    <row r="6" spans="1:17" s="12" customFormat="1" ht="29" customHeight="1">
      <c r="A6" s="113"/>
      <c r="B6" s="191" t="s">
        <v>29</v>
      </c>
      <c r="C6" s="138"/>
      <c r="D6" s="191" t="s">
        <v>44</v>
      </c>
      <c r="E6" s="231"/>
      <c r="F6" s="231"/>
      <c r="G6" s="232"/>
      <c r="H6" s="191" t="s">
        <v>42</v>
      </c>
      <c r="I6" s="139"/>
    </row>
    <row r="7" spans="1:17" s="12" customFormat="1" ht="29" customHeight="1">
      <c r="A7" s="113"/>
      <c r="B7" s="191" t="s">
        <v>43</v>
      </c>
      <c r="C7" s="138"/>
      <c r="D7" s="191" t="s">
        <v>45</v>
      </c>
      <c r="E7" s="231"/>
      <c r="F7" s="231"/>
      <c r="G7" s="232"/>
      <c r="H7" s="191" t="s">
        <v>41</v>
      </c>
      <c r="I7" s="140"/>
    </row>
    <row r="8" spans="1:17" s="12" customFormat="1" ht="29" customHeight="1">
      <c r="A8" s="113"/>
      <c r="B8" s="191" t="s">
        <v>16</v>
      </c>
      <c r="C8" s="138"/>
      <c r="D8" s="191" t="s">
        <v>46</v>
      </c>
      <c r="E8" s="231"/>
      <c r="F8" s="231"/>
      <c r="G8" s="232"/>
      <c r="H8" s="192" t="s">
        <v>14</v>
      </c>
      <c r="I8" s="141"/>
      <c r="L8" s="11"/>
      <c r="M8" s="11"/>
      <c r="O8" s="13"/>
      <c r="P8" s="11"/>
    </row>
    <row r="9" spans="1:17" s="12" customFormat="1" ht="26" customHeight="1">
      <c r="A9" s="113"/>
      <c r="B9" s="71" t="s">
        <v>30</v>
      </c>
      <c r="C9" s="17"/>
      <c r="D9" s="17"/>
      <c r="E9" s="17"/>
      <c r="F9" s="17"/>
      <c r="G9" s="17"/>
      <c r="H9" s="17"/>
      <c r="I9" s="21"/>
    </row>
    <row r="10" spans="1:17" s="11" customFormat="1" ht="23" customHeight="1">
      <c r="A10" s="114"/>
      <c r="B10" s="24"/>
      <c r="C10" s="76" t="s">
        <v>40</v>
      </c>
      <c r="D10" s="25"/>
      <c r="E10" s="26"/>
      <c r="F10" s="25"/>
      <c r="G10" s="64" t="s">
        <v>21</v>
      </c>
      <c r="H10" s="25"/>
      <c r="I10" s="27"/>
      <c r="M10"/>
      <c r="N10"/>
      <c r="O10" s="2"/>
      <c r="P10" s="2"/>
      <c r="Q10" s="2"/>
    </row>
    <row r="11" spans="1:17" s="2" customFormat="1" ht="25" customHeight="1">
      <c r="A11" s="60"/>
      <c r="B11" s="22"/>
      <c r="C11" s="70" t="s">
        <v>9</v>
      </c>
      <c r="D11" s="142"/>
      <c r="E11" s="79" t="str">
        <f>IF(D11= 0,"",IF(D11 ="y", "&gt;&gt;    Minimun single vent size is 80mm. "," &gt;&gt;   Check if the septic tank has an outlet filter "))</f>
        <v/>
      </c>
      <c r="F11" s="28"/>
      <c r="G11" s="28"/>
      <c r="H11" s="28"/>
      <c r="I11" s="29"/>
      <c r="K11"/>
      <c r="L11"/>
      <c r="M11"/>
      <c r="N11"/>
    </row>
    <row r="12" spans="1:17" s="2" customFormat="1" ht="25" customHeight="1">
      <c r="A12" s="60"/>
      <c r="B12" s="23"/>
      <c r="C12" s="65" t="s">
        <v>8</v>
      </c>
      <c r="D12" s="142"/>
      <c r="E12" s="30"/>
      <c r="F12" s="69" t="str">
        <f>IF(D11= 0,"",IF(D11 ="y", "   or 2 x 50mm house vents ","If you DO NOT REMOVE the filter you will need"))</f>
        <v/>
      </c>
      <c r="G12" s="31"/>
      <c r="H12" s="31"/>
      <c r="I12" s="32"/>
      <c r="K12"/>
      <c r="L12"/>
      <c r="M12"/>
      <c r="N12"/>
    </row>
    <row r="13" spans="1:17" s="2" customFormat="1" ht="25" customHeight="1">
      <c r="A13" s="60"/>
      <c r="B13" s="23"/>
      <c r="C13" s="65" t="s">
        <v>20</v>
      </c>
      <c r="D13" s="143"/>
      <c r="E13" s="33"/>
      <c r="F13" s="69" t="str">
        <f>IF(D11= 0,"",IF(D11 ="y", "  A septic tank outlet filter is NOT RECOMMENDED","to install 100mm HIGH and LOW VENTS on the AES system."))</f>
        <v/>
      </c>
      <c r="G13" s="31"/>
      <c r="H13" s="31"/>
      <c r="I13" s="32"/>
      <c r="K13"/>
      <c r="L13"/>
      <c r="M13"/>
      <c r="N13"/>
    </row>
    <row r="14" spans="1:17" s="2" customFormat="1" ht="24.75" customHeight="1">
      <c r="A14" s="60"/>
      <c r="B14" s="23"/>
      <c r="C14" s="178" t="str">
        <f>IF(D14=1,"Is this a trench extension option? If not the minimum number of AES rows required is 2  "," Number of rows required to suit site constraints    "   )</f>
        <v xml:space="preserve"> Number of rows required to suit site constraints    </v>
      </c>
      <c r="D14" s="144"/>
      <c r="E14" s="205" t="str">
        <f>IF(D14=0,"",IF(D14&lt;=2,"&gt;&gt;  Bed Linings are 6.0m wide. Use minimum 2 rows  ","&gt;&gt;   Do not use more than 3 rows with 6.0m wide liners"))</f>
        <v/>
      </c>
      <c r="F14" s="66"/>
      <c r="G14" s="34"/>
      <c r="H14" s="34"/>
      <c r="I14" s="35"/>
      <c r="K14"/>
      <c r="L14"/>
      <c r="M14"/>
      <c r="N14"/>
    </row>
    <row r="15" spans="1:17" s="2" customFormat="1" ht="25" customHeight="1">
      <c r="A15" s="60"/>
      <c r="B15" s="18"/>
      <c r="C15" s="65" t="s">
        <v>62</v>
      </c>
      <c r="D15" s="144"/>
      <c r="E15" s="69" t="str">
        <f>IF(D15= 0,"",IF(D15 ="y", "&gt;&gt;    A HIGH LEVEL Vent &amp; a LOW vent are required on this system ","&gt;&gt;    A HIGH and LOW vent are required on this  "))</f>
        <v/>
      </c>
      <c r="F15" s="68"/>
      <c r="G15" s="31"/>
      <c r="H15" s="31"/>
      <c r="I15" s="32"/>
      <c r="K15"/>
      <c r="L15"/>
      <c r="M15"/>
      <c r="N15"/>
    </row>
    <row r="16" spans="1:17" s="2" customFormat="1" ht="25" customHeight="1">
      <c r="A16" s="60"/>
      <c r="B16" s="23"/>
      <c r="C16" s="65" t="s">
        <v>59</v>
      </c>
      <c r="D16" s="143"/>
      <c r="E16" s="67" t="str">
        <f>IF(D16&lt;=3,"","&gt;&gt;  Category may require design considerations. Ref AS/NZS 1547")</f>
        <v/>
      </c>
      <c r="F16" s="68"/>
      <c r="G16" s="31"/>
      <c r="H16" s="31"/>
      <c r="I16" s="32"/>
      <c r="K16"/>
      <c r="L16"/>
      <c r="M16"/>
      <c r="N16"/>
    </row>
    <row r="17" spans="1:17" s="2" customFormat="1" ht="24.75" customHeight="1">
      <c r="A17" s="60"/>
      <c r="B17" s="18"/>
      <c r="C17" s="65" t="s">
        <v>61</v>
      </c>
      <c r="D17" s="144"/>
      <c r="E17" s="69"/>
      <c r="F17" s="68"/>
      <c r="G17" s="31"/>
      <c r="H17" s="31"/>
      <c r="I17" s="32"/>
      <c r="K17"/>
      <c r="L17"/>
      <c r="M17"/>
      <c r="N17"/>
    </row>
    <row r="18" spans="1:17" s="2" customFormat="1" ht="0.75" hidden="1" customHeight="1">
      <c r="A18" s="60"/>
      <c r="B18" s="75"/>
      <c r="D18" s="37" t="e">
        <f>IF(D21=0,,D27/D21)</f>
        <v>#VALUE!</v>
      </c>
      <c r="E18" s="38"/>
      <c r="F18" s="78" t="str">
        <f>IF(D15=0,"",IF(D15 ="y","","  The AES system may require a Velocity Diffuser"))</f>
        <v/>
      </c>
      <c r="G18" s="38"/>
      <c r="H18" s="38"/>
      <c r="I18" s="39"/>
      <c r="K18"/>
      <c r="L18"/>
      <c r="M18"/>
      <c r="N18"/>
    </row>
    <row r="19" spans="1:17" s="11" customFormat="1" ht="22" customHeight="1">
      <c r="A19" s="114"/>
      <c r="B19" s="72" t="s">
        <v>63</v>
      </c>
      <c r="C19" s="15"/>
      <c r="D19" s="15"/>
      <c r="E19" s="15"/>
      <c r="F19" s="15"/>
      <c r="G19" s="15"/>
      <c r="H19" s="15"/>
      <c r="I19" s="16"/>
      <c r="M19" s="12"/>
      <c r="N19" s="12"/>
      <c r="O19" s="12"/>
      <c r="P19" s="12"/>
      <c r="Q19" s="12"/>
    </row>
    <row r="20" spans="1:17" s="11" customFormat="1" ht="21.75" customHeight="1">
      <c r="A20" s="114"/>
      <c r="B20" s="73" t="str">
        <f>IF(D21=0,"",IF(D21&lt;=30,IF(D16&lt;=2,"","- Ripping of receiving surface is required in clay soil structures in Cat 4,5,6. In addition refer to AS/NZS 1547. Always excavate and rip parallel to the site slope/AES pipe."),""))</f>
        <v/>
      </c>
      <c r="C20" s="34"/>
      <c r="D20" s="34"/>
      <c r="E20" s="34"/>
      <c r="F20" s="34"/>
      <c r="G20" s="34"/>
      <c r="H20" s="34"/>
      <c r="I20" s="35"/>
      <c r="M20" s="12"/>
      <c r="N20" s="12"/>
      <c r="O20" s="12"/>
      <c r="P20" s="12"/>
      <c r="Q20" s="12"/>
    </row>
    <row r="21" spans="1:17" s="2" customFormat="1" ht="24.75" hidden="1" customHeight="1">
      <c r="A21" s="60"/>
      <c r="B21" s="18"/>
      <c r="C21" s="65" t="s">
        <v>58</v>
      </c>
      <c r="D21" s="143">
        <v>50</v>
      </c>
      <c r="E21" s="67" t="str">
        <f>IF(D21=0,"",IF(D21&lt;40,"&gt;&gt;Adopt a DLR of 40 for lined AES bed","&gt;&gt;    Adopt a DLR of 40 unless loading pipes higher than standard rate"))</f>
        <v>&gt;&gt;    Adopt a DLR of 40 unless loading pipes higher than standard rate</v>
      </c>
      <c r="F21" s="68"/>
      <c r="G21" s="31"/>
      <c r="H21" s="31"/>
      <c r="I21" s="32"/>
      <c r="L21"/>
      <c r="M21"/>
      <c r="N21"/>
    </row>
    <row r="22" spans="1:17" s="11" customFormat="1" ht="22" customHeight="1">
      <c r="A22" s="114"/>
      <c r="B22" s="73" t="str">
        <f>IF(D16&lt;=3,"",IF(D21&lt;=29,"- Specialist soils advice and special design techniques will be required for clay dominated soil having dispersive or shrink/swell behaviour. Refer AS/NZS 1547",""))</f>
        <v/>
      </c>
      <c r="C22" s="34"/>
      <c r="D22" s="34"/>
      <c r="E22" s="34"/>
      <c r="F22" s="34"/>
      <c r="G22" s="34"/>
      <c r="H22" s="34"/>
      <c r="I22" s="35"/>
      <c r="J22" s="12"/>
      <c r="M22" s="12"/>
      <c r="N22" s="12"/>
      <c r="O22" s="12"/>
      <c r="P22" s="12"/>
      <c r="Q22" s="12"/>
    </row>
    <row r="23" spans="1:17" s="11" customFormat="1" ht="22" customHeight="1">
      <c r="A23" s="114"/>
      <c r="B23" s="180"/>
      <c r="C23" s="34"/>
      <c r="D23" s="34"/>
      <c r="E23" s="34"/>
      <c r="F23" s="34"/>
      <c r="G23" s="34"/>
      <c r="H23" s="34"/>
      <c r="I23" s="35"/>
      <c r="J23" s="12"/>
      <c r="M23" s="12"/>
      <c r="N23" s="12"/>
      <c r="O23" s="12"/>
      <c r="P23" s="12"/>
      <c r="Q23" s="12"/>
    </row>
    <row r="24" spans="1:17" s="11" customFormat="1" ht="22" customHeight="1">
      <c r="A24" s="114"/>
      <c r="B24" s="180"/>
      <c r="C24" s="34"/>
      <c r="D24" s="34"/>
      <c r="E24" s="34"/>
      <c r="F24" s="34"/>
      <c r="G24" s="34"/>
      <c r="H24" s="34"/>
      <c r="I24" s="35"/>
      <c r="J24" s="12"/>
      <c r="M24" s="12"/>
      <c r="N24" s="12"/>
      <c r="O24" s="12"/>
      <c r="P24" s="12"/>
      <c r="Q24" s="12"/>
    </row>
    <row r="25" spans="1:17" s="11" customFormat="1" ht="22" customHeight="1">
      <c r="A25" s="114"/>
      <c r="B25" s="74" t="str">
        <f>IF(D21="","",IF(D21&lt;=25,"- Drainlayers are reminded that good construction techniques as per AS/NZS 1547 are especilly important in these soil types. Refer AS/NZS1547 &amp; AES installation Instructions","- Drainlayers are reminded to practice good construction techniques as per AS/NZS 1547 and as provided in AES installation instructions supplied with components."))</f>
        <v>- Drainlayers are reminded to practice good construction techniques as per AS/NZS 1547 and as provided in AES installation instructions supplied with components.</v>
      </c>
      <c r="C25" s="40"/>
      <c r="D25" s="40"/>
      <c r="E25" s="40"/>
      <c r="F25" s="40"/>
      <c r="G25" s="40"/>
      <c r="H25" s="40"/>
      <c r="I25" s="41"/>
      <c r="J25" s="12"/>
      <c r="M25" s="12"/>
      <c r="N25" s="12"/>
      <c r="O25" s="12"/>
      <c r="P25" s="12"/>
      <c r="Q25" s="12"/>
    </row>
    <row r="26" spans="1:17" s="2" customFormat="1" ht="22" customHeight="1" thickBot="1">
      <c r="A26" s="60"/>
      <c r="B26" s="42"/>
      <c r="C26" s="58" t="s">
        <v>26</v>
      </c>
      <c r="D26" s="43"/>
      <c r="E26" s="44"/>
      <c r="F26" s="187"/>
      <c r="G26" s="45"/>
      <c r="H26" s="59" t="s">
        <v>2</v>
      </c>
      <c r="I26" s="46"/>
      <c r="K26"/>
      <c r="L26"/>
      <c r="M26" s="12"/>
      <c r="N26" s="12"/>
      <c r="O26" s="11"/>
      <c r="P26" s="11"/>
      <c r="Q26" s="11"/>
    </row>
    <row r="27" spans="1:17" s="2" customFormat="1" ht="25" customHeight="1">
      <c r="A27" s="60"/>
      <c r="B27" s="102"/>
      <c r="C27" s="100" t="s">
        <v>27</v>
      </c>
      <c r="D27" s="101" t="str">
        <f>IF(D13="","",IF(D12="",0,D12*D13))</f>
        <v/>
      </c>
      <c r="E27" s="90" t="s">
        <v>31</v>
      </c>
      <c r="F27" s="188"/>
      <c r="G27" s="106" t="s">
        <v>28</v>
      </c>
      <c r="H27" s="217" t="str">
        <f>IF(D29="","",IF(D14=1,D29*3+0.6+0.3,D29*3+0.6))</f>
        <v/>
      </c>
      <c r="I27" s="218"/>
      <c r="L27"/>
      <c r="M27" s="11"/>
      <c r="N27" s="11"/>
      <c r="O27" s="11"/>
      <c r="P27" s="11"/>
      <c r="Q27" s="11"/>
    </row>
    <row r="28" spans="1:17" s="2" customFormat="1" ht="25" customHeight="1">
      <c r="A28" s="60"/>
      <c r="B28" s="107"/>
      <c r="C28" s="103" t="s">
        <v>22</v>
      </c>
      <c r="D28" s="104" t="str">
        <f>IF(D14="","",(D27/38)/D14)</f>
        <v/>
      </c>
      <c r="E28" s="105" t="s">
        <v>32</v>
      </c>
      <c r="F28" s="189"/>
      <c r="G28" s="119" t="s">
        <v>4</v>
      </c>
      <c r="H28" s="219" t="str">
        <f>IF(D14="","",D14*0.45+0.15)</f>
        <v/>
      </c>
      <c r="I28" s="220"/>
      <c r="L28"/>
    </row>
    <row r="29" spans="1:17" s="2" customFormat="1" ht="22" customHeight="1">
      <c r="A29" s="60"/>
      <c r="B29" s="107"/>
      <c r="C29" s="103" t="s">
        <v>0</v>
      </c>
      <c r="D29" s="93" t="str">
        <f>IF(D14="","",ROUNDUP(D28/3,0))</f>
        <v/>
      </c>
      <c r="E29" s="105" t="s">
        <v>33</v>
      </c>
      <c r="F29" s="189"/>
      <c r="G29" s="108" t="s">
        <v>24</v>
      </c>
      <c r="H29" s="221" t="str">
        <f>IF(H27="","",IF(H27&gt;0,0.75,))</f>
        <v/>
      </c>
      <c r="I29" s="222"/>
      <c r="K29"/>
      <c r="L29"/>
      <c r="M29"/>
      <c r="N29"/>
    </row>
    <row r="30" spans="1:17" s="2" customFormat="1" ht="21" customHeight="1">
      <c r="A30" s="115"/>
      <c r="B30" s="109"/>
      <c r="C30" s="103" t="s">
        <v>23</v>
      </c>
      <c r="D30" s="93" t="str">
        <f>IF(D12="","",IF(D28="","",(((H27-0.6)/3)*212)*D14))</f>
        <v/>
      </c>
      <c r="E30" s="105" t="s">
        <v>15</v>
      </c>
      <c r="F30" s="190"/>
      <c r="G30" s="110" t="s">
        <v>7</v>
      </c>
      <c r="H30" s="223" t="str">
        <f>IF(H27="","",H27*H28)</f>
        <v/>
      </c>
      <c r="I30" s="223"/>
      <c r="K30"/>
      <c r="L30"/>
      <c r="M30"/>
      <c r="N30"/>
    </row>
    <row r="31" spans="1:17" s="2" customFormat="1" ht="46.5" hidden="1" customHeight="1" thickBot="1">
      <c r="A31" s="60"/>
      <c r="B31" s="181" t="s">
        <v>60</v>
      </c>
      <c r="D31" s="111"/>
      <c r="E31" s="120"/>
      <c r="F31" s="179"/>
      <c r="G31" s="121"/>
      <c r="H31" s="185" t="s">
        <v>3</v>
      </c>
      <c r="I31" s="186"/>
      <c r="L31"/>
      <c r="M31"/>
      <c r="N31"/>
    </row>
    <row r="32" spans="1:17" s="11" customFormat="1" ht="24" customHeight="1">
      <c r="A32" s="114"/>
      <c r="B32" s="182"/>
      <c r="C32" s="83"/>
      <c r="D32" s="151" t="s">
        <v>1</v>
      </c>
      <c r="E32" s="152"/>
      <c r="F32" s="153" t="s">
        <v>19</v>
      </c>
      <c r="G32" s="81"/>
      <c r="H32" s="82" t="s">
        <v>25</v>
      </c>
      <c r="I32" s="83"/>
      <c r="K32" s="12"/>
      <c r="L32" s="12"/>
      <c r="M32"/>
      <c r="N32"/>
      <c r="O32" s="2"/>
      <c r="P32" s="2"/>
      <c r="Q32" s="2"/>
    </row>
    <row r="33" spans="1:17" s="11" customFormat="1" ht="30" customHeight="1">
      <c r="A33" s="114"/>
      <c r="B33" s="80"/>
      <c r="C33" s="193" t="s">
        <v>64</v>
      </c>
      <c r="D33" s="156" t="str">
        <f>IF(H27="","",(H27))</f>
        <v/>
      </c>
      <c r="E33" s="157" t="str">
        <f>IF(D14&lt;=1,"",IF(F31="Y","","x"))</f>
        <v/>
      </c>
      <c r="F33" s="158" t="str">
        <f>IF(H28="","",(H28))</f>
        <v/>
      </c>
      <c r="G33" s="84" t="str">
        <f>IF(D14&lt;=1,"",IF(F31="Y","","="))</f>
        <v/>
      </c>
      <c r="H33" s="159" t="str">
        <f>IF(D14&lt;=1,"",IF(F31="y","",D33*F33))</f>
        <v/>
      </c>
      <c r="I33" s="160" t="str">
        <f>IF(D14&lt;=1,"",IF(F31="y","","  m2 total"))</f>
        <v/>
      </c>
      <c r="K33" s="12"/>
      <c r="L33" s="12"/>
      <c r="M33"/>
      <c r="N33"/>
      <c r="O33"/>
    </row>
    <row r="34" spans="1:17" s="11" customFormat="1" ht="25" customHeight="1">
      <c r="A34" s="114"/>
      <c r="B34" s="183"/>
      <c r="C34" s="184"/>
      <c r="D34" s="172" t="str">
        <f>IF(F31="","",IF(((I30+H30)/F34)&lt;((D39*3+0.9)/D14),((D39*3+0.9)/D14),((I30+H30)/F34)))</f>
        <v/>
      </c>
      <c r="E34" s="173" t="str">
        <f>IF(F31="Y","x","")</f>
        <v/>
      </c>
      <c r="F34" s="174" t="str">
        <f>IF(F31="","",IF(I31="",H28,IF(I31&lt;H28,"",I31)))</f>
        <v/>
      </c>
      <c r="G34" s="85" t="str">
        <f>IF(F31="y","     =","")</f>
        <v/>
      </c>
      <c r="H34" s="161" t="str">
        <f>IF(D14="","",IF(F31="","",F34*D34))</f>
        <v/>
      </c>
      <c r="I34" s="86" t="str">
        <f>IF(F31="y","  m2 total ","")</f>
        <v/>
      </c>
      <c r="M34"/>
      <c r="N34"/>
      <c r="O34"/>
    </row>
    <row r="35" spans="1:17" s="11" customFormat="1" ht="20.25" customHeight="1">
      <c r="A35" s="114"/>
      <c r="B35" s="145" t="str">
        <f>IF(F31="y",IF(D14=2,"                           A trench design has a max of 2 rows of AES pipes located 300mm from up slope side and centered lenght wise in the trench is better."," Single rows have 2 parts with a 200mm strait raised connector. The 1st part would contain the extra pipe if number of pipes are not even. IE 3+2 , 4+3, 5+4. etc " ),"")</f>
        <v/>
      </c>
      <c r="C35" s="146"/>
      <c r="D35" s="147"/>
      <c r="E35" s="148"/>
      <c r="F35" s="175"/>
      <c r="G35" s="149"/>
      <c r="H35" s="198" t="s">
        <v>70</v>
      </c>
      <c r="I35" s="150"/>
      <c r="K35" s="12"/>
      <c r="M35"/>
      <c r="N35"/>
      <c r="O35"/>
    </row>
    <row r="36" spans="1:17" s="11" customFormat="1" ht="20.25" customHeight="1">
      <c r="A36" s="114"/>
      <c r="B36" s="199"/>
      <c r="C36" s="200"/>
      <c r="D36" s="201"/>
      <c r="E36" s="202"/>
      <c r="F36" s="203"/>
      <c r="G36" s="149" t="s">
        <v>79</v>
      </c>
      <c r="H36" s="198"/>
      <c r="I36" s="150"/>
      <c r="K36" s="12"/>
      <c r="M36"/>
      <c r="N36"/>
      <c r="O36"/>
    </row>
    <row r="37" spans="1:17" s="11" customFormat="1" ht="46.5" customHeight="1">
      <c r="A37" s="114"/>
      <c r="B37" s="176"/>
      <c r="C37" s="177"/>
      <c r="D37" s="154"/>
      <c r="E37" s="155"/>
      <c r="F37" s="171"/>
      <c r="G37" s="233" t="str">
        <f>IF(D27="","",IF(D17="","",D27/D17))</f>
        <v/>
      </c>
      <c r="H37" s="233"/>
      <c r="I37" s="165" t="s">
        <v>57</v>
      </c>
      <c r="K37" s="12"/>
      <c r="M37"/>
      <c r="N37"/>
      <c r="O37"/>
    </row>
    <row r="38" spans="1:17" s="2" customFormat="1" ht="16">
      <c r="A38" s="60"/>
      <c r="B38" s="168" t="s">
        <v>34</v>
      </c>
      <c r="C38" s="169" t="s">
        <v>38</v>
      </c>
      <c r="D38" s="116"/>
      <c r="E38" s="170"/>
      <c r="F38" s="116"/>
      <c r="G38" s="162"/>
      <c r="H38" s="163" t="s">
        <v>39</v>
      </c>
      <c r="I38" s="164"/>
      <c r="K38"/>
      <c r="L38"/>
      <c r="M38" s="8"/>
      <c r="N38" s="8"/>
      <c r="O38" s="8"/>
    </row>
    <row r="39" spans="1:17" s="2" customFormat="1" ht="25" customHeight="1">
      <c r="A39" s="60"/>
      <c r="B39" s="87" t="s">
        <v>6</v>
      </c>
      <c r="C39" s="88" t="s">
        <v>11</v>
      </c>
      <c r="D39" s="89" t="str">
        <f>IF(D14="","",IF(D29="","",IF(D14=1,D29,(D14*D29))))</f>
        <v/>
      </c>
      <c r="E39" s="90" t="s">
        <v>33</v>
      </c>
      <c r="F39"/>
      <c r="G39" s="47"/>
      <c r="H39" s="49"/>
      <c r="I39" s="48"/>
      <c r="K39"/>
      <c r="L39"/>
      <c r="M39" s="8"/>
      <c r="N39" s="8"/>
      <c r="O39" s="8"/>
    </row>
    <row r="40" spans="1:17" s="2" customFormat="1" ht="25" customHeight="1">
      <c r="A40" s="60"/>
      <c r="B40" s="91" t="s">
        <v>35</v>
      </c>
      <c r="C40" s="92" t="s">
        <v>18</v>
      </c>
      <c r="D40" s="93" t="str">
        <f>IF(D14="","",IF(D14=1,D39-2,D29*D14-D14))</f>
        <v/>
      </c>
      <c r="E40" s="94"/>
      <c r="F40"/>
      <c r="G40" s="228"/>
      <c r="H40" s="229"/>
      <c r="I40" s="230"/>
      <c r="K40"/>
      <c r="L40"/>
      <c r="M40" s="14"/>
      <c r="N40" s="14"/>
      <c r="O40" s="14"/>
      <c r="P40" s="14"/>
      <c r="Q40" s="14"/>
    </row>
    <row r="41" spans="1:17" s="2" customFormat="1" ht="25" customHeight="1">
      <c r="A41" s="60"/>
      <c r="B41" s="91" t="s">
        <v>36</v>
      </c>
      <c r="C41" s="92" t="s">
        <v>12</v>
      </c>
      <c r="D41" s="95" t="str">
        <f>IF(D14="","",IF(D14=1,4,D14*2))</f>
        <v/>
      </c>
      <c r="E41" s="94"/>
      <c r="F41"/>
      <c r="G41" s="60"/>
      <c r="I41" s="126"/>
      <c r="K41"/>
      <c r="L41"/>
      <c r="M41" s="14"/>
      <c r="N41" s="14"/>
      <c r="O41" s="14"/>
      <c r="P41" s="14"/>
      <c r="Q41" s="14"/>
    </row>
    <row r="42" spans="1:17" s="2" customFormat="1" ht="25" customHeight="1">
      <c r="A42" s="60"/>
      <c r="B42" s="91" t="s">
        <v>37</v>
      </c>
      <c r="C42" s="92" t="s">
        <v>71</v>
      </c>
      <c r="D42" s="95" t="str">
        <f>IF(D15="","",IF(D15=0,,(IF(D15="n",2,1))))</f>
        <v/>
      </c>
      <c r="E42" s="94"/>
      <c r="F42"/>
      <c r="G42" s="228"/>
      <c r="H42" s="229"/>
      <c r="I42" s="230"/>
      <c r="K42"/>
      <c r="L42"/>
      <c r="M42" s="14"/>
      <c r="N42" s="14"/>
      <c r="O42" s="14"/>
      <c r="P42" s="14"/>
      <c r="Q42" s="14"/>
    </row>
    <row r="43" spans="1:17" s="2" customFormat="1" ht="25" customHeight="1">
      <c r="A43" s="60"/>
      <c r="B43" s="96"/>
      <c r="C43" s="97" t="s">
        <v>5</v>
      </c>
      <c r="D43" s="98" t="str">
        <f>IF(H33="","",((H33*0.75)*1.2))</f>
        <v/>
      </c>
      <c r="E43" s="99" t="s">
        <v>10</v>
      </c>
      <c r="F43" s="31"/>
      <c r="G43" s="216"/>
      <c r="H43" s="214"/>
      <c r="I43" s="215"/>
      <c r="K43"/>
      <c r="L43"/>
    </row>
    <row r="44" spans="1:17" ht="3" customHeight="1">
      <c r="A44" s="18"/>
      <c r="B44" s="60"/>
      <c r="C44" s="2"/>
      <c r="D44" s="2"/>
      <c r="E44" s="2"/>
      <c r="F44" s="31"/>
      <c r="G44" s="127"/>
      <c r="H44" s="128"/>
      <c r="I44" s="129"/>
      <c r="M44" s="2"/>
      <c r="N44" s="2"/>
      <c r="O44" s="2"/>
      <c r="P44" s="2"/>
      <c r="Q44" s="2"/>
    </row>
    <row r="45" spans="1:17" ht="21" customHeight="1">
      <c r="A45" s="18"/>
      <c r="B45" s="107" t="s">
        <v>72</v>
      </c>
      <c r="C45" s="92" t="s">
        <v>74</v>
      </c>
      <c r="D45" s="195" t="e">
        <f>(H27*H28)+(H27*0.75*2)+(H28*0.75*2)+(H27*(H28+1))</f>
        <v>#VALUE!</v>
      </c>
      <c r="E45" s="196" t="s">
        <v>73</v>
      </c>
      <c r="F45" s="31"/>
      <c r="G45" s="127"/>
      <c r="H45" s="128"/>
      <c r="I45" s="129"/>
      <c r="M45" s="2"/>
      <c r="N45" s="2"/>
      <c r="O45" s="2"/>
      <c r="P45" s="2"/>
      <c r="Q45" s="2"/>
    </row>
    <row r="46" spans="1:17" ht="21" customHeight="1">
      <c r="A46" s="18"/>
      <c r="B46" s="107" t="s">
        <v>81</v>
      </c>
      <c r="C46" s="92" t="s">
        <v>82</v>
      </c>
      <c r="D46" s="195" t="e">
        <f>(H33+(D33*2)+(F33*2))*110/100</f>
        <v>#VALUE!</v>
      </c>
      <c r="E46" s="196" t="s">
        <v>73</v>
      </c>
      <c r="F46" s="31"/>
      <c r="G46" s="127"/>
      <c r="H46" s="128"/>
      <c r="I46" s="129"/>
      <c r="M46" s="2"/>
      <c r="N46" s="2"/>
      <c r="O46" s="2"/>
      <c r="P46" s="2"/>
      <c r="Q46" s="2"/>
    </row>
    <row r="47" spans="1:17" ht="21" customHeight="1">
      <c r="A47" s="18"/>
      <c r="B47" s="60" t="s">
        <v>77</v>
      </c>
      <c r="C47" s="92" t="s">
        <v>75</v>
      </c>
      <c r="D47" s="195" t="str">
        <f>H27</f>
        <v/>
      </c>
      <c r="E47" s="196" t="s">
        <v>76</v>
      </c>
      <c r="F47" s="31"/>
      <c r="G47" s="127"/>
      <c r="H47" s="128"/>
      <c r="I47" s="129"/>
      <c r="M47" s="2"/>
      <c r="N47" s="2"/>
      <c r="O47" s="2"/>
      <c r="P47" s="2"/>
      <c r="Q47" s="2"/>
    </row>
    <row r="48" spans="1:17" ht="21" customHeight="1">
      <c r="A48" s="18"/>
      <c r="B48" s="204" t="s">
        <v>80</v>
      </c>
      <c r="C48" s="92" t="s">
        <v>78</v>
      </c>
      <c r="D48" s="195">
        <v>1</v>
      </c>
      <c r="E48" s="197" t="s">
        <v>83</v>
      </c>
      <c r="F48" s="31"/>
      <c r="G48" s="127"/>
      <c r="H48" s="128"/>
      <c r="I48" s="129"/>
      <c r="M48" s="2"/>
      <c r="N48" s="2"/>
      <c r="O48" s="2"/>
      <c r="P48" s="2"/>
      <c r="Q48" s="2"/>
    </row>
    <row r="49" spans="1:17" ht="23" customHeight="1">
      <c r="A49" s="18"/>
      <c r="B49" s="51"/>
      <c r="C49" s="112" t="s">
        <v>66</v>
      </c>
      <c r="D49" s="52"/>
      <c r="E49" s="20"/>
      <c r="F49" s="31"/>
      <c r="G49" s="18"/>
      <c r="I49" s="19"/>
      <c r="M49" s="2"/>
      <c r="N49" s="2"/>
      <c r="O49" s="2"/>
      <c r="P49" s="2"/>
      <c r="Q49" s="2"/>
    </row>
    <row r="50" spans="1:17" ht="10.5" customHeight="1">
      <c r="A50" s="18"/>
      <c r="B50" s="123"/>
      <c r="C50" s="194"/>
      <c r="D50" s="124"/>
      <c r="E50" s="125"/>
      <c r="F50" s="31"/>
      <c r="G50" s="117"/>
      <c r="H50" s="130" t="s">
        <v>48</v>
      </c>
      <c r="I50" s="50"/>
      <c r="M50" s="2"/>
      <c r="N50" s="2"/>
      <c r="O50" s="2"/>
      <c r="P50" s="2"/>
      <c r="Q50" s="2"/>
    </row>
    <row r="51" spans="1:17" s="8" customFormat="1" ht="24" customHeight="1">
      <c r="A51" s="117"/>
      <c r="B51" s="61" t="s">
        <v>50</v>
      </c>
      <c r="C51" s="53"/>
      <c r="D51" s="53"/>
      <c r="E51" s="53"/>
      <c r="F51" s="54"/>
      <c r="G51" s="131"/>
      <c r="H51" s="132"/>
      <c r="I51" s="133"/>
      <c r="M51" s="2"/>
      <c r="N51" s="2"/>
      <c r="O51" s="2"/>
      <c r="P51" s="2"/>
      <c r="Q51" s="2"/>
    </row>
    <row r="52" spans="1:17" s="8" customFormat="1" ht="24" customHeight="1">
      <c r="A52" s="117"/>
      <c r="B52" s="62" t="s">
        <v>53</v>
      </c>
      <c r="C52" s="55"/>
      <c r="D52" s="55"/>
      <c r="E52" s="55"/>
      <c r="F52" s="56"/>
      <c r="G52" s="213" t="s">
        <v>49</v>
      </c>
      <c r="H52" s="214"/>
      <c r="I52" s="215"/>
      <c r="M52"/>
      <c r="N52"/>
      <c r="O52"/>
      <c r="P52"/>
      <c r="Q52"/>
    </row>
    <row r="53" spans="1:17" s="8" customFormat="1" ht="24" customHeight="1">
      <c r="A53" s="117"/>
      <c r="B53" s="63" t="s">
        <v>51</v>
      </c>
      <c r="C53" s="55"/>
      <c r="D53" s="55"/>
      <c r="E53" s="55"/>
      <c r="F53" s="56"/>
      <c r="G53" s="213" t="s">
        <v>55</v>
      </c>
      <c r="H53" s="214"/>
      <c r="I53" s="215"/>
      <c r="K53" s="14"/>
      <c r="M53"/>
      <c r="N53"/>
      <c r="O53"/>
      <c r="P53"/>
      <c r="Q53"/>
    </row>
    <row r="54" spans="1:17" s="8" customFormat="1" ht="24" customHeight="1">
      <c r="A54" s="117"/>
      <c r="B54" s="63" t="s">
        <v>52</v>
      </c>
      <c r="C54" s="55"/>
      <c r="D54" s="55"/>
      <c r="E54" s="55"/>
      <c r="F54" s="56"/>
      <c r="G54" s="216" t="s">
        <v>54</v>
      </c>
      <c r="H54" s="214"/>
      <c r="I54" s="215"/>
      <c r="K54" s="14"/>
      <c r="M54"/>
      <c r="N54"/>
      <c r="O54"/>
      <c r="P54"/>
      <c r="Q54"/>
    </row>
    <row r="55" spans="1:17" s="14" customFormat="1" ht="24" customHeight="1">
      <c r="A55" s="118"/>
      <c r="B55" s="62" t="s">
        <v>47</v>
      </c>
      <c r="C55" s="55"/>
      <c r="D55" s="55"/>
      <c r="E55" s="55"/>
      <c r="F55" s="56"/>
      <c r="G55" s="213" t="s">
        <v>56</v>
      </c>
      <c r="H55" s="214"/>
      <c r="I55" s="215"/>
      <c r="M55"/>
      <c r="N55"/>
      <c r="O55"/>
      <c r="P55"/>
      <c r="Q55"/>
    </row>
    <row r="56" spans="1:17" s="2" customFormat="1" ht="7" customHeight="1">
      <c r="A56" s="60"/>
      <c r="B56" s="18"/>
      <c r="C56"/>
      <c r="D56"/>
      <c r="E56"/>
      <c r="F56"/>
      <c r="G56" s="18"/>
      <c r="H56"/>
      <c r="I56" s="19"/>
      <c r="M56"/>
      <c r="N56"/>
      <c r="O56"/>
      <c r="P56"/>
      <c r="Q56"/>
    </row>
    <row r="57" spans="1:17">
      <c r="A57" s="36"/>
      <c r="B57" s="36"/>
      <c r="C57" s="57" t="s">
        <v>65</v>
      </c>
      <c r="D57" s="57"/>
      <c r="E57" s="38"/>
      <c r="F57" s="38"/>
      <c r="G57" s="36"/>
      <c r="H57" s="38"/>
      <c r="I57" s="39"/>
    </row>
    <row r="63" spans="1:17" ht="4" customHeight="1">
      <c r="B63" s="1"/>
      <c r="E63" s="9"/>
      <c r="F63" s="2"/>
      <c r="K63" s="10"/>
    </row>
    <row r="64" spans="1:17" ht="17" customHeight="1">
      <c r="B64" s="2"/>
      <c r="K64" s="2"/>
    </row>
    <row r="65" spans="2:11" ht="17" customHeight="1"/>
    <row r="66" spans="2:11" ht="17" customHeight="1"/>
    <row r="67" spans="2:11" ht="17" customHeight="1"/>
    <row r="68" spans="2:11" ht="17" customHeight="1"/>
    <row r="69" spans="2:11" ht="17" customHeight="1">
      <c r="F69" s="2"/>
    </row>
    <row r="70" spans="2:11" ht="17" customHeight="1">
      <c r="F70" s="9"/>
      <c r="G70" s="9"/>
      <c r="H70" s="9"/>
      <c r="I70" s="9"/>
    </row>
    <row r="71" spans="2:11" ht="7" customHeight="1"/>
    <row r="72" spans="2:11" ht="17" customHeight="1">
      <c r="K72" s="3"/>
    </row>
    <row r="73" spans="2:11" ht="17" customHeight="1">
      <c r="K73" s="3"/>
    </row>
    <row r="74" spans="2:11">
      <c r="K74" s="3"/>
    </row>
    <row r="75" spans="2:11">
      <c r="K75" s="3"/>
    </row>
    <row r="77" spans="2:11">
      <c r="K77" s="3"/>
    </row>
    <row r="80" spans="2:11">
      <c r="B80" s="5"/>
    </row>
    <row r="83" spans="6:9">
      <c r="F83" s="4"/>
    </row>
    <row r="84" spans="6:9" ht="17">
      <c r="F84" s="4"/>
      <c r="I84" s="7"/>
    </row>
    <row r="85" spans="6:9" ht="16">
      <c r="I85" s="1"/>
    </row>
  </sheetData>
  <sheetProtection password="AD5F" sheet="1" objects="1" scenarios="1" selectLockedCells="1"/>
  <protectedRanges>
    <protectedRange sqref="D21 D11:D17" name="Range6"/>
    <protectedRange sqref="F31" name="Range4"/>
    <protectedRange sqref="E4:G8" name="Range2"/>
    <protectedRange sqref="C4:C8" name="Range1"/>
    <protectedRange sqref="I4:I8" name="Range3"/>
    <protectedRange sqref="I31" name="Range5"/>
  </protectedRanges>
  <mergeCells count="19">
    <mergeCell ref="D4:I4"/>
    <mergeCell ref="G55:I55"/>
    <mergeCell ref="G43:I43"/>
    <mergeCell ref="G42:I42"/>
    <mergeCell ref="G40:I40"/>
    <mergeCell ref="E6:G6"/>
    <mergeCell ref="E7:G7"/>
    <mergeCell ref="E8:G8"/>
    <mergeCell ref="G37:H37"/>
    <mergeCell ref="F1:I1"/>
    <mergeCell ref="F2:I3"/>
    <mergeCell ref="G53:I53"/>
    <mergeCell ref="G52:I52"/>
    <mergeCell ref="G54:I54"/>
    <mergeCell ref="H27:I27"/>
    <mergeCell ref="H28:I28"/>
    <mergeCell ref="H29:I29"/>
    <mergeCell ref="H30:I30"/>
    <mergeCell ref="E5:I5"/>
  </mergeCells>
  <phoneticPr fontId="3"/>
  <conditionalFormatting sqref="D21">
    <cfRule type="cellIs" dxfId="9" priority="51" stopIfTrue="1" operator="equal">
      <formula>1</formula>
    </cfRule>
  </conditionalFormatting>
  <conditionalFormatting sqref="C29">
    <cfRule type="expression" dxfId="8" priority="45">
      <formula>NOT(ISERROR(SEARCH("This design requires FULL lths + 1 cut section of AES pipe.",C29)))</formula>
    </cfRule>
  </conditionalFormatting>
  <conditionalFormatting sqref="C30">
    <cfRule type="expression" dxfId="7" priority="44">
      <formula>NOT(ISERROR(SEARCH("This AES row contains 1 cut length of AES pipe.",C30)))</formula>
    </cfRule>
  </conditionalFormatting>
  <conditionalFormatting sqref="D29">
    <cfRule type="expression" dxfId="6" priority="35">
      <formula>$D$29=0</formula>
    </cfRule>
  </conditionalFormatting>
  <conditionalFormatting sqref="H30">
    <cfRule type="expression" dxfId="5" priority="32">
      <formula>$H$30=0</formula>
    </cfRule>
  </conditionalFormatting>
  <conditionalFormatting sqref="C14">
    <cfRule type="expression" dxfId="4" priority="26">
      <formula>NOT(ISERROR(SEARCH("Is this a trench extension option? If not. The minimum number of AES rows required is 2 ",C14)))</formula>
    </cfRule>
  </conditionalFormatting>
  <conditionalFormatting sqref="F35:F37">
    <cfRule type="cellIs" dxfId="3" priority="25" operator="equal">
      <formula>" YOU MUST -  CHANGE THE NUMBER OF ROWS to 2"</formula>
    </cfRule>
  </conditionalFormatting>
  <conditionalFormatting sqref="B35:F37">
    <cfRule type="expression" dxfId="2" priority="8">
      <formula>$D$14=1</formula>
    </cfRule>
  </conditionalFormatting>
  <conditionalFormatting sqref="B34:D34 C33:D33">
    <cfRule type="expression" dxfId="1" priority="2">
      <formula>$B$34="               Clear the Y and your custom width"</formula>
    </cfRule>
  </conditionalFormatting>
  <conditionalFormatting sqref="H27:H28">
    <cfRule type="expression" dxfId="0" priority="1">
      <formula>$F$31="y"</formula>
    </cfRule>
  </conditionalFormatting>
  <hyperlinks>
    <hyperlink ref="H50" r:id="rId1"/>
    <hyperlink ref="G54" r:id="rId2"/>
  </hyperlinks>
  <printOptions horizontalCentered="1" verticalCentered="1"/>
  <pageMargins left="0.2" right="0.2" top="0.2" bottom="0.2" header="0" footer="0"/>
  <pageSetup paperSize="9" scale="50" orientation="portrait" horizontalDpi="1200" verticalDpi="120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2004 Test Drive User</dc:creator>
  <cp:lastModifiedBy>Microsoft Office User</cp:lastModifiedBy>
  <cp:lastPrinted>2019-07-19T00:27:39Z</cp:lastPrinted>
  <dcterms:created xsi:type="dcterms:W3CDTF">2011-03-21T22:19:36Z</dcterms:created>
  <dcterms:modified xsi:type="dcterms:W3CDTF">2022-02-21T00:00:20Z</dcterms:modified>
</cp:coreProperties>
</file>