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ate1904="1" showInkAnnotation="0" autoCompressPictures="0"/>
  <mc:AlternateContent xmlns:mc="http://schemas.openxmlformats.org/markup-compatibility/2006">
    <mc:Choice Requires="x15">
      <x15ac:absPath xmlns:x15ac="http://schemas.microsoft.com/office/spreadsheetml/2010/11/ac" url="S:\Environment Technology\Reference\Designer Information\Design Calculator\Current Version\Current 38L Design Calc\"/>
    </mc:Choice>
  </mc:AlternateContent>
  <xr:revisionPtr revIDLastSave="0" documentId="13_ncr:1_{207FBB4B-2F73-4B10-8339-8A43A061963E}" xr6:coauthVersionLast="47" xr6:coauthVersionMax="47" xr10:uidLastSave="{00000000-0000-0000-0000-000000000000}"/>
  <workbookProtection workbookAlgorithmName="SHA-512" workbookHashValue="dFSCJxw+h9r7mLwooIPY6ij82urZOYQLnIJq0YhiMMg7vDJ/qsKOFVwdiX0qboll9JTSoCotqnCt3SpfD6H3kA==" workbookSaltValue="qYznoX0RpQyWR1Vi9Z1i5A==" workbookSpinCount="100000" lockStructure="1"/>
  <bookViews>
    <workbookView xWindow="-120" yWindow="-120" windowWidth="20730" windowHeight="11160" tabRatio="500" xr2:uid="{00000000-000D-0000-FFFF-FFFF00000000}"/>
  </bookViews>
  <sheets>
    <sheet name="Sheet1" sheetId="1" r:id="rId1"/>
  </sheets>
  <definedNames>
    <definedName name="_xlnm.Print_Area" localSheetId="0">Sheet1!$B$1:$K$69</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K60" i="1" l="1"/>
  <c r="F16" i="1" l="1"/>
  <c r="B14" i="1"/>
  <c r="F38" i="1"/>
  <c r="E54" i="1"/>
  <c r="L44" i="1"/>
  <c r="F24" i="1" l="1"/>
  <c r="F20" i="1"/>
  <c r="D20" i="1"/>
  <c r="B34" i="1"/>
  <c r="B32" i="1" l="1"/>
  <c r="F26" i="1"/>
  <c r="F23" i="1"/>
  <c r="K47" i="1" l="1"/>
  <c r="F22" i="1" l="1"/>
  <c r="F17" i="1"/>
  <c r="F18" i="1"/>
  <c r="F29" i="1"/>
  <c r="G21" i="1" s="1"/>
  <c r="B49" i="1" s="1"/>
  <c r="J40" i="1"/>
  <c r="E48" i="1"/>
  <c r="H47" i="1"/>
  <c r="F47" i="1"/>
  <c r="B35" i="1"/>
  <c r="E53" i="1"/>
  <c r="B33" i="1"/>
  <c r="F55" i="1"/>
  <c r="E55" i="1"/>
  <c r="F19" i="1"/>
  <c r="C58" i="1"/>
  <c r="C57" i="1"/>
  <c r="C56" i="1"/>
  <c r="E56" i="1"/>
  <c r="E57" i="1"/>
  <c r="F58" i="1"/>
  <c r="G48" i="1"/>
  <c r="J28" i="1"/>
  <c r="K38" i="1"/>
  <c r="E58" i="1"/>
  <c r="H48" i="1"/>
  <c r="F48" i="1"/>
  <c r="K48" i="1"/>
  <c r="E28" i="1" l="1"/>
  <c r="H46" i="1" s="1"/>
  <c r="F39" i="1"/>
  <c r="F40" i="1" s="1"/>
  <c r="C28" i="1" l="1"/>
  <c r="J48" i="1"/>
  <c r="L43" i="1"/>
  <c r="E51" i="1" l="1"/>
  <c r="E52" i="1"/>
  <c r="J39" i="1"/>
  <c r="E47" i="1" s="1"/>
  <c r="B48" i="1"/>
  <c r="J42" i="1" l="1"/>
  <c r="F42" i="1"/>
  <c r="J41" i="1"/>
  <c r="K39" i="1"/>
  <c r="K42" i="1" s="1"/>
  <c r="K40" i="1"/>
  <c r="K28" i="1" s="1"/>
  <c r="K41" i="1" l="1"/>
  <c r="E59" i="1" s="1"/>
  <c r="G47" i="1"/>
  <c r="B47" i="1" s="1"/>
  <c r="J47" i="1" l="1"/>
</calcChain>
</file>

<file path=xl/sharedStrings.xml><?xml version="1.0" encoding="utf-8"?>
<sst xmlns="http://schemas.openxmlformats.org/spreadsheetml/2006/main" count="89" uniqueCount="85">
  <si>
    <t>Client Name</t>
  </si>
  <si>
    <t xml:space="preserve">Date </t>
  </si>
  <si>
    <t>Council Area</t>
    <phoneticPr fontId="3"/>
  </si>
  <si>
    <t>Site Address</t>
    <phoneticPr fontId="3"/>
  </si>
  <si>
    <t xml:space="preserve">Designed By </t>
  </si>
  <si>
    <t>lths</t>
  </si>
  <si>
    <t>Installer</t>
  </si>
  <si>
    <t xml:space="preserve">www.securedsigning.com/products/signature-verification-service </t>
  </si>
  <si>
    <t xml:space="preserve">Reviewed by: </t>
  </si>
  <si>
    <t>Length (m)</t>
  </si>
  <si>
    <t>Width (m)</t>
  </si>
  <si>
    <t xml:space="preserve">          AES Bed dimensions</t>
  </si>
  <si>
    <t>AES couplings required</t>
  </si>
  <si>
    <t>AES offset adaptors</t>
  </si>
  <si>
    <t>100mm vent cap with mesh</t>
  </si>
  <si>
    <t xml:space="preserve">AES 3m length pipes required </t>
  </si>
  <si>
    <t>m</t>
  </si>
  <si>
    <t>L/d</t>
  </si>
  <si>
    <t>L</t>
  </si>
  <si>
    <t>AES Pipe Bed</t>
  </si>
  <si>
    <t>Daily design flow  (Q)</t>
  </si>
  <si>
    <t>Min. length of AES pipe rows</t>
  </si>
  <si>
    <t>No. of 3m AES pipes per row</t>
  </si>
  <si>
    <t>AES Bed Schedule of Materials</t>
  </si>
  <si>
    <t xml:space="preserve">Is this design vented to the building terminal vent (TV)?    Y or N   </t>
  </si>
  <si>
    <t xml:space="preserve">Do you want to use cut AES pipes - eg, 3.5 AES pipes per row?    Y or N   </t>
  </si>
  <si>
    <t xml:space="preserve">Data entry by: </t>
  </si>
  <si>
    <t>ET Signature box - ET  Use Only</t>
  </si>
  <si>
    <t xml:space="preserve">AES Bed Design Calculator Outcomes     </t>
  </si>
  <si>
    <t>NOTES</t>
  </si>
  <si>
    <t>Designer
AES Cert. #</t>
  </si>
  <si>
    <t xml:space="preserve">Designer
Phone # </t>
  </si>
  <si>
    <t>Installer
Phone #</t>
  </si>
  <si>
    <t>Drainlayer
Licence #</t>
  </si>
  <si>
    <t>Installer
AES Cert. #</t>
  </si>
  <si>
    <t xml:space="preserve">  Number of ports required, including inlet port, and port for air vent if so designed.</t>
  </si>
  <si>
    <t xml:space="preserve">Is there a pump between the septic tank and the AES bed?    Y or N   </t>
  </si>
  <si>
    <t>ea</t>
  </si>
  <si>
    <t xml:space="preserve">Soil Category (per AS/NZS 1547) from site &amp; soil evaluation   </t>
  </si>
  <si>
    <t xml:space="preserve">Number of people   </t>
  </si>
  <si>
    <t xml:space="preserve"> Distribution Box required     Y or N   </t>
  </si>
  <si>
    <t xml:space="preserve"> Is sampling of the treated effluent required?     Y or N   </t>
  </si>
  <si>
    <t xml:space="preserve">Diameter of high vent      (mm)   </t>
  </si>
  <si>
    <t>Vent cowl for high vent</t>
  </si>
  <si>
    <t>&gt;&gt;  Enter "NA" if this design is for a campground, office, cafe etc without bedrooms.</t>
  </si>
  <si>
    <t xml:space="preserve">PS2  
</t>
  </si>
  <si>
    <t xml:space="preserve">Loading rate for AES pipes  (L/m AES pipe/d)   </t>
  </si>
  <si>
    <t xml:space="preserve">Number of bedrooms   </t>
  </si>
  <si>
    <t>AES Design Calculator - Residential*
Schedule of Materials</t>
  </si>
  <si>
    <t>Click on signature in PDF to view signature validation</t>
  </si>
  <si>
    <t>Follow link below to download Signature Verficiation macro</t>
  </si>
  <si>
    <t>Open PDF in Adobe Acrobat; hover over signature</t>
  </si>
  <si>
    <t xml:space="preserve">Design Loading Rate (DLR) based on soil category     (mm/day)   </t>
  </si>
  <si>
    <t>lengths</t>
  </si>
  <si>
    <r>
      <t xml:space="preserve">Total AES System Sand </t>
    </r>
    <r>
      <rPr>
        <b/>
        <sz val="14"/>
        <rFont val="Calibri"/>
        <family val="2"/>
        <scheme val="minor"/>
      </rPr>
      <t xml:space="preserve">Solid Measure </t>
    </r>
    <r>
      <rPr>
        <sz val="14"/>
        <rFont val="Calibri"/>
        <family val="2"/>
        <scheme val="minor"/>
      </rPr>
      <t>(guide only)</t>
    </r>
  </si>
  <si>
    <r>
      <t>m</t>
    </r>
    <r>
      <rPr>
        <b/>
        <vertAlign val="superscript"/>
        <sz val="14"/>
        <rFont val="Calibri"/>
        <family val="2"/>
        <scheme val="minor"/>
      </rPr>
      <t>3</t>
    </r>
    <r>
      <rPr>
        <b/>
        <sz val="14"/>
        <rFont val="Calibri"/>
        <family val="2"/>
        <scheme val="minor"/>
      </rPr>
      <t xml:space="preserve"> </t>
    </r>
  </si>
  <si>
    <t>AES pipes can be cut to length on site. AES pipes are supplied in 3 metre lengths only.</t>
  </si>
  <si>
    <t>Total volume of AES pipes/</t>
  </si>
  <si>
    <t>total potential buffer capacity</t>
  </si>
  <si>
    <r>
      <t>Area (m</t>
    </r>
    <r>
      <rPr>
        <b/>
        <vertAlign val="superscript"/>
        <sz val="13"/>
        <rFont val="Arial"/>
        <family val="2"/>
      </rPr>
      <t>2</t>
    </r>
    <r>
      <rPr>
        <b/>
        <sz val="13"/>
        <rFont val="Arial"/>
        <family val="2"/>
      </rPr>
      <t>)</t>
    </r>
  </si>
  <si>
    <t>Sand Depth (m)</t>
  </si>
  <si>
    <t xml:space="preserve">AES-Design-v9 - Standard Calculator Copyright 2019 - Environment Technology Ltd </t>
  </si>
  <si>
    <t>&gt;&gt;  65mm, 80mm or 100mm, to be supplied with AES components.</t>
  </si>
  <si>
    <t xml:space="preserve">Is this property/ disposal site sloping?    Y or N   </t>
  </si>
  <si>
    <t xml:space="preserve"> Supply of AES components is based on an ET reviewed and digitally signed Calculator and construction drawings.  Any changes to the design during the consent process must be reviewed by ET.</t>
  </si>
  <si>
    <t>&gt;&gt;  Enter "1" here if entering total daily design flow below and not a per person amount.</t>
  </si>
  <si>
    <t xml:space="preserve">                     For 'Surrounding' extension or to increase 
                              bed length/ decrease width, enter  "Y",   
                                                        otherwise leave blank.</t>
  </si>
  <si>
    <t xml:space="preserve">  If 'Y' enter required width (m)   
  of AES bed, otherwise leave blank. Bed length will calculate automatically.</t>
  </si>
  <si>
    <t xml:space="preserve">AES bed - No. of rows of AES pipes   </t>
  </si>
  <si>
    <t>Et Nelson warehouse: 105 Pascoe St, Annesbrook, Nelson 7011</t>
  </si>
  <si>
    <t>Environment Technology (Et) Ph: 03 970 7979
Email: info@et.nz  www.et.nz</t>
  </si>
  <si>
    <r>
      <t>For Design Review: -E</t>
    </r>
    <r>
      <rPr>
        <sz val="16"/>
        <rFont val="Calibri"/>
        <family val="2"/>
        <scheme val="minor"/>
      </rPr>
      <t xml:space="preserve">mail this Design Calculator along with a  complete construction drawings to: - </t>
    </r>
    <r>
      <rPr>
        <b/>
        <sz val="16"/>
        <color rgb="FF3366CC"/>
        <rFont val="Calibri"/>
        <family val="2"/>
        <scheme val="minor"/>
      </rPr>
      <t>design@et.nz</t>
    </r>
  </si>
  <si>
    <t xml:space="preserve">For use by wastewater system designers for sizing of AES wastewater treatment systems receiving residential strength wastewater. To be supplied to ET with Design / Construction drawings for peer </t>
  </si>
  <si>
    <t>review, then for a digital signature by ET and your submission to Consenting Authorities for construction consent.</t>
  </si>
  <si>
    <r>
      <t xml:space="preserve">* Residential Effluent is classed as having less than 300mg/L BOD5 plus 350mg/L TSS, a combined total of 650mg/L prior to entering the septic tank,  or a combined total of BOD + TSS of &lt; 350mg/L prior to entering the AES bed and not including Industrial Effluent. Contact Et for assistance with high strength , abnormal ph or other parameter influent.                                                                                                                                            ** AES-38 single pass system achieved 3.5 log reduction for Fecal Colliform (FC) in OSET-NTP Trial 12, 2016-17 benchmarking period.                                                                                                                                                                                                      ***  Microbial removal rates through medium sand - Pang (2009). </t>
    </r>
    <r>
      <rPr>
        <i/>
        <sz val="12"/>
        <rFont val="Calibri"/>
        <family val="2"/>
        <scheme val="minor"/>
      </rPr>
      <t>Microbial Removal Rates in Subsurface Media Estimated From Published Studies of Field Experiments and Large Intact Soil Cores</t>
    </r>
  </si>
  <si>
    <r>
      <t>AES Components Order</t>
    </r>
    <r>
      <rPr>
        <sz val="16"/>
        <rFont val="Calibri"/>
        <family val="2"/>
        <scheme val="minor"/>
      </rPr>
      <t xml:space="preserve">- Email a signed AES Design Calculator </t>
    </r>
    <r>
      <rPr>
        <b/>
        <sz val="16"/>
        <rFont val="Calibri"/>
        <family val="2"/>
        <scheme val="minor"/>
      </rPr>
      <t>and</t>
    </r>
    <r>
      <rPr>
        <sz val="16"/>
        <rFont val="Calibri"/>
        <family val="2"/>
        <scheme val="minor"/>
      </rPr>
      <t xml:space="preserve"> a copy of the Council Consented Construction plans to: - </t>
    </r>
    <r>
      <rPr>
        <b/>
        <sz val="16"/>
        <color rgb="FF3366CC"/>
        <rFont val="Calibri"/>
        <family val="2"/>
        <scheme val="minor"/>
      </rPr>
      <t xml:space="preserve">info@et.nz </t>
    </r>
  </si>
  <si>
    <t>Producer Statement PS-2 Design Review - approved by ET.
NOTE: - This design review does not include review of the Site and Soil assessment by the Designer</t>
  </si>
  <si>
    <t>Receiving soil category, surface waters, depth to water tables &amp; all other site constraints are addressed by the Designer in the accompanying information.</t>
  </si>
  <si>
    <r>
      <rPr>
        <b/>
        <sz val="10"/>
        <color theme="0"/>
        <rFont val="Arial"/>
        <family val="2"/>
      </rPr>
      <t>from the</t>
    </r>
    <r>
      <rPr>
        <b/>
        <sz val="14"/>
        <color theme="0"/>
        <rFont val="Arial"/>
        <family val="2"/>
      </rPr>
      <t xml:space="preserve">         System designer's site and soil data. Enter data in light blue fields.</t>
    </r>
  </si>
  <si>
    <t>Designers</t>
  </si>
  <si>
    <t>notes (Editable)</t>
  </si>
  <si>
    <r>
      <rPr>
        <b/>
        <sz val="13"/>
        <rFont val="Calibri"/>
        <family val="2"/>
        <scheme val="minor"/>
      </rPr>
      <t xml:space="preserve">To be used as a guide only.  </t>
    </r>
    <r>
      <rPr>
        <sz val="13"/>
        <rFont val="Calibri"/>
        <family val="2"/>
        <scheme val="minor"/>
      </rPr>
      <t xml:space="preserve">This AES Design Calculator is an aid to calculate the AES components and their configuration.  (Some single AES row layouts may be over-estimated by one coupling. Et will advise if this has occurred when doing the Design Review.  Site and Soil conditions as specified in NZS1547:2012 are calibrated by a </t>
    </r>
    <r>
      <rPr>
        <b/>
        <sz val="13"/>
        <rFont val="Calibri"/>
        <family val="2"/>
        <scheme val="minor"/>
      </rPr>
      <t>Qualified Designer</t>
    </r>
    <r>
      <rPr>
        <sz val="13"/>
        <rFont val="Calibri"/>
        <family val="2"/>
        <scheme val="minor"/>
      </rPr>
      <t>. Environment Technology accepts no responsibility for this soil evaluation and the subsequent loading calculations or the DLR entered by the designer in this calculator.</t>
    </r>
  </si>
  <si>
    <r>
      <t xml:space="preserve">&gt;&gt; Standard rate is 38 L/m AES pipe/d per OSET-NTP testing . 
</t>
    </r>
    <r>
      <rPr>
        <b/>
        <u/>
        <sz val="12"/>
        <rFont val="Calibri"/>
        <family val="2"/>
        <scheme val="minor"/>
      </rPr>
      <t>Please justify if not using standard rate in Designers notes below</t>
    </r>
  </si>
  <si>
    <t xml:space="preserve">Job: </t>
  </si>
  <si>
    <t>Client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</si>
</sst>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m\.yy;@"/>
  </numFmts>
  <fonts count="74">
    <font>
      <sz val="10"/>
      <name val="Times CE"/>
      <charset val="238"/>
    </font>
    <font>
      <b/>
      <sz val="10"/>
      <name val="Times CE"/>
      <charset val="238"/>
    </font>
    <font>
      <sz val="10"/>
      <name val="Times CE"/>
      <charset val="238"/>
    </font>
    <font>
      <sz val="8"/>
      <name val="Times CE"/>
      <charset val="238"/>
    </font>
    <font>
      <u/>
      <sz val="10"/>
      <color indexed="12"/>
      <name val="Times CE"/>
      <charset val="238"/>
    </font>
    <font>
      <b/>
      <sz val="12"/>
      <name val="Times CE"/>
      <charset val="238"/>
    </font>
    <font>
      <sz val="10"/>
      <color indexed="10"/>
      <name val="Times CE"/>
      <charset val="238"/>
    </font>
    <font>
      <sz val="12"/>
      <name val="Times CE"/>
      <charset val="238"/>
    </font>
    <font>
      <sz val="16"/>
      <color indexed="9"/>
      <name val="Times CE"/>
      <charset val="238"/>
    </font>
    <font>
      <b/>
      <sz val="13"/>
      <name val="Times CE"/>
      <charset val="238"/>
    </font>
    <font>
      <sz val="10"/>
      <name val="Times CE"/>
      <charset val="238"/>
    </font>
    <font>
      <sz val="10"/>
      <color indexed="48"/>
      <name val="Times CE"/>
    </font>
    <font>
      <sz val="10"/>
      <color indexed="9"/>
      <name val="Times CE"/>
    </font>
    <font>
      <b/>
      <sz val="10"/>
      <color indexed="10"/>
      <name val="Times CE"/>
      <charset val="238"/>
    </font>
    <font>
      <b/>
      <sz val="12"/>
      <name val="Times CE"/>
    </font>
    <font>
      <b/>
      <sz val="14"/>
      <name val="Times CE"/>
      <charset val="238"/>
    </font>
    <font>
      <b/>
      <sz val="14"/>
      <name val="Times"/>
    </font>
    <font>
      <sz val="14"/>
      <name val="Times CE"/>
      <charset val="238"/>
    </font>
    <font>
      <b/>
      <sz val="14"/>
      <name val="Times CE"/>
    </font>
    <font>
      <b/>
      <sz val="14"/>
      <color indexed="9"/>
      <name val="Times CE"/>
      <charset val="238"/>
    </font>
    <font>
      <sz val="14"/>
      <color indexed="9"/>
      <name val="Times CE"/>
      <charset val="238"/>
    </font>
    <font>
      <b/>
      <sz val="9"/>
      <name val="Times CE"/>
    </font>
    <font>
      <sz val="14"/>
      <name val="Times CE"/>
    </font>
    <font>
      <sz val="12"/>
      <name val="Arial"/>
      <family val="2"/>
    </font>
    <font>
      <sz val="10"/>
      <name val="Arial"/>
      <family val="2"/>
    </font>
    <font>
      <b/>
      <sz val="12"/>
      <name val="Arial"/>
      <family val="2"/>
    </font>
    <font>
      <b/>
      <sz val="14"/>
      <name val="Arial"/>
      <family val="2"/>
    </font>
    <font>
      <b/>
      <sz val="14"/>
      <color indexed="9"/>
      <name val="Arial"/>
      <family val="2"/>
    </font>
    <font>
      <b/>
      <sz val="12"/>
      <color indexed="9"/>
      <name val="Arial"/>
      <family val="2"/>
    </font>
    <font>
      <b/>
      <sz val="13"/>
      <name val="Arial"/>
      <family val="2"/>
    </font>
    <font>
      <sz val="14"/>
      <name val="Arial"/>
      <family val="2"/>
    </font>
    <font>
      <b/>
      <sz val="14"/>
      <color indexed="8"/>
      <name val="Arial"/>
      <family val="2"/>
    </font>
    <font>
      <b/>
      <sz val="11"/>
      <name val="Arial"/>
      <family val="2"/>
    </font>
    <font>
      <sz val="12"/>
      <color rgb="FFFF0000"/>
      <name val="Arial"/>
      <family val="2"/>
    </font>
    <font>
      <b/>
      <sz val="14"/>
      <color rgb="FFFF0000"/>
      <name val="Arial"/>
      <family val="2"/>
    </font>
    <font>
      <b/>
      <sz val="12"/>
      <color rgb="FFFF0000"/>
      <name val="Arial"/>
      <family val="2"/>
    </font>
    <font>
      <b/>
      <sz val="14"/>
      <name val="Calibri"/>
      <family val="2"/>
      <scheme val="minor"/>
    </font>
    <font>
      <sz val="14"/>
      <name val="Calibri"/>
      <family val="2"/>
      <scheme val="minor"/>
    </font>
    <font>
      <sz val="10"/>
      <name val="Calibri"/>
      <family val="2"/>
      <scheme val="minor"/>
    </font>
    <font>
      <b/>
      <sz val="11"/>
      <name val="Calibri"/>
      <family val="2"/>
      <scheme val="minor"/>
    </font>
    <font>
      <sz val="12"/>
      <name val="Calibri"/>
      <family val="2"/>
      <scheme val="minor"/>
    </font>
    <font>
      <b/>
      <sz val="14"/>
      <color theme="0"/>
      <name val="Arial"/>
      <family val="2"/>
    </font>
    <font>
      <b/>
      <sz val="16"/>
      <name val="Calibri"/>
      <family val="2"/>
      <scheme val="minor"/>
    </font>
    <font>
      <sz val="16"/>
      <name val="Calibri"/>
      <family val="2"/>
      <scheme val="minor"/>
    </font>
    <font>
      <b/>
      <sz val="14"/>
      <color theme="1" tint="0.14999847407452621"/>
      <name val="Calibri"/>
      <family val="2"/>
      <scheme val="minor"/>
    </font>
    <font>
      <b/>
      <sz val="14"/>
      <color theme="1"/>
      <name val="Calibri"/>
      <family val="2"/>
      <scheme val="minor"/>
    </font>
    <font>
      <sz val="20"/>
      <color theme="1" tint="0.14999847407452621"/>
      <name val="Arial Rounded MT Bold"/>
      <family val="2"/>
    </font>
    <font>
      <b/>
      <sz val="12"/>
      <name val="Calibri"/>
      <family val="2"/>
      <scheme val="minor"/>
    </font>
    <font>
      <sz val="12"/>
      <name val="Calibri"/>
      <family val="2"/>
    </font>
    <font>
      <sz val="13"/>
      <name val="Times CE"/>
      <charset val="238"/>
    </font>
    <font>
      <sz val="10"/>
      <color rgb="FFFF0000"/>
      <name val="Times CE"/>
      <charset val="238"/>
    </font>
    <font>
      <sz val="10"/>
      <color rgb="FFFF0000"/>
      <name val="Arial"/>
      <family val="2"/>
    </font>
    <font>
      <sz val="10"/>
      <color rgb="FFFF0000"/>
      <name val="Times CE"/>
    </font>
    <font>
      <sz val="14"/>
      <color theme="1"/>
      <name val="Arial"/>
      <family val="2"/>
    </font>
    <font>
      <sz val="12"/>
      <color rgb="FFFF0000"/>
      <name val="Times CE"/>
      <charset val="238"/>
    </font>
    <font>
      <b/>
      <sz val="12"/>
      <color theme="1"/>
      <name val="Calibri"/>
      <family val="2"/>
      <scheme val="minor"/>
    </font>
    <font>
      <sz val="20"/>
      <name val="Arial Rounded MT Bold"/>
      <family val="2"/>
    </font>
    <font>
      <sz val="12"/>
      <color theme="1"/>
      <name val="Arial"/>
      <family val="2"/>
    </font>
    <font>
      <b/>
      <sz val="14"/>
      <color theme="1"/>
      <name val="Times"/>
    </font>
    <font>
      <sz val="11"/>
      <name val="Calibri"/>
      <family val="2"/>
      <scheme val="minor"/>
    </font>
    <font>
      <b/>
      <sz val="10"/>
      <color theme="1"/>
      <name val="Times CE"/>
      <charset val="238"/>
    </font>
    <font>
      <b/>
      <vertAlign val="superscript"/>
      <sz val="13"/>
      <name val="Arial"/>
      <family val="2"/>
    </font>
    <font>
      <sz val="13"/>
      <name val="Calibri"/>
      <family val="2"/>
      <scheme val="minor"/>
    </font>
    <font>
      <b/>
      <vertAlign val="superscript"/>
      <sz val="14"/>
      <name val="Calibri"/>
      <family val="2"/>
      <scheme val="minor"/>
    </font>
    <font>
      <b/>
      <sz val="13"/>
      <name val="Calibri"/>
      <family val="2"/>
      <scheme val="minor"/>
    </font>
    <font>
      <i/>
      <sz val="12"/>
      <name val="Calibri"/>
      <family val="2"/>
      <scheme val="minor"/>
    </font>
    <font>
      <sz val="14"/>
      <color indexed="9"/>
      <name val="Arial"/>
      <family val="2"/>
    </font>
    <font>
      <u/>
      <sz val="13"/>
      <color indexed="12"/>
      <name val="Calibri"/>
      <family val="2"/>
      <scheme val="minor"/>
    </font>
    <font>
      <b/>
      <sz val="16"/>
      <color rgb="FF3366CC"/>
      <name val="Calibri"/>
      <family val="2"/>
      <scheme val="minor"/>
    </font>
    <font>
      <b/>
      <sz val="13"/>
      <color theme="1"/>
      <name val="Calibri"/>
      <family val="2"/>
      <scheme val="minor"/>
    </font>
    <font>
      <b/>
      <sz val="13"/>
      <color theme="1"/>
      <name val="Arial"/>
      <family val="2"/>
    </font>
    <font>
      <b/>
      <sz val="10"/>
      <color theme="0"/>
      <name val="Arial"/>
      <family val="2"/>
    </font>
    <font>
      <b/>
      <sz val="10"/>
      <color rgb="FFFF0000"/>
      <name val="Times CE"/>
    </font>
    <font>
      <b/>
      <u/>
      <sz val="12"/>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CCECFF"/>
        <bgColor indexed="64"/>
      </patternFill>
    </fill>
    <fill>
      <patternFill patternType="solid">
        <fgColor rgb="FF3366CC"/>
        <bgColor indexed="64"/>
      </patternFill>
    </fill>
    <fill>
      <patternFill patternType="solid">
        <fgColor theme="3" tint="0.39997558519241921"/>
        <bgColor indexed="64"/>
      </patternFill>
    </fill>
    <fill>
      <patternFill patternType="solid">
        <fgColor theme="6" tint="0.79998168889431442"/>
        <bgColor indexed="64"/>
      </patternFill>
    </fill>
    <fill>
      <patternFill patternType="solid">
        <fgColor rgb="FF00B0F0"/>
        <bgColor indexed="64"/>
      </patternFill>
    </fill>
  </fills>
  <borders count="16">
    <border>
      <left/>
      <right/>
      <top/>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4" fillId="0" borderId="0" applyNumberFormat="0" applyFill="0" applyBorder="0" applyAlignment="0" applyProtection="0">
      <alignment vertical="top"/>
      <protection locked="0"/>
    </xf>
    <xf numFmtId="0" fontId="14" fillId="4" borderId="1" applyFont="0">
      <alignment vertical="center"/>
      <protection locked="0"/>
    </xf>
  </cellStyleXfs>
  <cellXfs count="369">
    <xf numFmtId="0" fontId="0" fillId="0" borderId="0" xfId="0"/>
    <xf numFmtId="0" fontId="5" fillId="0" borderId="0" xfId="0" applyFont="1"/>
    <xf numFmtId="0" fontId="7" fillId="0" borderId="0" xfId="0" applyFont="1"/>
    <xf numFmtId="0" fontId="2" fillId="0" borderId="0" xfId="0" applyFont="1"/>
    <xf numFmtId="0" fontId="6" fillId="0" borderId="0" xfId="0" applyFont="1"/>
    <xf numFmtId="1" fontId="0" fillId="0" borderId="0" xfId="0" applyNumberFormat="1" applyAlignment="1">
      <alignment horizontal="center"/>
    </xf>
    <xf numFmtId="0" fontId="9" fillId="0" borderId="0" xfId="0" applyFont="1"/>
    <xf numFmtId="0" fontId="10" fillId="0" borderId="0" xfId="0" applyFont="1"/>
    <xf numFmtId="0" fontId="7" fillId="0" borderId="0" xfId="0" applyFont="1" applyAlignment="1">
      <alignment vertical="center"/>
    </xf>
    <xf numFmtId="0" fontId="0" fillId="0" borderId="0" xfId="0" applyAlignment="1">
      <alignment vertical="center"/>
    </xf>
    <xf numFmtId="0" fontId="7" fillId="0" borderId="0" xfId="0" applyFont="1" applyAlignment="1">
      <alignment horizontal="left"/>
    </xf>
    <xf numFmtId="0" fontId="0" fillId="0" borderId="0" xfId="0" applyAlignment="1">
      <alignment horizontal="left"/>
    </xf>
    <xf numFmtId="0" fontId="0" fillId="0" borderId="7" xfId="0" applyBorder="1"/>
    <xf numFmtId="0" fontId="0" fillId="0" borderId="10" xfId="0" applyBorder="1"/>
    <xf numFmtId="0" fontId="7" fillId="0" borderId="7" xfId="0" applyFont="1" applyBorder="1"/>
    <xf numFmtId="0" fontId="17" fillId="0" borderId="11" xfId="0" applyFont="1" applyBorder="1" applyProtection="1">
      <protection hidden="1"/>
    </xf>
    <xf numFmtId="0" fontId="19" fillId="0" borderId="2" xfId="0" applyFont="1" applyBorder="1" applyAlignment="1" applyProtection="1">
      <alignment horizontal="center"/>
      <protection hidden="1"/>
    </xf>
    <xf numFmtId="164" fontId="19" fillId="0" borderId="2" xfId="0" applyNumberFormat="1" applyFont="1" applyBorder="1" applyAlignment="1" applyProtection="1">
      <alignment horizontal="center"/>
      <protection hidden="1"/>
    </xf>
    <xf numFmtId="0" fontId="20" fillId="2" borderId="0" xfId="0" applyFont="1" applyFill="1" applyProtection="1">
      <protection hidden="1"/>
    </xf>
    <xf numFmtId="0" fontId="0" fillId="0" borderId="5" xfId="0" applyBorder="1"/>
    <xf numFmtId="0" fontId="0" fillId="0" borderId="7" xfId="0" applyBorder="1" applyAlignment="1">
      <alignment vertical="center"/>
    </xf>
    <xf numFmtId="0" fontId="7" fillId="0" borderId="7" xfId="0" applyFont="1" applyBorder="1" applyAlignment="1">
      <alignment vertical="center"/>
    </xf>
    <xf numFmtId="0" fontId="7" fillId="0" borderId="7" xfId="0" applyFont="1" applyBorder="1" applyProtection="1">
      <protection hidden="1"/>
    </xf>
    <xf numFmtId="0" fontId="0" fillId="0" borderId="7" xfId="0" applyBorder="1" applyAlignment="1">
      <alignment horizontal="left"/>
    </xf>
    <xf numFmtId="0" fontId="7" fillId="0" borderId="7" xfId="0" applyFont="1" applyBorder="1" applyAlignment="1">
      <alignment horizontal="left"/>
    </xf>
    <xf numFmtId="0" fontId="23" fillId="0" borderId="0" xfId="0" applyFont="1"/>
    <xf numFmtId="0" fontId="30"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7" fillId="0" borderId="0" xfId="0" applyFont="1" applyAlignment="1">
      <alignment horizontal="center"/>
    </xf>
    <xf numFmtId="0" fontId="7" fillId="0" borderId="0" xfId="0" applyFont="1" applyAlignment="1">
      <alignment horizontal="center" vertical="center"/>
    </xf>
    <xf numFmtId="0" fontId="34" fillId="0" borderId="0" xfId="0" applyFont="1"/>
    <xf numFmtId="0" fontId="35" fillId="0" borderId="0" xfId="0" applyFont="1"/>
    <xf numFmtId="0" fontId="33" fillId="0" borderId="0" xfId="0" applyFont="1"/>
    <xf numFmtId="0" fontId="24" fillId="0" borderId="0" xfId="0" applyFont="1" applyAlignment="1">
      <alignment horizontal="left"/>
    </xf>
    <xf numFmtId="0" fontId="23" fillId="0" borderId="0" xfId="0" applyFont="1" applyAlignment="1">
      <alignment horizontal="left"/>
    </xf>
    <xf numFmtId="0" fontId="33" fillId="0" borderId="0" xfId="0" applyFont="1" applyAlignment="1">
      <alignment horizontal="left"/>
    </xf>
    <xf numFmtId="0" fontId="24" fillId="0" borderId="0" xfId="0" applyFont="1"/>
    <xf numFmtId="0" fontId="23" fillId="0" borderId="0" xfId="0" applyFont="1" applyAlignment="1">
      <alignment horizontal="center"/>
    </xf>
    <xf numFmtId="0" fontId="24"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vertical="center"/>
    </xf>
    <xf numFmtId="0" fontId="24" fillId="0" borderId="0" xfId="0" applyFont="1" applyAlignment="1">
      <alignment horizontal="center" vertical="center"/>
    </xf>
    <xf numFmtId="0" fontId="30" fillId="0" borderId="0" xfId="0" applyFont="1" applyAlignment="1">
      <alignment horizontal="center" vertical="center"/>
    </xf>
    <xf numFmtId="2" fontId="30" fillId="0" borderId="0" xfId="0" applyNumberFormat="1" applyFont="1" applyAlignment="1">
      <alignment horizontal="center"/>
    </xf>
    <xf numFmtId="2" fontId="30" fillId="0" borderId="0" xfId="0" applyNumberFormat="1" applyFont="1"/>
    <xf numFmtId="1" fontId="24" fillId="0" borderId="0" xfId="0" applyNumberFormat="1" applyFont="1" applyAlignment="1">
      <alignment vertical="center"/>
    </xf>
    <xf numFmtId="0" fontId="24" fillId="0" borderId="0" xfId="0" applyFont="1" applyAlignment="1">
      <alignment horizontal="center"/>
    </xf>
    <xf numFmtId="2" fontId="23" fillId="0" borderId="0" xfId="0" applyNumberFormat="1" applyFont="1"/>
    <xf numFmtId="16" fontId="23" fillId="0" borderId="0" xfId="0" applyNumberFormat="1" applyFont="1"/>
    <xf numFmtId="0" fontId="33" fillId="0" borderId="0" xfId="0" applyFont="1" applyAlignment="1">
      <alignment horizontal="center" vertical="center"/>
    </xf>
    <xf numFmtId="0" fontId="33" fillId="0" borderId="0" xfId="0" applyFont="1" applyAlignment="1">
      <alignment vertical="center"/>
    </xf>
    <xf numFmtId="0" fontId="24" fillId="0" borderId="0" xfId="0" applyFont="1" applyAlignment="1">
      <alignment wrapText="1"/>
    </xf>
    <xf numFmtId="0" fontId="20" fillId="0" borderId="2" xfId="0" applyFont="1" applyBorder="1" applyProtection="1">
      <protection hidden="1"/>
    </xf>
    <xf numFmtId="0" fontId="30" fillId="4" borderId="4" xfId="0" applyFont="1" applyFill="1" applyBorder="1" applyAlignment="1" applyProtection="1">
      <alignment horizontal="center"/>
      <protection locked="0"/>
    </xf>
    <xf numFmtId="0" fontId="30" fillId="4" borderId="6" xfId="0" applyFont="1" applyFill="1" applyBorder="1" applyAlignment="1" applyProtection="1">
      <alignment horizontal="center"/>
      <protection locked="0"/>
    </xf>
    <xf numFmtId="0" fontId="30" fillId="4" borderId="6" xfId="0" applyFont="1" applyFill="1" applyBorder="1" applyAlignment="1" applyProtection="1">
      <alignment horizontal="center" vertical="center"/>
      <protection locked="0"/>
    </xf>
    <xf numFmtId="0" fontId="30" fillId="4" borderId="13" xfId="0" applyFont="1" applyFill="1" applyBorder="1" applyAlignment="1" applyProtection="1">
      <alignment horizontal="center"/>
      <protection locked="0"/>
    </xf>
    <xf numFmtId="0" fontId="30" fillId="0" borderId="0" xfId="0" applyFont="1" applyAlignment="1">
      <alignment horizontal="left"/>
    </xf>
    <xf numFmtId="2" fontId="26" fillId="0" borderId="9" xfId="0" applyNumberFormat="1" applyFont="1" applyBorder="1" applyAlignment="1" applyProtection="1">
      <alignment horizontal="center"/>
      <protection hidden="1"/>
    </xf>
    <xf numFmtId="0" fontId="0" fillId="0" borderId="0" xfId="0" applyAlignment="1">
      <alignment vertical="center" wrapText="1"/>
    </xf>
    <xf numFmtId="0" fontId="26" fillId="4" borderId="6" xfId="0" applyFont="1" applyFill="1" applyBorder="1" applyAlignment="1" applyProtection="1">
      <alignment horizontal="center" vertical="center"/>
      <protection locked="0"/>
    </xf>
    <xf numFmtId="0" fontId="48" fillId="0" borderId="0" xfId="0" applyFont="1" applyAlignment="1">
      <alignment horizontal="center"/>
    </xf>
    <xf numFmtId="0" fontId="26" fillId="4" borderId="6" xfId="0" quotePrefix="1" applyFont="1" applyFill="1" applyBorder="1" applyAlignment="1" applyProtection="1">
      <alignment horizontal="center" vertical="center"/>
      <protection locked="0"/>
    </xf>
    <xf numFmtId="0" fontId="50" fillId="0" borderId="0" xfId="0" applyFont="1"/>
    <xf numFmtId="0" fontId="51" fillId="0" borderId="0" xfId="0" applyFont="1"/>
    <xf numFmtId="164" fontId="53" fillId="4" borderId="6" xfId="0" applyNumberFormat="1" applyFont="1" applyFill="1" applyBorder="1" applyAlignment="1" applyProtection="1">
      <alignment horizontal="center"/>
      <protection locked="0"/>
    </xf>
    <xf numFmtId="0" fontId="53" fillId="4" borderId="6" xfId="0" applyFont="1" applyFill="1" applyBorder="1" applyAlignment="1" applyProtection="1">
      <alignment horizontal="center"/>
      <protection locked="0"/>
    </xf>
    <xf numFmtId="0" fontId="54" fillId="0" borderId="0" xfId="0" applyFont="1"/>
    <xf numFmtId="0" fontId="52" fillId="0" borderId="0" xfId="0" applyFont="1"/>
    <xf numFmtId="0" fontId="57" fillId="0" borderId="0" xfId="0" applyFont="1"/>
    <xf numFmtId="2" fontId="26" fillId="7" borderId="6" xfId="0" applyNumberFormat="1" applyFont="1" applyFill="1" applyBorder="1" applyAlignment="1" applyProtection="1">
      <alignment horizontal="center"/>
      <protection hidden="1"/>
    </xf>
    <xf numFmtId="49" fontId="14" fillId="4" borderId="9" xfId="0" applyNumberFormat="1" applyFont="1" applyFill="1" applyBorder="1" applyAlignment="1" applyProtection="1">
      <alignment horizontal="left" vertical="center"/>
      <protection locked="0"/>
    </xf>
    <xf numFmtId="165" fontId="14" fillId="4" borderId="3" xfId="0" applyNumberFormat="1" applyFont="1" applyFill="1" applyBorder="1" applyAlignment="1" applyProtection="1">
      <alignment horizontal="left" vertical="center"/>
      <protection locked="0"/>
    </xf>
    <xf numFmtId="0" fontId="62" fillId="0" borderId="7" xfId="0" applyFont="1" applyBorder="1" applyAlignment="1">
      <alignment vertical="center"/>
    </xf>
    <xf numFmtId="0" fontId="62" fillId="0" borderId="0" xfId="0" applyFont="1" applyAlignment="1">
      <alignment vertical="center"/>
    </xf>
    <xf numFmtId="0" fontId="62" fillId="0" borderId="0" xfId="0" applyFont="1" applyAlignment="1">
      <alignment horizontal="center" vertical="center"/>
    </xf>
    <xf numFmtId="22" fontId="62" fillId="0" borderId="6" xfId="0" applyNumberFormat="1" applyFont="1" applyBorder="1" applyAlignment="1" applyProtection="1">
      <alignment horizontal="center"/>
      <protection locked="0"/>
    </xf>
    <xf numFmtId="22" fontId="62" fillId="0" borderId="6" xfId="0" applyNumberFormat="1" applyFont="1" applyBorder="1" applyAlignment="1" applyProtection="1">
      <alignment horizontal="left" vertical="top"/>
      <protection locked="0"/>
    </xf>
    <xf numFmtId="49" fontId="14" fillId="4" borderId="3" xfId="0" applyNumberFormat="1" applyFont="1" applyFill="1" applyBorder="1" applyAlignment="1" applyProtection="1">
      <alignment horizontal="left" vertical="center"/>
      <protection locked="0"/>
    </xf>
    <xf numFmtId="2" fontId="70" fillId="0" borderId="2" xfId="0" applyNumberFormat="1" applyFont="1" applyBorder="1" applyAlignment="1" applyProtection="1">
      <alignment horizontal="right"/>
      <protection hidden="1"/>
    </xf>
    <xf numFmtId="0" fontId="70" fillId="2" borderId="12" xfId="0" applyFont="1" applyFill="1" applyBorder="1" applyProtection="1">
      <protection hidden="1"/>
    </xf>
    <xf numFmtId="0" fontId="8" fillId="0" borderId="5" xfId="0" applyFont="1" applyBorder="1" applyProtection="1"/>
    <xf numFmtId="0" fontId="0" fillId="0" borderId="8" xfId="0" applyBorder="1" applyAlignment="1" applyProtection="1">
      <alignment horizontal="center" vertical="top"/>
    </xf>
    <xf numFmtId="0" fontId="56" fillId="0" borderId="8" xfId="0" applyFont="1" applyBorder="1" applyAlignment="1" applyProtection="1">
      <alignment horizontal="right" vertical="center" wrapText="1"/>
    </xf>
    <xf numFmtId="0" fontId="0" fillId="0" borderId="9" xfId="0" applyBorder="1" applyAlignment="1" applyProtection="1">
      <alignment horizontal="center" wrapText="1"/>
    </xf>
    <xf numFmtId="0" fontId="59" fillId="0" borderId="4" xfId="0" applyFont="1" applyBorder="1" applyAlignment="1" applyProtection="1">
      <alignment horizontal="center" vertical="center" wrapText="1"/>
    </xf>
    <xf numFmtId="0" fontId="59" fillId="0" borderId="7" xfId="0" applyFont="1" applyBorder="1" applyAlignment="1" applyProtection="1">
      <alignment horizontal="center" vertical="center" wrapText="1"/>
    </xf>
    <xf numFmtId="0" fontId="59" fillId="0" borderId="6" xfId="0" applyFont="1" applyBorder="1" applyAlignment="1" applyProtection="1">
      <alignment horizontal="center" vertical="center" wrapText="1"/>
    </xf>
    <xf numFmtId="49" fontId="59" fillId="0" borderId="6" xfId="0" applyNumberFormat="1" applyFont="1" applyBorder="1" applyAlignment="1" applyProtection="1">
      <alignment horizontal="center" vertical="center" wrapText="1"/>
    </xf>
    <xf numFmtId="49" fontId="59" fillId="0" borderId="6" xfId="0" applyNumberFormat="1" applyFont="1" applyBorder="1" applyAlignment="1" applyProtection="1">
      <alignment horizontal="center" vertical="center"/>
    </xf>
    <xf numFmtId="0" fontId="41" fillId="6" borderId="4" xfId="0" applyFont="1" applyFill="1" applyBorder="1" applyAlignment="1" applyProtection="1">
      <alignment vertical="center"/>
    </xf>
    <xf numFmtId="0" fontId="28" fillId="6" borderId="1" xfId="0" applyFont="1" applyFill="1" applyBorder="1" applyAlignment="1" applyProtection="1">
      <alignment horizontal="left" vertical="center"/>
    </xf>
    <xf numFmtId="0" fontId="27" fillId="6" borderId="1" xfId="0" applyFont="1" applyFill="1" applyBorder="1" applyAlignment="1" applyProtection="1">
      <alignment horizontal="left" vertical="center"/>
    </xf>
    <xf numFmtId="0" fontId="0" fillId="6" borderId="1" xfId="0" applyFill="1" applyBorder="1" applyAlignment="1" applyProtection="1">
      <alignment vertical="center"/>
    </xf>
    <xf numFmtId="0" fontId="11" fillId="6" borderId="1" xfId="0" applyFont="1" applyFill="1" applyBorder="1" applyAlignment="1" applyProtection="1">
      <alignment vertical="center"/>
    </xf>
    <xf numFmtId="0" fontId="27" fillId="6" borderId="1" xfId="0" applyFont="1" applyFill="1" applyBorder="1" applyAlignment="1" applyProtection="1">
      <alignment vertical="center"/>
    </xf>
    <xf numFmtId="0" fontId="41" fillId="6" borderId="1" xfId="0" applyFont="1" applyFill="1" applyBorder="1" applyAlignment="1" applyProtection="1">
      <alignment vertical="center"/>
    </xf>
    <xf numFmtId="0" fontId="0" fillId="6" borderId="3" xfId="0" applyFill="1" applyBorder="1" applyAlignment="1" applyProtection="1">
      <alignment vertical="center"/>
    </xf>
    <xf numFmtId="0" fontId="41" fillId="0" borderId="7" xfId="0" applyFont="1" applyBorder="1" applyAlignment="1" applyProtection="1">
      <alignment vertical="center"/>
    </xf>
    <xf numFmtId="0" fontId="28" fillId="0" borderId="0" xfId="0" applyFont="1" applyAlignment="1" applyProtection="1">
      <alignment horizontal="left" vertical="center"/>
    </xf>
    <xf numFmtId="0" fontId="55" fillId="0" borderId="0" xfId="0" applyFont="1" applyAlignment="1" applyProtection="1">
      <alignment horizontal="right" vertical="center"/>
    </xf>
    <xf numFmtId="0" fontId="55" fillId="0" borderId="0" xfId="0" applyFont="1" applyAlignment="1" applyProtection="1">
      <alignment vertical="center"/>
    </xf>
    <xf numFmtId="0" fontId="0" fillId="0" borderId="0" xfId="0" applyAlignment="1" applyProtection="1">
      <alignment vertical="center"/>
    </xf>
    <xf numFmtId="0" fontId="27" fillId="0" borderId="0" xfId="0" applyFont="1" applyAlignment="1" applyProtection="1">
      <alignment vertical="center"/>
    </xf>
    <xf numFmtId="0" fontId="41" fillId="0" borderId="0" xfId="0" applyFont="1" applyAlignment="1" applyProtection="1">
      <alignment vertical="center"/>
    </xf>
    <xf numFmtId="0" fontId="0" fillId="0" borderId="10" xfId="0" applyBorder="1" applyAlignment="1" applyProtection="1">
      <alignment vertical="center"/>
    </xf>
    <xf numFmtId="0" fontId="47" fillId="0" borderId="7" xfId="0" applyFont="1" applyBorder="1" applyAlignment="1" applyProtection="1">
      <alignment horizontal="center"/>
    </xf>
    <xf numFmtId="0" fontId="40" fillId="2" borderId="0" xfId="0" applyFont="1" applyFill="1" applyAlignment="1" applyProtection="1">
      <alignment horizontal="left"/>
    </xf>
    <xf numFmtId="0" fontId="38" fillId="2" borderId="0" xfId="0" applyFont="1" applyFill="1" applyProtection="1"/>
    <xf numFmtId="0" fontId="38" fillId="2" borderId="10" xfId="0" applyFont="1" applyFill="1" applyBorder="1" applyProtection="1"/>
    <xf numFmtId="0" fontId="47" fillId="2" borderId="0" xfId="0" applyFont="1" applyFill="1" applyAlignment="1" applyProtection="1">
      <alignment horizontal="left" vertical="center"/>
    </xf>
    <xf numFmtId="0" fontId="7" fillId="0" borderId="0" xfId="0" applyFont="1" applyProtection="1"/>
    <xf numFmtId="0" fontId="47" fillId="0" borderId="0" xfId="0" applyFont="1" applyAlignment="1" applyProtection="1">
      <alignment horizontal="right" vertical="center"/>
    </xf>
    <xf numFmtId="0" fontId="47" fillId="0" borderId="10" xfId="0" applyFont="1" applyBorder="1" applyAlignment="1" applyProtection="1">
      <alignment horizontal="right" vertical="center"/>
    </xf>
    <xf numFmtId="0" fontId="47" fillId="2" borderId="0" xfId="0" applyFont="1" applyFill="1" applyAlignment="1" applyProtection="1">
      <alignment horizontal="left"/>
    </xf>
    <xf numFmtId="0" fontId="47" fillId="2" borderId="0" xfId="0" applyFont="1" applyFill="1" applyAlignment="1" applyProtection="1">
      <alignment vertical="center"/>
    </xf>
    <xf numFmtId="0" fontId="40" fillId="2" borderId="0" xfId="0" applyFont="1" applyFill="1" applyAlignment="1" applyProtection="1">
      <alignment vertical="center"/>
    </xf>
    <xf numFmtId="0" fontId="38" fillId="2" borderId="0" xfId="0" applyFont="1" applyFill="1" applyAlignment="1" applyProtection="1">
      <alignment vertical="center"/>
    </xf>
    <xf numFmtId="0" fontId="38" fillId="2" borderId="10" xfId="0" applyFont="1" applyFill="1" applyBorder="1" applyAlignment="1" applyProtection="1">
      <alignment vertical="center"/>
    </xf>
    <xf numFmtId="0" fontId="40" fillId="2" borderId="0" xfId="0" applyFont="1" applyFill="1" applyProtection="1"/>
    <xf numFmtId="0" fontId="47" fillId="2" borderId="0" xfId="0" applyFont="1" applyFill="1" applyAlignment="1" applyProtection="1">
      <alignment vertical="top"/>
    </xf>
    <xf numFmtId="0" fontId="47" fillId="2" borderId="10" xfId="0" applyFont="1" applyFill="1" applyBorder="1" applyAlignment="1" applyProtection="1">
      <alignment horizontal="right"/>
    </xf>
    <xf numFmtId="0" fontId="47" fillId="0" borderId="7" xfId="0" applyFont="1" applyBorder="1" applyAlignment="1" applyProtection="1">
      <alignment horizontal="right" vertical="center"/>
    </xf>
    <xf numFmtId="0" fontId="47" fillId="0" borderId="7" xfId="0" applyFont="1" applyBorder="1" applyProtection="1"/>
    <xf numFmtId="0" fontId="37" fillId="0" borderId="0" xfId="0" applyFont="1" applyAlignment="1" applyProtection="1">
      <alignment horizontal="center"/>
    </xf>
    <xf numFmtId="0" fontId="40" fillId="0" borderId="0" xfId="0" applyFont="1" applyProtection="1"/>
    <xf numFmtId="0" fontId="40" fillId="0" borderId="10" xfId="0" applyFont="1" applyBorder="1" applyProtection="1"/>
    <xf numFmtId="0" fontId="47" fillId="0" borderId="0" xfId="0" applyFont="1" applyAlignment="1" applyProtection="1">
      <alignment horizontal="left" vertical="center"/>
    </xf>
    <xf numFmtId="0" fontId="40" fillId="0" borderId="0" xfId="0" applyFont="1" applyAlignment="1" applyProtection="1">
      <alignment horizontal="left" vertical="center"/>
    </xf>
    <xf numFmtId="0" fontId="37" fillId="0" borderId="0" xfId="0" applyFont="1" applyAlignment="1" applyProtection="1">
      <alignment horizontal="left" vertical="center"/>
    </xf>
    <xf numFmtId="0" fontId="40" fillId="2" borderId="10" xfId="0" applyFont="1" applyFill="1" applyBorder="1" applyAlignment="1" applyProtection="1">
      <alignment horizontal="left" vertical="center" wrapText="1"/>
    </xf>
    <xf numFmtId="0" fontId="0" fillId="0" borderId="8" xfId="0" applyBorder="1" applyProtection="1"/>
    <xf numFmtId="2" fontId="0" fillId="0" borderId="8" xfId="0" applyNumberFormat="1" applyBorder="1" applyProtection="1"/>
    <xf numFmtId="0" fontId="1" fillId="0" borderId="8" xfId="0" applyFont="1" applyBorder="1" applyAlignment="1" applyProtection="1">
      <alignment horizontal="left"/>
    </xf>
    <xf numFmtId="0" fontId="0" fillId="0" borderId="7" xfId="0" applyBorder="1" applyProtection="1"/>
    <xf numFmtId="0" fontId="0" fillId="0" borderId="0" xfId="0" applyProtection="1"/>
    <xf numFmtId="0" fontId="12" fillId="0" borderId="0" xfId="0" applyFont="1" applyProtection="1"/>
    <xf numFmtId="0" fontId="60" fillId="0" borderId="0" xfId="0" applyFont="1" applyAlignment="1" applyProtection="1">
      <alignment horizontal="left"/>
    </xf>
    <xf numFmtId="0" fontId="13" fillId="0" borderId="0" xfId="0" applyFont="1" applyAlignment="1" applyProtection="1">
      <alignment horizontal="left"/>
    </xf>
    <xf numFmtId="0" fontId="0" fillId="0" borderId="10" xfId="0" applyBorder="1" applyProtection="1"/>
    <xf numFmtId="0" fontId="25" fillId="2" borderId="7" xfId="0" applyFont="1" applyFill="1" applyBorder="1" applyAlignment="1" applyProtection="1">
      <alignment vertical="center"/>
    </xf>
    <xf numFmtId="0" fontId="24" fillId="2" borderId="0" xfId="0" applyFont="1" applyFill="1" applyAlignment="1" applyProtection="1">
      <alignment vertical="center"/>
    </xf>
    <xf numFmtId="0" fontId="24" fillId="2" borderId="10" xfId="0" applyFont="1" applyFill="1" applyBorder="1" applyAlignment="1" applyProtection="1">
      <alignment vertical="center"/>
    </xf>
    <xf numFmtId="0" fontId="62" fillId="2" borderId="0" xfId="0" applyFont="1" applyFill="1" applyAlignment="1" applyProtection="1">
      <alignment vertical="center"/>
    </xf>
    <xf numFmtId="164" fontId="62" fillId="2" borderId="10" xfId="0" applyNumberFormat="1" applyFont="1" applyFill="1" applyBorder="1" applyAlignment="1" applyProtection="1">
      <alignment vertical="center"/>
    </xf>
    <xf numFmtId="0" fontId="25" fillId="2" borderId="11" xfId="0" applyFont="1" applyFill="1" applyBorder="1" applyAlignment="1" applyProtection="1">
      <alignment vertical="center"/>
    </xf>
    <xf numFmtId="0" fontId="24" fillId="2" borderId="2" xfId="0" applyFont="1" applyFill="1" applyBorder="1" applyAlignment="1" applyProtection="1">
      <alignment vertical="center"/>
    </xf>
    <xf numFmtId="0" fontId="24" fillId="2" borderId="12" xfId="0" applyFont="1" applyFill="1" applyBorder="1" applyAlignment="1" applyProtection="1">
      <alignment vertical="center"/>
    </xf>
    <xf numFmtId="0" fontId="1" fillId="2" borderId="7" xfId="0" applyFont="1" applyFill="1" applyBorder="1" applyAlignment="1" applyProtection="1">
      <alignment vertical="center"/>
    </xf>
    <xf numFmtId="0" fontId="0" fillId="2" borderId="0" xfId="0" applyFill="1" applyAlignment="1" applyProtection="1">
      <alignment vertical="center"/>
    </xf>
    <xf numFmtId="0" fontId="0" fillId="2" borderId="10" xfId="0" applyFill="1" applyBorder="1" applyAlignment="1" applyProtection="1">
      <alignment vertical="center"/>
    </xf>
    <xf numFmtId="0" fontId="27" fillId="5" borderId="4" xfId="0" applyFont="1" applyFill="1" applyBorder="1" applyAlignment="1" applyProtection="1">
      <alignment horizontal="right"/>
    </xf>
    <xf numFmtId="0" fontId="27" fillId="5" borderId="1" xfId="0" applyFont="1" applyFill="1" applyBorder="1" applyAlignment="1" applyProtection="1">
      <alignment horizontal="right"/>
    </xf>
    <xf numFmtId="0" fontId="66" fillId="6" borderId="4" xfId="0" applyFont="1" applyFill="1" applyBorder="1" applyAlignment="1" applyProtection="1">
      <alignment vertical="center"/>
    </xf>
    <xf numFmtId="0" fontId="66" fillId="6" borderId="1" xfId="0" applyFont="1" applyFill="1" applyBorder="1" applyAlignment="1" applyProtection="1">
      <alignment vertical="center"/>
    </xf>
    <xf numFmtId="0" fontId="27" fillId="6" borderId="1" xfId="0" applyFont="1" applyFill="1" applyBorder="1" applyAlignment="1" applyProtection="1">
      <alignment horizontal="center" vertical="center"/>
    </xf>
    <xf numFmtId="0" fontId="66" fillId="6" borderId="3" xfId="0" applyFont="1" applyFill="1" applyBorder="1" applyAlignment="1" applyProtection="1">
      <alignment vertical="center"/>
    </xf>
    <xf numFmtId="0" fontId="17" fillId="0" borderId="5" xfId="0" applyFont="1" applyBorder="1" applyAlignment="1" applyProtection="1">
      <alignment horizontal="center"/>
    </xf>
    <xf numFmtId="0" fontId="29" fillId="0" borderId="8" xfId="0" applyFont="1" applyBorder="1" applyAlignment="1" applyProtection="1">
      <alignment horizontal="right"/>
    </xf>
    <xf numFmtId="164" fontId="29" fillId="0" borderId="8" xfId="0" applyNumberFormat="1" applyFont="1" applyBorder="1" applyAlignment="1" applyProtection="1">
      <alignment horizontal="right"/>
    </xf>
    <xf numFmtId="2" fontId="29" fillId="0" borderId="0" xfId="0" applyNumberFormat="1" applyFont="1" applyProtection="1"/>
    <xf numFmtId="0" fontId="29" fillId="0" borderId="10" xfId="0" applyFont="1" applyBorder="1" applyProtection="1"/>
    <xf numFmtId="0" fontId="29" fillId="2" borderId="15" xfId="0" applyFont="1" applyFill="1" applyBorder="1" applyAlignment="1" applyProtection="1">
      <alignment horizontal="center"/>
    </xf>
    <xf numFmtId="0" fontId="15" fillId="0" borderId="7" xfId="0" applyFont="1" applyBorder="1" applyProtection="1"/>
    <xf numFmtId="0" fontId="29" fillId="0" borderId="0" xfId="0" applyFont="1" applyAlignment="1" applyProtection="1">
      <alignment horizontal="right"/>
    </xf>
    <xf numFmtId="164" fontId="29" fillId="0" borderId="0" xfId="0" applyNumberFormat="1" applyFont="1" applyAlignment="1" applyProtection="1">
      <alignment horizontal="right"/>
    </xf>
    <xf numFmtId="2" fontId="26" fillId="7" borderId="6" xfId="0" applyNumberFormat="1" applyFont="1" applyFill="1" applyBorder="1" applyAlignment="1" applyProtection="1">
      <alignment horizontal="center" vertical="center"/>
    </xf>
    <xf numFmtId="2" fontId="26" fillId="7" borderId="3" xfId="0" applyNumberFormat="1" applyFont="1" applyFill="1" applyBorder="1" applyAlignment="1" applyProtection="1">
      <alignment horizontal="center"/>
    </xf>
    <xf numFmtId="0" fontId="17" fillId="0" borderId="7" xfId="0" applyFont="1" applyBorder="1" applyProtection="1"/>
    <xf numFmtId="2" fontId="29" fillId="0" borderId="0" xfId="0" applyNumberFormat="1" applyFont="1" applyAlignment="1" applyProtection="1">
      <alignment horizontal="right"/>
    </xf>
    <xf numFmtId="0" fontId="29" fillId="0" borderId="10" xfId="0" applyFont="1" applyBorder="1" applyAlignment="1" applyProtection="1">
      <alignment horizontal="left"/>
    </xf>
    <xf numFmtId="0" fontId="26" fillId="7" borderId="6" xfId="0" applyFont="1" applyFill="1" applyBorder="1" applyAlignment="1" applyProtection="1">
      <alignment horizontal="center" vertical="center"/>
    </xf>
    <xf numFmtId="2" fontId="26" fillId="7" borderId="12" xfId="0" applyNumberFormat="1" applyFont="1" applyFill="1" applyBorder="1" applyAlignment="1" applyProtection="1">
      <alignment horizontal="center"/>
    </xf>
    <xf numFmtId="2" fontId="26" fillId="7" borderId="14" xfId="0" applyNumberFormat="1" applyFont="1" applyFill="1" applyBorder="1" applyAlignment="1" applyProtection="1">
      <alignment horizontal="center" vertical="center"/>
    </xf>
    <xf numFmtId="0" fontId="32" fillId="3" borderId="4" xfId="0" applyFont="1" applyFill="1" applyBorder="1" applyAlignment="1" applyProtection="1">
      <alignment vertical="center"/>
    </xf>
    <xf numFmtId="0" fontId="32" fillId="3" borderId="1" xfId="0" applyFont="1" applyFill="1" applyBorder="1" applyAlignment="1" applyProtection="1">
      <alignment vertical="center"/>
    </xf>
    <xf numFmtId="0" fontId="32" fillId="3" borderId="5" xfId="0" applyFont="1" applyFill="1" applyBorder="1" applyAlignment="1" applyProtection="1">
      <alignment vertical="center"/>
    </xf>
    <xf numFmtId="0" fontId="0" fillId="0" borderId="1" xfId="0" applyBorder="1" applyProtection="1"/>
    <xf numFmtId="0" fontId="0" fillId="0" borderId="1" xfId="0" applyBorder="1" applyAlignment="1" applyProtection="1">
      <alignment horizontal="right"/>
    </xf>
    <xf numFmtId="0" fontId="30" fillId="0" borderId="2" xfId="0" quotePrefix="1" applyFont="1" applyBorder="1" applyAlignment="1" applyProtection="1">
      <alignment horizontal="right" vertical="center"/>
    </xf>
    <xf numFmtId="0" fontId="26" fillId="0" borderId="14" xfId="0" applyFont="1" applyBorder="1" applyAlignment="1" applyProtection="1">
      <alignment horizontal="center" vertical="center"/>
    </xf>
    <xf numFmtId="0" fontId="26" fillId="0" borderId="11" xfId="0" applyFont="1" applyBorder="1" applyAlignment="1" applyProtection="1">
      <alignment horizontal="left" vertical="center"/>
    </xf>
    <xf numFmtId="0" fontId="17" fillId="0" borderId="2" xfId="0" applyFont="1" applyBorder="1" applyAlignment="1" applyProtection="1">
      <alignment vertical="center"/>
    </xf>
    <xf numFmtId="0" fontId="17" fillId="0" borderId="12" xfId="0" applyFont="1" applyBorder="1" applyAlignment="1" applyProtection="1">
      <alignment vertical="center"/>
    </xf>
    <xf numFmtId="0" fontId="29" fillId="0" borderId="1" xfId="0" applyFont="1" applyBorder="1" applyAlignment="1" applyProtection="1">
      <alignment horizontal="center"/>
    </xf>
    <xf numFmtId="0" fontId="29" fillId="0" borderId="1" xfId="0" applyFont="1" applyBorder="1" applyAlignment="1" applyProtection="1">
      <alignment vertical="center"/>
    </xf>
    <xf numFmtId="0" fontId="29" fillId="0" borderId="12" xfId="0" applyFont="1" applyBorder="1" applyAlignment="1" applyProtection="1">
      <alignment horizontal="right"/>
    </xf>
    <xf numFmtId="0" fontId="29" fillId="0" borderId="7" xfId="0" applyFont="1" applyBorder="1" applyAlignment="1" applyProtection="1">
      <alignment horizontal="left"/>
    </xf>
    <xf numFmtId="0" fontId="17" fillId="0" borderId="0" xfId="0" applyFont="1" applyAlignment="1" applyProtection="1">
      <alignment vertical="center"/>
    </xf>
    <xf numFmtId="164" fontId="16" fillId="7" borderId="7" xfId="0" applyNumberFormat="1" applyFont="1" applyFill="1" applyBorder="1" applyAlignment="1" applyProtection="1">
      <alignment horizontal="center"/>
    </xf>
    <xf numFmtId="0" fontId="18" fillId="7" borderId="0" xfId="0" applyFont="1" applyFill="1" applyAlignment="1" applyProtection="1">
      <alignment horizontal="center"/>
    </xf>
    <xf numFmtId="2" fontId="16" fillId="7" borderId="0" xfId="0" applyNumberFormat="1" applyFont="1" applyFill="1" applyAlignment="1" applyProtection="1">
      <alignment horizontal="center"/>
    </xf>
    <xf numFmtId="2" fontId="22" fillId="7" borderId="8" xfId="0" applyNumberFormat="1" applyFont="1" applyFill="1" applyBorder="1" applyAlignment="1" applyProtection="1">
      <alignment horizontal="center"/>
    </xf>
    <xf numFmtId="164" fontId="58" fillId="7" borderId="9" xfId="0" applyNumberFormat="1" applyFont="1" applyFill="1" applyBorder="1" applyAlignment="1" applyProtection="1">
      <alignment horizontal="center"/>
    </xf>
    <xf numFmtId="2" fontId="58" fillId="7" borderId="13" xfId="0" applyNumberFormat="1" applyFont="1" applyFill="1" applyBorder="1" applyAlignment="1" applyProtection="1">
      <alignment horizontal="left"/>
    </xf>
    <xf numFmtId="164" fontId="31" fillId="7" borderId="11" xfId="0" applyNumberFormat="1" applyFont="1" applyFill="1" applyBorder="1" applyAlignment="1" applyProtection="1">
      <alignment horizontal="center"/>
    </xf>
    <xf numFmtId="0" fontId="26" fillId="7" borderId="2" xfId="0" applyFont="1" applyFill="1" applyBorder="1" applyAlignment="1" applyProtection="1">
      <alignment horizontal="center"/>
    </xf>
    <xf numFmtId="0" fontId="26" fillId="7" borderId="0" xfId="0" applyFont="1" applyFill="1" applyAlignment="1" applyProtection="1">
      <alignment horizontal="center"/>
    </xf>
    <xf numFmtId="0" fontId="26" fillId="7" borderId="2" xfId="0" applyFont="1" applyFill="1" applyBorder="1" applyAlignment="1" applyProtection="1">
      <alignment horizontal="center" vertical="center"/>
    </xf>
    <xf numFmtId="0" fontId="30" fillId="7" borderId="2" xfId="0" applyFont="1" applyFill="1" applyBorder="1" applyAlignment="1" applyProtection="1">
      <alignment horizontal="center" vertical="center"/>
    </xf>
    <xf numFmtId="164" fontId="26" fillId="7" borderId="2" xfId="0" applyNumberFormat="1" applyFont="1" applyFill="1" applyBorder="1" applyAlignment="1" applyProtection="1">
      <alignment horizontal="center"/>
    </xf>
    <xf numFmtId="0" fontId="26" fillId="7" borderId="14" xfId="0" applyFont="1" applyFill="1" applyBorder="1" applyAlignment="1" applyProtection="1">
      <alignment horizontal="left"/>
    </xf>
    <xf numFmtId="164" fontId="31" fillId="7" borderId="4" xfId="0" applyNumberFormat="1" applyFont="1" applyFill="1" applyBorder="1" applyAlignment="1" applyProtection="1">
      <alignment horizontal="center"/>
    </xf>
    <xf numFmtId="0" fontId="26" fillId="7" borderId="1" xfId="0" applyFont="1" applyFill="1" applyBorder="1" applyAlignment="1" applyProtection="1">
      <alignment horizontal="center"/>
    </xf>
    <xf numFmtId="0" fontId="26" fillId="7" borderId="12" xfId="0" applyFont="1" applyFill="1" applyBorder="1" applyAlignment="1" applyProtection="1">
      <alignment horizontal="left"/>
    </xf>
    <xf numFmtId="0" fontId="30" fillId="0" borderId="5" xfId="0" applyFont="1" applyBorder="1" applyAlignment="1" applyProtection="1">
      <alignment horizontal="left"/>
    </xf>
    <xf numFmtId="0" fontId="37" fillId="0" borderId="8" xfId="0" applyFont="1" applyBorder="1" applyAlignment="1" applyProtection="1">
      <alignment horizontal="left"/>
    </xf>
    <xf numFmtId="0" fontId="37" fillId="0" borderId="8" xfId="0" applyFont="1" applyBorder="1" applyAlignment="1" applyProtection="1">
      <alignment horizontal="center"/>
    </xf>
    <xf numFmtId="1" fontId="26" fillId="7" borderId="13" xfId="0" applyNumberFormat="1" applyFont="1" applyFill="1" applyBorder="1" applyAlignment="1" applyProtection="1">
      <alignment horizontal="center"/>
    </xf>
    <xf numFmtId="0" fontId="36" fillId="0" borderId="8" xfId="0" applyFont="1" applyBorder="1" applyProtection="1"/>
    <xf numFmtId="0" fontId="0" fillId="0" borderId="8" xfId="0" applyBorder="1" applyAlignment="1" applyProtection="1">
      <alignment horizontal="center"/>
    </xf>
    <xf numFmtId="0" fontId="0" fillId="0" borderId="9" xfId="0" applyBorder="1" applyProtection="1"/>
    <xf numFmtId="0" fontId="30" fillId="0" borderId="7" xfId="0" applyFont="1" applyBorder="1" applyAlignment="1" applyProtection="1">
      <alignment horizontal="center"/>
    </xf>
    <xf numFmtId="0" fontId="37" fillId="0" borderId="0" xfId="0" applyFont="1" applyAlignment="1" applyProtection="1">
      <alignment horizontal="left"/>
    </xf>
    <xf numFmtId="1" fontId="26" fillId="7" borderId="7" xfId="0" applyNumberFormat="1" applyFont="1" applyFill="1" applyBorder="1" applyAlignment="1" applyProtection="1">
      <alignment horizontal="center"/>
    </xf>
    <xf numFmtId="0" fontId="36" fillId="0" borderId="7" xfId="0" applyFont="1" applyBorder="1" applyProtection="1"/>
    <xf numFmtId="0" fontId="26" fillId="7" borderId="7" xfId="0" applyFont="1" applyFill="1" applyBorder="1" applyAlignment="1" applyProtection="1">
      <alignment horizontal="center"/>
    </xf>
    <xf numFmtId="0" fontId="7" fillId="0" borderId="10" xfId="0" applyFont="1" applyBorder="1" applyProtection="1"/>
    <xf numFmtId="0" fontId="30" fillId="0" borderId="7" xfId="0" applyFont="1" applyBorder="1" applyAlignment="1" applyProtection="1">
      <alignment horizontal="right"/>
    </xf>
    <xf numFmtId="0" fontId="26" fillId="7" borderId="15" xfId="0" applyFont="1" applyFill="1" applyBorder="1" applyAlignment="1" applyProtection="1">
      <alignment horizontal="center"/>
    </xf>
    <xf numFmtId="0" fontId="36" fillId="0" borderId="0" xfId="0" applyFont="1" applyProtection="1"/>
    <xf numFmtId="0" fontId="26" fillId="0" borderId="10" xfId="0" applyFont="1" applyBorder="1" applyProtection="1"/>
    <xf numFmtId="0" fontId="21" fillId="0" borderId="0" xfId="0" applyFont="1" applyAlignment="1" applyProtection="1">
      <alignment horizontal="center"/>
    </xf>
    <xf numFmtId="0" fontId="21" fillId="0" borderId="10" xfId="0" applyFont="1" applyBorder="1" applyAlignment="1" applyProtection="1">
      <alignment horizontal="center"/>
    </xf>
    <xf numFmtId="0" fontId="37" fillId="0" borderId="0" xfId="0" applyFont="1" applyProtection="1"/>
    <xf numFmtId="0" fontId="17" fillId="0" borderId="7" xfId="0" applyFont="1" applyBorder="1" applyAlignment="1" applyProtection="1">
      <alignment horizontal="center"/>
    </xf>
    <xf numFmtId="0" fontId="36" fillId="0" borderId="0" xfId="0" applyFont="1" applyAlignment="1" applyProtection="1">
      <alignment horizontal="left"/>
    </xf>
    <xf numFmtId="0" fontId="30" fillId="0" borderId="11" xfId="0" applyFont="1" applyBorder="1" applyProtection="1"/>
    <xf numFmtId="0" fontId="37" fillId="0" borderId="2" xfId="0" applyFont="1" applyBorder="1" applyProtection="1"/>
    <xf numFmtId="164" fontId="26" fillId="7" borderId="14" xfId="0" applyNumberFormat="1" applyFont="1" applyFill="1" applyBorder="1" applyAlignment="1" applyProtection="1">
      <alignment horizontal="center"/>
    </xf>
    <xf numFmtId="0" fontId="36" fillId="0" borderId="2" xfId="0" applyFont="1" applyBorder="1" applyProtection="1"/>
    <xf numFmtId="0" fontId="0" fillId="2" borderId="12" xfId="0" applyFill="1" applyBorder="1" applyProtection="1"/>
    <xf numFmtId="0" fontId="62" fillId="0" borderId="6" xfId="0" applyFont="1" applyBorder="1" applyAlignment="1" applyProtection="1">
      <alignment horizontal="right"/>
    </xf>
    <xf numFmtId="49" fontId="62" fillId="0" borderId="10" xfId="0" applyNumberFormat="1" applyFont="1" applyBorder="1" applyAlignment="1" applyProtection="1">
      <alignment horizontal="left" vertical="top" wrapText="1" indent="1"/>
    </xf>
    <xf numFmtId="49" fontId="62" fillId="0" borderId="11" xfId="0" applyNumberFormat="1" applyFont="1" applyBorder="1" applyAlignment="1" applyProtection="1">
      <alignment horizontal="left" vertical="top" wrapText="1" indent="1"/>
    </xf>
    <xf numFmtId="49" fontId="62" fillId="0" borderId="2" xfId="0" applyNumberFormat="1" applyFont="1" applyBorder="1" applyAlignment="1" applyProtection="1">
      <alignment horizontal="left" vertical="top" wrapText="1" indent="1"/>
    </xf>
    <xf numFmtId="49" fontId="62" fillId="0" borderId="12" xfId="0" applyNumberFormat="1" applyFont="1" applyBorder="1" applyAlignment="1" applyProtection="1">
      <alignment horizontal="left" vertical="top" wrapText="1" indent="1"/>
    </xf>
    <xf numFmtId="0" fontId="47" fillId="2" borderId="7" xfId="0" applyFont="1" applyFill="1" applyBorder="1" applyAlignment="1" applyProtection="1">
      <alignment vertical="center"/>
    </xf>
    <xf numFmtId="0" fontId="47" fillId="0" borderId="13" xfId="0" applyFont="1" applyBorder="1" applyAlignment="1" applyProtection="1">
      <alignment horizontal="left" vertical="top"/>
    </xf>
    <xf numFmtId="0" fontId="55" fillId="0" borderId="14" xfId="0" applyFont="1" applyBorder="1" applyAlignment="1" applyProtection="1">
      <alignment vertical="center"/>
    </xf>
    <xf numFmtId="0" fontId="34" fillId="0" borderId="0" xfId="0" quotePrefix="1" applyFont="1"/>
    <xf numFmtId="0" fontId="72" fillId="0" borderId="0" xfId="0" applyFont="1" applyFill="1" applyAlignment="1">
      <alignment vertical="center"/>
    </xf>
    <xf numFmtId="0" fontId="59" fillId="0" borderId="6" xfId="0" applyFont="1" applyFill="1" applyBorder="1" applyAlignment="1" applyProtection="1">
      <alignment horizontal="center" vertical="center" wrapText="1"/>
    </xf>
    <xf numFmtId="0" fontId="30" fillId="4" borderId="13" xfId="0" applyFont="1" applyFill="1" applyBorder="1" applyAlignment="1" applyProtection="1">
      <alignment horizontal="center" vertical="center"/>
      <protection locked="0"/>
    </xf>
    <xf numFmtId="0" fontId="30" fillId="4" borderId="14" xfId="0" applyFont="1" applyFill="1" applyBorder="1" applyAlignment="1" applyProtection="1">
      <alignment horizontal="center" vertical="center"/>
      <protection locked="0"/>
    </xf>
    <xf numFmtId="0" fontId="36" fillId="0" borderId="0" xfId="0" applyFont="1" applyBorder="1" applyAlignment="1">
      <alignment horizontal="left" vertical="center" wrapText="1"/>
    </xf>
    <xf numFmtId="0" fontId="29" fillId="2" borderId="1" xfId="0" applyFont="1" applyFill="1" applyBorder="1" applyAlignment="1" applyProtection="1">
      <alignment horizontal="right" vertical="center" wrapText="1"/>
    </xf>
    <xf numFmtId="0" fontId="49" fillId="0" borderId="1" xfId="0" applyFont="1" applyBorder="1" applyAlignment="1" applyProtection="1">
      <alignment horizontal="right" vertical="center" wrapText="1"/>
    </xf>
    <xf numFmtId="0" fontId="29" fillId="2" borderId="4" xfId="0" applyFont="1" applyFill="1" applyBorder="1" applyAlignment="1" applyProtection="1">
      <alignment horizontal="right"/>
    </xf>
    <xf numFmtId="0" fontId="29" fillId="2" borderId="1" xfId="0" applyFont="1" applyFill="1" applyBorder="1" applyAlignment="1" applyProtection="1">
      <alignment horizontal="right"/>
    </xf>
    <xf numFmtId="0" fontId="17" fillId="2" borderId="4" xfId="0" applyFont="1" applyFill="1" applyBorder="1" applyAlignment="1" applyProtection="1">
      <alignment horizontal="center"/>
    </xf>
    <xf numFmtId="0" fontId="17" fillId="2" borderId="3" xfId="0" applyFont="1" applyFill="1" applyBorder="1" applyAlignment="1" applyProtection="1">
      <alignment horizontal="center"/>
    </xf>
    <xf numFmtId="0" fontId="64" fillId="8" borderId="6" xfId="0" applyFont="1" applyFill="1" applyBorder="1" applyAlignment="1" applyProtection="1">
      <alignment horizontal="left" vertical="top" wrapText="1"/>
      <protection locked="0"/>
    </xf>
    <xf numFmtId="0" fontId="25" fillId="2" borderId="7" xfId="0" applyFont="1" applyFill="1" applyBorder="1" applyAlignment="1" applyProtection="1">
      <alignment horizontal="left" vertical="top" wrapText="1"/>
    </xf>
    <xf numFmtId="0" fontId="25" fillId="2" borderId="0" xfId="0" applyFont="1" applyFill="1" applyAlignment="1" applyProtection="1">
      <alignment horizontal="left" vertical="top" wrapText="1"/>
    </xf>
    <xf numFmtId="0" fontId="25" fillId="2" borderId="10" xfId="0" applyFont="1" applyFill="1" applyBorder="1" applyAlignment="1" applyProtection="1">
      <alignment horizontal="left" vertical="top" wrapText="1"/>
    </xf>
    <xf numFmtId="0" fontId="27" fillId="6" borderId="1" xfId="0" applyFont="1" applyFill="1" applyBorder="1" applyAlignment="1" applyProtection="1">
      <alignment horizontal="right" vertical="center"/>
    </xf>
    <xf numFmtId="0" fontId="27" fillId="6" borderId="3" xfId="0" applyFont="1" applyFill="1" applyBorder="1" applyAlignment="1" applyProtection="1">
      <alignment horizontal="right" vertical="center"/>
    </xf>
    <xf numFmtId="0" fontId="29" fillId="2" borderId="1" xfId="0" applyFont="1" applyFill="1" applyBorder="1" applyAlignment="1" applyProtection="1">
      <alignment horizontal="center"/>
      <protection hidden="1"/>
    </xf>
    <xf numFmtId="0" fontId="0" fillId="0" borderId="1" xfId="0" applyBorder="1" applyAlignment="1" applyProtection="1">
      <alignment horizontal="center"/>
    </xf>
    <xf numFmtId="0" fontId="47" fillId="2" borderId="7" xfId="0" applyFont="1" applyFill="1" applyBorder="1" applyAlignment="1" applyProtection="1">
      <alignment horizontal="left" vertical="top" wrapText="1"/>
    </xf>
    <xf numFmtId="0" fontId="0" fillId="0" borderId="0" xfId="0" applyAlignment="1">
      <alignment vertical="top" wrapText="1"/>
    </xf>
    <xf numFmtId="0" fontId="0" fillId="0" borderId="10" xfId="0" applyBorder="1" applyAlignment="1">
      <alignment vertical="top" wrapText="1"/>
    </xf>
    <xf numFmtId="0" fontId="47" fillId="2" borderId="0" xfId="0" applyFont="1" applyFill="1" applyAlignment="1" applyProtection="1">
      <alignment horizontal="left" vertical="center"/>
    </xf>
    <xf numFmtId="0" fontId="0" fillId="0" borderId="0" xfId="0" applyAlignment="1" applyProtection="1">
      <alignment horizontal="left"/>
    </xf>
    <xf numFmtId="0" fontId="0" fillId="0" borderId="10" xfId="0" applyBorder="1" applyAlignment="1" applyProtection="1">
      <alignment horizontal="left"/>
    </xf>
    <xf numFmtId="49" fontId="25" fillId="4" borderId="4" xfId="0" applyNumberFormat="1" applyFont="1" applyFill="1" applyBorder="1" applyAlignment="1" applyProtection="1">
      <alignment horizontal="left" vertical="center"/>
      <protection locked="0"/>
    </xf>
    <xf numFmtId="49" fontId="25" fillId="4" borderId="1" xfId="0" applyNumberFormat="1" applyFont="1" applyFill="1" applyBorder="1" applyAlignment="1" applyProtection="1">
      <alignment horizontal="left" vertical="center"/>
      <protection locked="0"/>
    </xf>
    <xf numFmtId="49" fontId="25" fillId="4" borderId="3" xfId="0" applyNumberFormat="1" applyFont="1" applyFill="1" applyBorder="1" applyAlignment="1" applyProtection="1">
      <alignment horizontal="left" vertical="center"/>
      <protection locked="0"/>
    </xf>
    <xf numFmtId="0" fontId="47" fillId="0" borderId="7" xfId="0" applyFont="1" applyBorder="1" applyAlignment="1" applyProtection="1">
      <alignment horizontal="right" vertical="center"/>
    </xf>
    <xf numFmtId="0" fontId="47" fillId="0" borderId="0" xfId="0" applyFont="1" applyAlignment="1" applyProtection="1">
      <alignment horizontal="right" vertical="center"/>
    </xf>
    <xf numFmtId="0" fontId="47" fillId="0" borderId="10" xfId="0" applyFont="1" applyBorder="1" applyAlignment="1" applyProtection="1">
      <alignment horizontal="right" vertical="center"/>
    </xf>
    <xf numFmtId="0" fontId="36" fillId="2" borderId="4" xfId="0" applyFont="1" applyFill="1" applyBorder="1" applyAlignment="1" applyProtection="1">
      <alignment horizontal="center" vertical="center"/>
    </xf>
    <xf numFmtId="0" fontId="36" fillId="2" borderId="1" xfId="0" applyFont="1" applyFill="1" applyBorder="1" applyAlignment="1" applyProtection="1">
      <alignment horizontal="center" vertical="center"/>
    </xf>
    <xf numFmtId="0" fontId="36" fillId="2" borderId="3" xfId="0" applyFont="1" applyFill="1" applyBorder="1" applyAlignment="1" applyProtection="1">
      <alignment horizontal="center" vertical="center"/>
    </xf>
    <xf numFmtId="0" fontId="21" fillId="0" borderId="0" xfId="0" applyFont="1" applyAlignment="1" applyProtection="1">
      <alignment horizontal="center"/>
    </xf>
    <xf numFmtId="0" fontId="21" fillId="0" borderId="10" xfId="0" applyFont="1" applyBorder="1" applyAlignment="1" applyProtection="1">
      <alignment horizontal="center"/>
    </xf>
    <xf numFmtId="0" fontId="26" fillId="0" borderId="7" xfId="0" applyFont="1" applyBorder="1" applyAlignment="1" applyProtection="1">
      <alignment horizontal="center"/>
    </xf>
    <xf numFmtId="0" fontId="26" fillId="0" borderId="0" xfId="0" applyFont="1" applyAlignment="1" applyProtection="1">
      <alignment horizontal="center"/>
    </xf>
    <xf numFmtId="0" fontId="17" fillId="0" borderId="0" xfId="0" applyFont="1" applyProtection="1"/>
    <xf numFmtId="0" fontId="17" fillId="0" borderId="10" xfId="0" applyFont="1" applyBorder="1" applyProtection="1"/>
    <xf numFmtId="0" fontId="23" fillId="4" borderId="4" xfId="0" applyFont="1" applyFill="1" applyBorder="1" applyAlignment="1" applyProtection="1">
      <alignment vertical="center"/>
      <protection locked="0"/>
    </xf>
    <xf numFmtId="0" fontId="0" fillId="0" borderId="1" xfId="0" applyBorder="1" applyAlignment="1" applyProtection="1">
      <alignment vertical="center"/>
      <protection locked="0"/>
    </xf>
    <xf numFmtId="0" fontId="23" fillId="4" borderId="1" xfId="0" applyFont="1" applyFill="1" applyBorder="1" applyAlignment="1" applyProtection="1">
      <alignment vertical="center"/>
      <protection locked="0"/>
    </xf>
    <xf numFmtId="0" fontId="0" fillId="0" borderId="3" xfId="0" applyBorder="1" applyAlignment="1" applyProtection="1">
      <alignment vertical="center"/>
      <protection locked="0"/>
    </xf>
    <xf numFmtId="0" fontId="25" fillId="4" borderId="1" xfId="0" applyFont="1" applyFill="1" applyBorder="1" applyAlignment="1" applyProtection="1">
      <alignment horizontal="left" vertical="center"/>
      <protection locked="0"/>
    </xf>
    <xf numFmtId="0" fontId="24" fillId="0" borderId="1" xfId="0" applyFont="1" applyBorder="1" applyAlignment="1" applyProtection="1">
      <alignment horizontal="left" vertical="center"/>
      <protection locked="0"/>
    </xf>
    <xf numFmtId="0" fontId="24" fillId="0" borderId="3" xfId="0" applyFont="1" applyBorder="1" applyAlignment="1" applyProtection="1">
      <alignment horizontal="left" vertical="center"/>
      <protection locked="0"/>
    </xf>
    <xf numFmtId="0" fontId="29" fillId="2" borderId="4" xfId="0" applyFont="1" applyFill="1" applyBorder="1" applyAlignment="1" applyProtection="1">
      <alignment horizontal="right"/>
      <protection hidden="1"/>
    </xf>
    <xf numFmtId="0" fontId="29" fillId="2" borderId="3" xfId="0" applyFont="1" applyFill="1" applyBorder="1" applyAlignment="1" applyProtection="1">
      <alignment horizontal="right"/>
      <protection hidden="1"/>
    </xf>
    <xf numFmtId="0" fontId="29" fillId="2" borderId="4" xfId="0" applyFont="1" applyFill="1" applyBorder="1" applyAlignment="1" applyProtection="1">
      <alignment horizontal="right" wrapText="1"/>
    </xf>
    <xf numFmtId="0" fontId="29" fillId="2" borderId="3" xfId="0" applyFont="1" applyFill="1" applyBorder="1" applyAlignment="1" applyProtection="1">
      <alignment horizontal="right" wrapText="1"/>
    </xf>
    <xf numFmtId="0" fontId="62" fillId="3" borderId="1" xfId="0" applyFont="1" applyFill="1" applyBorder="1" applyAlignment="1" applyProtection="1">
      <alignment horizontal="center" vertical="center" wrapText="1"/>
    </xf>
    <xf numFmtId="0" fontId="62" fillId="3" borderId="3" xfId="0" applyFont="1" applyFill="1" applyBorder="1" applyAlignment="1" applyProtection="1">
      <alignment horizontal="center" vertical="center" wrapText="1"/>
    </xf>
    <xf numFmtId="0" fontId="62" fillId="2" borderId="1" xfId="0" applyFont="1" applyFill="1" applyBorder="1" applyAlignment="1" applyProtection="1">
      <alignment horizontal="center" vertical="center" wrapText="1"/>
    </xf>
    <xf numFmtId="0" fontId="62" fillId="0" borderId="1" xfId="0" applyFont="1" applyBorder="1" applyAlignment="1" applyProtection="1">
      <alignment horizontal="center" vertical="center"/>
    </xf>
    <xf numFmtId="0" fontId="70" fillId="0" borderId="2" xfId="0" applyFont="1" applyBorder="1" applyAlignment="1" applyProtection="1">
      <alignment horizontal="right"/>
      <protection hidden="1"/>
    </xf>
    <xf numFmtId="0" fontId="47" fillId="0" borderId="4" xfId="0" applyFont="1" applyBorder="1" applyAlignment="1" applyProtection="1">
      <alignment horizontal="left" vertical="center" wrapText="1"/>
    </xf>
    <xf numFmtId="0" fontId="40" fillId="0" borderId="1" xfId="0" applyFont="1" applyBorder="1" applyAlignment="1" applyProtection="1">
      <alignment horizontal="left" vertical="center"/>
    </xf>
    <xf numFmtId="0" fontId="40" fillId="0" borderId="3" xfId="0" applyFont="1" applyBorder="1" applyAlignment="1" applyProtection="1">
      <alignment horizontal="left" vertical="center"/>
    </xf>
    <xf numFmtId="0" fontId="29" fillId="0" borderId="11" xfId="0" applyFont="1" applyBorder="1" applyAlignment="1" applyProtection="1">
      <alignment horizontal="right" vertical="center" wrapText="1"/>
    </xf>
    <xf numFmtId="0" fontId="29" fillId="0" borderId="2" xfId="0" applyFont="1" applyBorder="1" applyAlignment="1" applyProtection="1">
      <alignment horizontal="right" vertical="center" wrapText="1"/>
    </xf>
    <xf numFmtId="0" fontId="29" fillId="0" borderId="12" xfId="0" applyFont="1" applyBorder="1" applyAlignment="1" applyProtection="1">
      <alignment horizontal="right" vertical="center" wrapText="1"/>
    </xf>
    <xf numFmtId="0" fontId="27" fillId="6" borderId="4" xfId="0" applyFont="1" applyFill="1" applyBorder="1" applyAlignment="1" applyProtection="1">
      <alignment horizontal="center" vertical="center" wrapText="1"/>
    </xf>
    <xf numFmtId="0" fontId="27" fillId="6" borderId="1" xfId="0" applyFont="1" applyFill="1" applyBorder="1" applyAlignment="1" applyProtection="1">
      <alignment horizontal="center" vertical="center" wrapText="1"/>
    </xf>
    <xf numFmtId="0" fontId="27" fillId="6" borderId="3" xfId="0" applyFont="1" applyFill="1" applyBorder="1" applyAlignment="1" applyProtection="1">
      <alignment horizontal="center" vertical="center" wrapText="1"/>
    </xf>
    <xf numFmtId="0" fontId="41" fillId="6" borderId="4" xfId="0" applyFont="1" applyFill="1" applyBorder="1" applyAlignment="1" applyProtection="1">
      <alignment horizontal="center" vertical="center"/>
    </xf>
    <xf numFmtId="0" fontId="41" fillId="6" borderId="1" xfId="0" applyFont="1" applyFill="1" applyBorder="1" applyAlignment="1" applyProtection="1">
      <alignment horizontal="center" vertical="center"/>
    </xf>
    <xf numFmtId="0" fontId="39" fillId="0" borderId="7" xfId="1" applyFont="1" applyBorder="1" applyAlignment="1" applyProtection="1">
      <alignment horizontal="center" wrapText="1"/>
    </xf>
    <xf numFmtId="0" fontId="39" fillId="0" borderId="0" xfId="1" applyFont="1" applyAlignment="1" applyProtection="1">
      <alignment horizontal="center" wrapText="1"/>
    </xf>
    <xf numFmtId="0" fontId="39" fillId="0" borderId="10" xfId="1" applyFont="1" applyBorder="1" applyAlignment="1" applyProtection="1">
      <alignment horizontal="center" wrapText="1"/>
    </xf>
    <xf numFmtId="0" fontId="39" fillId="0" borderId="11" xfId="1" applyFont="1" applyBorder="1" applyAlignment="1" applyProtection="1">
      <alignment horizontal="center" wrapText="1"/>
    </xf>
    <xf numFmtId="0" fontId="39" fillId="0" borderId="2" xfId="1" applyFont="1" applyBorder="1" applyAlignment="1" applyProtection="1">
      <alignment horizontal="center" wrapText="1"/>
    </xf>
    <xf numFmtId="0" fontId="39" fillId="0" borderId="12" xfId="1" applyFont="1" applyBorder="1" applyAlignment="1" applyProtection="1">
      <alignment horizontal="center" wrapText="1"/>
    </xf>
    <xf numFmtId="0" fontId="59" fillId="0" borderId="2" xfId="0" applyFont="1" applyBorder="1" applyAlignment="1" applyProtection="1">
      <alignment horizontal="center"/>
    </xf>
    <xf numFmtId="0" fontId="59" fillId="0" borderId="12" xfId="0" applyFont="1" applyBorder="1" applyAlignment="1" applyProtection="1">
      <alignment horizontal="center"/>
    </xf>
    <xf numFmtId="0" fontId="62" fillId="0" borderId="6" xfId="0" applyFont="1" applyBorder="1" applyAlignment="1" applyProtection="1">
      <alignment horizontal="left"/>
      <protection locked="0"/>
    </xf>
    <xf numFmtId="0" fontId="62" fillId="0" borderId="4" xfId="0" applyFont="1" applyBorder="1" applyAlignment="1" applyProtection="1">
      <alignment horizontal="left"/>
      <protection locked="0"/>
    </xf>
    <xf numFmtId="0" fontId="62" fillId="0" borderId="3" xfId="0" applyFont="1" applyBorder="1" applyAlignment="1" applyProtection="1">
      <alignment horizontal="left"/>
      <protection locked="0"/>
    </xf>
    <xf numFmtId="0" fontId="64" fillId="0" borderId="7" xfId="0" applyFont="1" applyBorder="1" applyAlignment="1" applyProtection="1">
      <alignment horizontal="center"/>
    </xf>
    <xf numFmtId="0" fontId="64" fillId="0" borderId="0" xfId="0" applyFont="1" applyAlignment="1" applyProtection="1">
      <alignment horizontal="center"/>
    </xf>
    <xf numFmtId="0" fontId="64" fillId="0" borderId="10" xfId="0" applyFont="1" applyBorder="1" applyAlignment="1" applyProtection="1">
      <alignment horizontal="center"/>
    </xf>
    <xf numFmtId="0" fontId="62" fillId="0" borderId="7" xfId="0" applyFont="1" applyBorder="1" applyAlignment="1" applyProtection="1">
      <alignment horizontal="center"/>
    </xf>
    <xf numFmtId="0" fontId="62" fillId="0" borderId="0" xfId="0" applyFont="1" applyAlignment="1" applyProtection="1">
      <alignment horizontal="center"/>
    </xf>
    <xf numFmtId="0" fontId="62" fillId="0" borderId="10" xfId="0" applyFont="1" applyBorder="1" applyAlignment="1" applyProtection="1">
      <alignment horizontal="center"/>
    </xf>
    <xf numFmtId="0" fontId="42" fillId="0" borderId="5" xfId="0" applyFont="1" applyBorder="1" applyAlignment="1" applyProtection="1">
      <alignment horizontal="center"/>
    </xf>
    <xf numFmtId="0" fontId="42" fillId="0" borderId="8" xfId="0" applyFont="1" applyBorder="1" applyAlignment="1" applyProtection="1">
      <alignment horizontal="center"/>
    </xf>
    <xf numFmtId="0" fontId="42" fillId="0" borderId="9" xfId="0" applyFont="1" applyBorder="1" applyAlignment="1" applyProtection="1">
      <alignment horizontal="center"/>
    </xf>
    <xf numFmtId="0" fontId="42" fillId="0" borderId="7" xfId="0" applyFont="1" applyBorder="1" applyAlignment="1" applyProtection="1">
      <alignment horizontal="center" vertical="center"/>
    </xf>
    <xf numFmtId="0" fontId="42" fillId="0" borderId="0" xfId="0" applyFont="1" applyAlignment="1" applyProtection="1">
      <alignment horizontal="center" vertical="center"/>
    </xf>
    <xf numFmtId="0" fontId="42" fillId="0" borderId="10" xfId="0" applyFont="1" applyBorder="1" applyAlignment="1" applyProtection="1">
      <alignment horizontal="center" vertical="center"/>
    </xf>
    <xf numFmtId="0" fontId="67" fillId="0" borderId="7" xfId="1" applyFont="1" applyBorder="1" applyAlignment="1" applyProtection="1">
      <alignment horizontal="center"/>
    </xf>
    <xf numFmtId="0" fontId="67" fillId="0" borderId="0" xfId="1" applyFont="1" applyAlignment="1" applyProtection="1">
      <alignment horizontal="center"/>
    </xf>
    <xf numFmtId="49" fontId="62" fillId="0" borderId="5" xfId="0" applyNumberFormat="1" applyFont="1" applyBorder="1" applyAlignment="1" applyProtection="1">
      <alignment horizontal="left" vertical="top" wrapText="1" indent="1"/>
    </xf>
    <xf numFmtId="49" fontId="62" fillId="0" borderId="8" xfId="0" applyNumberFormat="1" applyFont="1" applyBorder="1" applyAlignment="1" applyProtection="1">
      <alignment horizontal="left" vertical="top" wrapText="1" indent="1"/>
    </xf>
    <xf numFmtId="49" fontId="62" fillId="0" borderId="9" xfId="0" applyNumberFormat="1" applyFont="1" applyBorder="1" applyAlignment="1" applyProtection="1">
      <alignment horizontal="left" vertical="top" wrapText="1" indent="1"/>
    </xf>
    <xf numFmtId="49" fontId="62" fillId="0" borderId="7" xfId="0" applyNumberFormat="1" applyFont="1" applyBorder="1" applyAlignment="1" applyProtection="1">
      <alignment horizontal="left" vertical="top" wrapText="1" indent="1"/>
    </xf>
    <xf numFmtId="49" fontId="62" fillId="0" borderId="0" xfId="0" applyNumberFormat="1" applyFont="1" applyBorder="1" applyAlignment="1" applyProtection="1">
      <alignment horizontal="left" vertical="top" wrapText="1" indent="1"/>
    </xf>
    <xf numFmtId="49" fontId="62" fillId="0" borderId="10" xfId="0" applyNumberFormat="1" applyFont="1" applyBorder="1" applyAlignment="1" applyProtection="1">
      <alignment horizontal="left" vertical="top" wrapText="1" indent="1"/>
    </xf>
    <xf numFmtId="49" fontId="40" fillId="0" borderId="4" xfId="0" applyNumberFormat="1" applyFont="1" applyBorder="1" applyAlignment="1" applyProtection="1">
      <alignment horizontal="left" vertical="center" wrapText="1"/>
    </xf>
    <xf numFmtId="49" fontId="40" fillId="0" borderId="1" xfId="0" applyNumberFormat="1" applyFont="1" applyBorder="1" applyAlignment="1" applyProtection="1">
      <alignment horizontal="left" vertical="center"/>
    </xf>
    <xf numFmtId="49" fontId="40" fillId="0" borderId="3" xfId="0" applyNumberFormat="1" applyFont="1" applyBorder="1" applyAlignment="1" applyProtection="1">
      <alignment horizontal="left" vertical="center"/>
    </xf>
    <xf numFmtId="0" fontId="46" fillId="0" borderId="5" xfId="0" applyFont="1" applyBorder="1" applyAlignment="1" applyProtection="1">
      <alignment horizontal="center" vertical="center" wrapText="1"/>
    </xf>
    <xf numFmtId="0" fontId="46" fillId="0" borderId="8" xfId="0" applyFont="1" applyBorder="1" applyAlignment="1" applyProtection="1">
      <alignment horizontal="center" vertical="center" wrapText="1"/>
    </xf>
    <xf numFmtId="0" fontId="36" fillId="0" borderId="7" xfId="0" applyFont="1" applyBorder="1" applyAlignment="1" applyProtection="1">
      <alignment horizontal="center" vertical="center" wrapText="1"/>
    </xf>
    <xf numFmtId="0" fontId="36" fillId="0" borderId="0" xfId="0" applyFont="1" applyAlignment="1" applyProtection="1">
      <alignment horizontal="center" vertical="center" wrapText="1"/>
    </xf>
    <xf numFmtId="0" fontId="44" fillId="0" borderId="7" xfId="0" applyFont="1" applyBorder="1" applyAlignment="1" applyProtection="1">
      <alignment horizontal="left" vertical="top" wrapText="1"/>
    </xf>
    <xf numFmtId="0" fontId="44" fillId="0" borderId="0" xfId="0" applyFont="1" applyAlignment="1" applyProtection="1">
      <alignment horizontal="left" vertical="top" wrapText="1"/>
    </xf>
    <xf numFmtId="0" fontId="44" fillId="0" borderId="10" xfId="0" applyFont="1" applyBorder="1" applyAlignment="1" applyProtection="1">
      <alignment horizontal="left" vertical="top" wrapText="1"/>
    </xf>
    <xf numFmtId="0" fontId="45" fillId="0" borderId="11" xfId="0" applyFont="1" applyBorder="1" applyAlignment="1" applyProtection="1">
      <alignment horizontal="center" vertical="center" wrapText="1"/>
    </xf>
    <xf numFmtId="0" fontId="45" fillId="0" borderId="2" xfId="0" applyFont="1" applyBorder="1" applyAlignment="1" applyProtection="1">
      <alignment horizontal="center" vertical="center" wrapText="1"/>
    </xf>
    <xf numFmtId="0" fontId="36" fillId="0" borderId="11" xfId="0" applyFont="1" applyBorder="1" applyAlignment="1" applyProtection="1">
      <alignment horizontal="left" vertical="center" wrapText="1"/>
    </xf>
    <xf numFmtId="0" fontId="36" fillId="0" borderId="2" xfId="0" applyFont="1" applyBorder="1" applyAlignment="1" applyProtection="1">
      <alignment horizontal="left" vertical="center" wrapText="1"/>
    </xf>
    <xf numFmtId="0" fontId="36" fillId="0" borderId="12" xfId="0" applyFont="1" applyBorder="1" applyAlignment="1" applyProtection="1">
      <alignment horizontal="left" vertical="center" wrapText="1"/>
    </xf>
    <xf numFmtId="0" fontId="69" fillId="0" borderId="4" xfId="0" applyFont="1" applyBorder="1" applyAlignment="1" applyProtection="1">
      <alignment horizontal="center" vertical="center" wrapText="1"/>
    </xf>
    <xf numFmtId="0" fontId="69" fillId="0" borderId="1" xfId="0" applyFont="1" applyBorder="1" applyAlignment="1" applyProtection="1">
      <alignment horizontal="center" vertical="center" wrapText="1"/>
    </xf>
    <xf numFmtId="0" fontId="69" fillId="0" borderId="3" xfId="0" applyFont="1" applyBorder="1" applyAlignment="1" applyProtection="1">
      <alignment horizontal="center" vertical="center" wrapText="1"/>
    </xf>
    <xf numFmtId="0" fontId="25" fillId="4" borderId="4" xfId="0" applyFont="1" applyFill="1" applyBorder="1" applyAlignment="1" applyProtection="1">
      <alignment horizontal="left" vertical="center"/>
      <protection locked="0"/>
    </xf>
    <xf numFmtId="0" fontId="25" fillId="4" borderId="3" xfId="0" applyFont="1" applyFill="1" applyBorder="1" applyAlignment="1" applyProtection="1">
      <alignment horizontal="left" vertical="center"/>
      <protection locked="0"/>
    </xf>
    <xf numFmtId="0" fontId="25" fillId="4" borderId="4" xfId="0" applyFont="1" applyFill="1" applyBorder="1" applyAlignment="1" applyProtection="1">
      <alignment vertical="center"/>
      <protection locked="0"/>
    </xf>
    <xf numFmtId="0" fontId="24" fillId="0" borderId="1" xfId="0" applyFont="1" applyBorder="1" applyAlignment="1" applyProtection="1">
      <alignment vertical="center"/>
      <protection locked="0"/>
    </xf>
    <xf numFmtId="0" fontId="24" fillId="0" borderId="3" xfId="0" applyFont="1" applyBorder="1" applyAlignment="1" applyProtection="1">
      <alignment vertical="center"/>
      <protection locked="0"/>
    </xf>
    <xf numFmtId="49" fontId="47" fillId="0" borderId="7" xfId="0" applyNumberFormat="1" applyFont="1" applyBorder="1" applyAlignment="1" applyProtection="1">
      <alignment horizontal="right" vertical="center"/>
    </xf>
    <xf numFmtId="49" fontId="47" fillId="0" borderId="0" xfId="0" applyNumberFormat="1" applyFont="1" applyAlignment="1" applyProtection="1">
      <alignment horizontal="right" vertical="center"/>
    </xf>
    <xf numFmtId="49" fontId="47" fillId="0" borderId="10" xfId="0" applyNumberFormat="1" applyFont="1" applyBorder="1" applyAlignment="1" applyProtection="1">
      <alignment horizontal="right" vertical="center"/>
    </xf>
    <xf numFmtId="0" fontId="30" fillId="4" borderId="13" xfId="0" applyFont="1" applyFill="1" applyBorder="1" applyAlignment="1" applyProtection="1">
      <alignment horizontal="center" vertical="center"/>
      <protection locked="0"/>
    </xf>
    <xf numFmtId="0" fontId="30" fillId="4" borderId="14" xfId="0" applyFont="1" applyFill="1" applyBorder="1" applyAlignment="1" applyProtection="1">
      <alignment horizontal="center" vertical="center"/>
      <protection locked="0"/>
    </xf>
  </cellXfs>
  <cellStyles count="3">
    <cellStyle name="Hyperlink" xfId="1" builtinId="8"/>
    <cellStyle name="Normal" xfId="0" builtinId="0"/>
    <cellStyle name="Style 1" xfId="2" xr:uid="{00000000-0005-0000-0000-000002000000}"/>
  </cellStyles>
  <dxfs count="9">
    <dxf>
      <font>
        <condense val="0"/>
        <extend val="0"/>
        <color indexed="9"/>
      </font>
    </dxf>
    <dxf>
      <font>
        <color rgb="FF9C0006"/>
      </font>
      <fill>
        <patternFill>
          <bgColor rgb="FFFFC7CE"/>
        </patternFill>
      </fill>
    </dxf>
    <dxf>
      <font>
        <color theme="0"/>
      </font>
      <fill>
        <patternFill patternType="none">
          <fgColor indexed="64"/>
          <bgColor indexed="65"/>
        </patternFill>
      </fill>
    </dxf>
    <dxf>
      <font>
        <color rgb="FF9C0006"/>
      </font>
      <fill>
        <patternFill>
          <bgColor rgb="FFFFC7CE"/>
        </patternFill>
      </fill>
    </dxf>
    <dxf>
      <font>
        <color rgb="FFCCFFCC"/>
      </font>
      <fill>
        <patternFill patternType="solid">
          <fgColor indexed="64"/>
          <bgColor rgb="FFCCFFCC"/>
        </patternFill>
      </fill>
    </dxf>
    <dxf>
      <font>
        <color theme="0"/>
      </font>
      <fill>
        <patternFill patternType="none">
          <fgColor indexed="64"/>
          <bgColor indexed="65"/>
        </patternFill>
      </fill>
    </dxf>
    <dxf>
      <font>
        <condense val="0"/>
        <extend val="0"/>
        <color indexed="9"/>
      </font>
    </dxf>
    <dxf>
      <font>
        <color rgb="FF9C0006"/>
      </font>
      <fill>
        <patternFill>
          <bgColor rgb="FFFFC7CE"/>
        </patternFill>
      </fill>
    </dxf>
    <dxf>
      <font>
        <color rgb="FF9C0006"/>
      </font>
      <fill>
        <patternFill>
          <bgColor rgb="FFFFC7CE"/>
        </patternFill>
      </fill>
    </dxf>
  </dxfs>
  <tableStyles count="0" defaultTableStyle="TableStyleMedium2"/>
  <colors>
    <mruColors>
      <color rgb="FFCCECFF"/>
      <color rgb="FF3366CC"/>
      <color rgb="FF89E0FF"/>
      <color rgb="FFA3FFFF"/>
      <color rgb="FFCCFFFF"/>
      <color rgb="FF3399FF"/>
      <color rgb="FF000099"/>
      <color rgb="FFB4DE86"/>
      <color rgb="FF00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36</xdr:row>
      <xdr:rowOff>3122</xdr:rowOff>
    </xdr:from>
    <xdr:to>
      <xdr:col>3</xdr:col>
      <xdr:colOff>705971</xdr:colOff>
      <xdr:row>45</xdr:row>
      <xdr:rowOff>538384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519" y="10928857"/>
          <a:ext cx="3673128" cy="3463199"/>
        </a:xfrm>
        <a:prstGeom prst="rect">
          <a:avLst/>
        </a:prstGeom>
      </xdr:spPr>
    </xdr:pic>
    <xdr:clientData/>
  </xdr:twoCellAnchor>
  <xdr:twoCellAnchor editAs="oneCell">
    <xdr:from>
      <xdr:col>1</xdr:col>
      <xdr:colOff>68036</xdr:colOff>
      <xdr:row>0</xdr:row>
      <xdr:rowOff>54428</xdr:rowOff>
    </xdr:from>
    <xdr:to>
      <xdr:col>3</xdr:col>
      <xdr:colOff>1555213</xdr:colOff>
      <xdr:row>0</xdr:row>
      <xdr:rowOff>734786</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2143" y="54428"/>
          <a:ext cx="4467141" cy="680358"/>
        </a:xfrm>
        <a:prstGeom prst="rect">
          <a:avLst/>
        </a:prstGeom>
      </xdr:spPr>
    </xdr:pic>
    <xdr:clientData/>
  </xdr:twoCellAnchor>
  <xdr:twoCellAnchor editAs="oneCell">
    <xdr:from>
      <xdr:col>9</xdr:col>
      <xdr:colOff>784997</xdr:colOff>
      <xdr:row>0</xdr:row>
      <xdr:rowOff>54428</xdr:rowOff>
    </xdr:from>
    <xdr:to>
      <xdr:col>10</xdr:col>
      <xdr:colOff>1957013</xdr:colOff>
      <xdr:row>0</xdr:row>
      <xdr:rowOff>721178</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18211" y="54428"/>
          <a:ext cx="2311814" cy="666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securedsigning.com/products/signature-verification-serv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97"/>
  <sheetViews>
    <sheetView showGridLines="0" tabSelected="1" zoomScale="106" zoomScaleNormal="106" workbookViewId="0">
      <selection activeCell="G7" sqref="G7:I7"/>
    </sheetView>
  </sheetViews>
  <sheetFormatPr defaultColWidth="10.83203125" defaultRowHeight="12.75"/>
  <cols>
    <col min="1" max="1" width="3.6640625" customWidth="1"/>
    <col min="2" max="2" width="18.5" customWidth="1"/>
    <col min="3" max="3" width="33.6640625" customWidth="1"/>
    <col min="4" max="4" width="43.83203125" customWidth="1"/>
    <col min="5" max="5" width="17.5" customWidth="1"/>
    <col min="6" max="6" width="17.33203125" customWidth="1"/>
    <col min="7" max="7" width="11.5" customWidth="1"/>
    <col min="8" max="8" width="19.6640625" customWidth="1"/>
    <col min="9" max="9" width="9.5" customWidth="1"/>
    <col min="10" max="10" width="19.83203125" customWidth="1"/>
    <col min="11" max="11" width="38.6640625" customWidth="1"/>
    <col min="12" max="12" width="13.6640625" customWidth="1"/>
    <col min="13" max="13" width="62.1640625" customWidth="1"/>
    <col min="14" max="14" width="10.83203125" customWidth="1"/>
    <col min="15" max="15" width="2.33203125" customWidth="1"/>
    <col min="16" max="16" width="10.33203125" customWidth="1"/>
    <col min="17" max="17" width="30.83203125" style="27" customWidth="1"/>
    <col min="18" max="18" width="31" style="27" customWidth="1"/>
  </cols>
  <sheetData>
    <row r="1" spans="1:19" ht="60.95" customHeight="1">
      <c r="A1" s="19"/>
      <c r="B1" s="83"/>
      <c r="C1" s="84"/>
      <c r="D1" s="85" t="s">
        <v>45</v>
      </c>
      <c r="E1" s="344" t="s">
        <v>48</v>
      </c>
      <c r="F1" s="345"/>
      <c r="G1" s="345"/>
      <c r="H1" s="345"/>
      <c r="I1" s="345"/>
      <c r="J1" s="345"/>
      <c r="K1" s="86"/>
      <c r="L1" s="34"/>
    </row>
    <row r="2" spans="1:19" ht="42.75" customHeight="1">
      <c r="A2" s="12"/>
      <c r="B2" s="346" t="s">
        <v>70</v>
      </c>
      <c r="C2" s="347"/>
      <c r="D2" s="347"/>
      <c r="E2" s="348" t="s">
        <v>72</v>
      </c>
      <c r="F2" s="349"/>
      <c r="G2" s="349"/>
      <c r="H2" s="349"/>
      <c r="I2" s="349"/>
      <c r="J2" s="349"/>
      <c r="K2" s="350"/>
    </row>
    <row r="3" spans="1:19" ht="35.25" customHeight="1">
      <c r="A3" s="12"/>
      <c r="B3" s="351" t="s">
        <v>69</v>
      </c>
      <c r="C3" s="352"/>
      <c r="D3" s="352"/>
      <c r="E3" s="353" t="s">
        <v>73</v>
      </c>
      <c r="F3" s="354"/>
      <c r="G3" s="354"/>
      <c r="H3" s="354"/>
      <c r="I3" s="354"/>
      <c r="J3" s="354"/>
      <c r="K3" s="355"/>
      <c r="N3" s="34"/>
    </row>
    <row r="4" spans="1:19" ht="22.5" customHeight="1">
      <c r="A4" s="12"/>
      <c r="B4" s="356" t="s">
        <v>64</v>
      </c>
      <c r="C4" s="357"/>
      <c r="D4" s="357"/>
      <c r="E4" s="357"/>
      <c r="F4" s="357"/>
      <c r="G4" s="357"/>
      <c r="H4" s="357"/>
      <c r="I4" s="357"/>
      <c r="J4" s="357"/>
      <c r="K4" s="358"/>
      <c r="N4" s="34"/>
    </row>
    <row r="5" spans="1:19" s="9" customFormat="1" ht="29.1" customHeight="1">
      <c r="A5" s="20"/>
      <c r="B5" s="87" t="s">
        <v>3</v>
      </c>
      <c r="C5" s="359"/>
      <c r="D5" s="288"/>
      <c r="E5" s="288"/>
      <c r="F5" s="287"/>
      <c r="G5" s="288"/>
      <c r="H5" s="288"/>
      <c r="I5" s="288"/>
      <c r="J5" s="288"/>
      <c r="K5" s="289"/>
      <c r="M5" s="247"/>
      <c r="N5" s="247"/>
      <c r="O5" s="247"/>
      <c r="P5" s="247"/>
      <c r="Q5" s="247"/>
      <c r="R5" s="247"/>
      <c r="S5" s="247"/>
    </row>
    <row r="6" spans="1:19" s="9" customFormat="1" ht="29.1" customHeight="1">
      <c r="A6" s="20"/>
      <c r="B6" s="88" t="s">
        <v>0</v>
      </c>
      <c r="C6" s="361"/>
      <c r="D6" s="362"/>
      <c r="E6" s="363"/>
      <c r="F6" s="244" t="s">
        <v>84</v>
      </c>
      <c r="G6" s="283"/>
      <c r="H6" s="284"/>
      <c r="I6" s="284"/>
      <c r="J6" s="285"/>
      <c r="K6" s="286"/>
      <c r="Q6" s="28"/>
      <c r="R6" s="28"/>
    </row>
    <row r="7" spans="1:19" s="9" customFormat="1" ht="29.1" customHeight="1">
      <c r="A7" s="20"/>
      <c r="B7" s="87" t="s">
        <v>4</v>
      </c>
      <c r="C7" s="359"/>
      <c r="D7" s="287"/>
      <c r="E7" s="360"/>
      <c r="F7" s="89" t="s">
        <v>31</v>
      </c>
      <c r="G7" s="268"/>
      <c r="H7" s="269"/>
      <c r="I7" s="270"/>
      <c r="J7" s="90" t="s">
        <v>30</v>
      </c>
      <c r="K7" s="80"/>
      <c r="Q7" s="28"/>
      <c r="R7" s="28"/>
    </row>
    <row r="8" spans="1:19" s="9" customFormat="1" ht="29.1" customHeight="1">
      <c r="A8" s="20"/>
      <c r="B8" s="88" t="s">
        <v>6</v>
      </c>
      <c r="C8" s="359"/>
      <c r="D8" s="287"/>
      <c r="E8" s="360"/>
      <c r="F8" s="89" t="s">
        <v>32</v>
      </c>
      <c r="G8" s="268"/>
      <c r="H8" s="269"/>
      <c r="I8" s="270"/>
      <c r="J8" s="90" t="s">
        <v>34</v>
      </c>
      <c r="K8" s="73"/>
      <c r="M8" s="243"/>
      <c r="N8" s="61"/>
      <c r="Q8" s="28"/>
      <c r="R8" s="28"/>
    </row>
    <row r="9" spans="1:19" s="9" customFormat="1" ht="29.1" customHeight="1">
      <c r="A9" s="20"/>
      <c r="B9" s="87" t="s">
        <v>2</v>
      </c>
      <c r="C9" s="359"/>
      <c r="D9" s="287"/>
      <c r="E9" s="360"/>
      <c r="F9" s="89" t="s">
        <v>33</v>
      </c>
      <c r="G9" s="268"/>
      <c r="H9" s="269"/>
      <c r="I9" s="270"/>
      <c r="J9" s="91" t="s">
        <v>1</v>
      </c>
      <c r="K9" s="74"/>
      <c r="N9" s="8"/>
      <c r="O9" s="8"/>
      <c r="Q9" s="29"/>
      <c r="R9" s="31"/>
    </row>
    <row r="10" spans="1:19" s="9" customFormat="1" ht="26.1" customHeight="1">
      <c r="A10" s="20"/>
      <c r="B10" s="274" t="s">
        <v>77</v>
      </c>
      <c r="C10" s="275"/>
      <c r="D10" s="275"/>
      <c r="E10" s="275"/>
      <c r="F10" s="275"/>
      <c r="G10" s="275"/>
      <c r="H10" s="275"/>
      <c r="I10" s="275"/>
      <c r="J10" s="275"/>
      <c r="K10" s="276"/>
      <c r="Q10" s="28"/>
      <c r="R10" s="28"/>
    </row>
    <row r="11" spans="1:19" s="8" customFormat="1" ht="21.75" customHeight="1">
      <c r="A11" s="21"/>
      <c r="B11" s="92" t="s">
        <v>78</v>
      </c>
      <c r="C11" s="93"/>
      <c r="D11" s="94"/>
      <c r="E11" s="95"/>
      <c r="F11" s="96"/>
      <c r="G11" s="95"/>
      <c r="H11" s="97"/>
      <c r="I11" s="97" t="s">
        <v>29</v>
      </c>
      <c r="J11" s="98"/>
      <c r="K11" s="99"/>
      <c r="O11"/>
      <c r="P11"/>
      <c r="Q11" s="30"/>
      <c r="R11" s="30"/>
      <c r="S11" s="2"/>
    </row>
    <row r="12" spans="1:19" s="8" customFormat="1" ht="23.1" customHeight="1">
      <c r="A12" s="21"/>
      <c r="B12" s="100"/>
      <c r="C12" s="101"/>
      <c r="D12" s="102" t="s">
        <v>47</v>
      </c>
      <c r="E12" s="57"/>
      <c r="F12" s="103" t="s">
        <v>44</v>
      </c>
      <c r="G12" s="104"/>
      <c r="H12" s="105"/>
      <c r="I12" s="105"/>
      <c r="J12" s="106"/>
      <c r="K12" s="107"/>
      <c r="O12"/>
      <c r="P12"/>
      <c r="Q12" s="30"/>
      <c r="R12" s="30"/>
      <c r="S12" s="2"/>
    </row>
    <row r="13" spans="1:19" s="2" customFormat="1" ht="24.95" customHeight="1">
      <c r="A13" s="14"/>
      <c r="B13" s="108"/>
      <c r="C13" s="272" t="s">
        <v>39</v>
      </c>
      <c r="D13" s="273"/>
      <c r="E13" s="55"/>
      <c r="F13" s="239" t="s">
        <v>65</v>
      </c>
      <c r="G13" s="109"/>
      <c r="H13" s="110"/>
      <c r="I13" s="110"/>
      <c r="J13" s="110"/>
      <c r="K13" s="111"/>
      <c r="M13"/>
      <c r="N13"/>
      <c r="O13"/>
      <c r="P13"/>
      <c r="Q13" s="30"/>
      <c r="R13" s="30"/>
    </row>
    <row r="14" spans="1:19" s="2" customFormat="1" ht="24.95" customHeight="1">
      <c r="A14" s="14"/>
      <c r="B14" s="271" t="str">
        <f>IF(E13="","Daily wastewater design flow allowance per person, or total daily design flow  (L/d)   ",IF(E13=1,"Total daily design flow     (L/d)   ","Daily wastewater design flow allowance per person      (L/d)   "))</f>
        <v xml:space="preserve">Daily wastewater design flow allowance per person, or total daily design flow  (L/d)   </v>
      </c>
      <c r="C14" s="272"/>
      <c r="D14" s="273"/>
      <c r="E14" s="56"/>
      <c r="F14" s="119"/>
      <c r="G14" s="109"/>
      <c r="H14" s="110"/>
      <c r="I14" s="110"/>
      <c r="J14" s="110"/>
      <c r="K14" s="111"/>
      <c r="M14"/>
      <c r="N14"/>
      <c r="O14"/>
      <c r="P14"/>
      <c r="Q14" s="30"/>
      <c r="R14" s="30"/>
    </row>
    <row r="15" spans="1:19" s="2" customFormat="1" ht="33" customHeight="1">
      <c r="A15" s="14"/>
      <c r="B15" s="108"/>
      <c r="C15" s="272" t="s">
        <v>46</v>
      </c>
      <c r="D15" s="273"/>
      <c r="E15" s="67"/>
      <c r="F15" s="262" t="s">
        <v>82</v>
      </c>
      <c r="G15" s="263"/>
      <c r="H15" s="263"/>
      <c r="I15" s="263"/>
      <c r="J15" s="263"/>
      <c r="K15" s="264"/>
      <c r="L15" s="242"/>
      <c r="M15"/>
      <c r="N15"/>
      <c r="O15"/>
      <c r="P15"/>
      <c r="Q15" s="30"/>
      <c r="R15" s="30"/>
    </row>
    <row r="16" spans="1:19" s="2" customFormat="1" ht="24.95" customHeight="1">
      <c r="A16" s="14"/>
      <c r="B16" s="108"/>
      <c r="C16" s="114"/>
      <c r="D16" s="115" t="s">
        <v>25</v>
      </c>
      <c r="E16" s="68"/>
      <c r="F16" s="116" t="str">
        <f>IF(E16= 0,"",IF(E16 ="y", "&gt;&gt;   Use with 1 - 4 rows; for 5 or more rows using cut pipes contact ET.", ""))</f>
        <v/>
      </c>
      <c r="G16" s="113"/>
      <c r="H16" s="110"/>
      <c r="I16" s="110"/>
      <c r="J16" s="110"/>
      <c r="K16" s="111"/>
      <c r="L16" s="32"/>
      <c r="M16" s="70"/>
      <c r="N16"/>
      <c r="O16"/>
      <c r="P16"/>
      <c r="Q16" s="30"/>
      <c r="R16" s="30"/>
    </row>
    <row r="17" spans="1:22" s="2" customFormat="1" ht="24.75" customHeight="1">
      <c r="A17" s="14"/>
      <c r="B17" s="271" t="s">
        <v>68</v>
      </c>
      <c r="C17" s="272"/>
      <c r="D17" s="273"/>
      <c r="E17" s="57"/>
      <c r="F17" s="117" t="str">
        <f>IF(E17=1,"&gt;&gt;  AES pipe row will be split into two, and joined with an in-line raised connector. ","&gt;&gt;  Longer AES beds increase contact area with surrounding soil.")</f>
        <v>&gt;&gt;  Longer AES beds increase contact area with surrounding soil.</v>
      </c>
      <c r="G17" s="118"/>
      <c r="H17" s="119"/>
      <c r="I17" s="119"/>
      <c r="J17" s="119"/>
      <c r="K17" s="120"/>
      <c r="M17" s="65"/>
      <c r="N17"/>
      <c r="O17"/>
      <c r="P17"/>
      <c r="Q17" s="30"/>
      <c r="R17" s="30"/>
    </row>
    <row r="18" spans="1:22" s="2" customFormat="1" ht="24.95" customHeight="1">
      <c r="A18" s="14"/>
      <c r="B18" s="364" t="s">
        <v>38</v>
      </c>
      <c r="C18" s="365"/>
      <c r="D18" s="366"/>
      <c r="E18" s="56"/>
      <c r="F18" s="117" t="str">
        <f>IF(E18&lt;=3,"","&gt;&gt;  Contact ET for information regarding customising AES bed layouts to clay soils and sloping sites.")</f>
        <v/>
      </c>
      <c r="G18" s="121"/>
      <c r="H18" s="110"/>
      <c r="I18" s="110"/>
      <c r="J18" s="110"/>
      <c r="K18" s="111"/>
      <c r="M18" s="65"/>
      <c r="N18"/>
      <c r="O18"/>
      <c r="P18"/>
      <c r="Q18" s="30"/>
      <c r="R18" s="30"/>
    </row>
    <row r="19" spans="1:22" s="2" customFormat="1" ht="24.95" customHeight="1">
      <c r="A19" s="14"/>
      <c r="B19" s="271" t="s">
        <v>52</v>
      </c>
      <c r="C19" s="272"/>
      <c r="D19" s="273"/>
      <c r="E19" s="56"/>
      <c r="F19" s="122" t="str">
        <f>IF(E19=0,"",IF(E19&lt;=30,IF(E18&lt;=2,"","&gt;&gt;  Soil conditioning may be necessary. Ref AS/NZS 1547/ TP58/ GD06 &amp; Notes below. "),""))</f>
        <v/>
      </c>
      <c r="G19" s="121"/>
      <c r="H19" s="110"/>
      <c r="I19" s="110"/>
      <c r="J19" s="110"/>
      <c r="K19" s="123"/>
      <c r="M19" s="69"/>
      <c r="N19"/>
      <c r="O19"/>
      <c r="P19"/>
      <c r="Q19" s="30"/>
      <c r="R19" s="30"/>
    </row>
    <row r="20" spans="1:22" s="2" customFormat="1" ht="24" customHeight="1">
      <c r="A20" s="14"/>
      <c r="B20" s="124"/>
      <c r="C20" s="114"/>
      <c r="D20" s="114" t="str">
        <f>IF(E20="","AES sand depth beneath AES pipes - standard 300mm  (mm)   ","  Sand depth beneath AES pipes      (mm)   "  )</f>
        <v xml:space="preserve">AES sand depth beneath AES pipes - standard 300mm  (mm)   </v>
      </c>
      <c r="E20" s="367"/>
      <c r="F20" s="117" t="str">
        <f>IF(E20="","&gt;&gt;  Standard 300mm achieves 3.5Log reduction** for faecal coliforms (FC)",IF(E20&lt;300,"&gt;&gt;  Receiving soil must be sand with &lt;2% fines",IF(E20=300,"&gt;&gt;  Standard 300mm achieves 3.5Log reduction for FC**; increase sand depth to further reduce FC.","&gt;&gt;  "&amp;E20-300&amp;"mm additional sand depth - to increase FC Log reduction at 6.78Log/m ("&amp;ROUND((E20-300)/1000*6.78,2)&amp;"Log/"&amp;E20-300&amp;"mm)***")))</f>
        <v>&gt;&gt;  Standard 300mm achieves 3.5Log reduction** for faecal coliforms (FC)</v>
      </c>
      <c r="G20" s="121"/>
      <c r="H20" s="110"/>
      <c r="I20" s="110"/>
      <c r="J20" s="110"/>
      <c r="K20" s="111"/>
      <c r="M20" s="69"/>
      <c r="N20"/>
      <c r="O20"/>
      <c r="P20"/>
      <c r="Q20" s="30"/>
      <c r="R20" s="30"/>
    </row>
    <row r="21" spans="1:22" s="2" customFormat="1" ht="14.25" customHeight="1">
      <c r="A21" s="14"/>
      <c r="B21" s="124"/>
      <c r="C21" s="114"/>
      <c r="D21" s="114"/>
      <c r="E21" s="368"/>
      <c r="F21" s="117"/>
      <c r="G21" s="265" t="str">
        <f>IF(E20&lt;300,"Total expected FC reduction through AES system in this design: 3.5Log.      ","Total expected FC reduction through AES system in this design: "&amp;F29&amp;"Log***")</f>
        <v xml:space="preserve">Total expected FC reduction through AES system in this design: 3.5Log.      </v>
      </c>
      <c r="H21" s="266"/>
      <c r="I21" s="266"/>
      <c r="J21" s="266"/>
      <c r="K21" s="267"/>
      <c r="M21" s="69"/>
      <c r="N21"/>
      <c r="O21"/>
      <c r="P21"/>
      <c r="Q21" s="30"/>
      <c r="R21" s="30"/>
    </row>
    <row r="22" spans="1:22" s="2" customFormat="1" ht="24.95" customHeight="1">
      <c r="A22" s="14"/>
      <c r="B22" s="271" t="s">
        <v>36</v>
      </c>
      <c r="C22" s="272"/>
      <c r="D22" s="273"/>
      <c r="E22" s="246"/>
      <c r="F22" s="112" t="str">
        <f>IF(E22= "","",IF(E22 ="y", "&gt;&gt;  A velocity reducer is required at the AES bed to reduce turbulence in AES pipes.", "&gt;&gt;  Ensure there is 50mm min. fall between septic tank and AES pipes, and pipework laid at 1:100 min."))</f>
        <v/>
      </c>
      <c r="G22" s="121"/>
      <c r="H22" s="110"/>
      <c r="I22" s="110"/>
      <c r="J22" s="110"/>
      <c r="K22" s="111"/>
      <c r="L22" s="33"/>
      <c r="M22" s="65"/>
      <c r="N22"/>
      <c r="O22"/>
      <c r="P22"/>
      <c r="Q22" s="30"/>
      <c r="R22" s="30"/>
    </row>
    <row r="23" spans="1:22" s="2" customFormat="1" ht="24.95" customHeight="1">
      <c r="A23" s="14"/>
      <c r="B23" s="271" t="s">
        <v>63</v>
      </c>
      <c r="C23" s="272"/>
      <c r="D23" s="273"/>
      <c r="E23" s="57"/>
      <c r="F23" s="112" t="str">
        <f>IF(E23="","",IF(E23="y","&gt;&gt;  Ensure subsurface &amp; surface water is diverted away from AES bed.","&gt;&gt;  Crown top of bed to shed rainfall and to divert surface water."))</f>
        <v/>
      </c>
      <c r="G23" s="121"/>
      <c r="H23" s="110"/>
      <c r="I23" s="110"/>
      <c r="J23" s="110"/>
      <c r="K23" s="111"/>
      <c r="L23" s="25"/>
      <c r="M23" s="38"/>
      <c r="N23" s="38"/>
      <c r="O23" s="38"/>
      <c r="P23" s="38"/>
      <c r="Q23" s="37"/>
      <c r="R23" s="39"/>
      <c r="S23" s="25"/>
      <c r="T23" s="25"/>
      <c r="U23" s="25"/>
      <c r="V23" s="25"/>
    </row>
    <row r="24" spans="1:22" s="2" customFormat="1" ht="24.95" customHeight="1">
      <c r="A24" s="14"/>
      <c r="B24" s="271" t="s">
        <v>24</v>
      </c>
      <c r="C24" s="272"/>
      <c r="D24" s="273"/>
      <c r="E24" s="57"/>
      <c r="F24" s="112" t="str">
        <f>IF(E24= 0,"",IF(E24 ="y", "&gt;&gt;  Fit screw capped inspection pipe on TV to allow fitting of carbon filter if required.", ""))</f>
        <v/>
      </c>
      <c r="G24" s="121"/>
      <c r="H24" s="110"/>
      <c r="I24" s="110"/>
      <c r="J24" s="110"/>
      <c r="K24" s="111"/>
      <c r="L24" s="25"/>
      <c r="M24" s="38"/>
      <c r="N24" s="38"/>
      <c r="O24" s="38"/>
      <c r="P24" s="38"/>
      <c r="Q24" s="39"/>
      <c r="R24" s="39"/>
      <c r="S24" s="25"/>
      <c r="T24" s="25"/>
      <c r="U24" s="25"/>
      <c r="V24" s="25"/>
    </row>
    <row r="25" spans="1:22" s="2" customFormat="1" ht="24.95" customHeight="1">
      <c r="A25" s="14"/>
      <c r="B25" s="124"/>
      <c r="C25" s="114"/>
      <c r="D25" s="115" t="s">
        <v>42</v>
      </c>
      <c r="E25" s="57"/>
      <c r="F25" s="112" t="s">
        <v>62</v>
      </c>
      <c r="G25" s="121"/>
      <c r="H25" s="110"/>
      <c r="I25" s="110"/>
      <c r="J25" s="110"/>
      <c r="K25" s="111"/>
      <c r="L25" s="34"/>
      <c r="M25" s="38"/>
      <c r="N25" s="38"/>
      <c r="O25" s="38"/>
      <c r="P25" s="38"/>
      <c r="Q25" s="39"/>
      <c r="R25" s="39"/>
      <c r="S25" s="25"/>
      <c r="T25" s="25"/>
      <c r="U25" s="25"/>
      <c r="V25" s="25"/>
    </row>
    <row r="26" spans="1:22" s="2" customFormat="1" ht="24.95" customHeight="1">
      <c r="A26" s="14"/>
      <c r="B26" s="125"/>
      <c r="C26" s="272" t="s">
        <v>41</v>
      </c>
      <c r="D26" s="273"/>
      <c r="E26" s="57"/>
      <c r="F26" s="112" t="str">
        <f>IF(E26="y", "&gt;&gt;  Refer to sample port drawing: http://www.et.nz/resources/technical-drawings/","")</f>
        <v/>
      </c>
      <c r="G26" s="126"/>
      <c r="H26" s="127"/>
      <c r="I26" s="127"/>
      <c r="J26" s="127"/>
      <c r="K26" s="128"/>
      <c r="L26" s="25"/>
      <c r="M26" s="66"/>
      <c r="N26" s="38"/>
      <c r="O26" s="38"/>
      <c r="P26" s="38"/>
      <c r="Q26" s="63"/>
      <c r="R26" s="39"/>
      <c r="S26" s="25"/>
      <c r="T26" s="25"/>
      <c r="U26" s="25"/>
      <c r="V26" s="25"/>
    </row>
    <row r="27" spans="1:22" s="2" customFormat="1" ht="22.5" customHeight="1">
      <c r="A27" s="14"/>
      <c r="B27" s="125"/>
      <c r="C27" s="272" t="s">
        <v>40</v>
      </c>
      <c r="D27" s="273"/>
      <c r="E27" s="245"/>
      <c r="F27" s="58"/>
      <c r="G27" s="129" t="s">
        <v>35</v>
      </c>
      <c r="H27" s="130"/>
      <c r="I27" s="130"/>
      <c r="J27" s="131"/>
      <c r="K27" s="132"/>
      <c r="L27" s="25"/>
      <c r="M27" s="38"/>
      <c r="N27" s="38"/>
      <c r="O27" s="38"/>
      <c r="P27" s="38"/>
      <c r="Q27" s="39"/>
      <c r="R27" s="39"/>
      <c r="S27" s="25"/>
      <c r="T27" s="25"/>
      <c r="U27" s="25"/>
      <c r="V27" s="25"/>
    </row>
    <row r="28" spans="1:22" s="2" customFormat="1" ht="0.75" hidden="1" customHeight="1">
      <c r="A28" s="14"/>
      <c r="B28" s="133"/>
      <c r="C28" s="134" t="e">
        <f>ROUNDUP(F40,0)</f>
        <v>#VALUE!</v>
      </c>
      <c r="D28" s="133"/>
      <c r="E28" s="133">
        <f>IF(E19=0,,F38/E19)</f>
        <v>0</v>
      </c>
      <c r="F28" s="133"/>
      <c r="G28" s="135"/>
      <c r="H28" s="133"/>
      <c r="I28" s="133"/>
      <c r="J28" s="133">
        <f>(E17+1)*0.45</f>
        <v>0.45</v>
      </c>
      <c r="K28" s="134" t="str">
        <f>IF(E17&lt;=1,"",IF(K40="","",J40+K40))</f>
        <v/>
      </c>
      <c r="L28" s="25"/>
      <c r="M28" s="38"/>
      <c r="N28" s="38"/>
      <c r="O28" s="38"/>
      <c r="P28" s="38"/>
      <c r="Q28" s="39"/>
      <c r="R28" s="39"/>
      <c r="S28" s="25"/>
      <c r="T28" s="25"/>
      <c r="U28" s="25"/>
      <c r="V28" s="25"/>
    </row>
    <row r="29" spans="1:22" s="2" customFormat="1" ht="3" hidden="1" customHeight="1">
      <c r="A29" s="14"/>
      <c r="B29" s="136"/>
      <c r="C29" s="137"/>
      <c r="D29" s="137"/>
      <c r="E29" s="138">
        <v>0</v>
      </c>
      <c r="F29" s="139">
        <f>3.5+ROUND((E20-300)/1000*6.78,2)</f>
        <v>1.4700000000000002</v>
      </c>
      <c r="G29" s="140"/>
      <c r="H29" s="137"/>
      <c r="I29" s="137"/>
      <c r="J29" s="137"/>
      <c r="K29" s="141"/>
      <c r="L29" s="25"/>
      <c r="M29" s="38"/>
      <c r="N29" s="38"/>
      <c r="O29" s="40"/>
      <c r="P29" s="40"/>
      <c r="Q29" s="41"/>
      <c r="R29" s="41"/>
      <c r="S29" s="42"/>
      <c r="T29" s="25"/>
      <c r="U29" s="25"/>
      <c r="V29" s="25"/>
    </row>
    <row r="30" spans="1:22" s="8" customFormat="1" ht="21.95" customHeight="1">
      <c r="A30" s="21"/>
      <c r="B30" s="240" t="s">
        <v>79</v>
      </c>
      <c r="C30" s="254"/>
      <c r="D30" s="254"/>
      <c r="E30" s="254"/>
      <c r="F30" s="254"/>
      <c r="G30" s="254"/>
      <c r="H30" s="254"/>
      <c r="I30" s="254"/>
      <c r="J30" s="254"/>
      <c r="K30" s="254"/>
      <c r="L30" s="42"/>
      <c r="M30" s="52"/>
      <c r="N30" s="42"/>
      <c r="O30" s="40"/>
      <c r="P30" s="40"/>
      <c r="Q30" s="43"/>
      <c r="R30" s="43"/>
      <c r="S30" s="40"/>
      <c r="T30" s="42"/>
      <c r="U30" s="42"/>
      <c r="V30" s="42"/>
    </row>
    <row r="31" spans="1:22" s="8" customFormat="1" ht="28.5" customHeight="1">
      <c r="A31" s="21"/>
      <c r="B31" s="241" t="s">
        <v>80</v>
      </c>
      <c r="C31" s="254"/>
      <c r="D31" s="254"/>
      <c r="E31" s="254"/>
      <c r="F31" s="254"/>
      <c r="G31" s="254"/>
      <c r="H31" s="254"/>
      <c r="I31" s="254"/>
      <c r="J31" s="254"/>
      <c r="K31" s="254"/>
      <c r="L31" s="42"/>
      <c r="M31" s="42"/>
      <c r="N31" s="42"/>
      <c r="O31" s="40"/>
      <c r="P31" s="40"/>
      <c r="Q31" s="43"/>
      <c r="R31" s="43"/>
      <c r="S31" s="40"/>
      <c r="T31" s="42"/>
      <c r="U31" s="42"/>
      <c r="V31" s="42"/>
    </row>
    <row r="32" spans="1:22" s="8" customFormat="1" ht="33.75" customHeight="1">
      <c r="A32" s="21"/>
      <c r="B32" s="255" t="str">
        <f>IF(E19=0,"",IF(E19&lt;=30,IF(E18&lt;=2,"","- Scarification of receiving surface is required in soil with elevated clay contents in Cat 4,5,6. In addition refer to AS/NZS 1547.2012, TP58 and GD06 (draft) 
   Always excavate and scarify parallel to the site slope and the rows of AES pipe."),""))</f>
        <v/>
      </c>
      <c r="C32" s="256"/>
      <c r="D32" s="256"/>
      <c r="E32" s="256"/>
      <c r="F32" s="256"/>
      <c r="G32" s="256"/>
      <c r="H32" s="256"/>
      <c r="I32" s="256"/>
      <c r="J32" s="256"/>
      <c r="K32" s="257"/>
      <c r="L32" s="42"/>
      <c r="M32" s="42"/>
      <c r="N32" s="42"/>
      <c r="O32" s="40"/>
      <c r="P32" s="40"/>
      <c r="Q32" s="43"/>
      <c r="R32" s="43"/>
      <c r="S32" s="40"/>
      <c r="T32" s="42"/>
      <c r="U32" s="42"/>
      <c r="V32" s="42"/>
    </row>
    <row r="33" spans="1:22" s="8" customFormat="1" ht="18.75" customHeight="1">
      <c r="A33" s="21"/>
      <c r="B33" s="142" t="str">
        <f>IF(E18&lt;=3,"",IF(E19&lt;=29,"- Specialist soils advice and special design techniques will be required for clay dominated soil having dispersive or shrink/swell behaviour. Refer AS/NZS 1547",""))</f>
        <v/>
      </c>
      <c r="C33" s="143"/>
      <c r="D33" s="143"/>
      <c r="E33" s="143"/>
      <c r="F33" s="143"/>
      <c r="G33" s="143"/>
      <c r="H33" s="143"/>
      <c r="I33" s="143"/>
      <c r="J33" s="143"/>
      <c r="K33" s="144"/>
      <c r="L33" s="40"/>
      <c r="M33" s="42"/>
      <c r="N33" s="42"/>
      <c r="O33" s="40"/>
      <c r="P33" s="40"/>
      <c r="Q33" s="43"/>
      <c r="R33" s="43"/>
      <c r="S33" s="40"/>
      <c r="T33" s="42"/>
      <c r="U33" s="42"/>
      <c r="V33" s="42"/>
    </row>
    <row r="34" spans="1:22" s="76" customFormat="1" ht="19.5" customHeight="1">
      <c r="A34" s="75"/>
      <c r="B34" s="142" t="str">
        <f>IF(E23="N","",("- All sloping sites require special consideration regarding design of AES bed, sand extensions, surface water and construction methods as per AS/NZS 1547."))</f>
        <v>- All sloping sites require special consideration regarding design of AES bed, sand extensions, surface water and construction methods as per AS/NZS 1547.</v>
      </c>
      <c r="C34" s="145"/>
      <c r="D34" s="145"/>
      <c r="E34" s="145"/>
      <c r="F34" s="145"/>
      <c r="G34" s="145"/>
      <c r="H34" s="145"/>
      <c r="I34" s="145"/>
      <c r="J34" s="145"/>
      <c r="K34" s="146"/>
      <c r="Q34" s="77"/>
      <c r="R34" s="77"/>
    </row>
    <row r="35" spans="1:22" s="8" customFormat="1" ht="24.75" customHeight="1">
      <c r="A35" s="21"/>
      <c r="B35" s="147" t="str">
        <f>IF(E19="","",IF(E19&lt;=25,"- Drainlayers ensure good construction techniques ref. AS/NZS 1547 are especially important in these soil types. Ref AS/NZS1547 &amp; AES installation Instructions.","- Drainlayers are reminded to practice good construction techniques as per AS/NZS 1547 and as provided on AES installation instructions supplied with components."))</f>
        <v/>
      </c>
      <c r="C35" s="148"/>
      <c r="D35" s="148"/>
      <c r="E35" s="148"/>
      <c r="F35" s="148"/>
      <c r="G35" s="148"/>
      <c r="H35" s="148"/>
      <c r="I35" s="148"/>
      <c r="J35" s="148"/>
      <c r="K35" s="149"/>
      <c r="L35" s="40"/>
      <c r="M35" s="42"/>
      <c r="N35" s="42"/>
      <c r="O35" s="40"/>
      <c r="P35" s="40"/>
      <c r="Q35" s="41"/>
      <c r="R35" s="51"/>
      <c r="S35" s="40"/>
      <c r="T35" s="42"/>
      <c r="U35" s="42"/>
      <c r="V35" s="42"/>
    </row>
    <row r="36" spans="1:22" s="8" customFormat="1" ht="3" customHeight="1">
      <c r="A36" s="21"/>
      <c r="B36" s="150"/>
      <c r="C36" s="151"/>
      <c r="D36" s="151"/>
      <c r="E36" s="151"/>
      <c r="F36" s="151"/>
      <c r="G36" s="151"/>
      <c r="H36" s="151"/>
      <c r="I36" s="151"/>
      <c r="J36" s="151"/>
      <c r="K36" s="152"/>
      <c r="L36" s="40"/>
      <c r="M36" s="42"/>
      <c r="N36" s="42"/>
      <c r="O36" s="40"/>
      <c r="P36" s="40"/>
      <c r="Q36" s="43"/>
      <c r="R36" s="43"/>
      <c r="S36" s="40"/>
      <c r="T36" s="42"/>
      <c r="U36" s="42"/>
      <c r="V36" s="42"/>
    </row>
    <row r="37" spans="1:22" s="2" customFormat="1" ht="21.95" customHeight="1">
      <c r="A37" s="14"/>
      <c r="B37" s="153"/>
      <c r="C37" s="154"/>
      <c r="D37" s="258" t="s">
        <v>28</v>
      </c>
      <c r="E37" s="258"/>
      <c r="F37" s="258"/>
      <c r="G37" s="259"/>
      <c r="H37" s="155"/>
      <c r="I37" s="156"/>
      <c r="J37" s="157" t="s">
        <v>11</v>
      </c>
      <c r="K37" s="158"/>
      <c r="L37" s="25"/>
      <c r="M37" s="38"/>
      <c r="N37" s="38"/>
      <c r="O37" s="40"/>
      <c r="P37" s="40"/>
      <c r="Q37" s="44"/>
      <c r="R37" s="44"/>
      <c r="S37" s="42"/>
      <c r="T37" s="25"/>
      <c r="U37" s="25"/>
      <c r="V37" s="25"/>
    </row>
    <row r="38" spans="1:22" s="2" customFormat="1" ht="24.95" customHeight="1">
      <c r="A38" s="14"/>
      <c r="B38" s="159"/>
      <c r="C38" s="113"/>
      <c r="D38" s="160"/>
      <c r="E38" s="161" t="s">
        <v>20</v>
      </c>
      <c r="F38" s="162" t="str">
        <f>IF(E14="","",IF(E13="",0,E13*E14))</f>
        <v/>
      </c>
      <c r="G38" s="163" t="s">
        <v>17</v>
      </c>
      <c r="H38" s="252"/>
      <c r="I38" s="253"/>
      <c r="J38" s="164" t="s">
        <v>19</v>
      </c>
      <c r="K38" s="164" t="str">
        <f>IF(G44="y","Bed Extension Area","AES Bed Extension")</f>
        <v>AES Bed Extension</v>
      </c>
      <c r="L38" s="25"/>
      <c r="M38" s="38"/>
      <c r="N38" s="38"/>
      <c r="O38" s="42"/>
      <c r="P38" s="42"/>
      <c r="Q38" s="44"/>
      <c r="R38" s="44"/>
      <c r="S38" s="42"/>
      <c r="T38" s="25"/>
      <c r="U38" s="25"/>
      <c r="V38" s="25"/>
    </row>
    <row r="39" spans="1:22" s="2" customFormat="1" ht="24.95" customHeight="1">
      <c r="A39" s="14"/>
      <c r="B39" s="165"/>
      <c r="C39" s="113"/>
      <c r="D39" s="166"/>
      <c r="E39" s="167" t="s">
        <v>21</v>
      </c>
      <c r="F39" s="162" t="str">
        <f>IF(E17="","",(F38/E15)/E17)</f>
        <v/>
      </c>
      <c r="G39" s="163" t="s">
        <v>16</v>
      </c>
      <c r="H39" s="250" t="s">
        <v>9</v>
      </c>
      <c r="I39" s="251"/>
      <c r="J39" s="168" t="str">
        <f>IF(F40="","",IF(E17=1,F40*3+0.6+0.5,F40*3+0.6))</f>
        <v/>
      </c>
      <c r="K39" s="169" t="str">
        <f>IF(E19="","",IF(E28&lt;(J39*J40),"0.00",J39))</f>
        <v/>
      </c>
      <c r="L39" s="25"/>
      <c r="M39" s="25"/>
      <c r="N39" s="38"/>
      <c r="O39" s="42"/>
      <c r="P39" s="52"/>
      <c r="Q39" s="44"/>
      <c r="R39" s="44"/>
      <c r="S39" s="42"/>
      <c r="T39" s="25"/>
      <c r="U39" s="25"/>
      <c r="V39" s="25"/>
    </row>
    <row r="40" spans="1:22" s="2" customFormat="1" ht="24.95" customHeight="1">
      <c r="A40" s="14"/>
      <c r="B40" s="170"/>
      <c r="C40" s="113"/>
      <c r="D40" s="166"/>
      <c r="E40" s="167" t="s">
        <v>22</v>
      </c>
      <c r="F40" s="171" t="str">
        <f>IF(E17="","",IF(AND(E16="y",E17=2),CEILING(F39/3,1/2),IF(AND(E16="y",E17=3),CEILING(F39/3,1/3),IF(AND(E16="y",E17=4),CEILING(F39/3,1/4),ROUNDUP(F39/3,0)))))</f>
        <v/>
      </c>
      <c r="G40" s="172" t="s">
        <v>5</v>
      </c>
      <c r="H40" s="250" t="s">
        <v>10</v>
      </c>
      <c r="I40" s="251"/>
      <c r="J40" s="173" t="str">
        <f>IF(E17="","",E17*0.45+0.45)</f>
        <v/>
      </c>
      <c r="K40" s="174" t="str">
        <f>IF(E19="","",IF(J39=0,,IF(E28&lt;(J39*J40),"0",E28-J39*J40)/J39))</f>
        <v/>
      </c>
      <c r="L40" s="34"/>
      <c r="M40" s="25"/>
      <c r="N40" s="38"/>
      <c r="O40" s="25"/>
      <c r="P40" s="25"/>
      <c r="Q40" s="26"/>
      <c r="R40" s="45"/>
      <c r="S40" s="25"/>
      <c r="T40" s="25"/>
      <c r="U40" s="25"/>
      <c r="V40" s="25"/>
    </row>
    <row r="41" spans="1:22" s="2" customFormat="1" ht="26.25" customHeight="1">
      <c r="A41" s="14"/>
      <c r="B41" s="170"/>
      <c r="C41" s="113"/>
      <c r="D41" s="166"/>
      <c r="E41" s="167" t="s">
        <v>57</v>
      </c>
      <c r="F41" s="171"/>
      <c r="G41" s="163"/>
      <c r="H41" s="292" t="s">
        <v>60</v>
      </c>
      <c r="I41" s="293"/>
      <c r="J41" s="175" t="str">
        <f>IF(E20="","",IF(J39="","",IF(J39&gt;0,0.75,))+(E20/1000-0.3))</f>
        <v/>
      </c>
      <c r="K41" s="175" t="str">
        <f>IF(E19="","",IF(K40&gt;0,0.15,))</f>
        <v/>
      </c>
      <c r="L41" s="25"/>
      <c r="M41" s="38"/>
      <c r="N41" s="38"/>
      <c r="O41" s="38"/>
      <c r="P41" s="38"/>
      <c r="Q41" s="26"/>
      <c r="R41" s="26"/>
      <c r="S41" s="25"/>
      <c r="T41" s="25"/>
      <c r="U41" s="25"/>
      <c r="V41" s="25"/>
    </row>
    <row r="42" spans="1:22" s="2" customFormat="1" ht="23.25" customHeight="1">
      <c r="A42" s="22"/>
      <c r="B42" s="15"/>
      <c r="C42" s="16"/>
      <c r="D42" s="298" t="s">
        <v>58</v>
      </c>
      <c r="E42" s="298"/>
      <c r="F42" s="81" t="str">
        <f>IF(E13="","",IF(F39="","",(((J39-0.6)/3)*212)*E17))</f>
        <v/>
      </c>
      <c r="G42" s="82" t="s">
        <v>18</v>
      </c>
      <c r="H42" s="290" t="s">
        <v>59</v>
      </c>
      <c r="I42" s="291"/>
      <c r="J42" s="72" t="str">
        <f>IF(J39="","",J39*J40)</f>
        <v/>
      </c>
      <c r="K42" s="72" t="str">
        <f>IF(E17="","",IF(E28&lt;(J39*J40),"0.00",IF(K39="","",(E28-J42))))</f>
        <v/>
      </c>
      <c r="L42" s="25"/>
      <c r="M42" s="38"/>
      <c r="N42" s="46"/>
      <c r="O42" s="38"/>
      <c r="P42" s="38"/>
      <c r="Q42" s="26"/>
      <c r="R42" s="26"/>
      <c r="S42" s="25"/>
      <c r="T42" s="25"/>
      <c r="U42" s="25"/>
      <c r="V42" s="25"/>
    </row>
    <row r="43" spans="1:22" s="2" customFormat="1" ht="15.75" customHeight="1">
      <c r="A43" s="22"/>
      <c r="B43" s="15"/>
      <c r="C43" s="16"/>
      <c r="D43" s="16"/>
      <c r="E43" s="17"/>
      <c r="F43" s="54"/>
      <c r="G43" s="18"/>
      <c r="H43" s="260"/>
      <c r="I43" s="261"/>
      <c r="J43" s="261"/>
      <c r="K43" s="60"/>
      <c r="L43" s="71" t="str">
        <f>IF(G44="","",IF(K44&gt;=F38/E19/(F40*3+0.6),"Required width is too LARGE",""))</f>
        <v/>
      </c>
      <c r="M43" s="38"/>
      <c r="N43" s="46"/>
      <c r="O43" s="38"/>
      <c r="P43" s="38"/>
      <c r="Q43" s="26"/>
      <c r="R43" s="26"/>
      <c r="S43" s="25"/>
      <c r="T43" s="25"/>
      <c r="U43" s="25"/>
      <c r="V43" s="25"/>
    </row>
    <row r="44" spans="1:22" s="2" customFormat="1" ht="69" customHeight="1">
      <c r="A44" s="14"/>
      <c r="B44" s="176"/>
      <c r="C44" s="177"/>
      <c r="D44" s="294" t="s">
        <v>66</v>
      </c>
      <c r="E44" s="294"/>
      <c r="F44" s="295"/>
      <c r="G44" s="64"/>
      <c r="H44" s="296" t="s">
        <v>67</v>
      </c>
      <c r="I44" s="296"/>
      <c r="J44" s="297"/>
      <c r="K44" s="62"/>
      <c r="L44" s="71" t="str">
        <f>IF(G44="","",IF(K44&lt;(E17+1)*0.45,"Required width is too SMALL",""))</f>
        <v/>
      </c>
      <c r="M44" s="25"/>
      <c r="N44" s="38"/>
      <c r="O44" s="38"/>
      <c r="Q44" s="59"/>
      <c r="R44" s="39"/>
      <c r="S44" s="25"/>
      <c r="T44" s="25"/>
      <c r="U44" s="25"/>
      <c r="V44" s="25"/>
    </row>
    <row r="45" spans="1:22" s="2" customFormat="1" ht="4.5" hidden="1" customHeight="1">
      <c r="A45" s="14"/>
      <c r="B45" s="178"/>
      <c r="C45" s="133"/>
      <c r="D45" s="133"/>
      <c r="E45" s="179"/>
      <c r="F45" s="180"/>
      <c r="G45" s="181"/>
      <c r="H45" s="248"/>
      <c r="I45" s="248"/>
      <c r="J45" s="249"/>
      <c r="K45" s="182"/>
      <c r="L45" s="25"/>
      <c r="M45" s="25"/>
      <c r="N45" s="38"/>
      <c r="O45" s="38"/>
      <c r="P45" s="38"/>
      <c r="Q45" s="26"/>
      <c r="R45" s="39"/>
      <c r="S45" s="25"/>
      <c r="T45" s="25"/>
      <c r="U45" s="25"/>
      <c r="V45" s="25"/>
    </row>
    <row r="46" spans="1:22" s="8" customFormat="1" ht="44.25" customHeight="1">
      <c r="A46" s="21"/>
      <c r="B46" s="183"/>
      <c r="C46" s="184"/>
      <c r="D46" s="185"/>
      <c r="E46" s="186" t="s">
        <v>9</v>
      </c>
      <c r="F46" s="187"/>
      <c r="G46" s="188" t="s">
        <v>10</v>
      </c>
      <c r="H46" s="279" t="str">
        <f>"Minimum AES footprint required "&amp;ROUNDUP(E28,1)&amp;"m2"</f>
        <v>Minimum AES footprint required 0m2</v>
      </c>
      <c r="I46" s="280"/>
      <c r="J46" s="281"/>
      <c r="K46" s="282"/>
      <c r="L46" s="42"/>
      <c r="M46" s="40"/>
      <c r="N46" s="47"/>
      <c r="O46" s="38"/>
      <c r="P46" s="38"/>
      <c r="Q46" s="26"/>
      <c r="R46" s="39"/>
      <c r="S46" s="25"/>
      <c r="T46" s="42"/>
      <c r="U46" s="42"/>
      <c r="V46" s="42"/>
    </row>
    <row r="47" spans="1:22" s="8" customFormat="1" ht="27" customHeight="1">
      <c r="A47" s="21"/>
      <c r="B47" s="189" t="str">
        <f>IF(G44="y","",IF(AND(G44="",G47&gt;J40),"            The dimensions of this AES bed with side extension/s are:","                                                  The dimensions of this AES bed are:"))</f>
        <v xml:space="preserve">                                                  The dimensions of this AES bed are:</v>
      </c>
      <c r="C47" s="190"/>
      <c r="D47" s="190"/>
      <c r="E47" s="191" t="str">
        <f>IF(G44="y","",(J39))</f>
        <v/>
      </c>
      <c r="F47" s="192" t="str">
        <f>IF(G44="y","","x")</f>
        <v>x</v>
      </c>
      <c r="G47" s="193" t="str">
        <f>IF(K40="","",IF(G44="y","",J40+K40))</f>
        <v/>
      </c>
      <c r="H47" s="194" t="str">
        <f>IF(G44="y","","=")</f>
        <v>=</v>
      </c>
      <c r="I47" s="194"/>
      <c r="J47" s="195" t="e">
        <f>IF(G44="y","",E47*G47)</f>
        <v>#VALUE!</v>
      </c>
      <c r="K47" s="196" t="str">
        <f>IF(G44="y","","  m2 total")</f>
        <v xml:space="preserve">  m2 total</v>
      </c>
      <c r="L47" s="42"/>
      <c r="M47" s="40"/>
      <c r="N47" s="40"/>
      <c r="O47" s="38"/>
      <c r="P47" s="38"/>
      <c r="Q47" s="26"/>
      <c r="R47" s="41"/>
      <c r="S47" s="42"/>
      <c r="T47" s="42"/>
      <c r="U47" s="42"/>
      <c r="V47" s="42"/>
    </row>
    <row r="48" spans="1:22" s="8" customFormat="1" ht="33" customHeight="1">
      <c r="A48" s="21"/>
      <c r="B48" s="302" t="str">
        <f>IF(G44="","",IF(E48&lt;=J39,"  Try using 2 rows and remove Y from the trench option field",IF(G44="y","   The dimensions of this AES bed with surrounding extension or increased bed length/ decreased width are:   ","")))</f>
        <v/>
      </c>
      <c r="C48" s="303"/>
      <c r="D48" s="304"/>
      <c r="E48" s="197" t="str">
        <f>IF(G44="","",IF(K44="","",IF(G44="N","",F38/E19/K44)))</f>
        <v/>
      </c>
      <c r="F48" s="198" t="str">
        <f>IF(G44="y","x","")</f>
        <v/>
      </c>
      <c r="G48" s="199" t="str">
        <f>IF(G44="","",IF(G44="N","",IF(K44="","",IF(AND(K44&gt;=(E17+1)*0.45, K44&lt;=F38/E19/(E17*0.45+0.45)),K44,""))))</f>
        <v/>
      </c>
      <c r="H48" s="200" t="str">
        <f>IF(G44="y","=","")</f>
        <v/>
      </c>
      <c r="I48" s="201"/>
      <c r="J48" s="202" t="str">
        <f>IF(E17="","",IF(G44="","",IF(E48&lt;=(F40*3+0.6),"",IF(G44="N","",G48*E48))))</f>
        <v/>
      </c>
      <c r="K48" s="203" t="str">
        <f>IF(G44="y","  m2 total ","")</f>
        <v/>
      </c>
      <c r="L48" s="42"/>
      <c r="M48" s="42"/>
      <c r="N48" s="42"/>
      <c r="O48" s="38"/>
      <c r="P48" s="38"/>
      <c r="Q48" s="48"/>
      <c r="R48" s="41"/>
      <c r="S48" s="42"/>
      <c r="T48" s="42"/>
      <c r="U48" s="42"/>
      <c r="V48" s="42"/>
    </row>
    <row r="49" spans="1:22" s="8" customFormat="1" ht="23.25" customHeight="1">
      <c r="A49" s="21"/>
      <c r="B49" s="299" t="str">
        <f>G21</f>
        <v xml:space="preserve">Total expected FC reduction through AES system in this design: 3.5Log.      </v>
      </c>
      <c r="C49" s="300"/>
      <c r="D49" s="301"/>
      <c r="E49" s="204"/>
      <c r="F49" s="198"/>
      <c r="G49" s="205"/>
      <c r="H49" s="200"/>
      <c r="I49" s="201"/>
      <c r="J49" s="202"/>
      <c r="K49" s="206"/>
      <c r="L49" s="42"/>
      <c r="M49" s="42"/>
      <c r="N49" s="42"/>
      <c r="O49" s="38"/>
      <c r="P49" s="38"/>
      <c r="Q49" s="48"/>
      <c r="R49" s="41"/>
      <c r="S49" s="42"/>
      <c r="T49" s="42"/>
      <c r="U49" s="42"/>
      <c r="V49" s="42"/>
    </row>
    <row r="50" spans="1:22" s="2" customFormat="1" ht="23.25" customHeight="1">
      <c r="A50" s="14"/>
      <c r="B50" s="308" t="s">
        <v>23</v>
      </c>
      <c r="C50" s="309"/>
      <c r="D50" s="309"/>
      <c r="E50" s="309"/>
      <c r="F50" s="309"/>
      <c r="G50" s="99"/>
      <c r="H50" s="305" t="s">
        <v>27</v>
      </c>
      <c r="I50" s="306"/>
      <c r="J50" s="306"/>
      <c r="K50" s="307"/>
      <c r="L50" s="25"/>
      <c r="M50" s="38"/>
      <c r="N50" s="38"/>
      <c r="O50" s="35"/>
      <c r="P50" s="35"/>
      <c r="Q50" s="48"/>
      <c r="R50" s="39"/>
      <c r="S50" s="25"/>
      <c r="T50" s="25"/>
      <c r="U50" s="25"/>
      <c r="V50" s="25"/>
    </row>
    <row r="51" spans="1:22" s="2" customFormat="1" ht="24.95" customHeight="1">
      <c r="A51" s="14"/>
      <c r="B51" s="207"/>
      <c r="C51" s="208" t="s">
        <v>15</v>
      </c>
      <c r="D51" s="209"/>
      <c r="E51" s="210" t="str">
        <f>IF(E17="","",IF(F40="","",IF(E17=1,ROUNDUP(F40,0),ROUNDUP((E17*F40),0))))</f>
        <v/>
      </c>
      <c r="F51" s="211" t="s">
        <v>53</v>
      </c>
      <c r="G51" s="141"/>
      <c r="H51" s="212"/>
      <c r="I51" s="212"/>
      <c r="J51" s="133"/>
      <c r="K51" s="213"/>
      <c r="L51" s="25"/>
      <c r="M51" s="38"/>
      <c r="N51" s="38"/>
      <c r="O51" s="35"/>
      <c r="P51" s="35"/>
      <c r="Q51" s="48"/>
      <c r="R51" s="39"/>
      <c r="S51" s="25"/>
      <c r="T51" s="25"/>
      <c r="U51" s="25"/>
      <c r="V51" s="25"/>
    </row>
    <row r="52" spans="1:22" s="2" customFormat="1" ht="24.95" customHeight="1">
      <c r="A52" s="14"/>
      <c r="B52" s="214"/>
      <c r="C52" s="215" t="s">
        <v>12</v>
      </c>
      <c r="D52" s="126"/>
      <c r="E52" s="216" t="str">
        <f>IF(E17="","",IF(E16="n",E17*(F40-1),IF(E16="y",E17*(ROUNDUP(F40,0)-1),IF(E17=1,E51-2,E17*C28-2))))</f>
        <v/>
      </c>
      <c r="F52" s="217" t="s">
        <v>37</v>
      </c>
      <c r="G52" s="141"/>
      <c r="H52" s="277"/>
      <c r="I52" s="277"/>
      <c r="J52" s="277"/>
      <c r="K52" s="278"/>
      <c r="L52" s="25"/>
      <c r="M52" s="38"/>
      <c r="N52" s="38"/>
      <c r="O52" s="36"/>
      <c r="P52" s="36"/>
      <c r="Q52" s="39"/>
      <c r="R52" s="39"/>
      <c r="S52" s="36"/>
      <c r="T52" s="25"/>
      <c r="U52" s="25"/>
      <c r="V52" s="25"/>
    </row>
    <row r="53" spans="1:22" s="2" customFormat="1" ht="24.95" customHeight="1">
      <c r="A53" s="14"/>
      <c r="B53" s="214"/>
      <c r="C53" s="215" t="s">
        <v>13</v>
      </c>
      <c r="D53" s="126"/>
      <c r="E53" s="218" t="str">
        <f>IF(E17="","",IF(E17=1,4,E17*2))</f>
        <v/>
      </c>
      <c r="F53" s="217" t="s">
        <v>37</v>
      </c>
      <c r="G53" s="141"/>
      <c r="H53" s="113"/>
      <c r="I53" s="113"/>
      <c r="J53" s="113"/>
      <c r="K53" s="219"/>
      <c r="L53" s="25"/>
      <c r="M53" s="66"/>
      <c r="N53" s="38"/>
      <c r="O53" s="36"/>
      <c r="P53" s="36"/>
      <c r="Q53" s="39"/>
      <c r="R53" s="39"/>
      <c r="S53" s="36"/>
      <c r="T53" s="25"/>
      <c r="U53" s="25"/>
      <c r="V53" s="25"/>
    </row>
    <row r="54" spans="1:22" s="2" customFormat="1" ht="24.95" customHeight="1">
      <c r="A54" s="14"/>
      <c r="B54" s="214"/>
      <c r="C54" s="215" t="s">
        <v>14</v>
      </c>
      <c r="D54" s="126"/>
      <c r="E54" s="218" t="str">
        <f>IF(E24="","","1")</f>
        <v/>
      </c>
      <c r="F54" s="217" t="s">
        <v>37</v>
      </c>
      <c r="G54" s="141"/>
      <c r="H54" s="277"/>
      <c r="I54" s="277"/>
      <c r="J54" s="277"/>
      <c r="K54" s="278"/>
      <c r="L54" s="25"/>
      <c r="M54" s="66"/>
      <c r="N54" s="38"/>
      <c r="O54" s="36"/>
      <c r="P54" s="36"/>
      <c r="Q54" s="39"/>
      <c r="R54" s="39"/>
      <c r="S54" s="36"/>
      <c r="T54" s="25"/>
      <c r="U54" s="25"/>
      <c r="V54" s="25"/>
    </row>
    <row r="55" spans="1:22" s="2" customFormat="1" ht="24.95" customHeight="1">
      <c r="A55" s="14"/>
      <c r="B55" s="220"/>
      <c r="C55" s="215" t="s">
        <v>43</v>
      </c>
      <c r="D55" s="126"/>
      <c r="E55" s="221" t="str">
        <f>IF(E25="","","1")</f>
        <v/>
      </c>
      <c r="F55" s="222" t="str">
        <f>"ea - "&amp;E25&amp;"mm diam."</f>
        <v>ea - mm diam.</v>
      </c>
      <c r="G55" s="223"/>
      <c r="H55" s="224"/>
      <c r="I55" s="224"/>
      <c r="J55" s="224"/>
      <c r="K55" s="225"/>
      <c r="L55" s="25"/>
      <c r="M55" s="66"/>
      <c r="N55" s="38"/>
      <c r="O55" s="36"/>
      <c r="P55" s="36"/>
      <c r="Q55" s="39"/>
      <c r="R55" s="39"/>
      <c r="S55" s="36"/>
      <c r="T55" s="25"/>
      <c r="U55" s="25"/>
      <c r="V55" s="25"/>
    </row>
    <row r="56" spans="1:22" s="2" customFormat="1" ht="24.95" customHeight="1">
      <c r="A56" s="14"/>
      <c r="B56" s="214"/>
      <c r="C56" s="215" t="str">
        <f>IF(E24="y","80mm TV inspection with fittings","TV inspection not required")</f>
        <v>TV inspection not required</v>
      </c>
      <c r="D56" s="126"/>
      <c r="E56" s="221" t="str">
        <f>IF(E24="y","1","")</f>
        <v/>
      </c>
      <c r="F56" s="226"/>
      <c r="G56" s="141"/>
      <c r="H56" s="224"/>
      <c r="I56" s="224"/>
      <c r="J56" s="224"/>
      <c r="K56" s="225"/>
      <c r="L56" s="25"/>
      <c r="M56" s="38"/>
      <c r="N56" s="38"/>
      <c r="O56" s="36"/>
      <c r="P56" s="36"/>
      <c r="Q56" s="39"/>
      <c r="R56" s="39"/>
      <c r="S56" s="36"/>
      <c r="T56" s="25"/>
      <c r="U56" s="25"/>
      <c r="V56" s="25"/>
    </row>
    <row r="57" spans="1:22" s="2" customFormat="1" ht="24.95" customHeight="1">
      <c r="A57" s="14"/>
      <c r="B57" s="227"/>
      <c r="C57" s="215" t="str">
        <f>IF(E26="y","Sample port","Sample port not required")</f>
        <v>Sample port not required</v>
      </c>
      <c r="D57" s="126"/>
      <c r="E57" s="221" t="str">
        <f>IF(E26="y","1","")</f>
        <v/>
      </c>
      <c r="F57" s="222"/>
      <c r="G57" s="141"/>
      <c r="H57" s="224"/>
      <c r="I57" s="224"/>
      <c r="J57" s="224"/>
      <c r="K57" s="225"/>
      <c r="L57" s="25"/>
      <c r="M57" s="38"/>
      <c r="N57" s="38"/>
      <c r="O57" s="36"/>
      <c r="P57" s="36"/>
      <c r="Q57" s="39"/>
      <c r="R57" s="39"/>
      <c r="S57" s="36"/>
      <c r="T57" s="25"/>
      <c r="U57" s="25"/>
      <c r="V57" s="25"/>
    </row>
    <row r="58" spans="1:22" s="2" customFormat="1" ht="24.95" customHeight="1">
      <c r="A58" s="14"/>
      <c r="B58" s="227"/>
      <c r="C58" s="215" t="str">
        <f>IF(E27="","Distribution box not required",IF(E27="n","Distribution box not required","Distribution box and number of ports to be used"))</f>
        <v>Distribution box not required</v>
      </c>
      <c r="D58" s="126"/>
      <c r="E58" s="221" t="str">
        <f>IF(E27="","",IF(E27="N","","1"))</f>
        <v/>
      </c>
      <c r="F58" s="228" t="str">
        <f>IF(E27="","",IF(E27="N","",F27&amp;" ports"))</f>
        <v/>
      </c>
      <c r="G58" s="141"/>
      <c r="H58" s="310" t="s">
        <v>76</v>
      </c>
      <c r="I58" s="311"/>
      <c r="J58" s="311"/>
      <c r="K58" s="312"/>
      <c r="L58" s="25"/>
      <c r="M58" s="38"/>
      <c r="N58" s="38"/>
      <c r="O58" s="36"/>
      <c r="P58" s="36"/>
      <c r="Q58" s="39"/>
      <c r="R58" s="39"/>
      <c r="S58" s="36"/>
      <c r="T58" s="25"/>
      <c r="U58" s="25"/>
      <c r="V58" s="25"/>
    </row>
    <row r="59" spans="1:22" s="2" customFormat="1" ht="24.95" customHeight="1">
      <c r="A59" s="14"/>
      <c r="B59" s="229"/>
      <c r="C59" s="230" t="s">
        <v>54</v>
      </c>
      <c r="D59" s="230"/>
      <c r="E59" s="231" t="str">
        <f>IF(J41="","",((J41*J40*J39-(0.15*0.15*3.1412*(3*E17*F40))+(K41*K40*K39))))</f>
        <v/>
      </c>
      <c r="F59" s="232" t="s">
        <v>55</v>
      </c>
      <c r="G59" s="233"/>
      <c r="H59" s="313"/>
      <c r="I59" s="314"/>
      <c r="J59" s="314"/>
      <c r="K59" s="315"/>
      <c r="L59" s="34"/>
      <c r="M59" s="66"/>
      <c r="N59" s="49"/>
      <c r="O59" s="25"/>
      <c r="P59" s="25"/>
      <c r="Q59" s="39"/>
      <c r="R59" s="39"/>
      <c r="S59" s="25"/>
      <c r="T59" s="25"/>
      <c r="U59" s="25"/>
      <c r="V59" s="25"/>
    </row>
    <row r="60" spans="1:22" s="11" customFormat="1" ht="24" customHeight="1">
      <c r="A60" s="23"/>
      <c r="B60" s="335" t="s">
        <v>81</v>
      </c>
      <c r="C60" s="336"/>
      <c r="D60" s="336"/>
      <c r="E60" s="336"/>
      <c r="F60" s="336"/>
      <c r="G60" s="337"/>
      <c r="H60" s="234" t="s">
        <v>8</v>
      </c>
      <c r="I60" s="318"/>
      <c r="J60" s="318"/>
      <c r="K60" s="78">
        <f ca="1">NOW()</f>
        <v>43036.433772222219</v>
      </c>
      <c r="L60" s="35"/>
      <c r="M60" s="35"/>
      <c r="N60" s="35"/>
      <c r="O60" s="25"/>
      <c r="P60" s="25"/>
      <c r="Q60" s="53"/>
      <c r="R60" s="53"/>
      <c r="S60" s="53"/>
      <c r="T60" s="53"/>
      <c r="U60" s="35"/>
      <c r="V60" s="35"/>
    </row>
    <row r="61" spans="1:22" s="11" customFormat="1" ht="24" customHeight="1">
      <c r="A61" s="23"/>
      <c r="B61" s="338"/>
      <c r="C61" s="339"/>
      <c r="D61" s="339"/>
      <c r="E61" s="339"/>
      <c r="F61" s="339"/>
      <c r="G61" s="340"/>
      <c r="H61" s="234" t="s">
        <v>26</v>
      </c>
      <c r="I61" s="319"/>
      <c r="J61" s="320"/>
      <c r="K61" s="79" t="s">
        <v>83</v>
      </c>
      <c r="L61" s="35"/>
      <c r="M61" s="35"/>
      <c r="N61" s="35"/>
      <c r="O61" s="25"/>
      <c r="P61" s="25"/>
      <c r="Q61" s="53"/>
      <c r="R61" s="53"/>
      <c r="S61" s="53"/>
      <c r="T61" s="53"/>
      <c r="U61" s="35"/>
      <c r="V61" s="35"/>
    </row>
    <row r="62" spans="1:22" s="11" customFormat="1" ht="24" customHeight="1">
      <c r="A62" s="23"/>
      <c r="B62" s="338"/>
      <c r="C62" s="339"/>
      <c r="D62" s="339"/>
      <c r="E62" s="339"/>
      <c r="F62" s="339"/>
      <c r="G62" s="340"/>
      <c r="H62" s="324" t="s">
        <v>51</v>
      </c>
      <c r="I62" s="325"/>
      <c r="J62" s="325"/>
      <c r="K62" s="326"/>
      <c r="L62" s="37"/>
      <c r="M62" s="35"/>
      <c r="N62" s="35"/>
      <c r="O62" s="38"/>
      <c r="P62" s="38"/>
      <c r="Q62" s="53"/>
      <c r="R62" s="53"/>
      <c r="S62" s="53"/>
      <c r="T62" s="53"/>
      <c r="U62" s="35"/>
      <c r="V62" s="35"/>
    </row>
    <row r="63" spans="1:22" s="11" customFormat="1" ht="33.75" customHeight="1">
      <c r="A63" s="23"/>
      <c r="B63" s="338"/>
      <c r="C63" s="339"/>
      <c r="D63" s="339"/>
      <c r="E63" s="339"/>
      <c r="F63" s="339"/>
      <c r="G63" s="340"/>
      <c r="H63" s="324" t="s">
        <v>50</v>
      </c>
      <c r="I63" s="325"/>
      <c r="J63" s="325"/>
      <c r="K63" s="326"/>
      <c r="L63" s="35"/>
      <c r="M63" s="36"/>
      <c r="N63" s="35"/>
      <c r="O63" s="38"/>
      <c r="P63" s="38"/>
      <c r="Q63" s="53"/>
      <c r="R63" s="53"/>
      <c r="S63" s="53"/>
      <c r="T63" s="53"/>
      <c r="U63" s="35"/>
      <c r="V63" s="35"/>
    </row>
    <row r="64" spans="1:22" s="11" customFormat="1" ht="21" customHeight="1">
      <c r="A64" s="23"/>
      <c r="B64" s="338" t="s">
        <v>56</v>
      </c>
      <c r="C64" s="339"/>
      <c r="D64" s="339"/>
      <c r="E64" s="339"/>
      <c r="F64" s="339"/>
      <c r="G64" s="235"/>
      <c r="H64" s="333" t="s">
        <v>7</v>
      </c>
      <c r="I64" s="334"/>
      <c r="J64" s="325"/>
      <c r="K64" s="326"/>
      <c r="L64" s="35"/>
      <c r="M64" s="36"/>
      <c r="N64" s="35"/>
      <c r="O64" s="38"/>
      <c r="P64" s="38"/>
      <c r="Q64" s="53"/>
      <c r="R64" s="53"/>
      <c r="S64" s="53"/>
      <c r="T64" s="53"/>
      <c r="U64" s="35"/>
      <c r="V64" s="35"/>
    </row>
    <row r="65" spans="1:22" s="10" customFormat="1" ht="17.25" customHeight="1">
      <c r="A65" s="24"/>
      <c r="B65" s="236"/>
      <c r="C65" s="237"/>
      <c r="D65" s="237"/>
      <c r="E65" s="237"/>
      <c r="F65" s="237"/>
      <c r="G65" s="238"/>
      <c r="H65" s="321" t="s">
        <v>49</v>
      </c>
      <c r="I65" s="322"/>
      <c r="J65" s="322"/>
      <c r="K65" s="323"/>
      <c r="L65" s="36"/>
      <c r="M65" s="36"/>
      <c r="N65" s="36"/>
      <c r="O65" s="38"/>
      <c r="P65" s="38"/>
      <c r="Q65" s="53"/>
      <c r="R65" s="53"/>
      <c r="S65" s="53"/>
      <c r="T65" s="53"/>
      <c r="U65" s="36"/>
      <c r="V65" s="36"/>
    </row>
    <row r="66" spans="1:22" s="10" customFormat="1" ht="79.5" customHeight="1">
      <c r="A66" s="24"/>
      <c r="B66" s="341" t="s">
        <v>74</v>
      </c>
      <c r="C66" s="342"/>
      <c r="D66" s="342"/>
      <c r="E66" s="342"/>
      <c r="F66" s="342"/>
      <c r="G66" s="342"/>
      <c r="H66" s="342"/>
      <c r="I66" s="342"/>
      <c r="J66" s="342"/>
      <c r="K66" s="343"/>
      <c r="L66" s="36"/>
      <c r="M66" s="36"/>
      <c r="N66" s="36"/>
      <c r="O66" s="38"/>
      <c r="P66" s="38"/>
      <c r="Q66" s="53"/>
      <c r="R66" s="53"/>
      <c r="S66" s="53"/>
      <c r="T66" s="53"/>
      <c r="U66" s="36"/>
      <c r="V66" s="36"/>
    </row>
    <row r="67" spans="1:22" s="10" customFormat="1" ht="24" customHeight="1">
      <c r="A67" s="24"/>
      <c r="B67" s="327" t="s">
        <v>71</v>
      </c>
      <c r="C67" s="328"/>
      <c r="D67" s="328"/>
      <c r="E67" s="328"/>
      <c r="F67" s="328"/>
      <c r="G67" s="328"/>
      <c r="H67" s="328"/>
      <c r="I67" s="328"/>
      <c r="J67" s="328"/>
      <c r="K67" s="329"/>
      <c r="L67" s="36"/>
      <c r="M67" s="36"/>
      <c r="N67" s="36"/>
      <c r="O67" s="38"/>
      <c r="P67" s="38"/>
      <c r="Q67" s="53"/>
      <c r="R67" s="53"/>
      <c r="S67" s="53"/>
      <c r="T67" s="53"/>
      <c r="U67" s="36"/>
      <c r="V67" s="36"/>
    </row>
    <row r="68" spans="1:22" s="2" customFormat="1" ht="24" customHeight="1">
      <c r="A68" s="14"/>
      <c r="B68" s="330" t="s">
        <v>75</v>
      </c>
      <c r="C68" s="331"/>
      <c r="D68" s="331"/>
      <c r="E68" s="331"/>
      <c r="F68" s="331"/>
      <c r="G68" s="331"/>
      <c r="H68" s="331"/>
      <c r="I68" s="331"/>
      <c r="J68" s="331"/>
      <c r="K68" s="332"/>
      <c r="L68" s="25"/>
      <c r="M68" s="25"/>
      <c r="N68" s="25"/>
      <c r="O68" s="38"/>
      <c r="P68" s="38"/>
      <c r="Q68" s="53"/>
      <c r="R68" s="53"/>
      <c r="S68" s="53"/>
      <c r="T68" s="53"/>
      <c r="U68" s="25"/>
      <c r="V68" s="25"/>
    </row>
    <row r="69" spans="1:22" ht="15">
      <c r="A69" s="13"/>
      <c r="B69" s="316" t="s">
        <v>61</v>
      </c>
      <c r="C69" s="316"/>
      <c r="D69" s="316"/>
      <c r="E69" s="316"/>
      <c r="F69" s="316"/>
      <c r="G69" s="316"/>
      <c r="H69" s="316"/>
      <c r="I69" s="316"/>
      <c r="J69" s="316"/>
      <c r="K69" s="317"/>
      <c r="L69" s="38"/>
      <c r="M69" s="38"/>
      <c r="N69" s="38"/>
      <c r="O69" s="38"/>
      <c r="P69" s="38"/>
      <c r="Q69" s="53"/>
      <c r="R69" s="53"/>
      <c r="S69" s="53"/>
      <c r="T69" s="53"/>
      <c r="U69" s="38"/>
      <c r="V69" s="38"/>
    </row>
    <row r="70" spans="1:22" ht="19.5" customHeight="1">
      <c r="L70" s="38"/>
      <c r="M70" s="38"/>
      <c r="N70" s="38"/>
      <c r="O70" s="38"/>
      <c r="P70" s="38"/>
      <c r="Q70" s="53"/>
      <c r="R70" s="53"/>
      <c r="S70" s="53"/>
      <c r="T70" s="53"/>
      <c r="U70" s="38"/>
      <c r="V70" s="38"/>
    </row>
    <row r="71" spans="1:22">
      <c r="L71" s="38"/>
      <c r="M71" s="38"/>
      <c r="N71" s="38"/>
      <c r="O71" s="38"/>
      <c r="P71" s="38"/>
      <c r="Q71" s="53"/>
      <c r="R71" s="53"/>
      <c r="S71" s="53"/>
      <c r="T71" s="53"/>
      <c r="U71" s="38"/>
      <c r="V71" s="38"/>
    </row>
    <row r="72" spans="1:22">
      <c r="L72" s="38"/>
      <c r="M72" s="38"/>
      <c r="N72" s="38"/>
      <c r="O72" s="38"/>
      <c r="P72" s="38"/>
      <c r="Q72" s="53"/>
      <c r="R72" s="53"/>
      <c r="S72" s="53"/>
      <c r="T72" s="53"/>
      <c r="U72" s="38"/>
      <c r="V72" s="38"/>
    </row>
    <row r="73" spans="1:22">
      <c r="L73" s="38"/>
      <c r="M73" s="38"/>
      <c r="N73" s="38"/>
      <c r="O73" s="38"/>
      <c r="P73" s="38"/>
      <c r="Q73" s="53"/>
      <c r="R73" s="53"/>
      <c r="S73" s="53"/>
      <c r="T73" s="53"/>
      <c r="U73" s="38"/>
      <c r="V73" s="38"/>
    </row>
    <row r="74" spans="1:22">
      <c r="L74" s="38"/>
      <c r="M74" s="38"/>
      <c r="N74" s="38"/>
      <c r="O74" s="38"/>
      <c r="P74" s="38"/>
      <c r="Q74" s="53"/>
      <c r="R74" s="53"/>
      <c r="S74" s="53"/>
      <c r="T74" s="53"/>
      <c r="U74" s="38"/>
      <c r="V74" s="38"/>
    </row>
    <row r="75" spans="1:22" ht="14.45" customHeight="1">
      <c r="B75" s="1"/>
      <c r="F75" s="7"/>
      <c r="G75" s="2"/>
      <c r="L75" s="38"/>
      <c r="M75" s="50"/>
      <c r="N75" s="38"/>
      <c r="O75" s="38"/>
      <c r="P75" s="38"/>
      <c r="Q75" s="53"/>
      <c r="R75" s="53"/>
      <c r="S75" s="53"/>
      <c r="T75" s="53"/>
      <c r="U75" s="38"/>
      <c r="V75" s="38"/>
    </row>
    <row r="76" spans="1:22" ht="17.100000000000001" customHeight="1">
      <c r="B76" s="2"/>
      <c r="L76" s="38"/>
      <c r="M76" s="25"/>
      <c r="N76" s="38"/>
      <c r="O76" s="38"/>
      <c r="P76" s="38"/>
      <c r="Q76" s="53"/>
      <c r="R76" s="53"/>
      <c r="S76" s="53"/>
      <c r="T76" s="53"/>
      <c r="U76" s="38"/>
      <c r="V76" s="38"/>
    </row>
    <row r="77" spans="1:22" ht="17.100000000000001" customHeight="1"/>
    <row r="78" spans="1:22" ht="17.100000000000001" customHeight="1"/>
    <row r="79" spans="1:22" ht="17.100000000000001" customHeight="1"/>
    <row r="80" spans="1:22" ht="17.100000000000001" customHeight="1"/>
    <row r="81" spans="2:13" ht="17.100000000000001" customHeight="1">
      <c r="G81" s="7"/>
      <c r="H81" s="7"/>
      <c r="I81" s="7"/>
    </row>
    <row r="82" spans="2:13" ht="17.100000000000001" customHeight="1">
      <c r="G82" s="7"/>
      <c r="K82" s="7"/>
    </row>
    <row r="83" spans="2:13" ht="6.95" customHeight="1"/>
    <row r="84" spans="2:13" ht="17.100000000000001" customHeight="1">
      <c r="M84" s="3"/>
    </row>
    <row r="85" spans="2:13" ht="17.100000000000001" customHeight="1">
      <c r="M85" s="3"/>
    </row>
    <row r="86" spans="2:13">
      <c r="M86" s="3"/>
    </row>
    <row r="87" spans="2:13">
      <c r="M87" s="3"/>
    </row>
    <row r="89" spans="2:13">
      <c r="M89" s="3"/>
    </row>
    <row r="92" spans="2:13">
      <c r="B92" s="5"/>
    </row>
    <row r="95" spans="2:13">
      <c r="G95" s="4"/>
    </row>
    <row r="96" spans="2:13" ht="16.5">
      <c r="G96" s="4"/>
      <c r="K96" s="6"/>
    </row>
    <row r="97" spans="11:11" ht="15.75">
      <c r="K97" s="1"/>
    </row>
  </sheetData>
  <sheetProtection algorithmName="SHA-512" hashValue="YVj+ILDFGrTgPWN8zeIZmNZnXXwNjyvA94oCMSJDIJlbN0Ulss3Dn7RJComVY8CBIa3/wvKqku1Ip6k6C+8YVw==" saltValue="Fo48RuiZgeKmZa9KYN1pRQ==" spinCount="100000" sheet="1" selectLockedCells="1"/>
  <protectedRanges>
    <protectedRange sqref="F27 E13:E27" name="Range6"/>
    <protectedRange sqref="G44:G45" name="Range4"/>
    <protectedRange sqref="F5:I6 G7:I9" name="Range2"/>
    <protectedRange sqref="C5:D9" name="Range1"/>
    <protectedRange sqref="K5:K9" name="Range3"/>
    <protectedRange sqref="K44:K45" name="Range5"/>
  </protectedRanges>
  <mergeCells count="66">
    <mergeCell ref="B18:D18"/>
    <mergeCell ref="B19:D19"/>
    <mergeCell ref="B22:D22"/>
    <mergeCell ref="B23:D23"/>
    <mergeCell ref="E20:E21"/>
    <mergeCell ref="E1:J1"/>
    <mergeCell ref="C13:D13"/>
    <mergeCell ref="C15:D15"/>
    <mergeCell ref="B2:D2"/>
    <mergeCell ref="E2:K2"/>
    <mergeCell ref="B3:D3"/>
    <mergeCell ref="E3:K3"/>
    <mergeCell ref="B4:K4"/>
    <mergeCell ref="C7:E7"/>
    <mergeCell ref="C8:E8"/>
    <mergeCell ref="C9:E9"/>
    <mergeCell ref="G7:I7"/>
    <mergeCell ref="G8:I8"/>
    <mergeCell ref="B14:D14"/>
    <mergeCell ref="C5:E5"/>
    <mergeCell ref="C6:E6"/>
    <mergeCell ref="H58:K59"/>
    <mergeCell ref="B69:K69"/>
    <mergeCell ref="I60:J60"/>
    <mergeCell ref="I61:J61"/>
    <mergeCell ref="H65:K65"/>
    <mergeCell ref="H63:K63"/>
    <mergeCell ref="H62:K62"/>
    <mergeCell ref="B67:K67"/>
    <mergeCell ref="B68:K68"/>
    <mergeCell ref="H64:K64"/>
    <mergeCell ref="B60:G63"/>
    <mergeCell ref="B64:F64"/>
    <mergeCell ref="B66:K66"/>
    <mergeCell ref="H54:K54"/>
    <mergeCell ref="H46:K46"/>
    <mergeCell ref="G6:I6"/>
    <mergeCell ref="J6:K6"/>
    <mergeCell ref="F5:K5"/>
    <mergeCell ref="H52:K52"/>
    <mergeCell ref="H42:I42"/>
    <mergeCell ref="H41:I41"/>
    <mergeCell ref="D44:F44"/>
    <mergeCell ref="H44:J44"/>
    <mergeCell ref="D42:E42"/>
    <mergeCell ref="B49:D49"/>
    <mergeCell ref="B48:D48"/>
    <mergeCell ref="H50:K50"/>
    <mergeCell ref="B50:F50"/>
    <mergeCell ref="B24:D24"/>
    <mergeCell ref="M5:S5"/>
    <mergeCell ref="H45:J45"/>
    <mergeCell ref="H39:I39"/>
    <mergeCell ref="H38:I38"/>
    <mergeCell ref="C30:K31"/>
    <mergeCell ref="B32:K32"/>
    <mergeCell ref="D37:G37"/>
    <mergeCell ref="H40:I40"/>
    <mergeCell ref="H43:J43"/>
    <mergeCell ref="F15:K15"/>
    <mergeCell ref="G21:K21"/>
    <mergeCell ref="G9:I9"/>
    <mergeCell ref="B17:D17"/>
    <mergeCell ref="B10:K10"/>
    <mergeCell ref="C26:D26"/>
    <mergeCell ref="C27:D27"/>
  </mergeCells>
  <phoneticPr fontId="3"/>
  <conditionalFormatting sqref="D40">
    <cfRule type="expression" dxfId="8" priority="47">
      <formula>NOT(ISERROR(SEARCH("This design requires FULL lths + 1 cut section of AES pipe.",D40)))</formula>
    </cfRule>
  </conditionalFormatting>
  <conditionalFormatting sqref="D41">
    <cfRule type="expression" dxfId="7" priority="46">
      <formula>NOT(ISERROR(SEARCH("This AES row contains 1 cut length of AES pipe.",D41)))</formula>
    </cfRule>
  </conditionalFormatting>
  <conditionalFormatting sqref="E29">
    <cfRule type="cellIs" dxfId="6" priority="38" stopIfTrue="1" operator="equal">
      <formula>0</formula>
    </cfRule>
  </conditionalFormatting>
  <conditionalFormatting sqref="E40:F40">
    <cfRule type="expression" dxfId="5" priority="37">
      <formula>$E$40=0</formula>
    </cfRule>
  </conditionalFormatting>
  <conditionalFormatting sqref="J42:K42 K43">
    <cfRule type="expression" dxfId="4" priority="34">
      <formula>$J$42=0</formula>
    </cfRule>
  </conditionalFormatting>
  <conditionalFormatting sqref="B17">
    <cfRule type="expression" dxfId="3" priority="28">
      <formula>NOT(ISERROR(SEARCH("Is this a trench extension option? If not. The minimum number of AES rows required is 2 ",B17)))</formula>
    </cfRule>
  </conditionalFormatting>
  <conditionalFormatting sqref="K39:K40">
    <cfRule type="expression" dxfId="2" priority="8">
      <formula>$G$44="y"</formula>
    </cfRule>
  </conditionalFormatting>
  <conditionalFormatting sqref="B47:E47 B48 E48:E49">
    <cfRule type="expression" dxfId="1" priority="2">
      <formula>$B$44="               Clear the Y and your custom width"</formula>
    </cfRule>
  </conditionalFormatting>
  <conditionalFormatting sqref="E19:E20">
    <cfRule type="cellIs" dxfId="0" priority="1" stopIfTrue="1" operator="equal">
      <formula>1</formula>
    </cfRule>
  </conditionalFormatting>
  <hyperlinks>
    <hyperlink ref="H64" r:id="rId1" xr:uid="{00000000-0004-0000-0000-000000000000}"/>
  </hyperlinks>
  <printOptions horizontalCentered="1" verticalCentered="1"/>
  <pageMargins left="0.2" right="0.2" top="0.2" bottom="0.2" header="0" footer="0"/>
  <pageSetup paperSize="9" scale="45" orientation="portrait" horizontalDpi="1200" verticalDpi="1200" r:id="rId2"/>
  <drawing r:id="rId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2004 Test Drive User</dc:creator>
  <cp:lastModifiedBy>User</cp:lastModifiedBy>
  <cp:lastPrinted>2019-10-13T21:31:05Z</cp:lastPrinted>
  <dcterms:created xsi:type="dcterms:W3CDTF">2011-03-21T22:19:36Z</dcterms:created>
  <dcterms:modified xsi:type="dcterms:W3CDTF">2021-10-28T21:26:44Z</dcterms:modified>
</cp:coreProperties>
</file>