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DCC8D602-2090-4795-8095-D9CC0B287784}" xr6:coauthVersionLast="47" xr6:coauthVersionMax="47" xr10:uidLastSave="{00000000-0000-0000-0000-000000000000}"/>
  <bookViews>
    <workbookView xWindow="-21720" yWindow="-120" windowWidth="21840" windowHeight="13020" activeTab="8" xr2:uid="{DD0B3F65-4DA2-474A-9A23-E02C50144A80}"/>
  </bookViews>
  <sheets>
    <sheet name="RCB" sheetId="6" r:id="rId1"/>
    <sheet name="KKR" sheetId="10" r:id="rId2"/>
    <sheet name="SRH" sheetId="5" r:id="rId3"/>
    <sheet name="DC" sheetId="3" r:id="rId4"/>
    <sheet name="RR" sheetId="4" r:id="rId5"/>
    <sheet name="LSG" sheetId="2" r:id="rId6"/>
    <sheet name="PBKS" sheetId="9" r:id="rId7"/>
    <sheet name="GT" sheetId="8" r:id="rId8"/>
    <sheet name="MI" sheetId="1" r:id="rId9"/>
    <sheet name="CSK" sheetId="7" r:id="rId10"/>
  </sheets>
  <definedNames>
    <definedName name="_xlnm._FilterDatabase" localSheetId="9" hidden="1">'CSK'!$B$4:$CN$31</definedName>
    <definedName name="_xlnm._FilterDatabase" localSheetId="3" hidden="1">DC!$B$5:$BM$30</definedName>
    <definedName name="_xlnm._FilterDatabase" localSheetId="7" hidden="1">GT!$B$5:$G$30</definedName>
    <definedName name="_xlnm._FilterDatabase" localSheetId="1" hidden="1">KKR!$B$5:$CK$28</definedName>
    <definedName name="_xlnm._FilterDatabase" localSheetId="5" hidden="1">LSG!$B$4:$BE$29</definedName>
    <definedName name="_xlnm._FilterDatabase" localSheetId="8" hidden="1">MI!$B$5:$BR$31</definedName>
    <definedName name="_xlnm._FilterDatabase" localSheetId="6" hidden="1">PBKS!$B$3:$BE$27</definedName>
    <definedName name="_xlnm._FilterDatabase" localSheetId="0" hidden="1">'RCB'!$B$5:$BS$31</definedName>
    <definedName name="_xlnm._FilterDatabase" localSheetId="4" hidden="1">'RR'!$B$5:$BY$30</definedName>
    <definedName name="_xlnm._FilterDatabase" localSheetId="2" hidden="1">SRH!$B$5:$CK$30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R6" i="1"/>
  <c r="T6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AG6" i="8"/>
  <c r="AG7" i="8"/>
  <c r="AG18" i="8"/>
  <c r="AG8" i="8"/>
  <c r="AG11" i="8"/>
  <c r="AG12" i="8"/>
  <c r="AG13" i="8"/>
  <c r="AG19" i="8"/>
  <c r="AG14" i="8"/>
  <c r="AG16" i="8"/>
  <c r="AG20" i="8"/>
  <c r="AG9" i="8"/>
  <c r="AG10" i="8"/>
  <c r="AG22" i="8"/>
  <c r="AG17" i="8"/>
  <c r="AG21" i="8"/>
  <c r="AG23" i="8"/>
  <c r="AG24" i="8"/>
  <c r="AG25" i="8"/>
  <c r="AG26" i="8"/>
  <c r="AG27" i="8"/>
  <c r="AG15" i="8"/>
  <c r="AG28" i="8"/>
  <c r="AG29" i="8"/>
  <c r="AG30" i="8"/>
  <c r="AH6" i="8"/>
  <c r="AH7" i="8"/>
  <c r="AH18" i="8"/>
  <c r="AH8" i="8"/>
  <c r="AH11" i="8"/>
  <c r="AH12" i="8"/>
  <c r="AH13" i="8"/>
  <c r="AH19" i="8"/>
  <c r="AH14" i="8"/>
  <c r="AH16" i="8"/>
  <c r="AH20" i="8"/>
  <c r="AH9" i="8"/>
  <c r="AH10" i="8"/>
  <c r="AH22" i="8"/>
  <c r="AH17" i="8"/>
  <c r="AH21" i="8"/>
  <c r="AH23" i="8"/>
  <c r="AH24" i="8"/>
  <c r="AH25" i="8"/>
  <c r="AH26" i="8"/>
  <c r="AH27" i="8"/>
  <c r="AH15" i="8"/>
  <c r="AH28" i="8"/>
  <c r="AH29" i="8"/>
  <c r="AH30" i="8"/>
  <c r="AI6" i="8"/>
  <c r="AI7" i="8"/>
  <c r="AI18" i="8"/>
  <c r="AI8" i="8"/>
  <c r="AI11" i="8"/>
  <c r="AI12" i="8"/>
  <c r="AI13" i="8"/>
  <c r="AI19" i="8"/>
  <c r="AI14" i="8"/>
  <c r="AI16" i="8"/>
  <c r="AI20" i="8"/>
  <c r="AI9" i="8"/>
  <c r="AI10" i="8"/>
  <c r="AI22" i="8"/>
  <c r="AI17" i="8"/>
  <c r="AI21" i="8"/>
  <c r="AI23" i="8"/>
  <c r="AI24" i="8"/>
  <c r="AI25" i="8"/>
  <c r="AI26" i="8"/>
  <c r="AI27" i="8"/>
  <c r="AI15" i="8"/>
  <c r="AI28" i="8"/>
  <c r="AI29" i="8"/>
  <c r="AI30" i="8"/>
  <c r="AL6" i="8"/>
  <c r="AL7" i="8"/>
  <c r="AL18" i="8"/>
  <c r="AL8" i="8"/>
  <c r="AL11" i="8"/>
  <c r="AL12" i="8"/>
  <c r="AL13" i="8"/>
  <c r="AL19" i="8"/>
  <c r="AL14" i="8"/>
  <c r="AL16" i="8"/>
  <c r="AL20" i="8"/>
  <c r="AL9" i="8"/>
  <c r="AL10" i="8"/>
  <c r="AL22" i="8"/>
  <c r="AL17" i="8"/>
  <c r="AL21" i="8"/>
  <c r="AL23" i="8"/>
  <c r="AL24" i="8"/>
  <c r="AL25" i="8"/>
  <c r="AL26" i="8"/>
  <c r="AL27" i="8"/>
  <c r="AL15" i="8"/>
  <c r="AL28" i="8"/>
  <c r="AL29" i="8"/>
  <c r="AL30" i="8"/>
  <c r="AK6" i="8"/>
  <c r="AK7" i="8"/>
  <c r="AK18" i="8"/>
  <c r="AK8" i="8"/>
  <c r="AK11" i="8"/>
  <c r="AK12" i="8"/>
  <c r="AK13" i="8"/>
  <c r="AK19" i="8"/>
  <c r="AK14" i="8"/>
  <c r="AK16" i="8"/>
  <c r="AK20" i="8"/>
  <c r="AK9" i="8"/>
  <c r="AK10" i="8"/>
  <c r="AK22" i="8"/>
  <c r="AK17" i="8"/>
  <c r="AK21" i="8"/>
  <c r="AK23" i="8"/>
  <c r="AK24" i="8"/>
  <c r="AK25" i="8"/>
  <c r="AK26" i="8"/>
  <c r="AK27" i="8"/>
  <c r="AK15" i="8"/>
  <c r="AK28" i="8"/>
  <c r="AK29" i="8"/>
  <c r="AK30" i="8"/>
  <c r="AJ6" i="8"/>
  <c r="AJ7" i="8"/>
  <c r="AJ18" i="8"/>
  <c r="AJ8" i="8"/>
  <c r="AJ11" i="8"/>
  <c r="AJ12" i="8"/>
  <c r="AJ13" i="8"/>
  <c r="AJ19" i="8"/>
  <c r="AJ14" i="8"/>
  <c r="AJ16" i="8"/>
  <c r="AJ20" i="8"/>
  <c r="AJ9" i="8"/>
  <c r="AJ10" i="8"/>
  <c r="AJ22" i="8"/>
  <c r="AJ17" i="8"/>
  <c r="AJ21" i="8"/>
  <c r="AJ23" i="8"/>
  <c r="AJ24" i="8"/>
  <c r="AJ25" i="8"/>
  <c r="AJ26" i="8"/>
  <c r="AJ27" i="8"/>
  <c r="AJ15" i="8"/>
  <c r="AJ28" i="8"/>
  <c r="AJ29" i="8"/>
  <c r="AJ30" i="8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V6" i="3"/>
  <c r="V7" i="3"/>
  <c r="V8" i="3"/>
  <c r="V18" i="3"/>
  <c r="V10" i="3"/>
  <c r="V19" i="3"/>
  <c r="V11" i="3"/>
  <c r="V12" i="3"/>
  <c r="V13" i="3"/>
  <c r="V16" i="3"/>
  <c r="V15" i="3"/>
  <c r="V20" i="3"/>
  <c r="V21" i="3"/>
  <c r="V14" i="3"/>
  <c r="V22" i="3"/>
  <c r="V23" i="3"/>
  <c r="V17" i="3"/>
  <c r="V24" i="3"/>
  <c r="V9" i="3"/>
  <c r="V25" i="3"/>
  <c r="V26" i="3"/>
  <c r="V27" i="3"/>
  <c r="V28" i="3"/>
  <c r="V29" i="3"/>
  <c r="V30" i="3"/>
  <c r="AA6" i="3"/>
  <c r="AA7" i="3"/>
  <c r="AA8" i="3"/>
  <c r="AA18" i="3"/>
  <c r="AA10" i="3"/>
  <c r="AA19" i="3"/>
  <c r="AA11" i="3"/>
  <c r="AA12" i="3"/>
  <c r="AA13" i="3"/>
  <c r="AA16" i="3"/>
  <c r="AA15" i="3"/>
  <c r="AA20" i="3"/>
  <c r="AA21" i="3"/>
  <c r="AA14" i="3"/>
  <c r="AA22" i="3"/>
  <c r="AA23" i="3"/>
  <c r="AA17" i="3"/>
  <c r="AA24" i="3"/>
  <c r="AA9" i="3"/>
  <c r="AA25" i="3"/>
  <c r="AA26" i="3"/>
  <c r="AA27" i="3"/>
  <c r="AA28" i="3"/>
  <c r="AA29" i="3"/>
  <c r="AA30" i="3"/>
  <c r="Z6" i="3"/>
  <c r="Z7" i="3"/>
  <c r="Z8" i="3"/>
  <c r="Z18" i="3"/>
  <c r="Z10" i="3"/>
  <c r="Z19" i="3"/>
  <c r="Z11" i="3"/>
  <c r="Z12" i="3"/>
  <c r="Z13" i="3"/>
  <c r="Z16" i="3"/>
  <c r="Z15" i="3"/>
  <c r="Z20" i="3"/>
  <c r="Z21" i="3"/>
  <c r="Z14" i="3"/>
  <c r="Z22" i="3"/>
  <c r="Z23" i="3"/>
  <c r="Z17" i="3"/>
  <c r="Z24" i="3"/>
  <c r="Z9" i="3"/>
  <c r="Z25" i="3"/>
  <c r="Z26" i="3"/>
  <c r="Z27" i="3"/>
  <c r="Z28" i="3"/>
  <c r="Z29" i="3"/>
  <c r="Z30" i="3"/>
  <c r="Y6" i="3"/>
  <c r="Y7" i="3"/>
  <c r="Y8" i="3"/>
  <c r="Y18" i="3"/>
  <c r="Y10" i="3"/>
  <c r="Y19" i="3"/>
  <c r="Y11" i="3"/>
  <c r="Y12" i="3"/>
  <c r="Y13" i="3"/>
  <c r="Y16" i="3"/>
  <c r="Y15" i="3"/>
  <c r="Y20" i="3"/>
  <c r="Y21" i="3"/>
  <c r="Y14" i="3"/>
  <c r="Y22" i="3"/>
  <c r="Y23" i="3"/>
  <c r="Y17" i="3"/>
  <c r="Y24" i="3"/>
  <c r="Y9" i="3"/>
  <c r="Y25" i="3"/>
  <c r="Y26" i="3"/>
  <c r="Y27" i="3"/>
  <c r="Y28" i="3"/>
  <c r="Y29" i="3"/>
  <c r="Y30" i="3"/>
  <c r="X6" i="3"/>
  <c r="X7" i="3"/>
  <c r="X8" i="3"/>
  <c r="X18" i="3"/>
  <c r="X10" i="3"/>
  <c r="X19" i="3"/>
  <c r="X11" i="3"/>
  <c r="X12" i="3"/>
  <c r="X13" i="3"/>
  <c r="X16" i="3"/>
  <c r="X15" i="3"/>
  <c r="X20" i="3"/>
  <c r="X21" i="3"/>
  <c r="X14" i="3"/>
  <c r="X22" i="3"/>
  <c r="X23" i="3"/>
  <c r="X17" i="3"/>
  <c r="X24" i="3"/>
  <c r="X9" i="3"/>
  <c r="X25" i="3"/>
  <c r="X26" i="3"/>
  <c r="X27" i="3"/>
  <c r="X28" i="3"/>
  <c r="X29" i="3"/>
  <c r="X30" i="3"/>
  <c r="W6" i="3"/>
  <c r="W7" i="3"/>
  <c r="W8" i="3"/>
  <c r="W18" i="3"/>
  <c r="W10" i="3"/>
  <c r="W19" i="3"/>
  <c r="W11" i="3"/>
  <c r="W12" i="3"/>
  <c r="W13" i="3"/>
  <c r="W16" i="3"/>
  <c r="W15" i="3"/>
  <c r="W20" i="3"/>
  <c r="W21" i="3"/>
  <c r="W14" i="3"/>
  <c r="W22" i="3"/>
  <c r="W23" i="3"/>
  <c r="W17" i="3"/>
  <c r="W24" i="3"/>
  <c r="W9" i="3"/>
  <c r="W25" i="3"/>
  <c r="W26" i="3"/>
  <c r="W27" i="3"/>
  <c r="W28" i="3"/>
  <c r="W29" i="3"/>
  <c r="W30" i="3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X6" i="5"/>
  <c r="AZ6" i="5" s="1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AA6" i="5"/>
  <c r="Z6" i="5"/>
  <c r="Y6" i="5"/>
  <c r="X6" i="5"/>
  <c r="W6" i="5"/>
  <c r="W7" i="5"/>
  <c r="W8" i="5"/>
  <c r="W9" i="5"/>
  <c r="W10" i="5"/>
  <c r="W11" i="5"/>
  <c r="W12" i="5"/>
  <c r="W13" i="5"/>
  <c r="W14" i="5"/>
  <c r="W15" i="5"/>
  <c r="W16" i="5"/>
  <c r="W18" i="5"/>
  <c r="W22" i="5"/>
  <c r="W17" i="5"/>
  <c r="W19" i="5"/>
  <c r="W20" i="5"/>
  <c r="W23" i="5"/>
  <c r="W24" i="5"/>
  <c r="W25" i="5"/>
  <c r="W26" i="5"/>
  <c r="W27" i="5"/>
  <c r="W28" i="5"/>
  <c r="W21" i="5"/>
  <c r="W29" i="5"/>
  <c r="W30" i="5"/>
  <c r="V6" i="5"/>
  <c r="V7" i="5"/>
  <c r="V8" i="5"/>
  <c r="V9" i="5"/>
  <c r="V10" i="5"/>
  <c r="V11" i="5"/>
  <c r="V12" i="5"/>
  <c r="V13" i="5"/>
  <c r="V14" i="5"/>
  <c r="V15" i="5"/>
  <c r="V16" i="5"/>
  <c r="V18" i="5"/>
  <c r="V22" i="5"/>
  <c r="V17" i="5"/>
  <c r="V19" i="5"/>
  <c r="V20" i="5"/>
  <c r="V23" i="5"/>
  <c r="V24" i="5"/>
  <c r="V25" i="5"/>
  <c r="V26" i="5"/>
  <c r="V27" i="5"/>
  <c r="V28" i="5"/>
  <c r="V21" i="5"/>
  <c r="V29" i="5"/>
  <c r="V30" i="5"/>
  <c r="AZ6" i="10"/>
  <c r="AZ7" i="10"/>
  <c r="AZ8" i="10"/>
  <c r="AZ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AY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M6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K6" i="10"/>
  <c r="AK7" i="10"/>
  <c r="AM7" i="10" s="1"/>
  <c r="AK8" i="10"/>
  <c r="AM8" i="10" s="1"/>
  <c r="AK9" i="10"/>
  <c r="AM9" i="10" s="1"/>
  <c r="AK10" i="10"/>
  <c r="AM10" i="10" s="1"/>
  <c r="AK11" i="10"/>
  <c r="AM11" i="10" s="1"/>
  <c r="AK12" i="10"/>
  <c r="AM12" i="10" s="1"/>
  <c r="AK13" i="10"/>
  <c r="AM13" i="10" s="1"/>
  <c r="AK14" i="10"/>
  <c r="AM14" i="10" s="1"/>
  <c r="AK15" i="10"/>
  <c r="AM15" i="10" s="1"/>
  <c r="AK16" i="10"/>
  <c r="AM16" i="10" s="1"/>
  <c r="AK17" i="10"/>
  <c r="AM17" i="10" s="1"/>
  <c r="AK18" i="10"/>
  <c r="AM18" i="10" s="1"/>
  <c r="AK19" i="10"/>
  <c r="AM19" i="10" s="1"/>
  <c r="AK20" i="10"/>
  <c r="AM20" i="10" s="1"/>
  <c r="AK21" i="10"/>
  <c r="AM21" i="10" s="1"/>
  <c r="AK22" i="10"/>
  <c r="AM22" i="10" s="1"/>
  <c r="AK23" i="10"/>
  <c r="AM23" i="10" s="1"/>
  <c r="AK24" i="10"/>
  <c r="AM24" i="10" s="1"/>
  <c r="AK25" i="10"/>
  <c r="AM25" i="10" s="1"/>
  <c r="AK26" i="10"/>
  <c r="AM26" i="10" s="1"/>
  <c r="AK27" i="10"/>
  <c r="AM27" i="10" s="1"/>
  <c r="AK28" i="10"/>
  <c r="AM28" i="10" s="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V18" i="10"/>
  <c r="V19" i="10"/>
  <c r="V8" i="10"/>
  <c r="V9" i="10"/>
  <c r="V20" i="10"/>
  <c r="V11" i="10"/>
  <c r="V13" i="10"/>
  <c r="V12" i="10"/>
  <c r="V15" i="10"/>
  <c r="V21" i="10"/>
  <c r="V16" i="10"/>
  <c r="V22" i="10"/>
  <c r="V10" i="10"/>
  <c r="V14" i="10"/>
  <c r="V23" i="10"/>
  <c r="V17" i="10"/>
  <c r="V24" i="10"/>
  <c r="V26" i="10"/>
  <c r="V25" i="10"/>
  <c r="V7" i="10"/>
  <c r="V27" i="10"/>
  <c r="V28" i="10"/>
  <c r="V6" i="10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BA5" i="7"/>
  <c r="BA6" i="7"/>
  <c r="BA7" i="7"/>
  <c r="BA10" i="7"/>
  <c r="BA8" i="7"/>
  <c r="BA9" i="7"/>
  <c r="BA11" i="7"/>
  <c r="BA12" i="7"/>
  <c r="BA13" i="7"/>
  <c r="BA14" i="7"/>
  <c r="BA15" i="7"/>
  <c r="BA16" i="7"/>
  <c r="BA22" i="7"/>
  <c r="BA18" i="7"/>
  <c r="BA17" i="7"/>
  <c r="BA23" i="7"/>
  <c r="BA24" i="7"/>
  <c r="BA19" i="7"/>
  <c r="BA25" i="7"/>
  <c r="BA26" i="7"/>
  <c r="BA27" i="7"/>
  <c r="BA28" i="7"/>
  <c r="BA20" i="7"/>
  <c r="BA21" i="7"/>
  <c r="BA29" i="7"/>
  <c r="BA30" i="7"/>
  <c r="BA31" i="7"/>
  <c r="AY5" i="7"/>
  <c r="AY6" i="7"/>
  <c r="AY7" i="7"/>
  <c r="AY10" i="7"/>
  <c r="AZ10" i="7" s="1"/>
  <c r="AY8" i="7"/>
  <c r="AZ8" i="7" s="1"/>
  <c r="AY9" i="7"/>
  <c r="AY11" i="7"/>
  <c r="AY12" i="7"/>
  <c r="AY13" i="7"/>
  <c r="AY14" i="7"/>
  <c r="AY15" i="7"/>
  <c r="AY16" i="7"/>
  <c r="AZ16" i="7" s="1"/>
  <c r="AY22" i="7"/>
  <c r="AY18" i="7"/>
  <c r="AY17" i="7"/>
  <c r="AY23" i="7"/>
  <c r="AY24" i="7"/>
  <c r="AY19" i="7"/>
  <c r="AY25" i="7"/>
  <c r="AY26" i="7"/>
  <c r="AZ26" i="7" s="1"/>
  <c r="AY27" i="7"/>
  <c r="AZ27" i="7" s="1"/>
  <c r="AY28" i="7"/>
  <c r="AY20" i="7"/>
  <c r="AY21" i="7"/>
  <c r="AY29" i="7"/>
  <c r="AY30" i="7"/>
  <c r="AY31" i="7"/>
  <c r="AL5" i="7"/>
  <c r="AM5" i="7" s="1"/>
  <c r="AN5" i="7"/>
  <c r="AN6" i="7"/>
  <c r="AN7" i="7"/>
  <c r="AN10" i="7"/>
  <c r="AN8" i="7"/>
  <c r="AN9" i="7"/>
  <c r="AN11" i="7"/>
  <c r="AN12" i="7"/>
  <c r="AN13" i="7"/>
  <c r="AN14" i="7"/>
  <c r="AN15" i="7"/>
  <c r="AN16" i="7"/>
  <c r="AN22" i="7"/>
  <c r="AN18" i="7"/>
  <c r="AN17" i="7"/>
  <c r="AN23" i="7"/>
  <c r="AN24" i="7"/>
  <c r="AN19" i="7"/>
  <c r="AN25" i="7"/>
  <c r="AN26" i="7"/>
  <c r="AN27" i="7"/>
  <c r="AN28" i="7"/>
  <c r="AN20" i="7"/>
  <c r="AN21" i="7"/>
  <c r="AN29" i="7"/>
  <c r="AN30" i="7"/>
  <c r="AN31" i="7"/>
  <c r="AL6" i="7"/>
  <c r="AM6" i="7" s="1"/>
  <c r="AL7" i="7"/>
  <c r="AM7" i="7" s="1"/>
  <c r="AL10" i="7"/>
  <c r="AL8" i="7"/>
  <c r="AL9" i="7"/>
  <c r="AM9" i="7" s="1"/>
  <c r="AL11" i="7"/>
  <c r="AL12" i="7"/>
  <c r="AM12" i="7" s="1"/>
  <c r="AL13" i="7"/>
  <c r="AM13" i="7" s="1"/>
  <c r="AL14" i="7"/>
  <c r="AM14" i="7" s="1"/>
  <c r="AL15" i="7"/>
  <c r="AM15" i="7" s="1"/>
  <c r="AL16" i="7"/>
  <c r="AL22" i="7"/>
  <c r="AM22" i="7" s="1"/>
  <c r="AL18" i="7"/>
  <c r="AL17" i="7"/>
  <c r="AL23" i="7"/>
  <c r="AL24" i="7"/>
  <c r="AL19" i="7"/>
  <c r="AL25" i="7"/>
  <c r="AL26" i="7"/>
  <c r="AL27" i="7"/>
  <c r="AL28" i="7"/>
  <c r="AM28" i="7" s="1"/>
  <c r="AL20" i="7"/>
  <c r="AM20" i="7" s="1"/>
  <c r="AL21" i="7"/>
  <c r="AM21" i="7" s="1"/>
  <c r="AL29" i="7"/>
  <c r="AM29" i="7" s="1"/>
  <c r="AL30" i="7"/>
  <c r="AM30" i="7" s="1"/>
  <c r="AL31" i="7"/>
  <c r="AM31" i="7" s="1"/>
  <c r="U5" i="7"/>
  <c r="U6" i="7"/>
  <c r="U7" i="7"/>
  <c r="U10" i="7"/>
  <c r="U8" i="7"/>
  <c r="U9" i="7"/>
  <c r="U11" i="7"/>
  <c r="U12" i="7"/>
  <c r="U13" i="7"/>
  <c r="U14" i="7"/>
  <c r="U15" i="7"/>
  <c r="U16" i="7"/>
  <c r="U22" i="7"/>
  <c r="U18" i="7"/>
  <c r="U17" i="7"/>
  <c r="U23" i="7"/>
  <c r="U24" i="7"/>
  <c r="U19" i="7"/>
  <c r="U25" i="7"/>
  <c r="U26" i="7"/>
  <c r="U27" i="7"/>
  <c r="U28" i="7"/>
  <c r="U20" i="7"/>
  <c r="U21" i="7"/>
  <c r="U29" i="7"/>
  <c r="U30" i="7"/>
  <c r="U31" i="7"/>
  <c r="S5" i="7"/>
  <c r="T5" i="7" s="1"/>
  <c r="S6" i="7"/>
  <c r="S7" i="7"/>
  <c r="S10" i="7"/>
  <c r="T10" i="7" s="1"/>
  <c r="S8" i="7"/>
  <c r="S9" i="7"/>
  <c r="T9" i="7" s="1"/>
  <c r="S11" i="7"/>
  <c r="S12" i="7"/>
  <c r="T12" i="7" s="1"/>
  <c r="S13" i="7"/>
  <c r="T13" i="7" s="1"/>
  <c r="S14" i="7"/>
  <c r="S15" i="7"/>
  <c r="S16" i="7"/>
  <c r="S22" i="7"/>
  <c r="S18" i="7"/>
  <c r="S17" i="7"/>
  <c r="T17" i="7" s="1"/>
  <c r="S23" i="7"/>
  <c r="S24" i="7"/>
  <c r="S19" i="7"/>
  <c r="S25" i="7"/>
  <c r="T25" i="7" s="1"/>
  <c r="S26" i="7"/>
  <c r="T26" i="7" s="1"/>
  <c r="S27" i="7"/>
  <c r="T27" i="7" s="1"/>
  <c r="S28" i="7"/>
  <c r="T28" i="7" s="1"/>
  <c r="S20" i="7"/>
  <c r="T20" i="7" s="1"/>
  <c r="S21" i="7"/>
  <c r="T21" i="7" s="1"/>
  <c r="S29" i="7"/>
  <c r="T29" i="7" s="1"/>
  <c r="S30" i="7"/>
  <c r="S31" i="7"/>
  <c r="AA5" i="7"/>
  <c r="AA6" i="7"/>
  <c r="AA7" i="7"/>
  <c r="AA10" i="7"/>
  <c r="AA8" i="7"/>
  <c r="AA9" i="7"/>
  <c r="AA11" i="7"/>
  <c r="AA12" i="7"/>
  <c r="AA13" i="7"/>
  <c r="AA14" i="7"/>
  <c r="AA15" i="7"/>
  <c r="AA16" i="7"/>
  <c r="AA22" i="7"/>
  <c r="AA18" i="7"/>
  <c r="AA17" i="7"/>
  <c r="AA23" i="7"/>
  <c r="AA24" i="7"/>
  <c r="AA19" i="7"/>
  <c r="AA25" i="7"/>
  <c r="AA26" i="7"/>
  <c r="AA27" i="7"/>
  <c r="AA28" i="7"/>
  <c r="AA20" i="7"/>
  <c r="AA21" i="7"/>
  <c r="AA29" i="7"/>
  <c r="AA30" i="7"/>
  <c r="AA31" i="7"/>
  <c r="Z5" i="7"/>
  <c r="Z6" i="7"/>
  <c r="Z7" i="7"/>
  <c r="Z10" i="7"/>
  <c r="Z8" i="7"/>
  <c r="Z9" i="7"/>
  <c r="Z11" i="7"/>
  <c r="Z12" i="7"/>
  <c r="Z13" i="7"/>
  <c r="Z14" i="7"/>
  <c r="Z15" i="7"/>
  <c r="Z16" i="7"/>
  <c r="Z22" i="7"/>
  <c r="Z18" i="7"/>
  <c r="Z17" i="7"/>
  <c r="Z23" i="7"/>
  <c r="Z24" i="7"/>
  <c r="Z19" i="7"/>
  <c r="Z25" i="7"/>
  <c r="Z26" i="7"/>
  <c r="Z27" i="7"/>
  <c r="Z28" i="7"/>
  <c r="Z20" i="7"/>
  <c r="Z21" i="7"/>
  <c r="Z29" i="7"/>
  <c r="Z30" i="7"/>
  <c r="Z31" i="7"/>
  <c r="Y5" i="7"/>
  <c r="Y6" i="7"/>
  <c r="Y7" i="7"/>
  <c r="Y10" i="7"/>
  <c r="Y8" i="7"/>
  <c r="Y9" i="7"/>
  <c r="Y11" i="7"/>
  <c r="Y12" i="7"/>
  <c r="Y13" i="7"/>
  <c r="Y14" i="7"/>
  <c r="Y15" i="7"/>
  <c r="Y16" i="7"/>
  <c r="Y22" i="7"/>
  <c r="Y18" i="7"/>
  <c r="Y17" i="7"/>
  <c r="Y23" i="7"/>
  <c r="Y24" i="7"/>
  <c r="Y19" i="7"/>
  <c r="Y25" i="7"/>
  <c r="Y26" i="7"/>
  <c r="Y27" i="7"/>
  <c r="Y28" i="7"/>
  <c r="Y20" i="7"/>
  <c r="Y21" i="7"/>
  <c r="Y29" i="7"/>
  <c r="Y30" i="7"/>
  <c r="Y31" i="7"/>
  <c r="V5" i="7"/>
  <c r="V6" i="7"/>
  <c r="V7" i="7"/>
  <c r="V10" i="7"/>
  <c r="V8" i="7"/>
  <c r="V9" i="7"/>
  <c r="V11" i="7"/>
  <c r="V12" i="7"/>
  <c r="V13" i="7"/>
  <c r="V14" i="7"/>
  <c r="V15" i="7"/>
  <c r="V16" i="7"/>
  <c r="V22" i="7"/>
  <c r="V18" i="7"/>
  <c r="V17" i="7"/>
  <c r="V23" i="7"/>
  <c r="V24" i="7"/>
  <c r="V19" i="7"/>
  <c r="V25" i="7"/>
  <c r="V26" i="7"/>
  <c r="V27" i="7"/>
  <c r="V28" i="7"/>
  <c r="V20" i="7"/>
  <c r="V21" i="7"/>
  <c r="V29" i="7"/>
  <c r="V30" i="7"/>
  <c r="V31" i="7"/>
  <c r="W5" i="7"/>
  <c r="W6" i="7"/>
  <c r="W7" i="7"/>
  <c r="W10" i="7"/>
  <c r="W8" i="7"/>
  <c r="W9" i="7"/>
  <c r="W11" i="7"/>
  <c r="W12" i="7"/>
  <c r="W13" i="7"/>
  <c r="W14" i="7"/>
  <c r="W15" i="7"/>
  <c r="W16" i="7"/>
  <c r="W22" i="7"/>
  <c r="W18" i="7"/>
  <c r="W17" i="7"/>
  <c r="W23" i="7"/>
  <c r="W24" i="7"/>
  <c r="W19" i="7"/>
  <c r="W25" i="7"/>
  <c r="W26" i="7"/>
  <c r="W27" i="7"/>
  <c r="W28" i="7"/>
  <c r="W20" i="7"/>
  <c r="W21" i="7"/>
  <c r="W29" i="7"/>
  <c r="W30" i="7"/>
  <c r="W31" i="7"/>
  <c r="X5" i="7"/>
  <c r="X6" i="7"/>
  <c r="X7" i="7"/>
  <c r="X10" i="7"/>
  <c r="X8" i="7"/>
  <c r="X9" i="7"/>
  <c r="X11" i="7"/>
  <c r="X12" i="7"/>
  <c r="X13" i="7"/>
  <c r="X14" i="7"/>
  <c r="X15" i="7"/>
  <c r="X16" i="7"/>
  <c r="X22" i="7"/>
  <c r="X18" i="7"/>
  <c r="X17" i="7"/>
  <c r="X23" i="7"/>
  <c r="X24" i="7"/>
  <c r="X19" i="7"/>
  <c r="X25" i="7"/>
  <c r="X26" i="7"/>
  <c r="X27" i="7"/>
  <c r="X28" i="7"/>
  <c r="X20" i="7"/>
  <c r="X21" i="7"/>
  <c r="X29" i="7"/>
  <c r="X30" i="7"/>
  <c r="X31" i="7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T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U15" i="8" l="1"/>
  <c r="U25" i="8"/>
  <c r="U17" i="8"/>
  <c r="U9" i="8"/>
  <c r="U6" i="8"/>
  <c r="Y25" i="8"/>
  <c r="Y17" i="8"/>
  <c r="Y9" i="8"/>
  <c r="AC23" i="8"/>
  <c r="AC29" i="8"/>
  <c r="AC25" i="8"/>
  <c r="AC17" i="8"/>
  <c r="AC15" i="8"/>
  <c r="Y27" i="8"/>
  <c r="Y19" i="8"/>
  <c r="Y11" i="8"/>
  <c r="AC21" i="8"/>
  <c r="AC9" i="8"/>
  <c r="Y28" i="8"/>
  <c r="AC7" i="8"/>
  <c r="U29" i="8"/>
  <c r="U21" i="8"/>
  <c r="AC13" i="8"/>
  <c r="Y26" i="8"/>
  <c r="Y18" i="8"/>
  <c r="Y10" i="8"/>
  <c r="AC24" i="8"/>
  <c r="AC16" i="8"/>
  <c r="AC8" i="8"/>
  <c r="Y24" i="8"/>
  <c r="Y16" i="8"/>
  <c r="Y8" i="8"/>
  <c r="AC30" i="8"/>
  <c r="AC22" i="8"/>
  <c r="AC14" i="8"/>
  <c r="AC6" i="8"/>
  <c r="Y23" i="8"/>
  <c r="Y15" i="8"/>
  <c r="Y7" i="8"/>
  <c r="Y30" i="8"/>
  <c r="Y22" i="8"/>
  <c r="Y14" i="8"/>
  <c r="Y6" i="8"/>
  <c r="AC28" i="8"/>
  <c r="AC20" i="8"/>
  <c r="AC12" i="8"/>
  <c r="Y29" i="8"/>
  <c r="Y21" i="8"/>
  <c r="Y13" i="8"/>
  <c r="AC27" i="8"/>
  <c r="AC19" i="8"/>
  <c r="AC11" i="8"/>
  <c r="Y20" i="8"/>
  <c r="Y12" i="8"/>
  <c r="AC26" i="8"/>
  <c r="AC18" i="8"/>
  <c r="AC10" i="8"/>
  <c r="U24" i="8"/>
  <c r="U16" i="8"/>
  <c r="U8" i="8"/>
  <c r="U30" i="8"/>
  <c r="U22" i="8"/>
  <c r="U14" i="8"/>
  <c r="U13" i="8"/>
  <c r="U27" i="8"/>
  <c r="U19" i="8"/>
  <c r="U11" i="8"/>
  <c r="U26" i="8"/>
  <c r="U18" i="8"/>
  <c r="U10" i="8"/>
  <c r="U23" i="8"/>
  <c r="U28" i="8"/>
  <c r="U20" i="8"/>
  <c r="U12" i="8"/>
  <c r="U7" i="8"/>
  <c r="T28" i="3"/>
  <c r="T29" i="3"/>
  <c r="T30" i="3"/>
  <c r="T26" i="3"/>
  <c r="T18" i="3"/>
  <c r="T10" i="3"/>
  <c r="T25" i="3"/>
  <c r="T17" i="3"/>
  <c r="T9" i="3"/>
  <c r="T22" i="3"/>
  <c r="T24" i="3"/>
  <c r="T14" i="3"/>
  <c r="T21" i="3"/>
  <c r="T13" i="3"/>
  <c r="T20" i="3"/>
  <c r="T12" i="3"/>
  <c r="T27" i="3"/>
  <c r="T19" i="3"/>
  <c r="T11" i="3"/>
  <c r="T16" i="3"/>
  <c r="T8" i="3"/>
  <c r="T6" i="3"/>
  <c r="T23" i="3"/>
  <c r="T15" i="3"/>
  <c r="T7" i="3"/>
  <c r="AZ29" i="5"/>
  <c r="AZ21" i="5"/>
  <c r="AZ26" i="5"/>
  <c r="AZ18" i="5"/>
  <c r="AZ10" i="5"/>
  <c r="AZ13" i="5"/>
  <c r="AM6" i="5"/>
  <c r="AZ27" i="5"/>
  <c r="AZ19" i="5"/>
  <c r="AZ11" i="5"/>
  <c r="AZ24" i="5"/>
  <c r="AZ16" i="5"/>
  <c r="AZ8" i="5"/>
  <c r="AZ23" i="5"/>
  <c r="AZ15" i="5"/>
  <c r="AZ7" i="5"/>
  <c r="AM27" i="5"/>
  <c r="AZ30" i="5"/>
  <c r="AZ22" i="5"/>
  <c r="AZ14" i="5"/>
  <c r="AZ9" i="5"/>
  <c r="AZ25" i="5"/>
  <c r="AZ28" i="5"/>
  <c r="AZ20" i="5"/>
  <c r="AZ12" i="5"/>
  <c r="AZ17" i="5"/>
  <c r="AM19" i="5"/>
  <c r="T29" i="5"/>
  <c r="AM26" i="5"/>
  <c r="AM18" i="5"/>
  <c r="AM25" i="5"/>
  <c r="AM17" i="5"/>
  <c r="AM9" i="5"/>
  <c r="AM24" i="5"/>
  <c r="AM16" i="5"/>
  <c r="AM8" i="5"/>
  <c r="AM23" i="5"/>
  <c r="AM15" i="5"/>
  <c r="AM7" i="5"/>
  <c r="AM30" i="5"/>
  <c r="AM22" i="5"/>
  <c r="AM14" i="5"/>
  <c r="AM29" i="5"/>
  <c r="AM21" i="5"/>
  <c r="AM13" i="5"/>
  <c r="AM28" i="5"/>
  <c r="AM20" i="5"/>
  <c r="AM12" i="5"/>
  <c r="AM10" i="5"/>
  <c r="AM11" i="5"/>
  <c r="T30" i="5"/>
  <c r="T28" i="5"/>
  <c r="T20" i="5"/>
  <c r="T12" i="5"/>
  <c r="T22" i="5"/>
  <c r="T14" i="5"/>
  <c r="T6" i="5"/>
  <c r="T21" i="5"/>
  <c r="T13" i="5"/>
  <c r="T11" i="5"/>
  <c r="T26" i="5"/>
  <c r="T18" i="5"/>
  <c r="T10" i="5"/>
  <c r="T19" i="5"/>
  <c r="T25" i="5"/>
  <c r="T17" i="5"/>
  <c r="T9" i="5"/>
  <c r="T27" i="5"/>
  <c r="T24" i="5"/>
  <c r="T16" i="5"/>
  <c r="T8" i="5"/>
  <c r="T23" i="5"/>
  <c r="T15" i="5"/>
  <c r="T7" i="5"/>
  <c r="T12" i="10"/>
  <c r="T21" i="10"/>
  <c r="T26" i="10"/>
  <c r="T18" i="10"/>
  <c r="T10" i="10"/>
  <c r="T25" i="10"/>
  <c r="T24" i="10"/>
  <c r="T28" i="10"/>
  <c r="T20" i="10"/>
  <c r="T6" i="10"/>
  <c r="T27" i="10"/>
  <c r="T19" i="10"/>
  <c r="T16" i="10"/>
  <c r="T22" i="10"/>
  <c r="T13" i="10"/>
  <c r="AZ18" i="7"/>
  <c r="AZ24" i="7"/>
  <c r="AM17" i="7"/>
  <c r="AZ22" i="7"/>
  <c r="AZ30" i="7"/>
  <c r="AZ14" i="7"/>
  <c r="AZ6" i="7"/>
  <c r="T17" i="10"/>
  <c r="T9" i="10"/>
  <c r="T8" i="10"/>
  <c r="T23" i="10"/>
  <c r="T15" i="10"/>
  <c r="T7" i="10"/>
  <c r="T14" i="10"/>
  <c r="T11" i="10"/>
  <c r="AM16" i="7"/>
  <c r="AZ19" i="7"/>
  <c r="AM25" i="7"/>
  <c r="AZ29" i="7"/>
  <c r="AZ13" i="7"/>
  <c r="AZ5" i="7"/>
  <c r="AZ21" i="7"/>
  <c r="AZ12" i="7"/>
  <c r="AM18" i="7"/>
  <c r="AZ20" i="7"/>
  <c r="AZ11" i="7"/>
  <c r="AZ28" i="7"/>
  <c r="T24" i="7"/>
  <c r="AM11" i="7"/>
  <c r="AZ31" i="7"/>
  <c r="AZ15" i="7"/>
  <c r="AZ7" i="7"/>
  <c r="T8" i="7"/>
  <c r="T16" i="7"/>
  <c r="AZ23" i="7"/>
  <c r="AZ25" i="7"/>
  <c r="AZ17" i="7"/>
  <c r="AZ9" i="7"/>
  <c r="T11" i="7"/>
  <c r="AM27" i="7"/>
  <c r="AM8" i="7"/>
  <c r="AM26" i="7"/>
  <c r="AM10" i="7"/>
  <c r="T23" i="7"/>
  <c r="T22" i="7"/>
  <c r="AM19" i="7"/>
  <c r="T31" i="7"/>
  <c r="T15" i="7"/>
  <c r="T7" i="7"/>
  <c r="AM24" i="7"/>
  <c r="T30" i="7"/>
  <c r="T19" i="7"/>
  <c r="T14" i="7"/>
  <c r="T6" i="7"/>
  <c r="AM23" i="7"/>
  <c r="T18" i="7"/>
  <c r="AG6" i="6"/>
  <c r="AI6" i="6"/>
  <c r="AI7" i="6"/>
  <c r="AI10" i="6"/>
  <c r="AI8" i="6"/>
  <c r="AI11" i="6"/>
  <c r="AI9" i="6"/>
  <c r="AI12" i="6"/>
  <c r="AI15" i="6"/>
  <c r="AI13" i="6"/>
  <c r="AI14" i="6"/>
  <c r="AI17" i="6"/>
  <c r="AI16" i="6"/>
  <c r="AI18" i="6"/>
  <c r="AI19" i="6"/>
  <c r="AI20" i="6"/>
  <c r="AI21" i="6"/>
  <c r="AI22" i="6"/>
  <c r="AI23" i="6"/>
  <c r="AI24" i="6"/>
  <c r="AI26" i="6"/>
  <c r="AI25" i="6"/>
  <c r="AI27" i="6"/>
  <c r="AI28" i="6"/>
  <c r="AI29" i="6"/>
  <c r="AI30" i="6"/>
  <c r="AI31" i="6"/>
  <c r="AI32" i="6"/>
  <c r="AG7" i="6"/>
  <c r="AG10" i="6"/>
  <c r="AG8" i="6"/>
  <c r="AG11" i="6"/>
  <c r="AG9" i="6"/>
  <c r="AG12" i="6"/>
  <c r="AG15" i="6"/>
  <c r="AG13" i="6"/>
  <c r="AG14" i="6"/>
  <c r="AG17" i="6"/>
  <c r="AG16" i="6"/>
  <c r="AG18" i="6"/>
  <c r="AG19" i="6"/>
  <c r="AG20" i="6"/>
  <c r="AG21" i="6"/>
  <c r="AG22" i="6"/>
  <c r="AG23" i="6"/>
  <c r="AG24" i="6"/>
  <c r="AG26" i="6"/>
  <c r="AG25" i="6"/>
  <c r="AG27" i="6"/>
  <c r="AG28" i="6"/>
  <c r="AG29" i="6"/>
  <c r="AG30" i="6"/>
  <c r="AG31" i="6"/>
  <c r="AG32" i="6"/>
  <c r="AF6" i="6"/>
  <c r="AF7" i="6"/>
  <c r="AF10" i="6"/>
  <c r="AF8" i="6"/>
  <c r="AF11" i="6"/>
  <c r="AF9" i="6"/>
  <c r="AF12" i="6"/>
  <c r="AF15" i="6"/>
  <c r="AF13" i="6"/>
  <c r="AF14" i="6"/>
  <c r="AF17" i="6"/>
  <c r="AF16" i="6"/>
  <c r="AF18" i="6"/>
  <c r="AF19" i="6"/>
  <c r="AF20" i="6"/>
  <c r="AF21" i="6"/>
  <c r="AH21" i="6" s="1"/>
  <c r="AF22" i="6"/>
  <c r="AF23" i="6"/>
  <c r="AF24" i="6"/>
  <c r="AF26" i="6"/>
  <c r="AF25" i="6"/>
  <c r="AF27" i="6"/>
  <c r="AF28" i="6"/>
  <c r="AF29" i="6"/>
  <c r="AH29" i="6" s="1"/>
  <c r="AF30" i="6"/>
  <c r="AF31" i="6"/>
  <c r="AF32" i="6"/>
  <c r="R6" i="6"/>
  <c r="R7" i="6"/>
  <c r="R10" i="6"/>
  <c r="R8" i="6"/>
  <c r="R11" i="6"/>
  <c r="R9" i="6"/>
  <c r="R12" i="6"/>
  <c r="R15" i="6"/>
  <c r="R13" i="6"/>
  <c r="R14" i="6"/>
  <c r="R17" i="6"/>
  <c r="R16" i="6"/>
  <c r="R18" i="6"/>
  <c r="R19" i="6"/>
  <c r="R20" i="6"/>
  <c r="R21" i="6"/>
  <c r="R22" i="6"/>
  <c r="R23" i="6"/>
  <c r="R24" i="6"/>
  <c r="R26" i="6"/>
  <c r="R25" i="6"/>
  <c r="R27" i="6"/>
  <c r="R28" i="6"/>
  <c r="R29" i="6"/>
  <c r="R30" i="6"/>
  <c r="R31" i="6"/>
  <c r="R32" i="6"/>
  <c r="AA6" i="6"/>
  <c r="AA7" i="6"/>
  <c r="AA10" i="6"/>
  <c r="AA8" i="6"/>
  <c r="AA11" i="6"/>
  <c r="AA9" i="6"/>
  <c r="AA12" i="6"/>
  <c r="AA15" i="6"/>
  <c r="AA13" i="6"/>
  <c r="AA14" i="6"/>
  <c r="AA17" i="6"/>
  <c r="AA16" i="6"/>
  <c r="AA18" i="6"/>
  <c r="AA19" i="6"/>
  <c r="AA20" i="6"/>
  <c r="AA21" i="6"/>
  <c r="AA22" i="6"/>
  <c r="AA23" i="6"/>
  <c r="AA24" i="6"/>
  <c r="AA26" i="6"/>
  <c r="AA25" i="6"/>
  <c r="AA27" i="6"/>
  <c r="AA28" i="6"/>
  <c r="AA29" i="6"/>
  <c r="AA30" i="6"/>
  <c r="AA31" i="6"/>
  <c r="AA32" i="6"/>
  <c r="Z6" i="6"/>
  <c r="Z7" i="6"/>
  <c r="Z10" i="6"/>
  <c r="Z8" i="6"/>
  <c r="Z11" i="6"/>
  <c r="Z9" i="6"/>
  <c r="Z12" i="6"/>
  <c r="Z15" i="6"/>
  <c r="Z13" i="6"/>
  <c r="Z14" i="6"/>
  <c r="Z17" i="6"/>
  <c r="Z16" i="6"/>
  <c r="Z18" i="6"/>
  <c r="Z19" i="6"/>
  <c r="Z20" i="6"/>
  <c r="Z21" i="6"/>
  <c r="Z22" i="6"/>
  <c r="Z23" i="6"/>
  <c r="Z24" i="6"/>
  <c r="Z26" i="6"/>
  <c r="Z25" i="6"/>
  <c r="Z27" i="6"/>
  <c r="Z28" i="6"/>
  <c r="Z29" i="6"/>
  <c r="Z30" i="6"/>
  <c r="Z31" i="6"/>
  <c r="Z32" i="6"/>
  <c r="Y6" i="6"/>
  <c r="Y7" i="6"/>
  <c r="Y10" i="6"/>
  <c r="Y8" i="6"/>
  <c r="Y11" i="6"/>
  <c r="Y9" i="6"/>
  <c r="Y12" i="6"/>
  <c r="Y15" i="6"/>
  <c r="Y13" i="6"/>
  <c r="Y14" i="6"/>
  <c r="Y17" i="6"/>
  <c r="Y16" i="6"/>
  <c r="Y18" i="6"/>
  <c r="Y19" i="6"/>
  <c r="Y20" i="6"/>
  <c r="Y21" i="6"/>
  <c r="Y22" i="6"/>
  <c r="Y23" i="6"/>
  <c r="Y24" i="6"/>
  <c r="Y26" i="6"/>
  <c r="Y25" i="6"/>
  <c r="Y27" i="6"/>
  <c r="Y28" i="6"/>
  <c r="Y29" i="6"/>
  <c r="Y30" i="6"/>
  <c r="Y31" i="6"/>
  <c r="Y32" i="6"/>
  <c r="X6" i="6"/>
  <c r="X7" i="6"/>
  <c r="X10" i="6"/>
  <c r="X8" i="6"/>
  <c r="X11" i="6"/>
  <c r="X9" i="6"/>
  <c r="X12" i="6"/>
  <c r="X15" i="6"/>
  <c r="X13" i="6"/>
  <c r="X14" i="6"/>
  <c r="X17" i="6"/>
  <c r="X16" i="6"/>
  <c r="X18" i="6"/>
  <c r="X19" i="6"/>
  <c r="X20" i="6"/>
  <c r="X21" i="6"/>
  <c r="X22" i="6"/>
  <c r="X23" i="6"/>
  <c r="X24" i="6"/>
  <c r="X26" i="6"/>
  <c r="X25" i="6"/>
  <c r="X27" i="6"/>
  <c r="X28" i="6"/>
  <c r="X29" i="6"/>
  <c r="X30" i="6"/>
  <c r="X31" i="6"/>
  <c r="X32" i="6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G6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B6" i="4"/>
  <c r="AG7" i="4"/>
  <c r="AH7" i="4" s="1"/>
  <c r="AG8" i="4"/>
  <c r="AG9" i="4"/>
  <c r="AH9" i="4" s="1"/>
  <c r="AG10" i="4"/>
  <c r="AG11" i="4"/>
  <c r="AG12" i="4"/>
  <c r="AH12" i="4" s="1"/>
  <c r="AG13" i="4"/>
  <c r="AH13" i="4" s="1"/>
  <c r="AG14" i="4"/>
  <c r="AH14" i="4" s="1"/>
  <c r="AG15" i="4"/>
  <c r="AH15" i="4" s="1"/>
  <c r="AG16" i="4"/>
  <c r="AG17" i="4"/>
  <c r="AH17" i="4" s="1"/>
  <c r="AG18" i="4"/>
  <c r="AG19" i="4"/>
  <c r="AG20" i="4"/>
  <c r="AH20" i="4" s="1"/>
  <c r="AG21" i="4"/>
  <c r="AH21" i="4" s="1"/>
  <c r="AG22" i="4"/>
  <c r="AH22" i="4" s="1"/>
  <c r="AG23" i="4"/>
  <c r="AH23" i="4" s="1"/>
  <c r="AG24" i="4"/>
  <c r="AG25" i="4"/>
  <c r="AH25" i="4" s="1"/>
  <c r="AG26" i="4"/>
  <c r="AG27" i="4"/>
  <c r="AG28" i="4"/>
  <c r="AH28" i="4" s="1"/>
  <c r="AG29" i="4"/>
  <c r="AH29" i="4" s="1"/>
  <c r="AG30" i="4"/>
  <c r="AH30" i="4" s="1"/>
  <c r="AC6" i="4"/>
  <c r="AD6" i="4" s="1"/>
  <c r="AE6" i="4"/>
  <c r="AE7" i="4"/>
  <c r="AE8" i="4"/>
  <c r="AE9" i="4"/>
  <c r="AE10" i="4"/>
  <c r="AE11" i="4"/>
  <c r="AE12" i="4"/>
  <c r="AE13" i="4"/>
  <c r="AE14" i="4"/>
  <c r="AE15" i="4"/>
  <c r="AE16" i="4"/>
  <c r="AE18" i="4"/>
  <c r="AE17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C7" i="4"/>
  <c r="AC8" i="4"/>
  <c r="AC9" i="4"/>
  <c r="AC10" i="4"/>
  <c r="AC11" i="4"/>
  <c r="AC12" i="4"/>
  <c r="AC13" i="4"/>
  <c r="AC14" i="4"/>
  <c r="AC15" i="4"/>
  <c r="AC16" i="4"/>
  <c r="AC18" i="4"/>
  <c r="AC17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B7" i="4"/>
  <c r="AB8" i="4"/>
  <c r="AB9" i="4"/>
  <c r="AB10" i="4"/>
  <c r="AB11" i="4"/>
  <c r="AB12" i="4"/>
  <c r="AB13" i="4"/>
  <c r="AB14" i="4"/>
  <c r="AB15" i="4"/>
  <c r="AB16" i="4"/>
  <c r="AB18" i="4"/>
  <c r="AB17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S6" i="4"/>
  <c r="R6" i="4"/>
  <c r="R7" i="4"/>
  <c r="R8" i="4"/>
  <c r="R9" i="4"/>
  <c r="R10" i="4"/>
  <c r="R11" i="4"/>
  <c r="R12" i="4"/>
  <c r="R13" i="4"/>
  <c r="R14" i="4"/>
  <c r="R15" i="4"/>
  <c r="R16" i="4"/>
  <c r="R18" i="4"/>
  <c r="R17" i="4"/>
  <c r="R19" i="4"/>
  <c r="R20" i="4"/>
  <c r="R21" i="4"/>
  <c r="R22" i="4"/>
  <c r="R23" i="4"/>
  <c r="R24" i="4"/>
  <c r="R25" i="4"/>
  <c r="R26" i="4"/>
  <c r="R27" i="4"/>
  <c r="R28" i="4"/>
  <c r="R29" i="4"/>
  <c r="R30" i="4"/>
  <c r="U6" i="4"/>
  <c r="U7" i="4"/>
  <c r="U8" i="4"/>
  <c r="U9" i="4"/>
  <c r="U10" i="4"/>
  <c r="U11" i="4"/>
  <c r="U12" i="4"/>
  <c r="U13" i="4"/>
  <c r="U14" i="4"/>
  <c r="U15" i="4"/>
  <c r="U16" i="4"/>
  <c r="U18" i="4"/>
  <c r="U17" i="4"/>
  <c r="U19" i="4"/>
  <c r="U20" i="4"/>
  <c r="U21" i="4"/>
  <c r="U22" i="4"/>
  <c r="U23" i="4"/>
  <c r="U24" i="4"/>
  <c r="U25" i="4"/>
  <c r="U26" i="4"/>
  <c r="U27" i="4"/>
  <c r="U28" i="4"/>
  <c r="U29" i="4"/>
  <c r="U30" i="4"/>
  <c r="S7" i="4"/>
  <c r="T7" i="4" s="1"/>
  <c r="S8" i="4"/>
  <c r="S9" i="4"/>
  <c r="S10" i="4"/>
  <c r="S11" i="4"/>
  <c r="S12" i="4"/>
  <c r="S13" i="4"/>
  <c r="S14" i="4"/>
  <c r="S15" i="4"/>
  <c r="T15" i="4" s="1"/>
  <c r="S16" i="4"/>
  <c r="S18" i="4"/>
  <c r="S17" i="4"/>
  <c r="S19" i="4"/>
  <c r="S20" i="4"/>
  <c r="S21" i="4"/>
  <c r="S22" i="4"/>
  <c r="S23" i="4"/>
  <c r="T23" i="4" s="1"/>
  <c r="S24" i="4"/>
  <c r="S25" i="4"/>
  <c r="S26" i="4"/>
  <c r="S27" i="4"/>
  <c r="S28" i="4"/>
  <c r="S29" i="4"/>
  <c r="S30" i="4"/>
  <c r="AA6" i="4"/>
  <c r="AA7" i="4"/>
  <c r="AA8" i="4"/>
  <c r="AA9" i="4"/>
  <c r="AA10" i="4"/>
  <c r="AA11" i="4"/>
  <c r="AA12" i="4"/>
  <c r="AA13" i="4"/>
  <c r="AA14" i="4"/>
  <c r="AA15" i="4"/>
  <c r="AA16" i="4"/>
  <c r="AA18" i="4"/>
  <c r="AA17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6" i="4"/>
  <c r="Z7" i="4"/>
  <c r="Z8" i="4"/>
  <c r="Z9" i="4"/>
  <c r="Z10" i="4"/>
  <c r="Z11" i="4"/>
  <c r="Z12" i="4"/>
  <c r="Z13" i="4"/>
  <c r="Z14" i="4"/>
  <c r="Z15" i="4"/>
  <c r="Z16" i="4"/>
  <c r="Z18" i="4"/>
  <c r="Z17" i="4"/>
  <c r="Z19" i="4"/>
  <c r="Z20" i="4"/>
  <c r="Z21" i="4"/>
  <c r="Z22" i="4"/>
  <c r="Z23" i="4"/>
  <c r="Z24" i="4"/>
  <c r="Z25" i="4"/>
  <c r="Z26" i="4"/>
  <c r="Z27" i="4"/>
  <c r="Z28" i="4"/>
  <c r="Z29" i="4"/>
  <c r="Z30" i="4"/>
  <c r="Y6" i="4"/>
  <c r="X6" i="4"/>
  <c r="X7" i="4"/>
  <c r="X8" i="4"/>
  <c r="X9" i="4"/>
  <c r="X10" i="4"/>
  <c r="X11" i="4"/>
  <c r="X12" i="4"/>
  <c r="X13" i="4"/>
  <c r="X14" i="4"/>
  <c r="X15" i="4"/>
  <c r="X16" i="4"/>
  <c r="X18" i="4"/>
  <c r="X17" i="4"/>
  <c r="X19" i="4"/>
  <c r="X20" i="4"/>
  <c r="X21" i="4"/>
  <c r="X22" i="4"/>
  <c r="X23" i="4"/>
  <c r="X24" i="4"/>
  <c r="X25" i="4"/>
  <c r="X26" i="4"/>
  <c r="X27" i="4"/>
  <c r="X28" i="4"/>
  <c r="X29" i="4"/>
  <c r="X30" i="4"/>
  <c r="W6" i="4"/>
  <c r="W7" i="4"/>
  <c r="W8" i="4"/>
  <c r="W9" i="4"/>
  <c r="W10" i="4"/>
  <c r="W11" i="4"/>
  <c r="W12" i="4"/>
  <c r="W13" i="4"/>
  <c r="W14" i="4"/>
  <c r="W15" i="4"/>
  <c r="W16" i="4"/>
  <c r="W18" i="4"/>
  <c r="W17" i="4"/>
  <c r="W19" i="4"/>
  <c r="W20" i="4"/>
  <c r="W21" i="4"/>
  <c r="W22" i="4"/>
  <c r="W23" i="4"/>
  <c r="W24" i="4"/>
  <c r="W25" i="4"/>
  <c r="W26" i="4"/>
  <c r="W27" i="4"/>
  <c r="W28" i="4"/>
  <c r="W29" i="4"/>
  <c r="W30" i="4"/>
  <c r="V6" i="4"/>
  <c r="V7" i="4"/>
  <c r="V8" i="4"/>
  <c r="V9" i="4"/>
  <c r="V10" i="4"/>
  <c r="V11" i="4"/>
  <c r="V12" i="4"/>
  <c r="V13" i="4"/>
  <c r="V14" i="4"/>
  <c r="V15" i="4"/>
  <c r="V16" i="4"/>
  <c r="V18" i="4"/>
  <c r="V17" i="4"/>
  <c r="V19" i="4"/>
  <c r="V20" i="4"/>
  <c r="V21" i="4"/>
  <c r="V22" i="4"/>
  <c r="V23" i="4"/>
  <c r="V24" i="4"/>
  <c r="V25" i="4"/>
  <c r="V26" i="4"/>
  <c r="V27" i="4"/>
  <c r="V28" i="4"/>
  <c r="V29" i="4"/>
  <c r="V30" i="4"/>
  <c r="Y7" i="4"/>
  <c r="Y8" i="4"/>
  <c r="Y9" i="4"/>
  <c r="Y10" i="4"/>
  <c r="Y11" i="4"/>
  <c r="Y12" i="4"/>
  <c r="Y13" i="4"/>
  <c r="Y14" i="4"/>
  <c r="Y15" i="4"/>
  <c r="Y16" i="4"/>
  <c r="Y18" i="4"/>
  <c r="Y17" i="4"/>
  <c r="Y19" i="4"/>
  <c r="Y20" i="4"/>
  <c r="Y21" i="4"/>
  <c r="Y22" i="4"/>
  <c r="Y23" i="4"/>
  <c r="Y24" i="4"/>
  <c r="Y25" i="4"/>
  <c r="Y26" i="4"/>
  <c r="Y27" i="4"/>
  <c r="Y28" i="4"/>
  <c r="Y29" i="4"/>
  <c r="Y30" i="4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 s="1"/>
  <c r="S23" i="9"/>
  <c r="T23" i="9" s="1"/>
  <c r="S24" i="9"/>
  <c r="T24" i="9" s="1"/>
  <c r="S25" i="9"/>
  <c r="T25" i="9" s="1"/>
  <c r="S26" i="9"/>
  <c r="T26" i="9" s="1"/>
  <c r="S27" i="9"/>
  <c r="T27" i="9" s="1"/>
  <c r="V27" i="9"/>
  <c r="V26" i="9"/>
  <c r="V25" i="9"/>
  <c r="V19" i="9"/>
  <c r="V24" i="9"/>
  <c r="V18" i="9"/>
  <c r="V23" i="9"/>
  <c r="V17" i="9"/>
  <c r="V22" i="9"/>
  <c r="V21" i="9"/>
  <c r="V15" i="9"/>
  <c r="V20" i="9"/>
  <c r="V16" i="9"/>
  <c r="V14" i="9"/>
  <c r="V13" i="9"/>
  <c r="V12" i="9"/>
  <c r="V11" i="9"/>
  <c r="V10" i="9"/>
  <c r="V9" i="9"/>
  <c r="V8" i="9"/>
  <c r="V7" i="9"/>
  <c r="V6" i="9"/>
  <c r="V5" i="9"/>
  <c r="V4" i="9"/>
  <c r="W4" i="9"/>
  <c r="W5" i="9"/>
  <c r="W6" i="9"/>
  <c r="W7" i="9"/>
  <c r="W8" i="9"/>
  <c r="W9" i="9"/>
  <c r="W10" i="9"/>
  <c r="W11" i="9"/>
  <c r="W12" i="9"/>
  <c r="W13" i="9"/>
  <c r="W14" i="9"/>
  <c r="W16" i="9"/>
  <c r="W20" i="9"/>
  <c r="W15" i="9"/>
  <c r="W21" i="9"/>
  <c r="W22" i="9"/>
  <c r="W17" i="9"/>
  <c r="W23" i="9"/>
  <c r="W18" i="9"/>
  <c r="W24" i="9"/>
  <c r="W19" i="9"/>
  <c r="W25" i="9"/>
  <c r="W26" i="9"/>
  <c r="W27" i="9"/>
  <c r="AA30" i="5"/>
  <c r="AA29" i="5"/>
  <c r="AA21" i="5"/>
  <c r="AA28" i="5"/>
  <c r="AA27" i="5"/>
  <c r="AA26" i="5"/>
  <c r="AA25" i="5"/>
  <c r="AA24" i="5"/>
  <c r="AA23" i="5"/>
  <c r="AA20" i="5"/>
  <c r="AA17" i="5"/>
  <c r="AA22" i="5"/>
  <c r="AA19" i="5"/>
  <c r="AA16" i="5"/>
  <c r="AA15" i="5"/>
  <c r="AA14" i="5"/>
  <c r="AA13" i="5"/>
  <c r="AA12" i="5"/>
  <c r="AA18" i="5"/>
  <c r="AA10" i="5"/>
  <c r="AA7" i="5"/>
  <c r="AA9" i="5"/>
  <c r="AA8" i="5"/>
  <c r="Z30" i="5"/>
  <c r="Z29" i="5"/>
  <c r="Z21" i="5"/>
  <c r="Z28" i="5"/>
  <c r="Z27" i="5"/>
  <c r="Z26" i="5"/>
  <c r="Z25" i="5"/>
  <c r="Z24" i="5"/>
  <c r="Z23" i="5"/>
  <c r="Z20" i="5"/>
  <c r="Z17" i="5"/>
  <c r="Z22" i="5"/>
  <c r="Z19" i="5"/>
  <c r="Z16" i="5"/>
  <c r="Z15" i="5"/>
  <c r="Z14" i="5"/>
  <c r="Z13" i="5"/>
  <c r="Z12" i="5"/>
  <c r="Z18" i="5"/>
  <c r="Z10" i="5"/>
  <c r="Z7" i="5"/>
  <c r="Z9" i="5"/>
  <c r="Z8" i="5"/>
  <c r="Y30" i="5"/>
  <c r="Y29" i="5"/>
  <c r="Y21" i="5"/>
  <c r="Y28" i="5"/>
  <c r="Y27" i="5"/>
  <c r="Y26" i="5"/>
  <c r="Y25" i="5"/>
  <c r="Y24" i="5"/>
  <c r="Y23" i="5"/>
  <c r="Y20" i="5"/>
  <c r="Y17" i="5"/>
  <c r="Y22" i="5"/>
  <c r="Y19" i="5"/>
  <c r="Y16" i="5"/>
  <c r="Y15" i="5"/>
  <c r="Y14" i="5"/>
  <c r="Y13" i="5"/>
  <c r="Y12" i="5"/>
  <c r="Y18" i="5"/>
  <c r="Y10" i="5"/>
  <c r="Y7" i="5"/>
  <c r="Y9" i="5"/>
  <c r="Y8" i="5"/>
  <c r="X30" i="5"/>
  <c r="X29" i="5"/>
  <c r="X21" i="5"/>
  <c r="X28" i="5"/>
  <c r="X27" i="5"/>
  <c r="X26" i="5"/>
  <c r="X25" i="5"/>
  <c r="X24" i="5"/>
  <c r="X23" i="5"/>
  <c r="X20" i="5"/>
  <c r="X17" i="5"/>
  <c r="X22" i="5"/>
  <c r="X19" i="5"/>
  <c r="X16" i="5"/>
  <c r="X15" i="5"/>
  <c r="X14" i="5"/>
  <c r="X13" i="5"/>
  <c r="X12" i="5"/>
  <c r="X18" i="5"/>
  <c r="X10" i="5"/>
  <c r="X7" i="5"/>
  <c r="X9" i="5"/>
  <c r="X8" i="5"/>
  <c r="AH32" i="6" l="1"/>
  <c r="AH24" i="6"/>
  <c r="AH17" i="6"/>
  <c r="AH10" i="6"/>
  <c r="AH27" i="6"/>
  <c r="AH26" i="6"/>
  <c r="AH16" i="6"/>
  <c r="AH8" i="6"/>
  <c r="AH15" i="6"/>
  <c r="AH28" i="6"/>
  <c r="AH20" i="6"/>
  <c r="AH12" i="6"/>
  <c r="AH19" i="6"/>
  <c r="AH9" i="6"/>
  <c r="AH25" i="6"/>
  <c r="AH18" i="6"/>
  <c r="AH11" i="6"/>
  <c r="AH6" i="6"/>
  <c r="AH31" i="6"/>
  <c r="AH23" i="6"/>
  <c r="AH14" i="6"/>
  <c r="AH7" i="6"/>
  <c r="AH30" i="6"/>
  <c r="AH22" i="6"/>
  <c r="AH13" i="6"/>
  <c r="AH27" i="4"/>
  <c r="AH19" i="4"/>
  <c r="AH6" i="4"/>
  <c r="AH11" i="4"/>
  <c r="T29" i="4"/>
  <c r="T21" i="4"/>
  <c r="T13" i="4"/>
  <c r="AH26" i="4"/>
  <c r="AH18" i="4"/>
  <c r="AH10" i="4"/>
  <c r="T27" i="4"/>
  <c r="T19" i="4"/>
  <c r="T11" i="4"/>
  <c r="AH24" i="4"/>
  <c r="AH16" i="4"/>
  <c r="AH8" i="4"/>
  <c r="AD29" i="4"/>
  <c r="AD30" i="4"/>
  <c r="AD21" i="4"/>
  <c r="AD13" i="4"/>
  <c r="AD28" i="4"/>
  <c r="AD20" i="4"/>
  <c r="AD12" i="4"/>
  <c r="AD22" i="4"/>
  <c r="AD14" i="4"/>
  <c r="AD27" i="4"/>
  <c r="AD19" i="4"/>
  <c r="AD11" i="4"/>
  <c r="AD26" i="4"/>
  <c r="AD17" i="4"/>
  <c r="AD10" i="4"/>
  <c r="AD25" i="4"/>
  <c r="AD18" i="4"/>
  <c r="AD9" i="4"/>
  <c r="AD24" i="4"/>
  <c r="AD16" i="4"/>
  <c r="AD8" i="4"/>
  <c r="AD23" i="4"/>
  <c r="AD15" i="4"/>
  <c r="AD7" i="4"/>
  <c r="T24" i="4"/>
  <c r="T16" i="4"/>
  <c r="T8" i="4"/>
  <c r="T25" i="4"/>
  <c r="T18" i="4"/>
  <c r="T9" i="4"/>
  <c r="T28" i="4"/>
  <c r="T20" i="4"/>
  <c r="T12" i="4"/>
  <c r="T26" i="4"/>
  <c r="T17" i="4"/>
  <c r="T10" i="4"/>
  <c r="T6" i="4"/>
  <c r="T30" i="4"/>
  <c r="T22" i="4"/>
  <c r="T14" i="4"/>
  <c r="X11" i="5"/>
  <c r="W6" i="10"/>
  <c r="W28" i="10"/>
  <c r="W27" i="10"/>
  <c r="W7" i="10"/>
  <c r="W25" i="10"/>
  <c r="W26" i="10"/>
  <c r="W24" i="10"/>
  <c r="W17" i="10"/>
  <c r="W23" i="10"/>
  <c r="W14" i="10"/>
  <c r="W10" i="10"/>
  <c r="W22" i="10"/>
  <c r="W16" i="10"/>
  <c r="W21" i="10"/>
  <c r="W15" i="10"/>
  <c r="W12" i="10"/>
  <c r="W13" i="10"/>
  <c r="W11" i="10"/>
  <c r="W20" i="10"/>
  <c r="W9" i="10"/>
  <c r="W8" i="10"/>
  <c r="W19" i="10"/>
  <c r="W18" i="10"/>
  <c r="AA6" i="10"/>
  <c r="Z6" i="10"/>
  <c r="Y6" i="10"/>
  <c r="X6" i="10"/>
  <c r="AA28" i="10"/>
  <c r="Z28" i="10"/>
  <c r="Y28" i="10"/>
  <c r="X28" i="10"/>
  <c r="AA17" i="10"/>
  <c r="Z17" i="10"/>
  <c r="Y17" i="10"/>
  <c r="X17" i="10"/>
  <c r="AA27" i="10"/>
  <c r="Z27" i="10"/>
  <c r="Y27" i="10"/>
  <c r="X27" i="10"/>
  <c r="AA7" i="10"/>
  <c r="Z7" i="10"/>
  <c r="Y7" i="10"/>
  <c r="X7" i="10"/>
  <c r="AA25" i="10"/>
  <c r="Z25" i="10"/>
  <c r="Y25" i="10"/>
  <c r="X25" i="10"/>
  <c r="AA26" i="10"/>
  <c r="Z26" i="10"/>
  <c r="Y26" i="10"/>
  <c r="X26" i="10"/>
  <c r="AA23" i="10"/>
  <c r="Z23" i="10"/>
  <c r="Y23" i="10"/>
  <c r="X23" i="10"/>
  <c r="AA14" i="10"/>
  <c r="Z14" i="10"/>
  <c r="Y14" i="10"/>
  <c r="X14" i="10"/>
  <c r="AA24" i="10"/>
  <c r="Z24" i="10"/>
  <c r="Y24" i="10"/>
  <c r="X24" i="10"/>
  <c r="AA10" i="10"/>
  <c r="Z10" i="10"/>
  <c r="Y10" i="10"/>
  <c r="X10" i="10"/>
  <c r="AA22" i="10"/>
  <c r="Z22" i="10"/>
  <c r="Y22" i="10"/>
  <c r="X22" i="10"/>
  <c r="AA16" i="10"/>
  <c r="Z16" i="10"/>
  <c r="Y16" i="10"/>
  <c r="X16" i="10"/>
  <c r="AA21" i="10"/>
  <c r="Z21" i="10"/>
  <c r="Y21" i="10"/>
  <c r="X21" i="10"/>
  <c r="AA15" i="10"/>
  <c r="Z15" i="10"/>
  <c r="Y15" i="10"/>
  <c r="X15" i="10"/>
  <c r="AA20" i="10"/>
  <c r="Z20" i="10"/>
  <c r="Y20" i="10"/>
  <c r="X20" i="10"/>
  <c r="AA11" i="10"/>
  <c r="Z11" i="10"/>
  <c r="Y11" i="10"/>
  <c r="X11" i="10"/>
  <c r="AA13" i="10"/>
  <c r="Z13" i="10"/>
  <c r="Y13" i="10"/>
  <c r="X13" i="10"/>
  <c r="AA9" i="10"/>
  <c r="Z9" i="10"/>
  <c r="Y9" i="10"/>
  <c r="X9" i="10"/>
  <c r="AA12" i="10"/>
  <c r="Z12" i="10"/>
  <c r="Y12" i="10"/>
  <c r="X12" i="10"/>
  <c r="AA8" i="10"/>
  <c r="Z8" i="10"/>
  <c r="Y8" i="10"/>
  <c r="X8" i="10"/>
  <c r="AA19" i="10"/>
  <c r="Z19" i="10"/>
  <c r="Y19" i="10"/>
  <c r="X19" i="10"/>
  <c r="AA18" i="10"/>
  <c r="Z18" i="10"/>
  <c r="Y18" i="10"/>
  <c r="X18" i="10"/>
  <c r="AA26" i="9"/>
  <c r="Z26" i="9"/>
  <c r="Y26" i="9"/>
  <c r="X26" i="9"/>
  <c r="AA25" i="9" l="1"/>
  <c r="Z25" i="9"/>
  <c r="Y25" i="9"/>
  <c r="X25" i="9"/>
  <c r="AA19" i="9"/>
  <c r="Z19" i="9"/>
  <c r="Y19" i="9"/>
  <c r="X19" i="9"/>
  <c r="AA27" i="9"/>
  <c r="Z27" i="9"/>
  <c r="Y27" i="9"/>
  <c r="X27" i="9"/>
  <c r="AA24" i="9"/>
  <c r="Z24" i="9"/>
  <c r="Y24" i="9"/>
  <c r="X24" i="9"/>
  <c r="AA22" i="9"/>
  <c r="Z22" i="9"/>
  <c r="Y22" i="9"/>
  <c r="X22" i="9"/>
  <c r="AA7" i="9"/>
  <c r="Z7" i="9"/>
  <c r="Y7" i="9"/>
  <c r="X7" i="9"/>
  <c r="AA4" i="9"/>
  <c r="Z4" i="9"/>
  <c r="Y4" i="9"/>
  <c r="X4" i="9"/>
  <c r="AA8" i="9"/>
  <c r="Z8" i="9"/>
  <c r="Y8" i="9"/>
  <c r="X8" i="9"/>
  <c r="AA16" i="9"/>
  <c r="Z16" i="9"/>
  <c r="Y16" i="9"/>
  <c r="X16" i="9"/>
  <c r="AA18" i="9"/>
  <c r="Z18" i="9"/>
  <c r="Y18" i="9"/>
  <c r="X18" i="9"/>
  <c r="AA13" i="9"/>
  <c r="Z13" i="9"/>
  <c r="Y13" i="9"/>
  <c r="X13" i="9"/>
  <c r="AA15" i="9"/>
  <c r="Z15" i="9"/>
  <c r="Y15" i="9"/>
  <c r="X15" i="9"/>
  <c r="AA14" i="9"/>
  <c r="Z14" i="9"/>
  <c r="Y14" i="9"/>
  <c r="X14" i="9"/>
  <c r="AA20" i="9"/>
  <c r="Z20" i="9"/>
  <c r="Y20" i="9"/>
  <c r="X20" i="9"/>
  <c r="AA17" i="9"/>
  <c r="Z17" i="9"/>
  <c r="Y17" i="9"/>
  <c r="X17" i="9"/>
  <c r="AA12" i="9"/>
  <c r="Z12" i="9"/>
  <c r="Y12" i="9"/>
  <c r="X12" i="9"/>
  <c r="AA11" i="9"/>
  <c r="Z11" i="9"/>
  <c r="Y11" i="9"/>
  <c r="X11" i="9"/>
  <c r="AA9" i="9"/>
  <c r="Z9" i="9"/>
  <c r="Y9" i="9"/>
  <c r="X9" i="9"/>
  <c r="AA10" i="9"/>
  <c r="Z10" i="9"/>
  <c r="Y10" i="9"/>
  <c r="X10" i="9"/>
  <c r="AA23" i="9"/>
  <c r="Z23" i="9"/>
  <c r="Y23" i="9"/>
  <c r="X23" i="9"/>
  <c r="AA6" i="9"/>
  <c r="Z6" i="9"/>
  <c r="Y6" i="9"/>
  <c r="X6" i="9"/>
  <c r="AA21" i="9"/>
  <c r="Z21" i="9"/>
  <c r="Y21" i="9"/>
  <c r="X21" i="9"/>
  <c r="AA5" i="9"/>
  <c r="Z5" i="9"/>
  <c r="Y5" i="9"/>
  <c r="X5" i="9"/>
  <c r="U4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S5" i="2"/>
  <c r="S29" i="2"/>
  <c r="Q29" i="2"/>
  <c r="R29" i="2" s="1"/>
  <c r="S28" i="2"/>
  <c r="Q28" i="2"/>
  <c r="R28" i="2" s="1"/>
  <c r="S27" i="2"/>
  <c r="Q27" i="2"/>
  <c r="R27" i="2" s="1"/>
  <c r="S26" i="2"/>
  <c r="Q26" i="2"/>
  <c r="R26" i="2" s="1"/>
  <c r="S25" i="2"/>
  <c r="Q25" i="2"/>
  <c r="R25" i="2" s="1"/>
  <c r="S24" i="2"/>
  <c r="Q24" i="2"/>
  <c r="R24" i="2" s="1"/>
  <c r="S23" i="2"/>
  <c r="Q23" i="2"/>
  <c r="R23" i="2" s="1"/>
  <c r="S22" i="2"/>
  <c r="Q22" i="2"/>
  <c r="R22" i="2" s="1"/>
  <c r="S21" i="2"/>
  <c r="Q21" i="2"/>
  <c r="R21" i="2" s="1"/>
  <c r="S20" i="2"/>
  <c r="Q20" i="2"/>
  <c r="R20" i="2" s="1"/>
  <c r="S19" i="2"/>
  <c r="Q19" i="2"/>
  <c r="R19" i="2" s="1"/>
  <c r="S18" i="2"/>
  <c r="Q18" i="2"/>
  <c r="R18" i="2" s="1"/>
  <c r="S17" i="2"/>
  <c r="Q17" i="2"/>
  <c r="R17" i="2" s="1"/>
  <c r="S16" i="2"/>
  <c r="Q16" i="2"/>
  <c r="R16" i="2" s="1"/>
  <c r="S15" i="2"/>
  <c r="Q15" i="2"/>
  <c r="R15" i="2" s="1"/>
  <c r="S14" i="2"/>
  <c r="Q14" i="2"/>
  <c r="R14" i="2" s="1"/>
  <c r="S13" i="2"/>
  <c r="Q13" i="2"/>
  <c r="R13" i="2" s="1"/>
  <c r="S12" i="2"/>
  <c r="Q12" i="2"/>
  <c r="R12" i="2" s="1"/>
  <c r="S11" i="2"/>
  <c r="Q11" i="2"/>
  <c r="R11" i="2" s="1"/>
  <c r="S10" i="2"/>
  <c r="Q10" i="2"/>
  <c r="R10" i="2" s="1"/>
  <c r="S9" i="2"/>
  <c r="Q9" i="2"/>
  <c r="R9" i="2" s="1"/>
  <c r="S8" i="2"/>
  <c r="Q8" i="2"/>
  <c r="R8" i="2" s="1"/>
  <c r="S7" i="2"/>
  <c r="Q7" i="2"/>
  <c r="R7" i="2" s="1"/>
  <c r="S6" i="2"/>
  <c r="Q6" i="2"/>
  <c r="R6" i="2" s="1"/>
  <c r="Q5" i="2"/>
  <c r="R5" i="2" s="1"/>
  <c r="T29" i="2"/>
  <c r="T28" i="2"/>
  <c r="T27" i="2"/>
  <c r="T13" i="2"/>
  <c r="T26" i="2"/>
  <c r="T25" i="2"/>
  <c r="T24" i="2"/>
  <c r="T23" i="2"/>
  <c r="T22" i="2"/>
  <c r="T21" i="2"/>
  <c r="T20" i="2"/>
  <c r="T19" i="2"/>
  <c r="T18" i="2"/>
  <c r="T15" i="2"/>
  <c r="T14" i="2"/>
  <c r="T16" i="2"/>
  <c r="T17" i="2"/>
  <c r="T12" i="2"/>
  <c r="T11" i="2"/>
  <c r="T10" i="2"/>
  <c r="T9" i="2"/>
  <c r="T8" i="2"/>
  <c r="T7" i="2"/>
  <c r="T6" i="2"/>
  <c r="T5" i="2"/>
  <c r="T4" i="2"/>
  <c r="X29" i="2"/>
  <c r="W29" i="2"/>
  <c r="V29" i="2"/>
  <c r="X28" i="2"/>
  <c r="W28" i="2"/>
  <c r="V28" i="2"/>
  <c r="X27" i="2"/>
  <c r="W27" i="2"/>
  <c r="V27" i="2"/>
  <c r="X13" i="2"/>
  <c r="W13" i="2"/>
  <c r="V13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2" i="2"/>
  <c r="W12" i="2"/>
  <c r="V12" i="2"/>
  <c r="X18" i="2"/>
  <c r="W18" i="2"/>
  <c r="V18" i="2"/>
  <c r="X15" i="2"/>
  <c r="W15" i="2"/>
  <c r="V15" i="2"/>
  <c r="X14" i="2"/>
  <c r="W14" i="2"/>
  <c r="V14" i="2"/>
  <c r="X16" i="2"/>
  <c r="W16" i="2"/>
  <c r="V16" i="2"/>
  <c r="X17" i="2"/>
  <c r="W17" i="2"/>
  <c r="V17" i="2"/>
  <c r="X11" i="2"/>
  <c r="W11" i="2"/>
  <c r="V11" i="2"/>
  <c r="X9" i="2"/>
  <c r="W9" i="2"/>
  <c r="V9" i="2"/>
  <c r="X10" i="2"/>
  <c r="W10" i="2"/>
  <c r="V10" i="2"/>
  <c r="X8" i="2"/>
  <c r="W8" i="2"/>
  <c r="V8" i="2"/>
  <c r="X7" i="2"/>
  <c r="W7" i="2"/>
  <c r="V7" i="2"/>
  <c r="X5" i="2"/>
  <c r="W5" i="2"/>
  <c r="V5" i="2"/>
  <c r="X6" i="2"/>
  <c r="W6" i="2"/>
  <c r="V6" i="2"/>
  <c r="X4" i="2"/>
  <c r="W4" i="2"/>
  <c r="V4" i="2"/>
  <c r="AA11" i="5"/>
  <c r="Z11" i="5"/>
  <c r="Y11" i="5"/>
  <c r="T32" i="6" l="1"/>
  <c r="T31" i="6"/>
  <c r="T30" i="6"/>
  <c r="T29" i="6"/>
  <c r="T28" i="6"/>
  <c r="T27" i="6"/>
  <c r="T25" i="6"/>
  <c r="T24" i="6"/>
  <c r="T23" i="6"/>
  <c r="T22" i="6"/>
  <c r="T12" i="6"/>
  <c r="T21" i="6"/>
  <c r="T20" i="6"/>
  <c r="T19" i="6"/>
  <c r="T16" i="6"/>
  <c r="T15" i="6"/>
  <c r="T18" i="6"/>
  <c r="T9" i="6"/>
  <c r="T11" i="6"/>
  <c r="T14" i="6"/>
  <c r="T8" i="6"/>
  <c r="T10" i="6"/>
  <c r="T7" i="6"/>
</calcChain>
</file>

<file path=xl/sharedStrings.xml><?xml version="1.0" encoding="utf-8"?>
<sst xmlns="http://schemas.openxmlformats.org/spreadsheetml/2006/main" count="3386" uniqueCount="1446">
  <si>
    <t>PLAYER</t>
  </si>
  <si>
    <t>ROLE</t>
  </si>
  <si>
    <t>PRICE</t>
  </si>
  <si>
    <t>Rohit Sharma</t>
  </si>
  <si>
    <t>Bowler</t>
  </si>
  <si>
    <t>Ishan Kishan</t>
  </si>
  <si>
    <t>Dewald Brevis</t>
  </si>
  <si>
    <t>Tilak Varma</t>
  </si>
  <si>
    <t>Tim David</t>
  </si>
  <si>
    <t>All-Rounder</t>
  </si>
  <si>
    <t>8.25 crore</t>
  </si>
  <si>
    <t>20 lakh</t>
  </si>
  <si>
    <t>Ramandeep Singh</t>
  </si>
  <si>
    <t>Tristan Stubbs</t>
  </si>
  <si>
    <t>50 lakh</t>
  </si>
  <si>
    <t>Vishnu Vinod</t>
  </si>
  <si>
    <t>Wicket-keeper</t>
  </si>
  <si>
    <t>KL Rahul (c)</t>
  </si>
  <si>
    <t>Batter</t>
  </si>
  <si>
    <t>15 crore</t>
  </si>
  <si>
    <t>11 crore</t>
  </si>
  <si>
    <t>4 crore</t>
  </si>
  <si>
    <t>Quinton De Kock</t>
  </si>
  <si>
    <t>Batter/Wicket-keeper</t>
  </si>
  <si>
    <t>6.75 crore</t>
  </si>
  <si>
    <t>5.75 crore</t>
  </si>
  <si>
    <t>10 crore</t>
  </si>
  <si>
    <t>7.5 crore</t>
  </si>
  <si>
    <t>90 lakh</t>
  </si>
  <si>
    <t>Manan Vohra</t>
  </si>
  <si>
    <t>Mohsin Khan</t>
  </si>
  <si>
    <t>Karan Sharma</t>
  </si>
  <si>
    <t>Mayank Yadav</t>
  </si>
  <si>
    <t>Nicholas Pooran</t>
  </si>
  <si>
    <t>16 crore</t>
  </si>
  <si>
    <t>45 lakh</t>
  </si>
  <si>
    <t>Romario Shepherd</t>
  </si>
  <si>
    <t>Daniel Sams</t>
  </si>
  <si>
    <t>75 lakh</t>
  </si>
  <si>
    <t>Prerak Mankad</t>
  </si>
  <si>
    <t>Swapnil Singh</t>
  </si>
  <si>
    <t>Yudhvir Charak</t>
  </si>
  <si>
    <t>Abhishek Porel</t>
  </si>
  <si>
    <t>Prithvi Shaw</t>
  </si>
  <si>
    <t>David Warner (c)</t>
  </si>
  <si>
    <t>Mitchell Marsh</t>
  </si>
  <si>
    <t>Sarfaraz Khan</t>
  </si>
  <si>
    <t>Ripal Patel</t>
  </si>
  <si>
    <t>Rovman Powell</t>
  </si>
  <si>
    <t>Lungi Ngidi</t>
  </si>
  <si>
    <t>Phil Salt</t>
  </si>
  <si>
    <t>Manish Pandey</t>
  </si>
  <si>
    <t>Rilee Rossouw</t>
  </si>
  <si>
    <t>ROLE CRICKPE</t>
  </si>
  <si>
    <t>Bat</t>
  </si>
  <si>
    <t>All</t>
  </si>
  <si>
    <t>Bow</t>
  </si>
  <si>
    <t>vs LSG G1</t>
  </si>
  <si>
    <t>vs LSG G2</t>
  </si>
  <si>
    <t>4/12, Ravi Bishoi</t>
  </si>
  <si>
    <t>36/28</t>
  </si>
  <si>
    <t>3/10, Ravi Bishnoi</t>
  </si>
  <si>
    <t>61/34, Gowthram</t>
  </si>
  <si>
    <t>1/23/4</t>
  </si>
  <si>
    <t>0/32/3</t>
  </si>
  <si>
    <t>2/22/4</t>
  </si>
  <si>
    <t>0/12/2</t>
  </si>
  <si>
    <t>24/25 , Kuldeep Yadav</t>
  </si>
  <si>
    <t>80/52, Kuldeep Yadav</t>
  </si>
  <si>
    <t>11/13, Shardul Thakur</t>
  </si>
  <si>
    <t>0/26/4</t>
  </si>
  <si>
    <t>1/21/4</t>
  </si>
  <si>
    <t>0/35/2</t>
  </si>
  <si>
    <t>0/11/2</t>
  </si>
  <si>
    <t>2/31/4</t>
  </si>
  <si>
    <t>Wk</t>
  </si>
  <si>
    <t>23/13 , Shardul Thakur</t>
  </si>
  <si>
    <t>77/51, Shardul Thakur</t>
  </si>
  <si>
    <t>52/34, Shardul Thakur</t>
  </si>
  <si>
    <t>0/37/4</t>
  </si>
  <si>
    <t>0/44/4</t>
  </si>
  <si>
    <t>3/4, Mohsin Khan</t>
  </si>
  <si>
    <t>37/20, Gowthram</t>
  </si>
  <si>
    <t>5/7 by Dushmanth Chameera</t>
  </si>
  <si>
    <t>35/21 by Mohsin Khan</t>
  </si>
  <si>
    <t>0/25/4 + 42/24 Not Out</t>
  </si>
  <si>
    <t>0/16/1 + 3/4 by Ravi Bishnoi</t>
  </si>
  <si>
    <t>0/29/3 + 16/8 Not Out</t>
  </si>
  <si>
    <t>4/16/4</t>
  </si>
  <si>
    <t>9/6 Not Out + 0/19/1</t>
  </si>
  <si>
    <t>1/28/4</t>
  </si>
  <si>
    <t>1/23/2</t>
  </si>
  <si>
    <t>17/16 Not Out + 0/14/1</t>
  </si>
  <si>
    <t>TEAM</t>
  </si>
  <si>
    <t>LSG</t>
  </si>
  <si>
    <t>DC</t>
  </si>
  <si>
    <t>Sanju Samson (c)</t>
  </si>
  <si>
    <t>Jos Buttler</t>
  </si>
  <si>
    <t>4 Crore</t>
  </si>
  <si>
    <t>Shimron Hetmyer</t>
  </si>
  <si>
    <t>3.8 crore</t>
  </si>
  <si>
    <t>Dhruv Jurel</t>
  </si>
  <si>
    <t>Kunal Rathore</t>
  </si>
  <si>
    <t>Akash Vashisht</t>
  </si>
  <si>
    <t>Abdul PA</t>
  </si>
  <si>
    <t>Abdul Samad</t>
  </si>
  <si>
    <t>Rahul Tripathi</t>
  </si>
  <si>
    <t>Aiden Markram (c)</t>
  </si>
  <si>
    <t>Glenn Phillips</t>
  </si>
  <si>
    <t>Fazalhaq Farooqi</t>
  </si>
  <si>
    <t>Harry Brook</t>
  </si>
  <si>
    <t>Mayank Agarwal</t>
  </si>
  <si>
    <t>Heinrich Klaasen</t>
  </si>
  <si>
    <t>5.25 crore</t>
  </si>
  <si>
    <t>2 crore</t>
  </si>
  <si>
    <t>Samarth Vyas</t>
  </si>
  <si>
    <t>Upendra Singh Yadav</t>
  </si>
  <si>
    <t>Nitish Kumar Reddy</t>
  </si>
  <si>
    <t>Anmolpreet Singh</t>
  </si>
  <si>
    <t>CRICKPE ROLE</t>
  </si>
  <si>
    <t>Player</t>
  </si>
  <si>
    <t>Virat Kohli</t>
  </si>
  <si>
    <t>Faf Du Plessis (c)</t>
  </si>
  <si>
    <t>Dinesh Karthik</t>
  </si>
  <si>
    <t>Rajat Patidar</t>
  </si>
  <si>
    <t>Anuj Rawat</t>
  </si>
  <si>
    <t>Finn Allen</t>
  </si>
  <si>
    <t>Suyash Prabhudessai</t>
  </si>
  <si>
    <t>Siddharth Kaul</t>
  </si>
  <si>
    <t>60 lakh</t>
  </si>
  <si>
    <t>Sonu Yadav</t>
  </si>
  <si>
    <t>Team</t>
  </si>
  <si>
    <t>RCB</t>
  </si>
  <si>
    <t>Price (In Cr.)</t>
  </si>
  <si>
    <t>MI</t>
  </si>
  <si>
    <t>MS Dhoni (c)</t>
  </si>
  <si>
    <t>Devon Conway</t>
  </si>
  <si>
    <t>Ruturaj Gaikwad</t>
  </si>
  <si>
    <t>Ambati Rayudu</t>
  </si>
  <si>
    <t>Ajinkya Rahane</t>
  </si>
  <si>
    <t>Shaik Rasheed</t>
  </si>
  <si>
    <t>CSK</t>
  </si>
  <si>
    <t>Yes</t>
  </si>
  <si>
    <t>PRICE ( In Cr. )</t>
  </si>
  <si>
    <t>vs DC G2 '22</t>
  </si>
  <si>
    <t>vs DC G1 '22</t>
  </si>
  <si>
    <t xml:space="preserve"> P11 v DC '23</t>
  </si>
  <si>
    <t>8/12 by C Sarkariya</t>
  </si>
  <si>
    <t>17/18 by K Yadav</t>
  </si>
  <si>
    <t>15/13 Not Out</t>
  </si>
  <si>
    <t>12/10 by  K Ahmed</t>
  </si>
  <si>
    <t>36/21 by K Ahmed</t>
  </si>
  <si>
    <t>18/7 by C Sarkaria</t>
  </si>
  <si>
    <t>73/38 by A Patel + 0/7/1</t>
  </si>
  <si>
    <t>DNB + 0/39/3</t>
  </si>
  <si>
    <t>6/1 Not Out + 0/23/4</t>
  </si>
  <si>
    <t>DNB + 2/29/4</t>
  </si>
  <si>
    <t>IP + 5/14/4</t>
  </si>
  <si>
    <t>DNB + 2/31/4</t>
  </si>
  <si>
    <t>MY 11 CIRCLE ROLE</t>
  </si>
  <si>
    <t>Hardik Pandya (C)</t>
  </si>
  <si>
    <t>Shubman Gill</t>
  </si>
  <si>
    <t>David Miller</t>
  </si>
  <si>
    <t>Abhinav Manohar</t>
  </si>
  <si>
    <t>Sai Sudharsan</t>
  </si>
  <si>
    <t>Wriddhiman Saha</t>
  </si>
  <si>
    <t>Matthew Wade</t>
  </si>
  <si>
    <t>Rahul Tewatia</t>
  </si>
  <si>
    <t>9 crore</t>
  </si>
  <si>
    <t>Vijay Shankar</t>
  </si>
  <si>
    <t>Pradeep Sangwan</t>
  </si>
  <si>
    <t>Darshan Nalkande</t>
  </si>
  <si>
    <t>Jayant Yadav</t>
  </si>
  <si>
    <t>R Sai Kishore</t>
  </si>
  <si>
    <t>Kane Williamson</t>
  </si>
  <si>
    <t>Odean Smith</t>
  </si>
  <si>
    <t>KS Bharat</t>
  </si>
  <si>
    <t>Shivam Mavi</t>
  </si>
  <si>
    <t>Urvil Patel</t>
  </si>
  <si>
    <t>GT</t>
  </si>
  <si>
    <t>PRICE In Cr.</t>
  </si>
  <si>
    <t>PRICE in Cr.</t>
  </si>
  <si>
    <t>ROLE MYCIRCLE11</t>
  </si>
  <si>
    <t>Shikhar Dhawan (c)</t>
  </si>
  <si>
    <t>9.25 crore</t>
  </si>
  <si>
    <t>Matthew Short</t>
  </si>
  <si>
    <t>20 lakhs</t>
  </si>
  <si>
    <t>Shahrukh Khan</t>
  </si>
  <si>
    <t>Prabhsimran Singh</t>
  </si>
  <si>
    <t>Jitesh Sharma</t>
  </si>
  <si>
    <t>11.5 crore</t>
  </si>
  <si>
    <t>Raj Bawa</t>
  </si>
  <si>
    <t>Rishi Dhawan</t>
  </si>
  <si>
    <t>55 lakh</t>
  </si>
  <si>
    <t>Baltej Dhanda</t>
  </si>
  <si>
    <t>Atharva Taide</t>
  </si>
  <si>
    <t>Bhanuka Rajapaksa</t>
  </si>
  <si>
    <t>Sam Curran</t>
  </si>
  <si>
    <t>18.5 crore</t>
  </si>
  <si>
    <t>Harpreet Bhatia</t>
  </si>
  <si>
    <t>40 lakh</t>
  </si>
  <si>
    <t>Vidwath Kaverappa</t>
  </si>
  <si>
    <t>Mohit Rathe</t>
  </si>
  <si>
    <t>Shivam Singh</t>
  </si>
  <si>
    <t>Prince (In Cr.)</t>
  </si>
  <si>
    <t>RR</t>
  </si>
  <si>
    <t>MY11 CIRCLE ROLE</t>
  </si>
  <si>
    <t>KINGS PUNJAB SQUAD</t>
  </si>
  <si>
    <t>2/21/4</t>
  </si>
  <si>
    <t>22/16</t>
  </si>
  <si>
    <t>4/17/4</t>
  </si>
  <si>
    <t>0/34/2</t>
  </si>
  <si>
    <t>1/16/3</t>
  </si>
  <si>
    <t>0/15/3</t>
  </si>
  <si>
    <t>SRH</t>
  </si>
  <si>
    <t>2/23/3</t>
  </si>
  <si>
    <t>2/41/4</t>
  </si>
  <si>
    <t>Shreyas Iyer (Ruled Out)</t>
  </si>
  <si>
    <t>Nitish Rana (c)</t>
  </si>
  <si>
    <t>Venkatesh Iyer</t>
  </si>
  <si>
    <t>Harshit Rana</t>
  </si>
  <si>
    <t>Anukul Roy</t>
  </si>
  <si>
    <t>Rinku Singh</t>
  </si>
  <si>
    <t>Rahmanullah Gurbaz</t>
  </si>
  <si>
    <t>N Jagadeesan</t>
  </si>
  <si>
    <t>Vaibhav Arora</t>
  </si>
  <si>
    <t>David Wiese</t>
  </si>
  <si>
    <t>Kulwant Khejroliya</t>
  </si>
  <si>
    <t>Litton Das</t>
  </si>
  <si>
    <t>Mandeep Singh</t>
  </si>
  <si>
    <t>Shakib Al Hasan</t>
  </si>
  <si>
    <t>KKR</t>
  </si>
  <si>
    <t>1/27/4</t>
  </si>
  <si>
    <t>2/54/4</t>
  </si>
  <si>
    <t>1/26/4</t>
  </si>
  <si>
    <t>3/19/3</t>
  </si>
  <si>
    <t>1/27/3</t>
  </si>
  <si>
    <t>0/7/1</t>
  </si>
  <si>
    <t>1/25/3</t>
  </si>
  <si>
    <t>1/12/2</t>
  </si>
  <si>
    <t>0/38/4</t>
  </si>
  <si>
    <t>0/54/4</t>
  </si>
  <si>
    <t>1/50/4</t>
  </si>
  <si>
    <t>2/47/4</t>
  </si>
  <si>
    <t>0/15/2</t>
  </si>
  <si>
    <t>4/30/4</t>
  </si>
  <si>
    <t>0/31/4</t>
  </si>
  <si>
    <t>1/14/2</t>
  </si>
  <si>
    <t>1/29/3</t>
  </si>
  <si>
    <t>1/43/4</t>
  </si>
  <si>
    <t>1/16/2</t>
  </si>
  <si>
    <t>2/32/4</t>
  </si>
  <si>
    <t>MY11C ROLE</t>
  </si>
  <si>
    <t>Jason Roy</t>
  </si>
  <si>
    <t>vs DC G3 '23</t>
  </si>
  <si>
    <t>68/50 by T natarajan</t>
  </si>
  <si>
    <t>1/4 b W sundar</t>
  </si>
  <si>
    <t>51/33 b R shephard</t>
  </si>
  <si>
    <t>19/12 Run out</t>
  </si>
  <si>
    <t>0/39/3</t>
  </si>
  <si>
    <t>2/26/4</t>
  </si>
  <si>
    <t>Fantasy Pts from Crickpe</t>
  </si>
  <si>
    <t xml:space="preserve"> G3 v DC #</t>
  </si>
  <si>
    <t>22 vs SRH  Scr</t>
  </si>
  <si>
    <t xml:space="preserve">
G3 vs DC pts.
</t>
  </si>
  <si>
    <t xml:space="preserve">
'22 vs SRH  #
</t>
  </si>
  <si>
    <t>2/29/4</t>
  </si>
  <si>
    <t>5/14/4</t>
  </si>
  <si>
    <t>6/2 b T natarajan + 2/27/4</t>
  </si>
  <si>
    <t>4/24/4</t>
  </si>
  <si>
    <t>0/29/4</t>
  </si>
  <si>
    <t>G10 #</t>
  </si>
  <si>
    <t>G10 Pts</t>
  </si>
  <si>
    <t>G10 Bat.</t>
  </si>
  <si>
    <t>G10 Bow</t>
  </si>
  <si>
    <t>B</t>
  </si>
  <si>
    <t>K pandya</t>
  </si>
  <si>
    <t>Y thakur</t>
  </si>
  <si>
    <t>34//41</t>
  </si>
  <si>
    <t>8//7</t>
  </si>
  <si>
    <t>0//1</t>
  </si>
  <si>
    <t>31//26</t>
  </si>
  <si>
    <t>3//4</t>
  </si>
  <si>
    <t>R bishnoi</t>
  </si>
  <si>
    <t>16//28</t>
  </si>
  <si>
    <t>A mishra</t>
  </si>
  <si>
    <t>21//10</t>
  </si>
  <si>
    <t>N.O.</t>
  </si>
  <si>
    <t>4//3</t>
  </si>
  <si>
    <t>0//0</t>
  </si>
  <si>
    <t>Run Out</t>
  </si>
  <si>
    <t>0/5/1</t>
  </si>
  <si>
    <t>0/26/3</t>
  </si>
  <si>
    <t>3/18/4</t>
  </si>
  <si>
    <t>1/23/3</t>
  </si>
  <si>
    <t>1/16/4</t>
  </si>
  <si>
    <t>0/8/1</t>
  </si>
  <si>
    <t>2/23/4</t>
  </si>
  <si>
    <t>13//4</t>
  </si>
  <si>
    <t>F Farooqi</t>
  </si>
  <si>
    <t>35//31</t>
  </si>
  <si>
    <t>A rashid</t>
  </si>
  <si>
    <t>7//8</t>
  </si>
  <si>
    <t>B kumar</t>
  </si>
  <si>
    <t>34//23</t>
  </si>
  <si>
    <t>U malik</t>
  </si>
  <si>
    <t>10//13</t>
  </si>
  <si>
    <t>11//6</t>
  </si>
  <si>
    <t>1/19/2</t>
  </si>
  <si>
    <t>0/11/1</t>
  </si>
  <si>
    <t>1/13/3</t>
  </si>
  <si>
    <t>0/14/2</t>
  </si>
  <si>
    <t>0/23/3</t>
  </si>
  <si>
    <t>1/22/2</t>
  </si>
  <si>
    <t>G3 #</t>
  </si>
  <si>
    <t>G3 Scr.</t>
  </si>
  <si>
    <t>G3 b</t>
  </si>
  <si>
    <t>12//9</t>
  </si>
  <si>
    <t>56//48</t>
  </si>
  <si>
    <t>4//9</t>
  </si>
  <si>
    <t>M wood</t>
  </si>
  <si>
    <t>A khan</t>
  </si>
  <si>
    <t>30//20</t>
  </si>
  <si>
    <t>1//3</t>
  </si>
  <si>
    <t>4//5</t>
  </si>
  <si>
    <t>16//11</t>
  </si>
  <si>
    <t>6//10</t>
  </si>
  <si>
    <t>Not out</t>
  </si>
  <si>
    <t>4//4</t>
  </si>
  <si>
    <t>G3 Bow</t>
  </si>
  <si>
    <t>2/30/4</t>
  </si>
  <si>
    <t>0/34/4</t>
  </si>
  <si>
    <t>2/53/4</t>
  </si>
  <si>
    <t>1/38/4</t>
  </si>
  <si>
    <t>1/35/4</t>
  </si>
  <si>
    <t>37//32</t>
  </si>
  <si>
    <t>A joseph</t>
  </si>
  <si>
    <t>7//5</t>
  </si>
  <si>
    <t>1//1</t>
  </si>
  <si>
    <t>M shami</t>
  </si>
  <si>
    <t>30//34</t>
  </si>
  <si>
    <t>R khan</t>
  </si>
  <si>
    <t>20//11</t>
  </si>
  <si>
    <t>36//22</t>
  </si>
  <si>
    <t>8//8</t>
  </si>
  <si>
    <t>4//1</t>
  </si>
  <si>
    <t>0/42/4</t>
  </si>
  <si>
    <t>1/24/3</t>
  </si>
  <si>
    <t>0/18/3</t>
  </si>
  <si>
    <t>DNP</t>
  </si>
  <si>
    <t>G8 #</t>
  </si>
  <si>
    <t>G8 Scr.</t>
  </si>
  <si>
    <t>G8 Pts.</t>
  </si>
  <si>
    <t>G4 #</t>
  </si>
  <si>
    <t>G4 Scr.</t>
  </si>
  <si>
    <t>A singh</t>
  </si>
  <si>
    <t>N ellis</t>
  </si>
  <si>
    <t>Run out</t>
  </si>
  <si>
    <t>1/25/4</t>
  </si>
  <si>
    <t>G8 B</t>
  </si>
  <si>
    <t>G8 Bow</t>
  </si>
  <si>
    <t>G4 Bow</t>
  </si>
  <si>
    <t>f farooqi</t>
  </si>
  <si>
    <t>t natarajan</t>
  </si>
  <si>
    <t>u malik</t>
  </si>
  <si>
    <t>G4 b</t>
  </si>
  <si>
    <t>1//2</t>
  </si>
  <si>
    <t>Max.</t>
  </si>
  <si>
    <t>G1 #</t>
  </si>
  <si>
    <t>G1 Bow</t>
  </si>
  <si>
    <t>G1 b</t>
  </si>
  <si>
    <t>J little</t>
  </si>
  <si>
    <t>Not Out</t>
  </si>
  <si>
    <t>19//18</t>
  </si>
  <si>
    <t>14//7</t>
  </si>
  <si>
    <t>G1 Pts.</t>
  </si>
  <si>
    <t>1/51/3</t>
  </si>
  <si>
    <t>3/36/4</t>
  </si>
  <si>
    <t>0/32/4</t>
  </si>
  <si>
    <t>G6 #</t>
  </si>
  <si>
    <t>G6 b</t>
  </si>
  <si>
    <t>G6 Bow</t>
  </si>
  <si>
    <t>G6 Pts.</t>
  </si>
  <si>
    <t>27//16</t>
  </si>
  <si>
    <t>12//3</t>
  </si>
  <si>
    <t>0/55/4</t>
  </si>
  <si>
    <t>0/18/1</t>
  </si>
  <si>
    <t>2/45/4</t>
  </si>
  <si>
    <t>4/46/4</t>
  </si>
  <si>
    <t>0/24/2</t>
  </si>
  <si>
    <t>0/14/1</t>
  </si>
  <si>
    <t>G5 #</t>
  </si>
  <si>
    <t>G5 Scr.</t>
  </si>
  <si>
    <t>G5 b</t>
  </si>
  <si>
    <t>G5 bow</t>
  </si>
  <si>
    <t>G5 Pts</t>
  </si>
  <si>
    <t>A deep</t>
  </si>
  <si>
    <t>M siraj</t>
  </si>
  <si>
    <t>R topley</t>
  </si>
  <si>
    <t>M bracewell</t>
  </si>
  <si>
    <t>K sharma</t>
  </si>
  <si>
    <t>H patel</t>
  </si>
  <si>
    <t>1//10</t>
  </si>
  <si>
    <t>5//4</t>
  </si>
  <si>
    <t>15//16</t>
  </si>
  <si>
    <t>84//46</t>
  </si>
  <si>
    <t>21//13</t>
  </si>
  <si>
    <t>4//7</t>
  </si>
  <si>
    <t>5//3</t>
  </si>
  <si>
    <t>15//9</t>
  </si>
  <si>
    <t>0/37/3</t>
  </si>
  <si>
    <t>1/28/2</t>
  </si>
  <si>
    <t>0/33/4</t>
  </si>
  <si>
    <t>1/30/2</t>
  </si>
  <si>
    <t>0/17/1</t>
  </si>
  <si>
    <t>G1 bow</t>
  </si>
  <si>
    <t>R hangarkekar</t>
  </si>
  <si>
    <t>T deshpande</t>
  </si>
  <si>
    <t>R jadeja</t>
  </si>
  <si>
    <t>25//16</t>
  </si>
  <si>
    <t>63//36</t>
  </si>
  <si>
    <t>22//17</t>
  </si>
  <si>
    <t>8//11</t>
  </si>
  <si>
    <t>27//21</t>
  </si>
  <si>
    <t>15//14</t>
  </si>
  <si>
    <t>10//3</t>
  </si>
  <si>
    <t>G1 Scr</t>
  </si>
  <si>
    <t>0/28/3</t>
  </si>
  <si>
    <t>1/41/4</t>
  </si>
  <si>
    <t>2/33/4</t>
  </si>
  <si>
    <t>G7 #</t>
  </si>
  <si>
    <t>G7 Scr</t>
  </si>
  <si>
    <t>G7 b</t>
  </si>
  <si>
    <t>G7 bow</t>
  </si>
  <si>
    <t>14//13</t>
  </si>
  <si>
    <t>62//48</t>
  </si>
  <si>
    <t>29//23</t>
  </si>
  <si>
    <t>31//16</t>
  </si>
  <si>
    <t>A nortje</t>
  </si>
  <si>
    <t>K ahmed</t>
  </si>
  <si>
    <t>M marsh</t>
  </si>
  <si>
    <t>3/41/4</t>
  </si>
  <si>
    <t>0/27/4</t>
  </si>
  <si>
    <t>0/12/1</t>
  </si>
  <si>
    <t>3/31/4</t>
  </si>
  <si>
    <t>2//4</t>
  </si>
  <si>
    <t>G2 #</t>
  </si>
  <si>
    <t>G2 Scr.</t>
  </si>
  <si>
    <t>G2 bow</t>
  </si>
  <si>
    <t>G2 b</t>
  </si>
  <si>
    <t>22//16</t>
  </si>
  <si>
    <t>S raza</t>
  </si>
  <si>
    <t>24//17</t>
  </si>
  <si>
    <t>D chahar</t>
  </si>
  <si>
    <t>35//19</t>
  </si>
  <si>
    <t>S currun</t>
  </si>
  <si>
    <t>0/43/4</t>
  </si>
  <si>
    <t>8//3</t>
  </si>
  <si>
    <t>1/40/4</t>
  </si>
  <si>
    <t>7//2</t>
  </si>
  <si>
    <t>34//28</t>
  </si>
  <si>
    <t>G9 b</t>
  </si>
  <si>
    <t>G9 #</t>
  </si>
  <si>
    <t>G9 Scr.</t>
  </si>
  <si>
    <t>G9 bow</t>
  </si>
  <si>
    <t>57//44</t>
  </si>
  <si>
    <t>3//7</t>
  </si>
  <si>
    <t>D willey</t>
  </si>
  <si>
    <t>0//3</t>
  </si>
  <si>
    <t>1//5</t>
  </si>
  <si>
    <t>46//33</t>
  </si>
  <si>
    <t>0//2</t>
  </si>
  <si>
    <t>68//29</t>
  </si>
  <si>
    <t>6//2</t>
  </si>
  <si>
    <t>0/17/2</t>
  </si>
  <si>
    <t>0/25/2</t>
  </si>
  <si>
    <t>2/16/4</t>
  </si>
  <si>
    <t>4/15/4</t>
  </si>
  <si>
    <t>3/30/4</t>
  </si>
  <si>
    <t>Max</t>
  </si>
  <si>
    <t>G9 Bow</t>
  </si>
  <si>
    <t>G5 Bow</t>
  </si>
  <si>
    <t>G5 Pts.</t>
  </si>
  <si>
    <t>73//43</t>
  </si>
  <si>
    <t xml:space="preserve">82//49 </t>
  </si>
  <si>
    <t>016/1</t>
  </si>
  <si>
    <t>C green</t>
  </si>
  <si>
    <t>21//18</t>
  </si>
  <si>
    <t>S narine</t>
  </si>
  <si>
    <t>V chakravarthy</t>
  </si>
  <si>
    <t>23//12</t>
  </si>
  <si>
    <t>S thakur</t>
  </si>
  <si>
    <t>5//7</t>
  </si>
  <si>
    <t>S ahmed</t>
  </si>
  <si>
    <t>9//8</t>
  </si>
  <si>
    <t>S sharma</t>
  </si>
  <si>
    <t>20//20</t>
  </si>
  <si>
    <t>17//18</t>
  </si>
  <si>
    <t>1/44/4</t>
  </si>
  <si>
    <t>0/30/2</t>
  </si>
  <si>
    <t>1/34/3</t>
  </si>
  <si>
    <t>0/6/1</t>
  </si>
  <si>
    <t>2/26/3</t>
  </si>
  <si>
    <t>1/38/3</t>
  </si>
  <si>
    <t>G8 b</t>
  </si>
  <si>
    <t>G2 Bow</t>
  </si>
  <si>
    <t>T southee</t>
  </si>
  <si>
    <t>U yadav</t>
  </si>
  <si>
    <t>21//11</t>
  </si>
  <si>
    <t>50//32</t>
  </si>
  <si>
    <t>40//29</t>
  </si>
  <si>
    <t>16//13</t>
  </si>
  <si>
    <t>26//17</t>
  </si>
  <si>
    <t>11//7</t>
  </si>
  <si>
    <t>G2 Pts.</t>
  </si>
  <si>
    <t>J holder</t>
  </si>
  <si>
    <t>Retired hurt</t>
  </si>
  <si>
    <t>Y chahal</t>
  </si>
  <si>
    <t>R ashwin</t>
  </si>
  <si>
    <t>11//10</t>
  </si>
  <si>
    <t>86//56</t>
  </si>
  <si>
    <t>60//34</t>
  </si>
  <si>
    <t>T boult</t>
  </si>
  <si>
    <t>J hetmyer</t>
  </si>
  <si>
    <t>0/36/3</t>
  </si>
  <si>
    <t>19//8</t>
  </si>
  <si>
    <t>1/32/3</t>
  </si>
  <si>
    <t>18//13</t>
  </si>
  <si>
    <t>32//32</t>
  </si>
  <si>
    <t>13//21</t>
  </si>
  <si>
    <t>27//33</t>
  </si>
  <si>
    <t>Kagiso Rabada RAF</t>
  </si>
  <si>
    <t>Nathan Ellis RAFM</t>
  </si>
  <si>
    <t>Harpreet Brar LAO</t>
  </si>
  <si>
    <t>Rahul Chahar RALB</t>
  </si>
  <si>
    <t>Arshdeep Singh LAFM</t>
  </si>
  <si>
    <t>G14 #</t>
  </si>
  <si>
    <t xml:space="preserve">G14 b </t>
  </si>
  <si>
    <t>G14 Bow</t>
  </si>
  <si>
    <t>G14 Scr.</t>
  </si>
  <si>
    <t>G14 Pts.</t>
  </si>
  <si>
    <t>99//66</t>
  </si>
  <si>
    <t>M jansen</t>
  </si>
  <si>
    <t>22//15</t>
  </si>
  <si>
    <t>M markande</t>
  </si>
  <si>
    <t>5//6</t>
  </si>
  <si>
    <t>0//8</t>
  </si>
  <si>
    <t>0//5</t>
  </si>
  <si>
    <t>0/14/3</t>
  </si>
  <si>
    <t>1/20/3</t>
  </si>
  <si>
    <t>1/28/3</t>
  </si>
  <si>
    <t>0/29/2</t>
  </si>
  <si>
    <t>G14 b</t>
  </si>
  <si>
    <t>13//14</t>
  </si>
  <si>
    <t>21//20</t>
  </si>
  <si>
    <t>R chahar</t>
  </si>
  <si>
    <t>74//48</t>
  </si>
  <si>
    <t>37//21</t>
  </si>
  <si>
    <t>1/33/4</t>
  </si>
  <si>
    <t>2/16/3</t>
  </si>
  <si>
    <t>0/40/4</t>
  </si>
  <si>
    <t>G13 #</t>
  </si>
  <si>
    <t>G13 b</t>
  </si>
  <si>
    <t>G13 Bow</t>
  </si>
  <si>
    <t>G13 Scr.</t>
  </si>
  <si>
    <t>G13 Scr</t>
  </si>
  <si>
    <t>G13 bow</t>
  </si>
  <si>
    <t>17//17</t>
  </si>
  <si>
    <t>39//31</t>
  </si>
  <si>
    <t>53//38</t>
  </si>
  <si>
    <t>14//8</t>
  </si>
  <si>
    <t>A manohar</t>
  </si>
  <si>
    <t>63//24</t>
  </si>
  <si>
    <t>2//3</t>
  </si>
  <si>
    <t>0/24/3</t>
  </si>
  <si>
    <t>0/40/3</t>
  </si>
  <si>
    <t>3/33/4</t>
  </si>
  <si>
    <t>0/27/2</t>
  </si>
  <si>
    <t>15//12</t>
  </si>
  <si>
    <t>6//8</t>
  </si>
  <si>
    <t>3 IP</t>
  </si>
  <si>
    <t>83//40</t>
  </si>
  <si>
    <t>45//29</t>
  </si>
  <si>
    <t>48//21</t>
  </si>
  <si>
    <t>1/45/4</t>
  </si>
  <si>
    <t>2/27/4</t>
  </si>
  <si>
    <t>0/69/4</t>
  </si>
  <si>
    <t>3/37/4</t>
  </si>
  <si>
    <t>Rashid Khan RALB</t>
  </si>
  <si>
    <t>Mohammed Shami RAFM</t>
  </si>
  <si>
    <t>Alzarri Joseph RAFM</t>
  </si>
  <si>
    <t>Yash Dayal LAFM</t>
  </si>
  <si>
    <t>Joshua Little LAFM</t>
  </si>
  <si>
    <t>Sunil Narine RAO</t>
  </si>
  <si>
    <t>Andre Russell RHB</t>
  </si>
  <si>
    <t>Shardul Thakur RHB</t>
  </si>
  <si>
    <t>Lockie Ferguson RAM</t>
  </si>
  <si>
    <t>Umesh Yadav RAF</t>
  </si>
  <si>
    <t>Suyash Sharma RALB</t>
  </si>
  <si>
    <t>Varun Chakravarthy RALB</t>
  </si>
  <si>
    <t>Tim Southee RAFM</t>
  </si>
  <si>
    <t>A patel</t>
  </si>
  <si>
    <t>C sakariya</t>
  </si>
  <si>
    <t>8//12</t>
  </si>
  <si>
    <t>73//38</t>
  </si>
  <si>
    <t>K yadav</t>
  </si>
  <si>
    <t>0/23/4</t>
  </si>
  <si>
    <t>6//1</t>
  </si>
  <si>
    <t>18//7</t>
  </si>
  <si>
    <t>36//21</t>
  </si>
  <si>
    <t>12//10</t>
  </si>
  <si>
    <t>15//13</t>
  </si>
  <si>
    <t>G3 vs Scr.</t>
  </si>
  <si>
    <t>West Indies</t>
  </si>
  <si>
    <t>Australia</t>
  </si>
  <si>
    <t>England</t>
  </si>
  <si>
    <t>South Africa</t>
  </si>
  <si>
    <t>Afghanistan</t>
  </si>
  <si>
    <t>IPL 2022</t>
  </si>
  <si>
    <t>IPL 2023</t>
  </si>
  <si>
    <t>Ravi Bishnoi RALB</t>
  </si>
  <si>
    <t>Amit Mishra RALB</t>
  </si>
  <si>
    <t>Age</t>
  </si>
  <si>
    <t>Yash Thakur RAM</t>
  </si>
  <si>
    <t>Jaydev Unadkat LAFM</t>
  </si>
  <si>
    <t>Ayush Badoni RAO</t>
  </si>
  <si>
    <t>Krunal Pandya LAO</t>
  </si>
  <si>
    <t>Deepak Hooda RAO</t>
  </si>
  <si>
    <t>K Gowtham RAO</t>
  </si>
  <si>
    <t>Avesh Khan RAFM</t>
  </si>
  <si>
    <t>Mark Wood RAF</t>
  </si>
  <si>
    <t>IPL 2021</t>
  </si>
  <si>
    <t>IPL 2013</t>
  </si>
  <si>
    <t>In Nat '11</t>
  </si>
  <si>
    <t>New Zealand</t>
  </si>
  <si>
    <t>Micheal Bracewell RAO</t>
  </si>
  <si>
    <t>Harshal Patel RAFM</t>
  </si>
  <si>
    <t>Shahbaz Ahmed LAO</t>
  </si>
  <si>
    <t>x3</t>
  </si>
  <si>
    <t>David Willey LAFM</t>
  </si>
  <si>
    <t>Karn Sharma RALB</t>
  </si>
  <si>
    <t>x1</t>
  </si>
  <si>
    <t>Mohammad Siraj RAFM</t>
  </si>
  <si>
    <t>IPL 2018</t>
  </si>
  <si>
    <t>Mahipal Lomror LAO</t>
  </si>
  <si>
    <t>RAFM</t>
  </si>
  <si>
    <t>Sri Lanka</t>
  </si>
  <si>
    <t>Wanindu Hasaranga RAOB</t>
  </si>
  <si>
    <t>Reece Topley LAFM</t>
  </si>
  <si>
    <t>Josh Hazlewood RAFM</t>
  </si>
  <si>
    <t>Rajan Kumar LAFM</t>
  </si>
  <si>
    <t>Avinash Singh RAFM</t>
  </si>
  <si>
    <t>Manoj Bhandage RAFM</t>
  </si>
  <si>
    <t>Himanshu Sharma RALB</t>
  </si>
  <si>
    <t>x5</t>
  </si>
  <si>
    <t>20//18</t>
  </si>
  <si>
    <t>53//22</t>
  </si>
  <si>
    <t>2//6</t>
  </si>
  <si>
    <t>9//9</t>
  </si>
  <si>
    <t>32//19</t>
  </si>
  <si>
    <t>23//18</t>
  </si>
  <si>
    <t>17//11</t>
  </si>
  <si>
    <t>M ali</t>
  </si>
  <si>
    <t>M santner</t>
  </si>
  <si>
    <t>0/16/2</t>
  </si>
  <si>
    <t>1/39/3</t>
  </si>
  <si>
    <t>0/21/2</t>
  </si>
  <si>
    <t>0/20/1</t>
  </si>
  <si>
    <t>3/49/4</t>
  </si>
  <si>
    <t>0/36/4</t>
  </si>
  <si>
    <t>3/28/4</t>
  </si>
  <si>
    <t>G6 Bat.</t>
  </si>
  <si>
    <t>G6 Pts</t>
  </si>
  <si>
    <t>Akash Deep RAM</t>
  </si>
  <si>
    <t>G15 #</t>
  </si>
  <si>
    <t>G15 Bat.</t>
  </si>
  <si>
    <t>G15 b</t>
  </si>
  <si>
    <t>G15 Bow</t>
  </si>
  <si>
    <t>G15 Pts</t>
  </si>
  <si>
    <t>59//29</t>
  </si>
  <si>
    <t>79//46</t>
  </si>
  <si>
    <t>61//44</t>
  </si>
  <si>
    <t>3/22/4</t>
  </si>
  <si>
    <t>2/48/4</t>
  </si>
  <si>
    <t>1/48/3</t>
  </si>
  <si>
    <t>0/15/1</t>
  </si>
  <si>
    <t>18//20</t>
  </si>
  <si>
    <t>9//10</t>
  </si>
  <si>
    <t>65//30</t>
  </si>
  <si>
    <t>62//19</t>
  </si>
  <si>
    <t>30//24</t>
  </si>
  <si>
    <t>9//7</t>
  </si>
  <si>
    <t>3//2</t>
  </si>
  <si>
    <t>W parnell</t>
  </si>
  <si>
    <t>0/53/4</t>
  </si>
  <si>
    <t>0/35/4</t>
  </si>
  <si>
    <t>1/32/4</t>
  </si>
  <si>
    <t>0/39/4</t>
  </si>
  <si>
    <t>1/18/2</t>
  </si>
  <si>
    <t>Glenn Maxwell RAO</t>
  </si>
  <si>
    <t>Kyle Mayers RAM</t>
  </si>
  <si>
    <t>Nat '11</t>
  </si>
  <si>
    <t>x6</t>
  </si>
  <si>
    <t>IPL 2015</t>
  </si>
  <si>
    <t>Axar Patel LAO</t>
  </si>
  <si>
    <t>IPL2022</t>
  </si>
  <si>
    <t>Aman Khan RAFM</t>
  </si>
  <si>
    <t>G7 Scr.</t>
  </si>
  <si>
    <t>G7 Bow</t>
  </si>
  <si>
    <t>65//44</t>
  </si>
  <si>
    <t>14//12</t>
  </si>
  <si>
    <t>38//24</t>
  </si>
  <si>
    <t>2//2</t>
  </si>
  <si>
    <t>7//9</t>
  </si>
  <si>
    <t>Khaleel Ahmed LAFM</t>
  </si>
  <si>
    <t>0/31/2</t>
  </si>
  <si>
    <t>2/36/4</t>
  </si>
  <si>
    <t>1/31/4</t>
  </si>
  <si>
    <t>M kumar</t>
  </si>
  <si>
    <t>Nat'</t>
  </si>
  <si>
    <t>R powell</t>
  </si>
  <si>
    <t>3W/29/4</t>
  </si>
  <si>
    <t>1W/20/4</t>
  </si>
  <si>
    <t>0W/28/3</t>
  </si>
  <si>
    <t>2W/25/4</t>
  </si>
  <si>
    <t>3W/27/4</t>
  </si>
  <si>
    <t>0W/11/3</t>
  </si>
  <si>
    <t>G11 #</t>
  </si>
  <si>
    <t>G11 Scr.</t>
  </si>
  <si>
    <t>G11 b</t>
  </si>
  <si>
    <t>G11 Bow</t>
  </si>
  <si>
    <t>Lalit Yadav RAO</t>
  </si>
  <si>
    <t>Kuldeep Yadav LACM</t>
  </si>
  <si>
    <t>Anrich Nortje RAF</t>
  </si>
  <si>
    <t>Mukesh Kumar RAM</t>
  </si>
  <si>
    <t>G12 #</t>
  </si>
  <si>
    <t>G12 b</t>
  </si>
  <si>
    <t>G12 Scr.</t>
  </si>
  <si>
    <t>G12 Bow</t>
  </si>
  <si>
    <t>G12 Pts.</t>
  </si>
  <si>
    <t>S magala</t>
  </si>
  <si>
    <t>32//21</t>
  </si>
  <si>
    <t>12//11</t>
  </si>
  <si>
    <t>22//18</t>
  </si>
  <si>
    <t>31//22</t>
  </si>
  <si>
    <t>5//10</t>
  </si>
  <si>
    <t>1W/24/3</t>
  </si>
  <si>
    <t>0w/35/2</t>
  </si>
  <si>
    <t>0W/20/3</t>
  </si>
  <si>
    <t>1W/33/4</t>
  </si>
  <si>
    <t>1W/24/4</t>
  </si>
  <si>
    <t>0W/19/2</t>
  </si>
  <si>
    <t>Cameron Green RAM</t>
  </si>
  <si>
    <t>Suryakumar Yadav RAO</t>
  </si>
  <si>
    <t>Piyush Chawla RALB</t>
  </si>
  <si>
    <t>Hrithik Shokeen RAOB</t>
  </si>
  <si>
    <t>Kumar Kartikeya LACM</t>
  </si>
  <si>
    <t>Nehal Wadhera RALB</t>
  </si>
  <si>
    <t>Jasprit Bumrah RAF</t>
  </si>
  <si>
    <t>Jhye Richardson RAF</t>
  </si>
  <si>
    <t>Arjun Tendulkar LAFM</t>
  </si>
  <si>
    <t>Duan Jansen LAF</t>
  </si>
  <si>
    <t>Akash Madhwal RAM</t>
  </si>
  <si>
    <t>Sandeep Warrier RAM</t>
  </si>
  <si>
    <t>Raghav Goyal LAO</t>
  </si>
  <si>
    <t>IPL 2017</t>
  </si>
  <si>
    <t>Price ( In Cr. )</t>
  </si>
  <si>
    <t>J behrendorff</t>
  </si>
  <si>
    <t>P chawla</t>
  </si>
  <si>
    <t>K kartikeya</t>
  </si>
  <si>
    <t>0w/10/1</t>
  </si>
  <si>
    <t>2w/31/3</t>
  </si>
  <si>
    <t>1w/37/4</t>
  </si>
  <si>
    <t>2w/28/4</t>
  </si>
  <si>
    <t>3w/20/4</t>
  </si>
  <si>
    <t>0w/28/4</t>
  </si>
  <si>
    <t>Avg. Oth</t>
  </si>
  <si>
    <t>Min.</t>
  </si>
  <si>
    <t xml:space="preserve">Min. </t>
  </si>
  <si>
    <t>Chetan Sakariya LAFM</t>
  </si>
  <si>
    <t>Mustafizur Rahman LAFM</t>
  </si>
  <si>
    <t>Kamlesh Nagarkoti RAF</t>
  </si>
  <si>
    <t>IPL 2020</t>
  </si>
  <si>
    <t>Yash Dhull RAOB</t>
  </si>
  <si>
    <t>Pravin Dubey RALB</t>
  </si>
  <si>
    <t>Ishant Sharma RAFM</t>
  </si>
  <si>
    <t>Vicky Ostwal LAO</t>
  </si>
  <si>
    <t>2/39/4</t>
  </si>
  <si>
    <t>Jofra Archer RAFM</t>
  </si>
  <si>
    <t>Jason Behrendorff LAFM</t>
  </si>
  <si>
    <t>G16 #</t>
  </si>
  <si>
    <t>G16 b</t>
  </si>
  <si>
    <t>G16 r</t>
  </si>
  <si>
    <t>G16 rb</t>
  </si>
  <si>
    <t>G16 Bow</t>
  </si>
  <si>
    <t>G16 Pts.</t>
  </si>
  <si>
    <t>J behrendorf</t>
  </si>
  <si>
    <t>H shokeen</t>
  </si>
  <si>
    <t>R meredith</t>
  </si>
  <si>
    <t>run out</t>
  </si>
  <si>
    <t>2w/30/2</t>
  </si>
  <si>
    <t>1w/38/4</t>
  </si>
  <si>
    <t>0w/35/4</t>
  </si>
  <si>
    <t>0w/23/4</t>
  </si>
  <si>
    <t>0w/20/4</t>
  </si>
  <si>
    <t>02/23/2</t>
  </si>
  <si>
    <t>M rahman</t>
  </si>
  <si>
    <t>3w/33/3</t>
  </si>
  <si>
    <t>0w/12/1</t>
  </si>
  <si>
    <t>0w/30/3</t>
  </si>
  <si>
    <t>1w/43/4</t>
  </si>
  <si>
    <t>2w/34/4</t>
  </si>
  <si>
    <t>3w/22/4</t>
  </si>
  <si>
    <t>0w/7/1</t>
  </si>
  <si>
    <t>Mohd Arshad Khan LAM</t>
  </si>
  <si>
    <t>Riley Meredith RAFM</t>
  </si>
  <si>
    <t>Shams Mulani LAOB</t>
  </si>
  <si>
    <t>Shivam Dube RAM</t>
  </si>
  <si>
    <t>x14</t>
  </si>
  <si>
    <t>Ravindra Jadeja LAO</t>
  </si>
  <si>
    <t>Dwaine Pretorius RAFM</t>
  </si>
  <si>
    <t>Tushar Deshpande RAM</t>
  </si>
  <si>
    <t>Sisanda Magala RAFM</t>
  </si>
  <si>
    <t>Mitchell Santner LAO</t>
  </si>
  <si>
    <t>Moeen Ali RAOB</t>
  </si>
  <si>
    <t>Deepak Chahar RAM</t>
  </si>
  <si>
    <t>Ben Stokes RAFM</t>
  </si>
  <si>
    <t>Debut</t>
  </si>
  <si>
    <t>Prashant Solanki RALB</t>
  </si>
  <si>
    <t>Rajvardhan Hangargekar RAFM</t>
  </si>
  <si>
    <t>Ajay Mandal LAO</t>
  </si>
  <si>
    <t>Nishant Sindhu LAO</t>
  </si>
  <si>
    <t>Bhagath Varma RAO</t>
  </si>
  <si>
    <t xml:space="preserve">Subhranshu Senapati </t>
  </si>
  <si>
    <t>Akash Singh LAFM</t>
  </si>
  <si>
    <t>Matheesha Pathirana RAM</t>
  </si>
  <si>
    <t>Simarjeet Singh RAFM</t>
  </si>
  <si>
    <t>Riyan Parag RALB</t>
  </si>
  <si>
    <t>IPL 19</t>
  </si>
  <si>
    <t>IPL 23</t>
  </si>
  <si>
    <t>Jason Holder RAFM</t>
  </si>
  <si>
    <t>R. Ashwin RAOB</t>
  </si>
  <si>
    <t>Yuzvendra Chahal RALB</t>
  </si>
  <si>
    <t>Sandeep Sharma RAFM</t>
  </si>
  <si>
    <t>x2</t>
  </si>
  <si>
    <t>Trent Boult LAFM</t>
  </si>
  <si>
    <t>IPL 16</t>
  </si>
  <si>
    <t>KM Asif RAM</t>
  </si>
  <si>
    <t>IPL 18</t>
  </si>
  <si>
    <t>Murugan Ashwin RALB</t>
  </si>
  <si>
    <t>Navdeep Saini RAF</t>
  </si>
  <si>
    <t>Adam Zampa RALB</t>
  </si>
  <si>
    <t>Joe Root RAOB</t>
  </si>
  <si>
    <t>Obed McCoy LAFM</t>
  </si>
  <si>
    <t>Donovan Ferreira RAOB</t>
  </si>
  <si>
    <t>KC Cariappa RALB</t>
  </si>
  <si>
    <t>Kuldeep Sen RAFM</t>
  </si>
  <si>
    <t>Kuldip Yadav LACM</t>
  </si>
  <si>
    <t>Info</t>
  </si>
  <si>
    <t>G12 rb</t>
  </si>
  <si>
    <t>G12 r</t>
  </si>
  <si>
    <t>G6 r</t>
  </si>
  <si>
    <t>G6 rb</t>
  </si>
  <si>
    <t>PRICE 
(In Cr.)</t>
  </si>
  <si>
    <t>G1 r</t>
  </si>
  <si>
    <t>G1 rb</t>
  </si>
  <si>
    <t>Rs Cr</t>
  </si>
  <si>
    <t>G11 r</t>
  </si>
  <si>
    <t>G11 rb</t>
  </si>
  <si>
    <t>G8 r</t>
  </si>
  <si>
    <t>G8 rb</t>
  </si>
  <si>
    <t>G4 r</t>
  </si>
  <si>
    <t>G4 rb</t>
  </si>
  <si>
    <t>Mukesh Choudhary</t>
  </si>
  <si>
    <t>Kyle Jamieson RAFM</t>
  </si>
  <si>
    <t>A zampa</t>
  </si>
  <si>
    <t>*</t>
  </si>
  <si>
    <t>2w/40/4</t>
  </si>
  <si>
    <t>2w/37/4</t>
  </si>
  <si>
    <t>0w/42/4</t>
  </si>
  <si>
    <t>0w/14/2</t>
  </si>
  <si>
    <t>1w/30/3</t>
  </si>
  <si>
    <t>0W/18/2</t>
  </si>
  <si>
    <t>0w/37/3</t>
  </si>
  <si>
    <t>2w/25/4</t>
  </si>
  <si>
    <t>2w/27/4</t>
  </si>
  <si>
    <t>Maheesh Theekshana RAO</t>
  </si>
  <si>
    <t>Yashasvi Jaiswal</t>
  </si>
  <si>
    <t>Devdutt Padikkal</t>
  </si>
  <si>
    <t>G4 Pts</t>
  </si>
  <si>
    <t>Bhuvneshwar Kumar RAFM</t>
  </si>
  <si>
    <t>Mayank Markande RALB</t>
  </si>
  <si>
    <t>Nat</t>
  </si>
  <si>
    <t>Marco Jansen LAF</t>
  </si>
  <si>
    <t>Washington Sundar RAOB</t>
  </si>
  <si>
    <t>T Natarajan LAFM</t>
  </si>
  <si>
    <t>Adil Rashid RALB</t>
  </si>
  <si>
    <t>Kartik Tyagi RAFM</t>
  </si>
  <si>
    <t>IPL '20</t>
  </si>
  <si>
    <t>Abhishek Sharma LAO</t>
  </si>
  <si>
    <t>IPL '18</t>
  </si>
  <si>
    <t>Vivrant Sharma LAO</t>
  </si>
  <si>
    <t>Mayank Dagar LAO</t>
  </si>
  <si>
    <t>Sanvir Singh RAM</t>
  </si>
  <si>
    <t>Akeal Hosein LAO</t>
  </si>
  <si>
    <t>Umran Malik RAF</t>
  </si>
  <si>
    <t>G18 #</t>
  </si>
  <si>
    <t xml:space="preserve">G18 b </t>
  </si>
  <si>
    <t>G18 Bow</t>
  </si>
  <si>
    <t>G18 Pts.</t>
  </si>
  <si>
    <t>G18 r</t>
  </si>
  <si>
    <t>G18 rb</t>
  </si>
  <si>
    <t>M sharma</t>
  </si>
  <si>
    <t>1w/20/4</t>
  </si>
  <si>
    <t>1w/36/4</t>
  </si>
  <si>
    <t>1w/33/4</t>
  </si>
  <si>
    <t>1w/25/4</t>
  </si>
  <si>
    <t>0w/24/3</t>
  </si>
  <si>
    <t>0w/8/1</t>
  </si>
  <si>
    <t>Harpreet Singh</t>
  </si>
  <si>
    <t>G19 #</t>
  </si>
  <si>
    <t>G19 b</t>
  </si>
  <si>
    <t>G19 bow</t>
  </si>
  <si>
    <t>G19 r</t>
  </si>
  <si>
    <t>G19 rb</t>
  </si>
  <si>
    <t>T natarajan</t>
  </si>
  <si>
    <t>Bangladesh</t>
  </si>
  <si>
    <t>0w/42/3</t>
  </si>
  <si>
    <t>0w/2/37</t>
  </si>
  <si>
    <t>3w/2/22</t>
  </si>
  <si>
    <t>1w/4/41</t>
  </si>
  <si>
    <t>0w/4/44</t>
  </si>
  <si>
    <t>0w/1/14</t>
  </si>
  <si>
    <t>B1</t>
  </si>
  <si>
    <t>pbks 197/4 v 192/7, guwahati</t>
  </si>
  <si>
    <t>203/5 v SRH 131/8, hyderabad</t>
  </si>
  <si>
    <t>G18 b</t>
  </si>
  <si>
    <t>K rabada</t>
  </si>
  <si>
    <t>S curran</t>
  </si>
  <si>
    <t>H brar</t>
  </si>
  <si>
    <t>1w/44/4</t>
  </si>
  <si>
    <t>1w/31/4</t>
  </si>
  <si>
    <t>1w/32/4</t>
  </si>
  <si>
    <t>1w/26/4</t>
  </si>
  <si>
    <t>2w/18/4</t>
  </si>
  <si>
    <t>Ireland</t>
  </si>
  <si>
    <t>RR 175/8 v 172/6</t>
  </si>
  <si>
    <t>217/7 v LSG 205/7</t>
  </si>
  <si>
    <t>178/7  v GT 182/5</t>
  </si>
  <si>
    <t>G20 #</t>
  </si>
  <si>
    <t>G20 b</t>
  </si>
  <si>
    <t>G20 Bow</t>
  </si>
  <si>
    <t>MI 171/7 v 172/2</t>
  </si>
  <si>
    <t>KKR 204/7 v 123</t>
  </si>
  <si>
    <t>212/9 v lsg 213/9</t>
  </si>
  <si>
    <t>174/6 v DC 151/9</t>
  </si>
  <si>
    <t>Vijaykumar Vyshak RAM</t>
  </si>
  <si>
    <t>L yadav</t>
  </si>
  <si>
    <t>G20 rb</t>
  </si>
  <si>
    <t>G20 r</t>
  </si>
  <si>
    <t>2w/23/4</t>
  </si>
  <si>
    <t>1w/28/4</t>
  </si>
  <si>
    <t>0w/11/1</t>
  </si>
  <si>
    <t>1w/37/3</t>
  </si>
  <si>
    <t>G19 Bow</t>
  </si>
  <si>
    <t>PBKS 143/9  v 145/2 17O</t>
  </si>
  <si>
    <t>121/8 v LSG 127/5 16O</t>
  </si>
  <si>
    <t>A russell</t>
  </si>
  <si>
    <t>1w/29/4</t>
  </si>
  <si>
    <t>1w/54/4</t>
  </si>
  <si>
    <t>1w/36/2</t>
  </si>
  <si>
    <t>02/20/2</t>
  </si>
  <si>
    <t>Min</t>
  </si>
  <si>
    <t>G22 #</t>
  </si>
  <si>
    <t>G22 b</t>
  </si>
  <si>
    <t>G22 r</t>
  </si>
  <si>
    <t>G22 rb</t>
  </si>
  <si>
    <t>G22 Bow</t>
  </si>
  <si>
    <t>G22 Pts.</t>
  </si>
  <si>
    <t>Ferguson</t>
  </si>
  <si>
    <t>KKR 185/6 v 186/5</t>
  </si>
  <si>
    <t>0w/17/2</t>
  </si>
  <si>
    <t>1w/20/2</t>
  </si>
  <si>
    <t>1w/53/4</t>
  </si>
  <si>
    <t>1w/19/4</t>
  </si>
  <si>
    <t>1w/40/4</t>
  </si>
  <si>
    <t>DC 172 v 173/4</t>
  </si>
  <si>
    <t>157/8 v CSK 159/3</t>
  </si>
  <si>
    <t>171/7 v RCB 172/2</t>
  </si>
  <si>
    <t>TAG</t>
  </si>
  <si>
    <t>Must Have</t>
  </si>
  <si>
    <t xml:space="preserve">Should </t>
  </si>
  <si>
    <t>Avg Oth</t>
  </si>
  <si>
    <t>CH</t>
  </si>
  <si>
    <t>100+</t>
  </si>
  <si>
    <t>80+</t>
  </si>
  <si>
    <t>G23 r</t>
  </si>
  <si>
    <t>G23 Bow</t>
  </si>
  <si>
    <t>GT 177/7 v 179/7</t>
  </si>
  <si>
    <t>H pandya</t>
  </si>
  <si>
    <t>N ahmad</t>
  </si>
  <si>
    <t>1w/46/4</t>
  </si>
  <si>
    <t>1w/32/3</t>
  </si>
  <si>
    <t>0w/37/4</t>
  </si>
  <si>
    <t>INTL</t>
  </si>
  <si>
    <t>INTL + BM</t>
  </si>
  <si>
    <t>INTL + M</t>
  </si>
  <si>
    <t>INTL + MM</t>
  </si>
  <si>
    <t>G21 #</t>
  </si>
  <si>
    <t>G21 B</t>
  </si>
  <si>
    <t>G21 r</t>
  </si>
  <si>
    <t>G21 rb</t>
  </si>
  <si>
    <t>G21 bow</t>
  </si>
  <si>
    <t>G21 Pts.</t>
  </si>
  <si>
    <t>IP</t>
  </si>
  <si>
    <t>B1st Mohali</t>
  </si>
  <si>
    <t>159/8 v PBKS 161/8</t>
  </si>
  <si>
    <t>2w/19/3</t>
  </si>
  <si>
    <t>02/24/3</t>
  </si>
  <si>
    <t>2w/35/4</t>
  </si>
  <si>
    <t>2w/18/2</t>
  </si>
  <si>
    <t>INTL +MM</t>
  </si>
  <si>
    <t>B1st, LNW</t>
  </si>
  <si>
    <t>193/6 v DC 143/9</t>
  </si>
  <si>
    <t>Chased, CHN</t>
  </si>
  <si>
    <t>G6 B</t>
  </si>
  <si>
    <t>G6 bow</t>
  </si>
  <si>
    <t>CSK 217/7 v 205/7</t>
  </si>
  <si>
    <t>Chased, LNW</t>
  </si>
  <si>
    <t>SRH 121/8 v 127/5</t>
  </si>
  <si>
    <t>Chased, BLR</t>
  </si>
  <si>
    <t>RCB 212/2 v 213/9</t>
  </si>
  <si>
    <t>90+</t>
  </si>
  <si>
    <t>G21 b</t>
  </si>
  <si>
    <t>G21 Bow</t>
  </si>
  <si>
    <t>Chased, LCK</t>
  </si>
  <si>
    <t>LSG 159/8 v 161/8</t>
  </si>
  <si>
    <t>B1st, MOH</t>
  </si>
  <si>
    <t>153/8 v GT 154/4</t>
  </si>
  <si>
    <t>b1st, HYD</t>
  </si>
  <si>
    <t>143/9 v SRH 145/2</t>
  </si>
  <si>
    <t>b1st, GWH</t>
  </si>
  <si>
    <t>197/4 v RR 192/7</t>
  </si>
  <si>
    <t>b1st, MOH</t>
  </si>
  <si>
    <t>191/5 v KKR 146/7</t>
  </si>
  <si>
    <t>Y singh</t>
  </si>
  <si>
    <t>K gowtham</t>
  </si>
  <si>
    <t>0w/10/2</t>
  </si>
  <si>
    <t>1w/22/3</t>
  </si>
  <si>
    <t>3w/31/4</t>
  </si>
  <si>
    <t>1w/10/2</t>
  </si>
  <si>
    <t>1w/19/2</t>
  </si>
  <si>
    <t>0w/28/3</t>
  </si>
  <si>
    <t>50+</t>
  </si>
  <si>
    <t>BM</t>
  </si>
  <si>
    <t>MM</t>
  </si>
  <si>
    <t>G24 #</t>
  </si>
  <si>
    <t>G24 b</t>
  </si>
  <si>
    <t>G24 Bow</t>
  </si>
  <si>
    <t>G24 Pts</t>
  </si>
  <si>
    <t>G24 r</t>
  </si>
  <si>
    <t>G24 rb</t>
  </si>
  <si>
    <t>M theeksana</t>
  </si>
  <si>
    <t>M pathirana</t>
  </si>
  <si>
    <t>1W/30/4</t>
  </si>
  <si>
    <t>1W/48/4</t>
  </si>
  <si>
    <t>1w/62/4</t>
  </si>
  <si>
    <t>1w/28/2</t>
  </si>
  <si>
    <t>1w/21/2</t>
  </si>
  <si>
    <t>1w/36/3</t>
  </si>
  <si>
    <t>Chase, BLR</t>
  </si>
  <si>
    <t>CSK 226/6 v 216/8</t>
  </si>
  <si>
    <t>B1st, BLR</t>
  </si>
  <si>
    <t>Chased, KOL</t>
  </si>
  <si>
    <t>Wayne Parnell LAFM</t>
  </si>
  <si>
    <t>INTL + SM</t>
  </si>
  <si>
    <t>INTL +SM</t>
  </si>
  <si>
    <t>PBKS</t>
  </si>
  <si>
    <t>Johny Bairstow</t>
  </si>
  <si>
    <t>Sikandar Raza RAO</t>
  </si>
  <si>
    <t>Zimbabwe</t>
  </si>
  <si>
    <t>V vyshak</t>
  </si>
  <si>
    <t>W de silva</t>
  </si>
  <si>
    <t>0w/31/4</t>
  </si>
  <si>
    <t>1w/25/3</t>
  </si>
  <si>
    <t>0w/41/3</t>
  </si>
  <si>
    <t>RCB 174/6 v 154/9</t>
  </si>
  <si>
    <t>MI 172 v 173/4</t>
  </si>
  <si>
    <t>RR 199/4 v 142/9</t>
  </si>
  <si>
    <t>162/8 v GT 13/4</t>
  </si>
  <si>
    <t>LSG 193/6 v 143/9</t>
  </si>
  <si>
    <t>185/6 v MI 186/5</t>
  </si>
  <si>
    <t>MUM</t>
  </si>
  <si>
    <t>SRH 228/4 v 205/7</t>
  </si>
  <si>
    <t>KOL</t>
  </si>
  <si>
    <t>GT 204/4 v 207/7</t>
  </si>
  <si>
    <t>AMD</t>
  </si>
  <si>
    <t>MOH</t>
  </si>
  <si>
    <t>D jansen</t>
  </si>
  <si>
    <t>0w/19/2</t>
  </si>
  <si>
    <t>1w/25/2</t>
  </si>
  <si>
    <t>0w/17/1</t>
  </si>
  <si>
    <t>WH de silva</t>
  </si>
  <si>
    <t>V Vyshak</t>
  </si>
  <si>
    <t>G maxwell</t>
  </si>
  <si>
    <t>1w/35/3</t>
  </si>
  <si>
    <t>3w/45/4</t>
  </si>
  <si>
    <t>1w/41/4</t>
  </si>
  <si>
    <t>2w/42/4</t>
  </si>
  <si>
    <t>1w/13/1</t>
  </si>
  <si>
    <t>CHN</t>
  </si>
  <si>
    <t>B1, BLR</t>
  </si>
  <si>
    <t>BLR</t>
  </si>
  <si>
    <t>B1 MAX</t>
  </si>
  <si>
    <t>B1 Avg. Oth</t>
  </si>
  <si>
    <t>B1 Min</t>
  </si>
  <si>
    <t>CH MAX</t>
  </si>
  <si>
    <t>CH Avg. Oth</t>
  </si>
  <si>
    <t>CH Min</t>
  </si>
  <si>
    <t xml:space="preserve"> B1 Must Have</t>
  </si>
  <si>
    <t xml:space="preserve">B1 Should </t>
  </si>
  <si>
    <t>M</t>
  </si>
  <si>
    <t>MMMM</t>
  </si>
  <si>
    <t>MMM</t>
  </si>
  <si>
    <t>INTL + MMMM</t>
  </si>
  <si>
    <t>Sri LankA</t>
  </si>
  <si>
    <t xml:space="preserve"> CHS Must Have</t>
  </si>
  <si>
    <t xml:space="preserve">CHS Should </t>
  </si>
  <si>
    <t xml:space="preserve"> CHS CH</t>
  </si>
  <si>
    <t xml:space="preserve"> B1 CH</t>
  </si>
  <si>
    <t>HYD</t>
  </si>
  <si>
    <t>LCK</t>
  </si>
  <si>
    <t>CHS</t>
  </si>
  <si>
    <t>G25 #</t>
  </si>
  <si>
    <t>G25 b</t>
  </si>
  <si>
    <t>G25 r</t>
  </si>
  <si>
    <t>G25 rb</t>
  </si>
  <si>
    <t>G25 Bow</t>
  </si>
  <si>
    <t>G25 Pts</t>
  </si>
  <si>
    <t>MI 192/5 v 178</t>
  </si>
  <si>
    <t>A tendulkar</t>
  </si>
  <si>
    <t>2w/43/4</t>
  </si>
  <si>
    <t>0w/33/4</t>
  </si>
  <si>
    <t>1w/50/4</t>
  </si>
  <si>
    <t>G26 #</t>
  </si>
  <si>
    <t>G26 Pts.</t>
  </si>
  <si>
    <t>CH2</t>
  </si>
  <si>
    <t>G18 Pts.4</t>
  </si>
  <si>
    <t>G14 Pts.5</t>
  </si>
  <si>
    <t>G8 Pts.6</t>
  </si>
  <si>
    <t>G2 Pts.7</t>
  </si>
  <si>
    <t>G26 Pts.2</t>
  </si>
  <si>
    <t>G21 Pts.2</t>
  </si>
  <si>
    <t>G31 #</t>
  </si>
  <si>
    <t xml:space="preserve">FORM TEAM </t>
  </si>
  <si>
    <t>FORM TEAM C/VC</t>
  </si>
  <si>
    <t>G25 Pts.</t>
  </si>
  <si>
    <t>DEL</t>
  </si>
  <si>
    <t>GUW</t>
  </si>
  <si>
    <t xml:space="preserve">199/4 v DC 142/9, </t>
  </si>
  <si>
    <t>B1, GUW</t>
  </si>
  <si>
    <t>CHS, GUW</t>
  </si>
  <si>
    <t>B1, HYD</t>
  </si>
  <si>
    <t>G17#</t>
  </si>
  <si>
    <t>G17 B</t>
  </si>
  <si>
    <t>G17 r</t>
  </si>
  <si>
    <t>G17 rb</t>
  </si>
  <si>
    <t>G17 Bow</t>
  </si>
  <si>
    <t>B1, CHN</t>
  </si>
  <si>
    <t>175/8 vs 172/6 CSK</t>
  </si>
  <si>
    <t>CHS, AMD</t>
  </si>
  <si>
    <t>G23 #</t>
  </si>
  <si>
    <t>G23 B.type</t>
  </si>
  <si>
    <t>G23 B.nm</t>
  </si>
  <si>
    <t>G23 r.b</t>
  </si>
  <si>
    <t>G32 #</t>
  </si>
  <si>
    <t>vs GT</t>
  </si>
  <si>
    <t>vs CSK</t>
  </si>
  <si>
    <t>vs DC</t>
  </si>
  <si>
    <t>vs PBKS</t>
  </si>
  <si>
    <t>vs HYD</t>
  </si>
  <si>
    <t>JPR</t>
  </si>
  <si>
    <t>JPR, CHS</t>
  </si>
  <si>
    <t>LSG  154/7 v 144/6</t>
  </si>
  <si>
    <t>M stoinis</t>
  </si>
  <si>
    <t>G26 B.type</t>
  </si>
  <si>
    <t>G26 B.nm</t>
  </si>
  <si>
    <t>G26 r</t>
  </si>
  <si>
    <t>G26 r.b</t>
  </si>
  <si>
    <t>G26 b.wkt</t>
  </si>
  <si>
    <t>G26 b.r</t>
  </si>
  <si>
    <t>G26 b.ov</t>
  </si>
  <si>
    <t>G26 cp</t>
  </si>
  <si>
    <t>G17 cp</t>
  </si>
  <si>
    <t>G11 cp</t>
  </si>
  <si>
    <t>G8 cp</t>
  </si>
  <si>
    <t>G4 cp</t>
  </si>
  <si>
    <t>vs LSG</t>
  </si>
  <si>
    <t>Innings</t>
  </si>
  <si>
    <t>Innings B1</t>
  </si>
  <si>
    <t>Max B1</t>
  </si>
  <si>
    <t>Avg. Oth B1</t>
  </si>
  <si>
    <t>Min. B1</t>
  </si>
  <si>
    <t>G23 cp</t>
  </si>
  <si>
    <t>G32 Pts</t>
  </si>
  <si>
    <t>G17 Pts</t>
  </si>
  <si>
    <t>G11 Pt</t>
  </si>
  <si>
    <t>G8 Pts</t>
  </si>
  <si>
    <t>Innings CHS</t>
  </si>
  <si>
    <t>Max CHS</t>
  </si>
  <si>
    <t>Avg. Oth CHS</t>
  </si>
  <si>
    <t>Min. CHS</t>
  </si>
  <si>
    <t>G23 Pts</t>
  </si>
  <si>
    <t>G26 Pts</t>
  </si>
  <si>
    <t>G9 b8</t>
  </si>
  <si>
    <t>CP ROLE</t>
  </si>
  <si>
    <t>Max 100+</t>
  </si>
  <si>
    <t>Max 80+</t>
  </si>
  <si>
    <t>Max 50+</t>
  </si>
  <si>
    <t>Avg. 30+</t>
  </si>
  <si>
    <t>Avg 30+</t>
  </si>
  <si>
    <t>Avg 40+</t>
  </si>
  <si>
    <t>Avg 50+</t>
  </si>
  <si>
    <t>Avg. 50+</t>
  </si>
  <si>
    <t>Avg. 40+</t>
  </si>
  <si>
    <t>G24 cp</t>
  </si>
  <si>
    <t>G20 cp</t>
  </si>
  <si>
    <t>G15 cp</t>
  </si>
  <si>
    <t>G9 cp</t>
  </si>
  <si>
    <t>G5 cp</t>
  </si>
  <si>
    <t>G9 Pts</t>
  </si>
  <si>
    <t>G20 Pts</t>
  </si>
  <si>
    <t>Min B1</t>
  </si>
  <si>
    <t>Min CHS</t>
  </si>
  <si>
    <t>G27 #</t>
  </si>
  <si>
    <t>G27 B.type</t>
  </si>
  <si>
    <t>G27 B</t>
  </si>
  <si>
    <t>G27 r</t>
  </si>
  <si>
    <t>G27 r.b</t>
  </si>
  <si>
    <t>G27 b.wkt</t>
  </si>
  <si>
    <t>G27 b.rc</t>
  </si>
  <si>
    <t>G27 b.ov</t>
  </si>
  <si>
    <t>G27 cp</t>
  </si>
  <si>
    <t>LAO</t>
  </si>
  <si>
    <t>LAFM</t>
  </si>
  <si>
    <t>B1, MOH</t>
  </si>
  <si>
    <t>174/4 v PBKS 150</t>
  </si>
  <si>
    <t>G27 Pts</t>
  </si>
  <si>
    <t>G29 #</t>
  </si>
  <si>
    <t>G29 B.type</t>
  </si>
  <si>
    <t>G29 B.nm</t>
  </si>
  <si>
    <t>G29 r</t>
  </si>
  <si>
    <t>G29 r.b</t>
  </si>
  <si>
    <t>G29 b.ov</t>
  </si>
  <si>
    <t>G29 b.rc</t>
  </si>
  <si>
    <t>G29 b.wkt</t>
  </si>
  <si>
    <t>G29 cp</t>
  </si>
  <si>
    <t>CHS, CHN</t>
  </si>
  <si>
    <t>SRH 134/7 v 138/3</t>
  </si>
  <si>
    <t>226/6 v RCB 218/8</t>
  </si>
  <si>
    <t>CHS, MUM</t>
  </si>
  <si>
    <t>MI 157/8 v 159/3</t>
  </si>
  <si>
    <t>CHS, AHM</t>
  </si>
  <si>
    <t>G29 Pts</t>
  </si>
  <si>
    <t>G24 Pts.</t>
  </si>
  <si>
    <t>G16 cp</t>
  </si>
  <si>
    <t>G12 cp</t>
  </si>
  <si>
    <t>G6 cp</t>
  </si>
  <si>
    <t>G1 cp</t>
  </si>
  <si>
    <t>Avg. Oth. 50+</t>
  </si>
  <si>
    <t>Avg. Oth. 40+</t>
  </si>
  <si>
    <t>Avg. Oth. 30+</t>
  </si>
  <si>
    <t>RAF</t>
  </si>
  <si>
    <t>RALB</t>
  </si>
  <si>
    <t>B1 Inn</t>
  </si>
  <si>
    <t>CHS Inn</t>
  </si>
  <si>
    <t xml:space="preserve">CP ROLE </t>
  </si>
  <si>
    <t xml:space="preserve">MY11C ROLE </t>
  </si>
  <si>
    <t>G22 Pts.3</t>
  </si>
  <si>
    <t>G19 pts.4</t>
  </si>
  <si>
    <t>G13 Pts5</t>
  </si>
  <si>
    <t>G9 pts.6</t>
  </si>
  <si>
    <t>G2 pts.7</t>
  </si>
  <si>
    <t>B1, MUM</t>
  </si>
  <si>
    <t>CHS, KOL</t>
  </si>
  <si>
    <t>B1, KOL</t>
  </si>
  <si>
    <t>CHS, MOH</t>
  </si>
  <si>
    <t>PBKS 191/5 v 146/7</t>
  </si>
  <si>
    <t>204/7 v RCB 123</t>
  </si>
  <si>
    <t>v MI</t>
  </si>
  <si>
    <t>v GT</t>
  </si>
  <si>
    <t>v RCB</t>
  </si>
  <si>
    <t>v PBKS</t>
  </si>
  <si>
    <t>v SRH</t>
  </si>
  <si>
    <t>G28 #</t>
  </si>
  <si>
    <t>G28 B.type</t>
  </si>
  <si>
    <t>G28 B.nm</t>
  </si>
  <si>
    <t>G28 r.b</t>
  </si>
  <si>
    <t>G28 r</t>
  </si>
  <si>
    <t>G28 b.ov</t>
  </si>
  <si>
    <t>G28 b.rc</t>
  </si>
  <si>
    <t>G28 b.wkt</t>
  </si>
  <si>
    <t>G28 Pts.</t>
  </si>
  <si>
    <t>G28 cp</t>
  </si>
  <si>
    <t>G19 cp</t>
  </si>
  <si>
    <t>G13 cp</t>
  </si>
  <si>
    <t>G2 cp</t>
  </si>
  <si>
    <t>B1, DEL</t>
  </si>
  <si>
    <t>v DC</t>
  </si>
  <si>
    <t>127 v DC 128/6</t>
  </si>
  <si>
    <t>G22 cp</t>
  </si>
  <si>
    <t>LACM</t>
  </si>
  <si>
    <t>RAM</t>
  </si>
  <si>
    <t>I sharma</t>
  </si>
  <si>
    <t>B1 Max 50+</t>
  </si>
  <si>
    <t>B1 Max 100+</t>
  </si>
  <si>
    <t>B1 Max 80+</t>
  </si>
  <si>
    <t>B1 Avg Oth 50+</t>
  </si>
  <si>
    <t>B1 Avg Oth 40+</t>
  </si>
  <si>
    <t>B1 Avg Oth 30+</t>
  </si>
  <si>
    <t xml:space="preserve"> CHS Max 100+</t>
  </si>
  <si>
    <t xml:space="preserve"> CHS Max 80+</t>
  </si>
  <si>
    <t xml:space="preserve"> CHS Max  50+</t>
  </si>
  <si>
    <t>CHS Avg Oth 50+</t>
  </si>
  <si>
    <t>CHS Avg Oth 40+</t>
  </si>
  <si>
    <t>CHS Avg Oth 30+</t>
  </si>
  <si>
    <t>CHS Inn2</t>
  </si>
  <si>
    <t>CH MAX3</t>
  </si>
  <si>
    <t>CH Avg. Oth4</t>
  </si>
  <si>
    <t>CH Min5</t>
  </si>
  <si>
    <t>Avg Oth 50+</t>
  </si>
  <si>
    <t>Avg Oth 40+</t>
  </si>
  <si>
    <t>Avg Oth 30+</t>
  </si>
  <si>
    <t>G19 Pts4</t>
  </si>
  <si>
    <t>G10 Pts6</t>
  </si>
  <si>
    <t>G4 Pts7</t>
  </si>
  <si>
    <t>G29#</t>
  </si>
  <si>
    <t>134/7 v CSK 138/3</t>
  </si>
  <si>
    <t>CHS, HYD</t>
  </si>
  <si>
    <t>B1, LCK</t>
  </si>
  <si>
    <t>RR 203/5 v 131/8</t>
  </si>
  <si>
    <t>G25 cp</t>
  </si>
  <si>
    <t>G14 cp</t>
  </si>
  <si>
    <t>G10 cp</t>
  </si>
  <si>
    <t>m theeksana</t>
  </si>
  <si>
    <t>m pathirana</t>
  </si>
  <si>
    <t>RAO</t>
  </si>
  <si>
    <t>v CSK</t>
  </si>
  <si>
    <t>228/4 v KKR 205/7</t>
  </si>
  <si>
    <t>v KKR</t>
  </si>
  <si>
    <t>v LSG</t>
  </si>
  <si>
    <t>v RR</t>
  </si>
  <si>
    <t>B1 Innings</t>
  </si>
  <si>
    <t>CHS Innings</t>
  </si>
  <si>
    <t>B1 Avg 50+</t>
  </si>
  <si>
    <t>B1 Avg 40+</t>
  </si>
  <si>
    <t>B1 Avg 30+</t>
  </si>
  <si>
    <t>B1 Should</t>
  </si>
  <si>
    <t>B1 Must Have</t>
  </si>
  <si>
    <t>B1 Max</t>
  </si>
  <si>
    <t>B1 MAX2</t>
  </si>
  <si>
    <t>CHS Must Have</t>
  </si>
  <si>
    <t>CHS CH</t>
  </si>
  <si>
    <t>CHS  Max 100+</t>
  </si>
  <si>
    <t>CHS Max 80+</t>
  </si>
  <si>
    <t>CHS Max 50+</t>
  </si>
  <si>
    <t>Max2</t>
  </si>
  <si>
    <t>G28 b.type</t>
  </si>
  <si>
    <t>G28 b.nm</t>
  </si>
  <si>
    <t>CHS, DEL</t>
  </si>
  <si>
    <t>KKR 127 v 128/6</t>
  </si>
  <si>
    <t>CHS, BLR</t>
  </si>
  <si>
    <t>CHS, GWH</t>
  </si>
  <si>
    <t>B1, DLH</t>
  </si>
  <si>
    <t>CHS,  LCK</t>
  </si>
  <si>
    <t>GWH</t>
  </si>
  <si>
    <t>G28 Pts</t>
  </si>
  <si>
    <t>G7 cp</t>
  </si>
  <si>
    <t>G3 cp</t>
  </si>
  <si>
    <t>G16 Pts</t>
  </si>
  <si>
    <t>G11 Pts</t>
  </si>
  <si>
    <t>G7 Pt</t>
  </si>
  <si>
    <t>G3 Pt</t>
  </si>
  <si>
    <t>N rana</t>
  </si>
  <si>
    <t>AS roy</t>
  </si>
  <si>
    <t>Max 50+2</t>
  </si>
  <si>
    <t>Rs Cr.</t>
  </si>
  <si>
    <t>Inn</t>
  </si>
  <si>
    <t>B1, AMD</t>
  </si>
  <si>
    <t>204/4 vs 207/7 KKR</t>
  </si>
  <si>
    <t>DC 162/8 v 163/4</t>
  </si>
  <si>
    <t>PBKS 153/8 v 154/4</t>
  </si>
  <si>
    <t>CSk 178/7 v 182/5</t>
  </si>
  <si>
    <t>G18 cp</t>
  </si>
  <si>
    <t>G13 pts</t>
  </si>
  <si>
    <t>G7 pts</t>
  </si>
  <si>
    <t>G1 pts</t>
  </si>
  <si>
    <t>G23 b.nm</t>
  </si>
  <si>
    <t>G23 b.type</t>
  </si>
  <si>
    <t>G23 b.ov</t>
  </si>
  <si>
    <t>G23 b.rc</t>
  </si>
  <si>
    <t>G23 b.wkt</t>
  </si>
  <si>
    <t>177/7 v RR 179/7</t>
  </si>
  <si>
    <t>G30 #</t>
  </si>
  <si>
    <t>G30 b.type</t>
  </si>
  <si>
    <t>G30 b.nm</t>
  </si>
  <si>
    <t>G30 r</t>
  </si>
  <si>
    <t>G30 r.b</t>
  </si>
  <si>
    <t>G30 b.ov</t>
  </si>
  <si>
    <t>G30 b.rc</t>
  </si>
  <si>
    <t>G30 b.wkt</t>
  </si>
  <si>
    <t>G30 cp</t>
  </si>
  <si>
    <t>135/6 v LSG 128/7</t>
  </si>
  <si>
    <t>G18 pts3</t>
  </si>
  <si>
    <t>G23 pts</t>
  </si>
  <si>
    <t>G30 pts</t>
  </si>
  <si>
    <t>Mohit Sharma RAFM</t>
  </si>
  <si>
    <t>Noor Ahmad LACM</t>
  </si>
  <si>
    <t>Tag</t>
  </si>
  <si>
    <t>Form Team</t>
  </si>
  <si>
    <t>N ul haq</t>
  </si>
  <si>
    <t>Marcus Stoinis RAM</t>
  </si>
  <si>
    <t>Naveen ul Haq RAFM</t>
  </si>
  <si>
    <t>A misra</t>
  </si>
  <si>
    <t>B1  Max</t>
  </si>
  <si>
    <t>B1 Avg Oth</t>
  </si>
  <si>
    <t>CHS Max</t>
  </si>
  <si>
    <t>CHS Avg Oth</t>
  </si>
  <si>
    <t>CHS Min</t>
  </si>
  <si>
    <t>G34 #</t>
  </si>
  <si>
    <t>G34 cp</t>
  </si>
  <si>
    <t>Should</t>
  </si>
  <si>
    <t>CHS, DLH</t>
  </si>
  <si>
    <t>G31 cp</t>
  </si>
  <si>
    <t>PBKS 214/8 v 201/6</t>
  </si>
  <si>
    <t>G31 b.type</t>
  </si>
  <si>
    <t>G31 b.nm</t>
  </si>
  <si>
    <t>G31 r</t>
  </si>
  <si>
    <t>G31r.b</t>
  </si>
  <si>
    <t>G31 b.ov</t>
  </si>
  <si>
    <t>G31 b.rc</t>
  </si>
  <si>
    <t>G31 b.wkt</t>
  </si>
  <si>
    <t>L livingstone</t>
  </si>
  <si>
    <t>Liam Livingstone RALB</t>
  </si>
  <si>
    <t>G31 Pts</t>
  </si>
  <si>
    <t>192/5  v MI 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</si>
</sst>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Noto Sans Display"/>
    </font>
    <font>
      <sz val="8"/>
      <color theme="1"/>
      <name val="Noto Sans Display"/>
    </font>
    <font>
      <b/>
      <i/>
      <sz val="8"/>
      <color theme="1"/>
      <name val="Noto Sans Display"/>
    </font>
    <font>
      <b/>
      <sz val="8"/>
      <color theme="1"/>
      <name val="Noto Sans Display"/>
    </font>
    <font>
      <sz val="8"/>
      <color theme="9"/>
      <name val="Noto Sans Display"/>
    </font>
    <font>
      <b/>
      <i/>
      <sz val="8"/>
      <color theme="9"/>
      <name val="Noto Sans Display"/>
    </font>
    <font>
      <sz val="8"/>
      <color theme="5"/>
      <name val="Noto Sans Display"/>
    </font>
    <font>
      <b/>
      <i/>
      <sz val="8"/>
      <color theme="5"/>
      <name val="Noto Sans Display"/>
    </font>
    <font>
      <sz val="8"/>
      <color theme="4" tint="0.39997558519241921"/>
      <name val="Noto Sans Display"/>
    </font>
    <font>
      <b/>
      <i/>
      <sz val="8"/>
      <color theme="4" tint="0.39997558519241921"/>
      <name val="Noto Sans Display"/>
    </font>
    <font>
      <sz val="8"/>
      <color theme="2" tint="-0.499984740745262"/>
      <name val="Noto Sans Display"/>
    </font>
    <font>
      <sz val="8"/>
      <color theme="4"/>
      <name val="Noto Sans Display"/>
    </font>
    <font>
      <strike/>
      <sz val="8"/>
      <color theme="1"/>
      <name val="Noto Sans Display"/>
    </font>
    <font>
      <sz val="8"/>
      <color theme="8"/>
      <name val="Noto Sans Display"/>
    </font>
    <font>
      <b/>
      <i/>
      <sz val="8"/>
      <color theme="8"/>
      <name val="Noto Sans Display"/>
    </font>
    <font>
      <sz val="8"/>
      <color theme="1" tint="0.34998626667073579"/>
      <name val="Noto Sans Display"/>
    </font>
    <font>
      <b/>
      <i/>
      <sz val="8"/>
      <color theme="1" tint="0.34998626667073579"/>
      <name val="Noto Sans Display"/>
    </font>
    <font>
      <b/>
      <sz val="8"/>
      <name val="Noto Sans Display"/>
    </font>
    <font>
      <b/>
      <sz val="8"/>
      <color theme="0"/>
      <name val="Noto Sans Display"/>
    </font>
    <font>
      <b/>
      <i/>
      <sz val="8"/>
      <color theme="4"/>
      <name val="Noto Sans Display"/>
    </font>
    <font>
      <b/>
      <sz val="8"/>
      <color theme="4"/>
      <name val="Noto Sans Display"/>
    </font>
    <font>
      <b/>
      <sz val="8"/>
      <color theme="9"/>
      <name val="Noto Sans Display"/>
    </font>
    <font>
      <b/>
      <sz val="8"/>
      <color theme="2" tint="-0.499984740745262"/>
      <name val="Noto Sans Display"/>
    </font>
    <font>
      <b/>
      <sz val="8"/>
      <color theme="5"/>
      <name val="Noto Sans Display"/>
    </font>
    <font>
      <sz val="8"/>
      <name val="Calibri"/>
      <family val="2"/>
      <scheme val="minor"/>
    </font>
    <font>
      <b/>
      <sz val="8"/>
      <color theme="8"/>
      <name val="Noto Sans Display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Noto Sans Display"/>
    </font>
    <font>
      <sz val="11"/>
      <name val="Calibri"/>
      <family val="2"/>
      <scheme val="minor"/>
    </font>
    <font>
      <b/>
      <i/>
      <sz val="8"/>
      <name val="Noto Sans Display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4" tint="-0.249977111117893"/>
      <name val="Noto Sans Display"/>
    </font>
    <font>
      <b/>
      <sz val="8"/>
      <color theme="4" tint="-0.249977111117893"/>
      <name val="Noto Sans Display"/>
    </font>
    <font>
      <b/>
      <i/>
      <sz val="8"/>
      <color theme="4" tint="-0.249977111117893"/>
      <name val="Noto Sans Display"/>
    </font>
  </fonts>
  <fills count="26">
    <fill>
      <patternFill patternType="none"/>
    </fill>
    <fill>
      <patternFill patternType="gray125"/>
    </fill>
    <fill>
      <patternFill patternType="solid">
        <fgColor rgb="FF045DE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  <xf numFmtId="0" fontId="8" fillId="0" borderId="1" xfId="0" quotePrefix="1" applyFont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left" vertical="center" indent="1"/>
    </xf>
    <xf numFmtId="0" fontId="13" fillId="0" borderId="9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1"/>
    </xf>
    <xf numFmtId="0" fontId="15" fillId="0" borderId="9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17" fillId="0" borderId="8" xfId="0" applyFont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indent="1"/>
    </xf>
    <xf numFmtId="0" fontId="17" fillId="0" borderId="9" xfId="0" applyFont="1" applyBorder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15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16" fillId="0" borderId="14" xfId="0" applyFont="1" applyBorder="1" applyAlignment="1">
      <alignment horizontal="left" vertical="center" indent="1"/>
    </xf>
    <xf numFmtId="16" fontId="15" fillId="0" borderId="1" xfId="0" applyNumberFormat="1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13" fillId="0" borderId="22" xfId="0" applyFont="1" applyBorder="1" applyAlignment="1">
      <alignment horizontal="left" vertical="center" indent="1"/>
    </xf>
    <xf numFmtId="0" fontId="13" fillId="0" borderId="16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left" vertical="center" indent="1"/>
    </xf>
    <xf numFmtId="0" fontId="13" fillId="0" borderId="31" xfId="0" applyFont="1" applyBorder="1" applyAlignment="1">
      <alignment horizontal="left" vertical="center" indent="1"/>
    </xf>
    <xf numFmtId="0" fontId="13" fillId="0" borderId="32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3" fillId="0" borderId="33" xfId="0" applyFont="1" applyBorder="1" applyAlignment="1">
      <alignment horizontal="left" vertical="center" indent="1"/>
    </xf>
    <xf numFmtId="0" fontId="13" fillId="0" borderId="34" xfId="0" applyFont="1" applyBorder="1" applyAlignment="1">
      <alignment horizontal="left" vertical="center" indent="1"/>
    </xf>
    <xf numFmtId="0" fontId="13" fillId="0" borderId="20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left" vertical="center" indent="1"/>
    </xf>
    <xf numFmtId="0" fontId="13" fillId="0" borderId="36" xfId="0" applyFont="1" applyBorder="1" applyAlignment="1">
      <alignment horizontal="left" vertical="center" indent="1"/>
    </xf>
    <xf numFmtId="0" fontId="8" fillId="0" borderId="4" xfId="0" quotePrefix="1" applyFont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0" fontId="17" fillId="0" borderId="16" xfId="0" applyFont="1" applyBorder="1" applyAlignment="1">
      <alignment horizontal="left" vertical="center" indent="1"/>
    </xf>
    <xf numFmtId="0" fontId="17" fillId="0" borderId="17" xfId="0" applyFont="1" applyBorder="1" applyAlignment="1">
      <alignment horizontal="left" vertical="center" indent="1"/>
    </xf>
    <xf numFmtId="0" fontId="15" fillId="0" borderId="18" xfId="0" applyFont="1" applyBorder="1" applyAlignment="1">
      <alignment horizontal="left" vertical="center" indent="1"/>
    </xf>
    <xf numFmtId="0" fontId="15" fillId="0" borderId="19" xfId="0" applyFont="1" applyBorder="1" applyAlignment="1">
      <alignment horizontal="left" vertical="center" indent="1"/>
    </xf>
    <xf numFmtId="0" fontId="16" fillId="0" borderId="4" xfId="0" applyFont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1"/>
    </xf>
    <xf numFmtId="0" fontId="10" fillId="0" borderId="22" xfId="0" applyFont="1" applyBorder="1" applyAlignment="1">
      <alignment horizontal="left" vertical="center" indent="1"/>
    </xf>
    <xf numFmtId="0" fontId="8" fillId="0" borderId="18" xfId="0" applyFont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15" fillId="0" borderId="22" xfId="0" applyFont="1" applyBorder="1" applyAlignment="1">
      <alignment horizontal="left" vertical="center" indent="1"/>
    </xf>
    <xf numFmtId="0" fontId="17" fillId="0" borderId="22" xfId="0" applyFont="1" applyBorder="1" applyAlignment="1">
      <alignment horizontal="left" vertical="center" indent="1"/>
    </xf>
    <xf numFmtId="0" fontId="15" fillId="0" borderId="23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 indent="1"/>
    </xf>
    <xf numFmtId="0" fontId="22" fillId="0" borderId="9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left" vertical="center" indent="1"/>
    </xf>
    <xf numFmtId="0" fontId="23" fillId="0" borderId="9" xfId="0" applyFont="1" applyBorder="1" applyAlignment="1">
      <alignment horizontal="left" vertical="center" indent="1"/>
    </xf>
    <xf numFmtId="0" fontId="23" fillId="0" borderId="22" xfId="0" applyFont="1" applyBorder="1" applyAlignment="1">
      <alignment horizontal="left" vertical="center" indent="1"/>
    </xf>
    <xf numFmtId="0" fontId="23" fillId="0" borderId="4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4" fillId="0" borderId="8" xfId="0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4" fillId="0" borderId="9" xfId="0" applyFont="1" applyBorder="1" applyAlignment="1">
      <alignment horizontal="left" vertical="center" indent="1"/>
    </xf>
    <xf numFmtId="0" fontId="24" fillId="0" borderId="4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5" fillId="0" borderId="8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 indent="1"/>
    </xf>
    <xf numFmtId="0" fontId="25" fillId="0" borderId="9" xfId="0" applyFont="1" applyBorder="1" applyAlignment="1">
      <alignment horizontal="left" vertical="center" indent="1"/>
    </xf>
    <xf numFmtId="0" fontId="25" fillId="0" borderId="22" xfId="0" applyFont="1" applyBorder="1" applyAlignment="1">
      <alignment horizontal="left" vertical="center" indent="1"/>
    </xf>
    <xf numFmtId="0" fontId="25" fillId="0" borderId="4" xfId="0" applyFont="1" applyBorder="1" applyAlignment="1">
      <alignment horizontal="left" vertical="center" indent="1"/>
    </xf>
    <xf numFmtId="0" fontId="25" fillId="0" borderId="14" xfId="0" applyFont="1" applyBorder="1" applyAlignment="1">
      <alignment horizontal="left" vertical="center" indent="1"/>
    </xf>
    <xf numFmtId="0" fontId="19" fillId="13" borderId="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 wrapText="1"/>
    </xf>
    <xf numFmtId="0" fontId="19" fillId="13" borderId="6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19" fillId="14" borderId="38" xfId="0" applyFont="1" applyFill="1" applyBorder="1" applyAlignment="1">
      <alignment horizontal="center" vertical="center" wrapText="1"/>
    </xf>
    <xf numFmtId="0" fontId="19" fillId="14" borderId="3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9" fillId="15" borderId="29" xfId="0" applyFont="1" applyFill="1" applyBorder="1" applyAlignment="1">
      <alignment horizontal="center" vertical="center" wrapText="1"/>
    </xf>
    <xf numFmtId="0" fontId="19" fillId="15" borderId="30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 indent="1"/>
    </xf>
    <xf numFmtId="0" fontId="19" fillId="11" borderId="21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indent="1"/>
    </xf>
    <xf numFmtId="0" fontId="22" fillId="0" borderId="17" xfId="0" applyFont="1" applyBorder="1" applyAlignment="1">
      <alignment horizontal="left" vertical="center" indent="1"/>
    </xf>
    <xf numFmtId="0" fontId="25" fillId="0" borderId="16" xfId="0" applyFont="1" applyBorder="1" applyAlignment="1">
      <alignment horizontal="left" vertical="center" indent="1"/>
    </xf>
    <xf numFmtId="0" fontId="25" fillId="0" borderId="17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5" fillId="0" borderId="22" xfId="0" applyFont="1" applyBorder="1" applyAlignment="1">
      <alignment horizontal="left" vertical="center" indent="1"/>
    </xf>
    <xf numFmtId="0" fontId="5" fillId="0" borderId="16" xfId="0" applyFont="1" applyBorder="1" applyAlignment="1">
      <alignment horizontal="left" vertical="center" indent="1"/>
    </xf>
    <xf numFmtId="0" fontId="5" fillId="0" borderId="17" xfId="0" applyFont="1" applyBorder="1" applyAlignment="1">
      <alignment horizontal="left" vertical="center" indent="1"/>
    </xf>
    <xf numFmtId="0" fontId="19" fillId="15" borderId="28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indent="1"/>
    </xf>
    <xf numFmtId="0" fontId="22" fillId="0" borderId="31" xfId="0" applyFont="1" applyBorder="1" applyAlignment="1">
      <alignment horizontal="left" vertical="center" indent="1"/>
    </xf>
    <xf numFmtId="0" fontId="22" fillId="0" borderId="32" xfId="0" applyFont="1" applyBorder="1" applyAlignment="1">
      <alignment horizontal="left" vertical="center" indent="1"/>
    </xf>
    <xf numFmtId="0" fontId="23" fillId="0" borderId="16" xfId="0" applyFont="1" applyBorder="1" applyAlignment="1">
      <alignment horizontal="left" vertical="center" indent="1"/>
    </xf>
    <xf numFmtId="0" fontId="23" fillId="0" borderId="17" xfId="0" applyFont="1" applyBorder="1" applyAlignment="1">
      <alignment horizontal="left" vertical="center" indent="1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indent="1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indent="1"/>
    </xf>
    <xf numFmtId="0" fontId="0" fillId="0" borderId="0" xfId="0" applyAlignment="1">
      <alignment wrapText="1"/>
    </xf>
    <xf numFmtId="0" fontId="27" fillId="0" borderId="8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left" vertical="center" indent="1"/>
    </xf>
    <xf numFmtId="0" fontId="27" fillId="0" borderId="9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16" xfId="0" applyFont="1" applyBorder="1" applyAlignment="1">
      <alignment horizontal="left" vertical="center" indent="1"/>
    </xf>
    <xf numFmtId="0" fontId="27" fillId="0" borderId="17" xfId="0" applyFont="1" applyBorder="1" applyAlignment="1">
      <alignment horizontal="left" vertical="center" indent="1"/>
    </xf>
    <xf numFmtId="0" fontId="27" fillId="0" borderId="22" xfId="0" applyFont="1" applyBorder="1" applyAlignment="1">
      <alignment horizontal="left" vertical="center" indent="1"/>
    </xf>
    <xf numFmtId="0" fontId="27" fillId="0" borderId="14" xfId="0" applyFont="1" applyBorder="1" applyAlignment="1">
      <alignment horizontal="left" vertical="center" indent="1"/>
    </xf>
    <xf numFmtId="0" fontId="2" fillId="5" borderId="4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1" fontId="22" fillId="0" borderId="9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indent="1"/>
    </xf>
    <xf numFmtId="1" fontId="10" fillId="0" borderId="1" xfId="0" applyNumberFormat="1" applyFont="1" applyBorder="1" applyAlignment="1">
      <alignment horizontal="left" vertical="center" indent="1"/>
    </xf>
    <xf numFmtId="1" fontId="23" fillId="0" borderId="1" xfId="0" applyNumberFormat="1" applyFont="1" applyBorder="1" applyAlignment="1">
      <alignment horizontal="left" vertical="center" indent="1"/>
    </xf>
    <xf numFmtId="1" fontId="5" fillId="0" borderId="1" xfId="0" applyNumberFormat="1" applyFont="1" applyBorder="1" applyAlignment="1">
      <alignment horizontal="left" vertical="center" indent="1"/>
    </xf>
    <xf numFmtId="1" fontId="8" fillId="0" borderId="1" xfId="0" applyNumberFormat="1" applyFont="1" applyBorder="1" applyAlignment="1">
      <alignment horizontal="left" vertical="center" indent="1"/>
    </xf>
    <xf numFmtId="1" fontId="6" fillId="0" borderId="1" xfId="0" applyNumberFormat="1" applyFont="1" applyBorder="1" applyAlignment="1">
      <alignment horizontal="left" vertical="center" indent="1"/>
    </xf>
    <xf numFmtId="1" fontId="25" fillId="0" borderId="1" xfId="0" applyNumberFormat="1" applyFont="1" applyBorder="1" applyAlignment="1">
      <alignment horizontal="left" vertical="center" indent="1"/>
    </xf>
    <xf numFmtId="1" fontId="3" fillId="0" borderId="9" xfId="0" applyNumberFormat="1" applyFont="1" applyBorder="1" applyAlignment="1">
      <alignment horizontal="left" vertical="center" indent="1"/>
    </xf>
    <xf numFmtId="1" fontId="10" fillId="0" borderId="9" xfId="0" applyNumberFormat="1" applyFont="1" applyBorder="1" applyAlignment="1">
      <alignment horizontal="left" vertical="center" indent="1"/>
    </xf>
    <xf numFmtId="1" fontId="23" fillId="0" borderId="9" xfId="0" applyNumberFormat="1" applyFont="1" applyBorder="1" applyAlignment="1">
      <alignment horizontal="left" vertical="center" indent="1"/>
    </xf>
    <xf numFmtId="1" fontId="5" fillId="0" borderId="9" xfId="0" applyNumberFormat="1" applyFont="1" applyBorder="1" applyAlignment="1">
      <alignment horizontal="left" vertical="center" indent="1"/>
    </xf>
    <xf numFmtId="1" fontId="8" fillId="0" borderId="9" xfId="0" applyNumberFormat="1" applyFont="1" applyBorder="1" applyAlignment="1">
      <alignment horizontal="left" vertical="center" indent="1"/>
    </xf>
    <xf numFmtId="1" fontId="6" fillId="0" borderId="9" xfId="0" applyNumberFormat="1" applyFont="1" applyBorder="1" applyAlignment="1">
      <alignment horizontal="left" vertical="center" indent="1"/>
    </xf>
    <xf numFmtId="1" fontId="25" fillId="0" borderId="9" xfId="0" applyNumberFormat="1" applyFont="1" applyBorder="1" applyAlignment="1">
      <alignment horizontal="left" vertical="center" indent="1"/>
    </xf>
    <xf numFmtId="1" fontId="6" fillId="0" borderId="22" xfId="0" applyNumberFormat="1" applyFont="1" applyBorder="1" applyAlignment="1">
      <alignment horizontal="left" vertical="center" indent="1"/>
    </xf>
    <xf numFmtId="1" fontId="13" fillId="0" borderId="22" xfId="0" applyNumberFormat="1" applyFont="1" applyBorder="1" applyAlignment="1">
      <alignment horizontal="left" vertical="center" indent="1"/>
    </xf>
    <xf numFmtId="1" fontId="8" fillId="0" borderId="22" xfId="0" applyNumberFormat="1" applyFont="1" applyBorder="1" applyAlignment="1">
      <alignment horizontal="left" vertical="center" indent="1"/>
    </xf>
    <xf numFmtId="1" fontId="13" fillId="0" borderId="1" xfId="0" applyNumberFormat="1" applyFont="1" applyBorder="1" applyAlignment="1">
      <alignment horizontal="left" vertical="center" indent="1"/>
    </xf>
    <xf numFmtId="1" fontId="3" fillId="0" borderId="8" xfId="0" applyNumberFormat="1" applyFont="1" applyBorder="1" applyAlignment="1">
      <alignment horizontal="left" vertical="center" indent="1"/>
    </xf>
    <xf numFmtId="1" fontId="6" fillId="0" borderId="8" xfId="0" applyNumberFormat="1" applyFont="1" applyBorder="1" applyAlignment="1">
      <alignment horizontal="left" vertical="center" indent="1"/>
    </xf>
    <xf numFmtId="1" fontId="13" fillId="0" borderId="8" xfId="0" applyNumberFormat="1" applyFont="1" applyBorder="1" applyAlignment="1">
      <alignment horizontal="left" vertical="center" indent="1"/>
    </xf>
    <xf numFmtId="1" fontId="13" fillId="0" borderId="9" xfId="0" applyNumberFormat="1" applyFont="1" applyBorder="1" applyAlignment="1">
      <alignment horizontal="left" vertical="center" indent="1"/>
    </xf>
    <xf numFmtId="1" fontId="8" fillId="0" borderId="8" xfId="0" applyNumberFormat="1" applyFont="1" applyBorder="1" applyAlignment="1">
      <alignment horizontal="left" vertical="center" indent="1"/>
    </xf>
    <xf numFmtId="1" fontId="23" fillId="0" borderId="8" xfId="0" applyNumberFormat="1" applyFont="1" applyBorder="1" applyAlignment="1">
      <alignment horizontal="left" vertical="center" indent="1"/>
    </xf>
    <xf numFmtId="1" fontId="25" fillId="0" borderId="8" xfId="0" applyNumberFormat="1" applyFont="1" applyBorder="1" applyAlignment="1">
      <alignment horizontal="left" vertical="center" indent="1"/>
    </xf>
    <xf numFmtId="1" fontId="5" fillId="0" borderId="8" xfId="0" applyNumberFormat="1" applyFont="1" applyBorder="1" applyAlignment="1">
      <alignment horizontal="left" vertical="center" indent="1"/>
    </xf>
    <xf numFmtId="1" fontId="23" fillId="0" borderId="22" xfId="0" applyNumberFormat="1" applyFont="1" applyBorder="1" applyAlignment="1">
      <alignment horizontal="left" vertical="center" indent="1"/>
    </xf>
    <xf numFmtId="1" fontId="25" fillId="0" borderId="22" xfId="0" applyNumberFormat="1" applyFont="1" applyBorder="1" applyAlignment="1">
      <alignment horizontal="left" vertical="center" indent="1"/>
    </xf>
    <xf numFmtId="1" fontId="22" fillId="0" borderId="22" xfId="0" applyNumberFormat="1" applyFont="1" applyBorder="1" applyAlignment="1">
      <alignment horizontal="left" vertical="center" indent="1"/>
    </xf>
    <xf numFmtId="0" fontId="29" fillId="0" borderId="0" xfId="0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4" fillId="0" borderId="22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1" fontId="8" fillId="0" borderId="43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1" fontId="24" fillId="0" borderId="43" xfId="0" applyNumberFormat="1" applyFont="1" applyBorder="1" applyAlignment="1">
      <alignment horizontal="center" vertical="center"/>
    </xf>
    <xf numFmtId="1" fontId="24" fillId="0" borderId="44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1" fontId="6" fillId="0" borderId="44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1" fontId="23" fillId="0" borderId="43" xfId="0" applyNumberFormat="1" applyFont="1" applyBorder="1" applyAlignment="1">
      <alignment horizontal="center" vertical="center"/>
    </xf>
    <xf numFmtId="1" fontId="23" fillId="0" borderId="44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" fontId="12" fillId="0" borderId="43" xfId="0" applyNumberFormat="1" applyFont="1" applyBorder="1" applyAlignment="1">
      <alignment horizontal="center" vertical="center"/>
    </xf>
    <xf numFmtId="1" fontId="12" fillId="0" borderId="44" xfId="0" applyNumberFormat="1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1" fontId="25" fillId="0" borderId="43" xfId="0" applyNumberFormat="1" applyFont="1" applyBorder="1" applyAlignment="1">
      <alignment horizontal="center" vertical="center"/>
    </xf>
    <xf numFmtId="1" fontId="25" fillId="0" borderId="44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left" vertical="center" indent="1"/>
    </xf>
    <xf numFmtId="1" fontId="3" fillId="0" borderId="22" xfId="0" applyNumberFormat="1" applyFont="1" applyBorder="1" applyAlignment="1">
      <alignment horizontal="left" vertical="center" indent="1"/>
    </xf>
    <xf numFmtId="1" fontId="24" fillId="0" borderId="22" xfId="0" applyNumberFormat="1" applyFont="1" applyBorder="1" applyAlignment="1">
      <alignment horizontal="left" vertical="center" indent="1"/>
    </xf>
    <xf numFmtId="0" fontId="19" fillId="11" borderId="26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0" fontId="6" fillId="0" borderId="23" xfId="0" applyFont="1" applyBorder="1" applyAlignment="1">
      <alignment horizontal="left" vertical="center" indent="1"/>
    </xf>
    <xf numFmtId="0" fontId="19" fillId="17" borderId="3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left" vertical="center" indent="1"/>
    </xf>
    <xf numFmtId="0" fontId="34" fillId="0" borderId="1" xfId="0" applyFont="1" applyBorder="1" applyAlignment="1">
      <alignment horizontal="left" vertical="center" indent="1"/>
    </xf>
    <xf numFmtId="0" fontId="34" fillId="0" borderId="9" xfId="0" applyFont="1" applyBorder="1" applyAlignment="1">
      <alignment horizontal="left" vertical="center" indent="1"/>
    </xf>
    <xf numFmtId="0" fontId="34" fillId="0" borderId="16" xfId="0" applyFont="1" applyBorder="1" applyAlignment="1">
      <alignment horizontal="left" vertical="center" indent="1"/>
    </xf>
    <xf numFmtId="1" fontId="34" fillId="0" borderId="22" xfId="0" applyNumberFormat="1" applyFont="1" applyBorder="1" applyAlignment="1">
      <alignment horizontal="left" vertical="center" indent="1"/>
    </xf>
    <xf numFmtId="0" fontId="34" fillId="0" borderId="17" xfId="0" applyFont="1" applyBorder="1" applyAlignment="1">
      <alignment horizontal="left" vertical="center" indent="1"/>
    </xf>
    <xf numFmtId="0" fontId="34" fillId="0" borderId="22" xfId="0" applyFont="1" applyBorder="1" applyAlignment="1">
      <alignment horizontal="left" vertical="center" indent="1"/>
    </xf>
    <xf numFmtId="0" fontId="35" fillId="0" borderId="0" xfId="0" applyFont="1"/>
    <xf numFmtId="0" fontId="36" fillId="0" borderId="8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1" fontId="15" fillId="0" borderId="22" xfId="0" applyNumberFormat="1" applyFont="1" applyBorder="1" applyAlignment="1">
      <alignment horizontal="left" vertical="center" indent="1"/>
    </xf>
    <xf numFmtId="1" fontId="27" fillId="0" borderId="22" xfId="0" applyNumberFormat="1" applyFont="1" applyBorder="1" applyAlignment="1">
      <alignment horizontal="left" vertical="center" indent="1"/>
    </xf>
    <xf numFmtId="1" fontId="17" fillId="0" borderId="22" xfId="0" applyNumberFormat="1" applyFont="1" applyBorder="1" applyAlignment="1">
      <alignment horizontal="left" vertical="center" indent="1"/>
    </xf>
    <xf numFmtId="0" fontId="19" fillId="0" borderId="8" xfId="0" applyFont="1" applyBorder="1" applyAlignment="1">
      <alignment horizontal="left" vertical="center" indent="1"/>
    </xf>
    <xf numFmtId="0" fontId="19" fillId="0" borderId="1" xfId="0" applyFont="1" applyBorder="1" applyAlignment="1">
      <alignment horizontal="left" vertical="center" indent="1"/>
    </xf>
    <xf numFmtId="0" fontId="19" fillId="0" borderId="9" xfId="0" applyFont="1" applyBorder="1" applyAlignment="1">
      <alignment horizontal="left" vertical="center" indent="1"/>
    </xf>
    <xf numFmtId="0" fontId="19" fillId="0" borderId="16" xfId="0" applyFont="1" applyBorder="1" applyAlignment="1">
      <alignment horizontal="left" vertical="center" indent="1"/>
    </xf>
    <xf numFmtId="1" fontId="19" fillId="0" borderId="22" xfId="0" applyNumberFormat="1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19" fillId="0" borderId="22" xfId="0" applyFont="1" applyBorder="1" applyAlignment="1">
      <alignment horizontal="left" vertical="center" indent="1"/>
    </xf>
    <xf numFmtId="0" fontId="36" fillId="0" borderId="14" xfId="0" applyFont="1" applyBorder="1" applyAlignment="1">
      <alignment horizontal="left" vertical="center" indent="1"/>
    </xf>
    <xf numFmtId="0" fontId="36" fillId="0" borderId="4" xfId="0" applyFont="1" applyBorder="1" applyAlignment="1">
      <alignment horizontal="left" vertical="center" indent="1"/>
    </xf>
    <xf numFmtId="0" fontId="37" fillId="0" borderId="0" xfId="0" applyFont="1"/>
    <xf numFmtId="0" fontId="19" fillId="18" borderId="40" xfId="0" applyFont="1" applyFill="1" applyBorder="1" applyAlignment="1">
      <alignment horizontal="center" vertical="center" wrapText="1"/>
    </xf>
    <xf numFmtId="0" fontId="19" fillId="19" borderId="38" xfId="0" applyFont="1" applyFill="1" applyBorder="1" applyAlignment="1">
      <alignment horizontal="center" vertical="center" wrapText="1"/>
    </xf>
    <xf numFmtId="0" fontId="19" fillId="20" borderId="41" xfId="0" applyFont="1" applyFill="1" applyBorder="1" applyAlignment="1">
      <alignment horizontal="center" vertical="center" wrapText="1"/>
    </xf>
    <xf numFmtId="0" fontId="0" fillId="21" borderId="0" xfId="0" applyFill="1"/>
    <xf numFmtId="0" fontId="19" fillId="21" borderId="29" xfId="0" applyFont="1" applyFill="1" applyBorder="1" applyAlignment="1">
      <alignment horizontal="center" vertical="center" wrapText="1"/>
    </xf>
    <xf numFmtId="0" fontId="15" fillId="21" borderId="22" xfId="0" applyFont="1" applyFill="1" applyBorder="1" applyAlignment="1">
      <alignment horizontal="left" vertical="center" indent="1"/>
    </xf>
    <xf numFmtId="0" fontId="27" fillId="21" borderId="22" xfId="0" applyFont="1" applyFill="1" applyBorder="1" applyAlignment="1">
      <alignment horizontal="left" vertical="center" indent="1"/>
    </xf>
    <xf numFmtId="0" fontId="6" fillId="21" borderId="22" xfId="0" applyFont="1" applyFill="1" applyBorder="1" applyAlignment="1">
      <alignment horizontal="left" vertical="center" indent="1"/>
    </xf>
    <xf numFmtId="0" fontId="19" fillId="21" borderId="22" xfId="0" applyFont="1" applyFill="1" applyBorder="1" applyAlignment="1">
      <alignment horizontal="left" vertical="center" indent="1"/>
    </xf>
    <xf numFmtId="0" fontId="23" fillId="21" borderId="22" xfId="0" applyFont="1" applyFill="1" applyBorder="1" applyAlignment="1">
      <alignment horizontal="left" vertical="center" indent="1"/>
    </xf>
    <xf numFmtId="0" fontId="8" fillId="21" borderId="22" xfId="0" applyFont="1" applyFill="1" applyBorder="1" applyAlignment="1">
      <alignment horizontal="left" vertical="center" indent="1"/>
    </xf>
    <xf numFmtId="0" fontId="25" fillId="21" borderId="22" xfId="0" applyFont="1" applyFill="1" applyBorder="1" applyAlignment="1">
      <alignment horizontal="left" vertical="center" indent="1"/>
    </xf>
    <xf numFmtId="0" fontId="17" fillId="21" borderId="22" xfId="0" applyFont="1" applyFill="1" applyBorder="1" applyAlignment="1">
      <alignment horizontal="left" vertical="center" indent="1"/>
    </xf>
    <xf numFmtId="0" fontId="0" fillId="18" borderId="0" xfId="0" applyFill="1"/>
    <xf numFmtId="0" fontId="15" fillId="18" borderId="22" xfId="0" applyFont="1" applyFill="1" applyBorder="1" applyAlignment="1">
      <alignment horizontal="left" vertical="center" indent="1"/>
    </xf>
    <xf numFmtId="0" fontId="27" fillId="18" borderId="22" xfId="0" applyFont="1" applyFill="1" applyBorder="1" applyAlignment="1">
      <alignment horizontal="left" vertical="center" indent="1"/>
    </xf>
    <xf numFmtId="0" fontId="6" fillId="18" borderId="22" xfId="0" applyFont="1" applyFill="1" applyBorder="1" applyAlignment="1">
      <alignment horizontal="left" vertical="center" indent="1"/>
    </xf>
    <xf numFmtId="0" fontId="19" fillId="18" borderId="22" xfId="0" applyFont="1" applyFill="1" applyBorder="1" applyAlignment="1">
      <alignment horizontal="left" vertical="center" indent="1"/>
    </xf>
    <xf numFmtId="0" fontId="23" fillId="18" borderId="22" xfId="0" applyFont="1" applyFill="1" applyBorder="1" applyAlignment="1">
      <alignment horizontal="left" vertical="center" indent="1"/>
    </xf>
    <xf numFmtId="0" fontId="8" fillId="18" borderId="22" xfId="0" applyFont="1" applyFill="1" applyBorder="1" applyAlignment="1">
      <alignment horizontal="left" vertical="center" indent="1"/>
    </xf>
    <xf numFmtId="0" fontId="25" fillId="18" borderId="22" xfId="0" applyFont="1" applyFill="1" applyBorder="1" applyAlignment="1">
      <alignment horizontal="left" vertical="center" indent="1"/>
    </xf>
    <xf numFmtId="0" fontId="17" fillId="18" borderId="22" xfId="0" applyFont="1" applyFill="1" applyBorder="1" applyAlignment="1">
      <alignment horizontal="left" vertical="center" indent="1"/>
    </xf>
    <xf numFmtId="0" fontId="0" fillId="19" borderId="0" xfId="0" applyFill="1"/>
    <xf numFmtId="0" fontId="15" fillId="19" borderId="22" xfId="0" applyFont="1" applyFill="1" applyBorder="1" applyAlignment="1">
      <alignment horizontal="left" vertical="center" indent="1"/>
    </xf>
    <xf numFmtId="0" fontId="27" fillId="19" borderId="22" xfId="0" applyFont="1" applyFill="1" applyBorder="1" applyAlignment="1">
      <alignment horizontal="left" vertical="center" indent="1"/>
    </xf>
    <xf numFmtId="0" fontId="6" fillId="19" borderId="22" xfId="0" applyFont="1" applyFill="1" applyBorder="1" applyAlignment="1">
      <alignment horizontal="left" vertical="center" indent="1"/>
    </xf>
    <xf numFmtId="0" fontId="19" fillId="19" borderId="22" xfId="0" applyFont="1" applyFill="1" applyBorder="1" applyAlignment="1">
      <alignment horizontal="left" vertical="center" indent="1"/>
    </xf>
    <xf numFmtId="0" fontId="23" fillId="19" borderId="22" xfId="0" applyFont="1" applyFill="1" applyBorder="1" applyAlignment="1">
      <alignment horizontal="left" vertical="center" indent="1"/>
    </xf>
    <xf numFmtId="0" fontId="8" fillId="19" borderId="22" xfId="0" applyFont="1" applyFill="1" applyBorder="1" applyAlignment="1">
      <alignment horizontal="left" vertical="center" indent="1"/>
    </xf>
    <xf numFmtId="0" fontId="25" fillId="19" borderId="22" xfId="0" applyFont="1" applyFill="1" applyBorder="1" applyAlignment="1">
      <alignment horizontal="left" vertical="center" indent="1"/>
    </xf>
    <xf numFmtId="0" fontId="17" fillId="19" borderId="22" xfId="0" applyFont="1" applyFill="1" applyBorder="1" applyAlignment="1">
      <alignment horizontal="left" vertical="center" indent="1"/>
    </xf>
    <xf numFmtId="0" fontId="0" fillId="20" borderId="0" xfId="0" applyFill="1"/>
    <xf numFmtId="0" fontId="15" fillId="20" borderId="22" xfId="0" applyFont="1" applyFill="1" applyBorder="1" applyAlignment="1">
      <alignment horizontal="left" vertical="center" indent="1"/>
    </xf>
    <xf numFmtId="0" fontId="27" fillId="20" borderId="22" xfId="0" applyFont="1" applyFill="1" applyBorder="1" applyAlignment="1">
      <alignment horizontal="left" vertical="center" indent="1"/>
    </xf>
    <xf numFmtId="0" fontId="6" fillId="20" borderId="22" xfId="0" applyFont="1" applyFill="1" applyBorder="1" applyAlignment="1">
      <alignment horizontal="left" vertical="center" indent="1"/>
    </xf>
    <xf numFmtId="0" fontId="19" fillId="20" borderId="22" xfId="0" applyFont="1" applyFill="1" applyBorder="1" applyAlignment="1">
      <alignment horizontal="left" vertical="center" indent="1"/>
    </xf>
    <xf numFmtId="0" fontId="23" fillId="20" borderId="22" xfId="0" applyFont="1" applyFill="1" applyBorder="1" applyAlignment="1">
      <alignment horizontal="left" vertical="center" indent="1"/>
    </xf>
    <xf numFmtId="0" fontId="8" fillId="20" borderId="22" xfId="0" applyFont="1" applyFill="1" applyBorder="1" applyAlignment="1">
      <alignment horizontal="left" vertical="center" indent="1"/>
    </xf>
    <xf numFmtId="0" fontId="25" fillId="20" borderId="22" xfId="0" applyFont="1" applyFill="1" applyBorder="1" applyAlignment="1">
      <alignment horizontal="left" vertical="center" indent="1"/>
    </xf>
    <xf numFmtId="0" fontId="17" fillId="20" borderId="22" xfId="0" applyFont="1" applyFill="1" applyBorder="1" applyAlignment="1">
      <alignment horizontal="left" vertical="center" indent="1"/>
    </xf>
    <xf numFmtId="0" fontId="5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 wrapText="1"/>
    </xf>
    <xf numFmtId="0" fontId="5" fillId="0" borderId="43" xfId="0" applyFont="1" applyBorder="1" applyAlignment="1">
      <alignment horizontal="center"/>
    </xf>
    <xf numFmtId="1" fontId="5" fillId="0" borderId="42" xfId="0" applyNumberFormat="1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 wrapText="1"/>
    </xf>
    <xf numFmtId="0" fontId="3" fillId="0" borderId="43" xfId="0" applyFont="1" applyBorder="1" applyAlignment="1">
      <alignment horizontal="center"/>
    </xf>
    <xf numFmtId="1" fontId="3" fillId="0" borderId="42" xfId="0" applyNumberFormat="1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42" xfId="0" applyFont="1" applyBorder="1" applyAlignment="1">
      <alignment horizontal="center" wrapText="1"/>
    </xf>
    <xf numFmtId="0" fontId="25" fillId="0" borderId="43" xfId="0" applyFont="1" applyBorder="1" applyAlignment="1">
      <alignment horizontal="center"/>
    </xf>
    <xf numFmtId="1" fontId="25" fillId="0" borderId="42" xfId="0" applyNumberFormat="1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2" xfId="0" applyFont="1" applyBorder="1" applyAlignment="1">
      <alignment horizontal="center" wrapText="1"/>
    </xf>
    <xf numFmtId="0" fontId="8" fillId="0" borderId="43" xfId="0" applyFont="1" applyBorder="1" applyAlignment="1">
      <alignment horizontal="center"/>
    </xf>
    <xf numFmtId="1" fontId="8" fillId="0" borderId="42" xfId="0" applyNumberFormat="1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23" fillId="0" borderId="42" xfId="0" applyFont="1" applyBorder="1" applyAlignment="1">
      <alignment horizontal="center" wrapText="1"/>
    </xf>
    <xf numFmtId="0" fontId="23" fillId="0" borderId="43" xfId="0" applyFont="1" applyBorder="1" applyAlignment="1">
      <alignment horizontal="center"/>
    </xf>
    <xf numFmtId="1" fontId="23" fillId="0" borderId="42" xfId="0" applyNumberFormat="1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14" fontId="8" fillId="0" borderId="44" xfId="0" applyNumberFormat="1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9" fillId="17" borderId="2" xfId="0" applyFont="1" applyFill="1" applyBorder="1" applyAlignment="1">
      <alignment horizontal="center" vertical="center" wrapText="1"/>
    </xf>
    <xf numFmtId="0" fontId="19" fillId="17" borderId="47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wrapText="1"/>
    </xf>
    <xf numFmtId="0" fontId="5" fillId="0" borderId="44" xfId="0" applyFont="1" applyBorder="1" applyAlignment="1">
      <alignment horizontal="center" wrapText="1"/>
    </xf>
    <xf numFmtId="0" fontId="3" fillId="0" borderId="44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25" fillId="0" borderId="44" xfId="0" applyFont="1" applyBorder="1" applyAlignment="1">
      <alignment horizontal="center" wrapText="1"/>
    </xf>
    <xf numFmtId="0" fontId="8" fillId="0" borderId="44" xfId="0" applyFont="1" applyBorder="1" applyAlignment="1">
      <alignment horizontal="center" wrapText="1"/>
    </xf>
    <xf numFmtId="0" fontId="23" fillId="0" borderId="44" xfId="0" applyFont="1" applyBorder="1" applyAlignment="1">
      <alignment horizontal="center" wrapText="1"/>
    </xf>
    <xf numFmtId="0" fontId="0" fillId="21" borderId="0" xfId="0" applyFill="1" applyAlignment="1">
      <alignment wrapText="1"/>
    </xf>
    <xf numFmtId="0" fontId="3" fillId="21" borderId="44" xfId="0" applyFont="1" applyFill="1" applyBorder="1" applyAlignment="1">
      <alignment horizontal="center" wrapText="1"/>
    </xf>
    <xf numFmtId="0" fontId="6" fillId="21" borderId="44" xfId="0" applyFont="1" applyFill="1" applyBorder="1" applyAlignment="1">
      <alignment horizontal="center" wrapText="1"/>
    </xf>
    <xf numFmtId="0" fontId="25" fillId="21" borderId="44" xfId="0" applyFont="1" applyFill="1" applyBorder="1" applyAlignment="1">
      <alignment horizontal="center" wrapText="1"/>
    </xf>
    <xf numFmtId="0" fontId="8" fillId="21" borderId="44" xfId="0" applyFont="1" applyFill="1" applyBorder="1" applyAlignment="1">
      <alignment horizontal="center" wrapText="1"/>
    </xf>
    <xf numFmtId="0" fontId="0" fillId="18" borderId="0" xfId="0" applyFill="1" applyAlignment="1">
      <alignment wrapText="1"/>
    </xf>
    <xf numFmtId="0" fontId="5" fillId="18" borderId="44" xfId="0" applyFont="1" applyFill="1" applyBorder="1" applyAlignment="1">
      <alignment horizontal="center" wrapText="1"/>
    </xf>
    <xf numFmtId="0" fontId="3" fillId="18" borderId="44" xfId="0" applyFont="1" applyFill="1" applyBorder="1" applyAlignment="1">
      <alignment horizontal="center" wrapText="1"/>
    </xf>
    <xf numFmtId="0" fontId="6" fillId="18" borderId="44" xfId="0" applyFont="1" applyFill="1" applyBorder="1" applyAlignment="1">
      <alignment horizontal="center" wrapText="1"/>
    </xf>
    <xf numFmtId="0" fontId="25" fillId="18" borderId="44" xfId="0" applyFont="1" applyFill="1" applyBorder="1" applyAlignment="1">
      <alignment horizontal="center" wrapText="1"/>
    </xf>
    <xf numFmtId="0" fontId="8" fillId="18" borderId="44" xfId="0" applyFont="1" applyFill="1" applyBorder="1" applyAlignment="1">
      <alignment horizontal="center" wrapText="1"/>
    </xf>
    <xf numFmtId="0" fontId="23" fillId="18" borderId="44" xfId="0" applyFont="1" applyFill="1" applyBorder="1" applyAlignment="1">
      <alignment horizontal="center" wrapText="1"/>
    </xf>
    <xf numFmtId="0" fontId="0" fillId="19" borderId="0" xfId="0" applyFill="1" applyAlignment="1">
      <alignment wrapText="1"/>
    </xf>
    <xf numFmtId="0" fontId="5" fillId="19" borderId="44" xfId="0" applyFont="1" applyFill="1" applyBorder="1" applyAlignment="1">
      <alignment horizontal="center" wrapText="1"/>
    </xf>
    <xf numFmtId="0" fontId="3" fillId="19" borderId="44" xfId="0" applyFont="1" applyFill="1" applyBorder="1" applyAlignment="1">
      <alignment horizontal="center" wrapText="1"/>
    </xf>
    <xf numFmtId="0" fontId="6" fillId="19" borderId="44" xfId="0" applyFont="1" applyFill="1" applyBorder="1" applyAlignment="1">
      <alignment horizontal="center" wrapText="1"/>
    </xf>
    <xf numFmtId="0" fontId="25" fillId="19" borderId="44" xfId="0" applyFont="1" applyFill="1" applyBorder="1" applyAlignment="1">
      <alignment horizontal="center" wrapText="1"/>
    </xf>
    <xf numFmtId="0" fontId="8" fillId="19" borderId="44" xfId="0" applyFont="1" applyFill="1" applyBorder="1" applyAlignment="1">
      <alignment horizontal="center" wrapText="1"/>
    </xf>
    <xf numFmtId="0" fontId="23" fillId="19" borderId="44" xfId="0" applyFont="1" applyFill="1" applyBorder="1" applyAlignment="1">
      <alignment horizontal="center" wrapText="1"/>
    </xf>
    <xf numFmtId="0" fontId="0" fillId="20" borderId="0" xfId="0" applyFill="1" applyAlignment="1">
      <alignment wrapText="1"/>
    </xf>
    <xf numFmtId="0" fontId="5" fillId="20" borderId="44" xfId="0" applyFont="1" applyFill="1" applyBorder="1" applyAlignment="1">
      <alignment horizontal="center" wrapText="1"/>
    </xf>
    <xf numFmtId="0" fontId="3" fillId="20" borderId="44" xfId="0" applyFont="1" applyFill="1" applyBorder="1" applyAlignment="1">
      <alignment horizontal="center" wrapText="1"/>
    </xf>
    <xf numFmtId="0" fontId="6" fillId="20" borderId="44" xfId="0" applyFont="1" applyFill="1" applyBorder="1" applyAlignment="1">
      <alignment horizontal="center" wrapText="1"/>
    </xf>
    <xf numFmtId="0" fontId="25" fillId="20" borderId="44" xfId="0" applyFont="1" applyFill="1" applyBorder="1" applyAlignment="1">
      <alignment horizontal="center" wrapText="1"/>
    </xf>
    <xf numFmtId="0" fontId="8" fillId="20" borderId="44" xfId="0" applyFont="1" applyFill="1" applyBorder="1" applyAlignment="1">
      <alignment horizontal="center" wrapText="1"/>
    </xf>
    <xf numFmtId="0" fontId="23" fillId="20" borderId="44" xfId="0" applyFont="1" applyFill="1" applyBorder="1" applyAlignment="1">
      <alignment horizontal="center" wrapText="1"/>
    </xf>
    <xf numFmtId="0" fontId="5" fillId="21" borderId="44" xfId="0" applyFont="1" applyFill="1" applyBorder="1" applyAlignment="1">
      <alignment horizontal="center"/>
    </xf>
    <xf numFmtId="0" fontId="23" fillId="21" borderId="44" xfId="0" applyFont="1" applyFill="1" applyBorder="1" applyAlignment="1">
      <alignment horizontal="center"/>
    </xf>
    <xf numFmtId="1" fontId="6" fillId="0" borderId="22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1" fontId="24" fillId="0" borderId="22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1" fontId="25" fillId="0" borderId="22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23" fillId="0" borderId="16" xfId="0" applyNumberFormat="1" applyFont="1" applyBorder="1" applyAlignment="1">
      <alignment horizontal="center" vertical="center"/>
    </xf>
    <xf numFmtId="1" fontId="23" fillId="0" borderId="17" xfId="0" applyNumberFormat="1" applyFont="1" applyBorder="1" applyAlignment="1">
      <alignment horizontal="center" vertical="center"/>
    </xf>
    <xf numFmtId="1" fontId="24" fillId="0" borderId="16" xfId="0" applyNumberFormat="1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 vertical="center"/>
    </xf>
    <xf numFmtId="1" fontId="25" fillId="0" borderId="17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22" fillId="0" borderId="16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1" fontId="22" fillId="0" borderId="22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1" fontId="22" fillId="0" borderId="17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22" fillId="21" borderId="22" xfId="0" applyFont="1" applyFill="1" applyBorder="1" applyAlignment="1">
      <alignment horizontal="center" vertical="center"/>
    </xf>
    <xf numFmtId="0" fontId="6" fillId="21" borderId="22" xfId="0" applyFont="1" applyFill="1" applyBorder="1" applyAlignment="1">
      <alignment horizontal="center" vertical="center"/>
    </xf>
    <xf numFmtId="0" fontId="24" fillId="21" borderId="22" xfId="0" applyFont="1" applyFill="1" applyBorder="1" applyAlignment="1">
      <alignment horizontal="center" vertical="center"/>
    </xf>
    <xf numFmtId="0" fontId="23" fillId="21" borderId="22" xfId="0" applyFont="1" applyFill="1" applyBorder="1" applyAlignment="1">
      <alignment horizontal="center" vertical="center"/>
    </xf>
    <xf numFmtId="0" fontId="13" fillId="21" borderId="22" xfId="0" applyFont="1" applyFill="1" applyBorder="1" applyAlignment="1">
      <alignment horizontal="center" vertical="center"/>
    </xf>
    <xf numFmtId="0" fontId="8" fillId="21" borderId="22" xfId="0" applyFont="1" applyFill="1" applyBorder="1" applyAlignment="1">
      <alignment horizontal="center" vertical="center"/>
    </xf>
    <xf numFmtId="0" fontId="25" fillId="21" borderId="22" xfId="0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0" fontId="12" fillId="18" borderId="25" xfId="0" applyFont="1" applyFill="1" applyBorder="1" applyAlignment="1">
      <alignment horizontal="center" vertical="center"/>
    </xf>
    <xf numFmtId="0" fontId="22" fillId="18" borderId="22" xfId="0" applyFont="1" applyFill="1" applyBorder="1" applyAlignment="1">
      <alignment horizontal="center" vertical="center"/>
    </xf>
    <xf numFmtId="0" fontId="6" fillId="18" borderId="22" xfId="0" applyFont="1" applyFill="1" applyBorder="1" applyAlignment="1">
      <alignment horizontal="center" vertical="center"/>
    </xf>
    <xf numFmtId="0" fontId="24" fillId="18" borderId="22" xfId="0" applyFont="1" applyFill="1" applyBorder="1" applyAlignment="1">
      <alignment horizontal="center" vertical="center"/>
    </xf>
    <xf numFmtId="0" fontId="23" fillId="18" borderId="22" xfId="0" applyFont="1" applyFill="1" applyBorder="1" applyAlignment="1">
      <alignment horizontal="center" vertical="center"/>
    </xf>
    <xf numFmtId="0" fontId="13" fillId="18" borderId="22" xfId="0" applyFont="1" applyFill="1" applyBorder="1" applyAlignment="1">
      <alignment horizontal="center" vertical="center"/>
    </xf>
    <xf numFmtId="0" fontId="8" fillId="18" borderId="22" xfId="0" applyFont="1" applyFill="1" applyBorder="1" applyAlignment="1">
      <alignment horizontal="center" vertical="center"/>
    </xf>
    <xf numFmtId="0" fontId="25" fillId="18" borderId="22" xfId="0" applyFont="1" applyFill="1" applyBorder="1" applyAlignment="1">
      <alignment horizontal="center" vertical="center"/>
    </xf>
    <xf numFmtId="0" fontId="8" fillId="18" borderId="23" xfId="0" applyFont="1" applyFill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22" fillId="19" borderId="22" xfId="0" applyFont="1" applyFill="1" applyBorder="1" applyAlignment="1">
      <alignment horizontal="center" vertical="center"/>
    </xf>
    <xf numFmtId="0" fontId="6" fillId="19" borderId="22" xfId="0" applyFont="1" applyFill="1" applyBorder="1" applyAlignment="1">
      <alignment horizontal="center" vertical="center"/>
    </xf>
    <xf numFmtId="0" fontId="24" fillId="19" borderId="22" xfId="0" applyFont="1" applyFill="1" applyBorder="1" applyAlignment="1">
      <alignment horizontal="center" vertical="center"/>
    </xf>
    <xf numFmtId="0" fontId="23" fillId="19" borderId="22" xfId="0" applyFont="1" applyFill="1" applyBorder="1" applyAlignment="1">
      <alignment horizontal="center" vertical="center"/>
    </xf>
    <xf numFmtId="0" fontId="13" fillId="19" borderId="22" xfId="0" applyFont="1" applyFill="1" applyBorder="1" applyAlignment="1">
      <alignment horizontal="center" vertical="center"/>
    </xf>
    <xf numFmtId="0" fontId="8" fillId="19" borderId="22" xfId="0" applyFont="1" applyFill="1" applyBorder="1" applyAlignment="1">
      <alignment horizontal="center" vertical="center"/>
    </xf>
    <xf numFmtId="0" fontId="25" fillId="19" borderId="22" xfId="0" applyFont="1" applyFill="1" applyBorder="1" applyAlignment="1">
      <alignment horizontal="center" vertical="center"/>
    </xf>
    <xf numFmtId="0" fontId="8" fillId="19" borderId="23" xfId="0" applyFont="1" applyFill="1" applyBorder="1" applyAlignment="1">
      <alignment horizontal="center" vertical="center"/>
    </xf>
    <xf numFmtId="0" fontId="12" fillId="20" borderId="25" xfId="0" applyFont="1" applyFill="1" applyBorder="1" applyAlignment="1">
      <alignment horizontal="center" vertical="center"/>
    </xf>
    <xf numFmtId="0" fontId="22" fillId="20" borderId="22" xfId="0" applyFont="1" applyFill="1" applyBorder="1" applyAlignment="1">
      <alignment horizontal="center" vertical="center"/>
    </xf>
    <xf numFmtId="0" fontId="6" fillId="20" borderId="22" xfId="0" applyFont="1" applyFill="1" applyBorder="1" applyAlignment="1">
      <alignment horizontal="center" vertical="center"/>
    </xf>
    <xf numFmtId="0" fontId="24" fillId="20" borderId="22" xfId="0" applyFont="1" applyFill="1" applyBorder="1" applyAlignment="1">
      <alignment horizontal="center" vertical="center"/>
    </xf>
    <xf numFmtId="0" fontId="23" fillId="20" borderId="22" xfId="0" applyFont="1" applyFill="1" applyBorder="1" applyAlignment="1">
      <alignment horizontal="center" vertical="center"/>
    </xf>
    <xf numFmtId="0" fontId="13" fillId="20" borderId="22" xfId="0" applyFont="1" applyFill="1" applyBorder="1" applyAlignment="1">
      <alignment horizontal="center" vertical="center"/>
    </xf>
    <xf numFmtId="0" fontId="8" fillId="20" borderId="22" xfId="0" applyFont="1" applyFill="1" applyBorder="1" applyAlignment="1">
      <alignment horizontal="center" vertical="center"/>
    </xf>
    <xf numFmtId="0" fontId="25" fillId="20" borderId="22" xfId="0" applyFont="1" applyFill="1" applyBorder="1" applyAlignment="1">
      <alignment horizontal="center" vertical="center"/>
    </xf>
    <xf numFmtId="0" fontId="8" fillId="20" borderId="23" xfId="0" applyFont="1" applyFill="1" applyBorder="1" applyAlignment="1">
      <alignment horizontal="center" vertical="center"/>
    </xf>
    <xf numFmtId="1" fontId="10" fillId="0" borderId="22" xfId="0" applyNumberFormat="1" applyFont="1" applyBorder="1" applyAlignment="1">
      <alignment horizontal="left" vertical="center" indent="1"/>
    </xf>
    <xf numFmtId="1" fontId="5" fillId="0" borderId="22" xfId="0" applyNumberFormat="1" applyFont="1" applyBorder="1" applyAlignment="1">
      <alignment horizontal="left" vertical="center" indent="1"/>
    </xf>
    <xf numFmtId="1" fontId="3" fillId="0" borderId="17" xfId="0" applyNumberFormat="1" applyFont="1" applyBorder="1" applyAlignment="1">
      <alignment horizontal="left" vertical="center" indent="1"/>
    </xf>
    <xf numFmtId="1" fontId="10" fillId="0" borderId="17" xfId="0" applyNumberFormat="1" applyFont="1" applyBorder="1" applyAlignment="1">
      <alignment horizontal="left" vertical="center" indent="1"/>
    </xf>
    <xf numFmtId="1" fontId="23" fillId="0" borderId="17" xfId="0" applyNumberFormat="1" applyFont="1" applyBorder="1" applyAlignment="1">
      <alignment horizontal="left" vertical="center" indent="1"/>
    </xf>
    <xf numFmtId="1" fontId="5" fillId="0" borderId="16" xfId="0" applyNumberFormat="1" applyFont="1" applyBorder="1" applyAlignment="1">
      <alignment horizontal="left" vertical="center" indent="1"/>
    </xf>
    <xf numFmtId="1" fontId="5" fillId="0" borderId="17" xfId="0" applyNumberFormat="1" applyFont="1" applyBorder="1" applyAlignment="1">
      <alignment horizontal="left" vertical="center" indent="1"/>
    </xf>
    <xf numFmtId="1" fontId="8" fillId="0" borderId="17" xfId="0" applyNumberFormat="1" applyFont="1" applyBorder="1" applyAlignment="1">
      <alignment horizontal="left" vertical="center" indent="1"/>
    </xf>
    <xf numFmtId="1" fontId="6" fillId="0" borderId="17" xfId="0" applyNumberFormat="1" applyFont="1" applyBorder="1" applyAlignment="1">
      <alignment horizontal="left" vertical="center" indent="1"/>
    </xf>
    <xf numFmtId="1" fontId="25" fillId="0" borderId="17" xfId="0" applyNumberFormat="1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0" fillId="21" borderId="22" xfId="0" applyFont="1" applyFill="1" applyBorder="1" applyAlignment="1">
      <alignment horizontal="left" vertical="center" indent="1"/>
    </xf>
    <xf numFmtId="0" fontId="3" fillId="21" borderId="22" xfId="0" applyFont="1" applyFill="1" applyBorder="1" applyAlignment="1">
      <alignment horizontal="left" vertical="center" indent="1"/>
    </xf>
    <xf numFmtId="0" fontId="5" fillId="21" borderId="22" xfId="0" applyFont="1" applyFill="1" applyBorder="1" applyAlignment="1">
      <alignment horizontal="left" vertical="center" indent="1"/>
    </xf>
    <xf numFmtId="0" fontId="10" fillId="18" borderId="22" xfId="0" applyFont="1" applyFill="1" applyBorder="1" applyAlignment="1">
      <alignment horizontal="left" vertical="center" indent="1"/>
    </xf>
    <xf numFmtId="0" fontId="3" fillId="18" borderId="22" xfId="0" applyFont="1" applyFill="1" applyBorder="1" applyAlignment="1">
      <alignment horizontal="left" vertical="center" indent="1"/>
    </xf>
    <xf numFmtId="0" fontId="5" fillId="18" borderId="22" xfId="0" applyFont="1" applyFill="1" applyBorder="1" applyAlignment="1">
      <alignment horizontal="left" vertical="center" indent="1"/>
    </xf>
    <xf numFmtId="0" fontId="10" fillId="19" borderId="22" xfId="0" applyFont="1" applyFill="1" applyBorder="1" applyAlignment="1">
      <alignment horizontal="left" vertical="center" indent="1"/>
    </xf>
    <xf numFmtId="0" fontId="3" fillId="19" borderId="22" xfId="0" applyFont="1" applyFill="1" applyBorder="1" applyAlignment="1">
      <alignment horizontal="left" vertical="center" indent="1"/>
    </xf>
    <xf numFmtId="0" fontId="5" fillId="19" borderId="22" xfId="0" applyFont="1" applyFill="1" applyBorder="1" applyAlignment="1">
      <alignment horizontal="left" vertical="center" indent="1"/>
    </xf>
    <xf numFmtId="0" fontId="10" fillId="20" borderId="22" xfId="0" applyFont="1" applyFill="1" applyBorder="1" applyAlignment="1">
      <alignment horizontal="left" vertical="center" indent="1"/>
    </xf>
    <xf numFmtId="0" fontId="3" fillId="20" borderId="22" xfId="0" applyFont="1" applyFill="1" applyBorder="1" applyAlignment="1">
      <alignment horizontal="left" vertical="center" indent="1"/>
    </xf>
    <xf numFmtId="0" fontId="5" fillId="20" borderId="22" xfId="0" applyFont="1" applyFill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13" fillId="18" borderId="25" xfId="0" applyFont="1" applyFill="1" applyBorder="1" applyAlignment="1">
      <alignment horizontal="left" vertical="center" indent="1"/>
    </xf>
    <xf numFmtId="0" fontId="22" fillId="18" borderId="22" xfId="0" applyFont="1" applyFill="1" applyBorder="1" applyAlignment="1">
      <alignment horizontal="left" vertical="center" indent="1"/>
    </xf>
    <xf numFmtId="0" fontId="13" fillId="18" borderId="22" xfId="0" applyFont="1" applyFill="1" applyBorder="1" applyAlignment="1">
      <alignment horizontal="left" vertical="center" indent="1"/>
    </xf>
    <xf numFmtId="0" fontId="24" fillId="18" borderId="22" xfId="0" applyFont="1" applyFill="1" applyBorder="1" applyAlignment="1">
      <alignment horizontal="left" vertical="center" indent="1"/>
    </xf>
    <xf numFmtId="0" fontId="13" fillId="19" borderId="25" xfId="0" applyFont="1" applyFill="1" applyBorder="1" applyAlignment="1">
      <alignment horizontal="left" vertical="center" indent="1"/>
    </xf>
    <xf numFmtId="0" fontId="22" fillId="19" borderId="22" xfId="0" applyFont="1" applyFill="1" applyBorder="1" applyAlignment="1">
      <alignment horizontal="left" vertical="center" indent="1"/>
    </xf>
    <xf numFmtId="0" fontId="13" fillId="19" borderId="22" xfId="0" applyFont="1" applyFill="1" applyBorder="1" applyAlignment="1">
      <alignment horizontal="left" vertical="center" indent="1"/>
    </xf>
    <xf numFmtId="0" fontId="24" fillId="19" borderId="22" xfId="0" applyFont="1" applyFill="1" applyBorder="1" applyAlignment="1">
      <alignment horizontal="left" vertical="center" indent="1"/>
    </xf>
    <xf numFmtId="0" fontId="13" fillId="20" borderId="25" xfId="0" applyFont="1" applyFill="1" applyBorder="1" applyAlignment="1">
      <alignment horizontal="left" vertical="center" indent="1"/>
    </xf>
    <xf numFmtId="0" fontId="22" fillId="20" borderId="22" xfId="0" applyFont="1" applyFill="1" applyBorder="1" applyAlignment="1">
      <alignment horizontal="left" vertical="center" indent="1"/>
    </xf>
    <xf numFmtId="0" fontId="13" fillId="20" borderId="22" xfId="0" applyFont="1" applyFill="1" applyBorder="1" applyAlignment="1">
      <alignment horizontal="left" vertical="center" indent="1"/>
    </xf>
    <xf numFmtId="0" fontId="24" fillId="20" borderId="22" xfId="0" applyFont="1" applyFill="1" applyBorder="1" applyAlignment="1">
      <alignment horizontal="left" vertical="center" indent="1"/>
    </xf>
    <xf numFmtId="0" fontId="13" fillId="21" borderId="31" xfId="0" applyFont="1" applyFill="1" applyBorder="1" applyAlignment="1">
      <alignment horizontal="left" vertical="center" indent="1"/>
    </xf>
    <xf numFmtId="0" fontId="22" fillId="21" borderId="16" xfId="0" applyFont="1" applyFill="1" applyBorder="1" applyAlignment="1">
      <alignment horizontal="left" vertical="center" indent="1"/>
    </xf>
    <xf numFmtId="0" fontId="6" fillId="21" borderId="16" xfId="0" applyFont="1" applyFill="1" applyBorder="1" applyAlignment="1">
      <alignment horizontal="left" vertical="center" indent="1"/>
    </xf>
    <xf numFmtId="0" fontId="23" fillId="21" borderId="16" xfId="0" applyFont="1" applyFill="1" applyBorder="1" applyAlignment="1">
      <alignment horizontal="left" vertical="center" indent="1"/>
    </xf>
    <xf numFmtId="0" fontId="8" fillId="21" borderId="16" xfId="0" applyFont="1" applyFill="1" applyBorder="1" applyAlignment="1">
      <alignment horizontal="left" vertical="center" indent="1"/>
    </xf>
    <xf numFmtId="0" fontId="3" fillId="21" borderId="16" xfId="0" applyFont="1" applyFill="1" applyBorder="1" applyAlignment="1">
      <alignment horizontal="left" vertical="center" indent="1"/>
    </xf>
    <xf numFmtId="0" fontId="25" fillId="21" borderId="16" xfId="0" applyFont="1" applyFill="1" applyBorder="1" applyAlignment="1">
      <alignment horizontal="left" vertical="center" indent="1"/>
    </xf>
    <xf numFmtId="0" fontId="13" fillId="21" borderId="16" xfId="0" applyFont="1" applyFill="1" applyBorder="1" applyAlignment="1">
      <alignment horizontal="left" vertical="center" indent="1"/>
    </xf>
    <xf numFmtId="0" fontId="24" fillId="21" borderId="16" xfId="0" applyFont="1" applyFill="1" applyBorder="1" applyAlignment="1">
      <alignment horizontal="left" vertical="center" indent="1"/>
    </xf>
    <xf numFmtId="0" fontId="38" fillId="0" borderId="0" xfId="0" applyFont="1"/>
    <xf numFmtId="1" fontId="22" fillId="0" borderId="25" xfId="0" applyNumberFormat="1" applyFont="1" applyBorder="1" applyAlignment="1">
      <alignment horizontal="left" vertical="center" indent="1"/>
    </xf>
    <xf numFmtId="0" fontId="13" fillId="21" borderId="22" xfId="0" applyFont="1" applyFill="1" applyBorder="1" applyAlignment="1">
      <alignment horizontal="left" vertical="center" indent="1"/>
    </xf>
    <xf numFmtId="0" fontId="22" fillId="21" borderId="25" xfId="0" applyFont="1" applyFill="1" applyBorder="1" applyAlignment="1">
      <alignment horizontal="left" vertical="center" indent="1"/>
    </xf>
    <xf numFmtId="0" fontId="22" fillId="21" borderId="22" xfId="0" applyFont="1" applyFill="1" applyBorder="1" applyAlignment="1">
      <alignment horizontal="left" vertical="center" indent="1"/>
    </xf>
    <xf numFmtId="0" fontId="22" fillId="18" borderId="25" xfId="0" applyFont="1" applyFill="1" applyBorder="1" applyAlignment="1">
      <alignment horizontal="left" vertical="center" indent="1"/>
    </xf>
    <xf numFmtId="0" fontId="22" fillId="19" borderId="25" xfId="0" applyFont="1" applyFill="1" applyBorder="1" applyAlignment="1">
      <alignment horizontal="left" vertical="center" indent="1"/>
    </xf>
    <xf numFmtId="0" fontId="22" fillId="20" borderId="25" xfId="0" applyFont="1" applyFill="1" applyBorder="1" applyAlignment="1">
      <alignment horizontal="left" vertical="center" indent="1"/>
    </xf>
    <xf numFmtId="1" fontId="24" fillId="0" borderId="46" xfId="0" applyNumberFormat="1" applyFont="1" applyBorder="1" applyAlignment="1">
      <alignment horizontal="center" vertical="center"/>
    </xf>
    <xf numFmtId="1" fontId="13" fillId="0" borderId="46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" fontId="12" fillId="0" borderId="46" xfId="0" applyNumberFormat="1" applyFont="1" applyBorder="1" applyAlignment="1">
      <alignment horizontal="center" vertical="center"/>
    </xf>
    <xf numFmtId="1" fontId="23" fillId="0" borderId="46" xfId="0" applyNumberFormat="1" applyFont="1" applyBorder="1" applyAlignment="1">
      <alignment horizontal="center" vertical="center"/>
    </xf>
    <xf numFmtId="1" fontId="25" fillId="0" borderId="46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13" fillId="21" borderId="44" xfId="0" applyFont="1" applyFill="1" applyBorder="1" applyAlignment="1">
      <alignment horizontal="center" vertical="center"/>
    </xf>
    <xf numFmtId="0" fontId="24" fillId="21" borderId="44" xfId="0" applyFont="1" applyFill="1" applyBorder="1" applyAlignment="1">
      <alignment horizontal="center" vertical="center"/>
    </xf>
    <xf numFmtId="0" fontId="6" fillId="21" borderId="44" xfId="0" applyFont="1" applyFill="1" applyBorder="1" applyAlignment="1">
      <alignment horizontal="center" vertical="center"/>
    </xf>
    <xf numFmtId="0" fontId="23" fillId="21" borderId="44" xfId="0" applyFont="1" applyFill="1" applyBorder="1" applyAlignment="1">
      <alignment horizontal="center" vertical="center"/>
    </xf>
    <xf numFmtId="0" fontId="12" fillId="21" borderId="44" xfId="0" applyFont="1" applyFill="1" applyBorder="1" applyAlignment="1">
      <alignment horizontal="center" vertical="center"/>
    </xf>
    <xf numFmtId="0" fontId="8" fillId="21" borderId="44" xfId="0" applyFont="1" applyFill="1" applyBorder="1" applyAlignment="1">
      <alignment horizontal="center" vertical="center"/>
    </xf>
    <xf numFmtId="0" fontId="25" fillId="21" borderId="44" xfId="0" applyFont="1" applyFill="1" applyBorder="1" applyAlignment="1">
      <alignment horizontal="center" vertical="center"/>
    </xf>
    <xf numFmtId="0" fontId="13" fillId="18" borderId="44" xfId="0" applyFont="1" applyFill="1" applyBorder="1" applyAlignment="1">
      <alignment horizontal="center" vertical="center"/>
    </xf>
    <xf numFmtId="0" fontId="24" fillId="18" borderId="44" xfId="0" applyFont="1" applyFill="1" applyBorder="1" applyAlignment="1">
      <alignment horizontal="center" vertical="center"/>
    </xf>
    <xf numFmtId="0" fontId="6" fillId="18" borderId="44" xfId="0" applyFont="1" applyFill="1" applyBorder="1" applyAlignment="1">
      <alignment horizontal="center" vertical="center"/>
    </xf>
    <xf numFmtId="0" fontId="23" fillId="18" borderId="44" xfId="0" applyFont="1" applyFill="1" applyBorder="1" applyAlignment="1">
      <alignment horizontal="center" vertical="center"/>
    </xf>
    <xf numFmtId="0" fontId="12" fillId="18" borderId="44" xfId="0" applyFont="1" applyFill="1" applyBorder="1" applyAlignment="1">
      <alignment horizontal="center" vertical="center"/>
    </xf>
    <xf numFmtId="0" fontId="8" fillId="18" borderId="44" xfId="0" applyFont="1" applyFill="1" applyBorder="1" applyAlignment="1">
      <alignment horizontal="center" vertical="center"/>
    </xf>
    <xf numFmtId="0" fontId="25" fillId="18" borderId="44" xfId="0" applyFont="1" applyFill="1" applyBorder="1" applyAlignment="1">
      <alignment horizontal="center" vertical="center"/>
    </xf>
    <xf numFmtId="0" fontId="13" fillId="19" borderId="44" xfId="0" applyFont="1" applyFill="1" applyBorder="1" applyAlignment="1">
      <alignment horizontal="center" vertical="center"/>
    </xf>
    <xf numFmtId="0" fontId="24" fillId="19" borderId="44" xfId="0" applyFont="1" applyFill="1" applyBorder="1" applyAlignment="1">
      <alignment horizontal="center" vertical="center"/>
    </xf>
    <xf numFmtId="0" fontId="6" fillId="19" borderId="44" xfId="0" applyFont="1" applyFill="1" applyBorder="1" applyAlignment="1">
      <alignment horizontal="center" vertical="center"/>
    </xf>
    <xf numFmtId="0" fontId="23" fillId="19" borderId="44" xfId="0" applyFont="1" applyFill="1" applyBorder="1" applyAlignment="1">
      <alignment horizontal="center" vertical="center"/>
    </xf>
    <xf numFmtId="0" fontId="12" fillId="19" borderId="44" xfId="0" applyFont="1" applyFill="1" applyBorder="1" applyAlignment="1">
      <alignment horizontal="center" vertical="center"/>
    </xf>
    <xf numFmtId="0" fontId="8" fillId="19" borderId="44" xfId="0" applyFont="1" applyFill="1" applyBorder="1" applyAlignment="1">
      <alignment horizontal="center" vertical="center"/>
    </xf>
    <xf numFmtId="0" fontId="25" fillId="19" borderId="44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 vertical="center"/>
    </xf>
    <xf numFmtId="0" fontId="24" fillId="20" borderId="44" xfId="0" applyFont="1" applyFill="1" applyBorder="1" applyAlignment="1">
      <alignment horizontal="center" vertical="center"/>
    </xf>
    <xf numFmtId="0" fontId="6" fillId="20" borderId="44" xfId="0" applyFont="1" applyFill="1" applyBorder="1" applyAlignment="1">
      <alignment horizontal="center" vertical="center"/>
    </xf>
    <xf numFmtId="0" fontId="23" fillId="20" borderId="44" xfId="0" applyFont="1" applyFill="1" applyBorder="1" applyAlignment="1">
      <alignment horizontal="center" vertical="center"/>
    </xf>
    <xf numFmtId="0" fontId="12" fillId="20" borderId="44" xfId="0" applyFont="1" applyFill="1" applyBorder="1" applyAlignment="1">
      <alignment horizontal="center" vertical="center"/>
    </xf>
    <xf numFmtId="0" fontId="8" fillId="20" borderId="44" xfId="0" applyFont="1" applyFill="1" applyBorder="1" applyAlignment="1">
      <alignment horizontal="center" vertical="center"/>
    </xf>
    <xf numFmtId="0" fontId="25" fillId="20" borderId="44" xfId="0" applyFont="1" applyFill="1" applyBorder="1" applyAlignment="1">
      <alignment horizontal="center" vertical="center"/>
    </xf>
    <xf numFmtId="1" fontId="13" fillId="18" borderId="44" xfId="0" applyNumberFormat="1" applyFont="1" applyFill="1" applyBorder="1" applyAlignment="1">
      <alignment horizontal="center" vertical="center"/>
    </xf>
    <xf numFmtId="1" fontId="24" fillId="18" borderId="44" xfId="0" applyNumberFormat="1" applyFont="1" applyFill="1" applyBorder="1" applyAlignment="1">
      <alignment horizontal="center" vertical="center"/>
    </xf>
    <xf numFmtId="1" fontId="6" fillId="18" borderId="44" xfId="0" applyNumberFormat="1" applyFont="1" applyFill="1" applyBorder="1" applyAlignment="1">
      <alignment horizontal="center" vertical="center"/>
    </xf>
    <xf numFmtId="1" fontId="23" fillId="18" borderId="44" xfId="0" applyNumberFormat="1" applyFont="1" applyFill="1" applyBorder="1" applyAlignment="1">
      <alignment horizontal="center" vertical="center"/>
    </xf>
    <xf numFmtId="1" fontId="12" fillId="18" borderId="44" xfId="0" applyNumberFormat="1" applyFont="1" applyFill="1" applyBorder="1" applyAlignment="1">
      <alignment horizontal="center" vertical="center"/>
    </xf>
    <xf numFmtId="1" fontId="8" fillId="18" borderId="44" xfId="0" applyNumberFormat="1" applyFont="1" applyFill="1" applyBorder="1" applyAlignment="1">
      <alignment horizontal="center" vertical="center"/>
    </xf>
    <xf numFmtId="1" fontId="25" fillId="18" borderId="44" xfId="0" applyNumberFormat="1" applyFont="1" applyFill="1" applyBorder="1" applyAlignment="1">
      <alignment horizontal="center" vertical="center"/>
    </xf>
    <xf numFmtId="1" fontId="13" fillId="19" borderId="44" xfId="0" applyNumberFormat="1" applyFont="1" applyFill="1" applyBorder="1" applyAlignment="1">
      <alignment horizontal="center" vertical="center"/>
    </xf>
    <xf numFmtId="1" fontId="24" fillId="19" borderId="44" xfId="0" applyNumberFormat="1" applyFont="1" applyFill="1" applyBorder="1" applyAlignment="1">
      <alignment horizontal="center" vertical="center"/>
    </xf>
    <xf numFmtId="1" fontId="6" fillId="19" borderId="44" xfId="0" applyNumberFormat="1" applyFont="1" applyFill="1" applyBorder="1" applyAlignment="1">
      <alignment horizontal="center" vertical="center"/>
    </xf>
    <xf numFmtId="1" fontId="23" fillId="19" borderId="44" xfId="0" applyNumberFormat="1" applyFont="1" applyFill="1" applyBorder="1" applyAlignment="1">
      <alignment horizontal="center" vertical="center"/>
    </xf>
    <xf numFmtId="1" fontId="12" fillId="19" borderId="44" xfId="0" applyNumberFormat="1" applyFont="1" applyFill="1" applyBorder="1" applyAlignment="1">
      <alignment horizontal="center" vertical="center"/>
    </xf>
    <xf numFmtId="1" fontId="8" fillId="19" borderId="44" xfId="0" applyNumberFormat="1" applyFont="1" applyFill="1" applyBorder="1" applyAlignment="1">
      <alignment horizontal="center" vertical="center"/>
    </xf>
    <xf numFmtId="1" fontId="25" fillId="19" borderId="44" xfId="0" applyNumberFormat="1" applyFont="1" applyFill="1" applyBorder="1" applyAlignment="1">
      <alignment horizontal="center" vertical="center"/>
    </xf>
    <xf numFmtId="0" fontId="19" fillId="14" borderId="47" xfId="0" applyFont="1" applyFill="1" applyBorder="1" applyAlignment="1">
      <alignment horizontal="center" vertical="center" wrapText="1"/>
    </xf>
    <xf numFmtId="1" fontId="13" fillId="20" borderId="44" xfId="0" applyNumberFormat="1" applyFont="1" applyFill="1" applyBorder="1" applyAlignment="1">
      <alignment horizontal="center" vertical="center"/>
    </xf>
    <xf numFmtId="1" fontId="24" fillId="20" borderId="44" xfId="0" applyNumberFormat="1" applyFont="1" applyFill="1" applyBorder="1" applyAlignment="1">
      <alignment horizontal="center" vertical="center"/>
    </xf>
    <xf numFmtId="1" fontId="6" fillId="20" borderId="44" xfId="0" applyNumberFormat="1" applyFont="1" applyFill="1" applyBorder="1" applyAlignment="1">
      <alignment horizontal="center" vertical="center"/>
    </xf>
    <xf numFmtId="1" fontId="23" fillId="20" borderId="44" xfId="0" applyNumberFormat="1" applyFont="1" applyFill="1" applyBorder="1" applyAlignment="1">
      <alignment horizontal="center" vertical="center"/>
    </xf>
    <xf numFmtId="1" fontId="12" fillId="20" borderId="44" xfId="0" applyNumberFormat="1" applyFont="1" applyFill="1" applyBorder="1" applyAlignment="1">
      <alignment horizontal="center" vertical="center"/>
    </xf>
    <xf numFmtId="1" fontId="8" fillId="20" borderId="44" xfId="0" applyNumberFormat="1" applyFont="1" applyFill="1" applyBorder="1" applyAlignment="1">
      <alignment horizontal="center" vertical="center"/>
    </xf>
    <xf numFmtId="1" fontId="25" fillId="20" borderId="44" xfId="0" applyNumberFormat="1" applyFont="1" applyFill="1" applyBorder="1" applyAlignment="1">
      <alignment horizontal="center" vertical="center"/>
    </xf>
    <xf numFmtId="0" fontId="28" fillId="18" borderId="0" xfId="0" applyFont="1" applyFill="1"/>
    <xf numFmtId="0" fontId="28" fillId="19" borderId="0" xfId="0" applyFont="1" applyFill="1"/>
    <xf numFmtId="0" fontId="28" fillId="20" borderId="0" xfId="0" applyFont="1" applyFill="1"/>
    <xf numFmtId="0" fontId="19" fillId="18" borderId="37" xfId="0" applyFont="1" applyFill="1" applyBorder="1" applyAlignment="1">
      <alignment horizontal="center" vertical="center" wrapText="1"/>
    </xf>
    <xf numFmtId="0" fontId="27" fillId="18" borderId="16" xfId="0" applyFont="1" applyFill="1" applyBorder="1" applyAlignment="1">
      <alignment horizontal="left" vertical="center" indent="1"/>
    </xf>
    <xf numFmtId="0" fontId="15" fillId="18" borderId="16" xfId="0" applyFont="1" applyFill="1" applyBorder="1" applyAlignment="1">
      <alignment horizontal="left" vertical="center" indent="1"/>
    </xf>
    <xf numFmtId="0" fontId="6" fillId="18" borderId="16" xfId="0" applyFont="1" applyFill="1" applyBorder="1" applyAlignment="1">
      <alignment horizontal="left" vertical="center" indent="1"/>
    </xf>
    <xf numFmtId="0" fontId="19" fillId="18" borderId="16" xfId="0" applyFont="1" applyFill="1" applyBorder="1" applyAlignment="1">
      <alignment horizontal="left" vertical="center" indent="1"/>
    </xf>
    <xf numFmtId="0" fontId="23" fillId="18" borderId="16" xfId="0" applyFont="1" applyFill="1" applyBorder="1" applyAlignment="1">
      <alignment horizontal="left" vertical="center" indent="1"/>
    </xf>
    <xf numFmtId="0" fontId="8" fillId="18" borderId="16" xfId="0" applyFont="1" applyFill="1" applyBorder="1" applyAlignment="1">
      <alignment horizontal="left" vertical="center" indent="1"/>
    </xf>
    <xf numFmtId="0" fontId="25" fillId="18" borderId="16" xfId="0" applyFont="1" applyFill="1" applyBorder="1" applyAlignment="1">
      <alignment horizontal="left" vertical="center" indent="1"/>
    </xf>
    <xf numFmtId="0" fontId="17" fillId="18" borderId="16" xfId="0" applyFont="1" applyFill="1" applyBorder="1" applyAlignment="1">
      <alignment horizontal="left" vertical="center" indent="1"/>
    </xf>
    <xf numFmtId="0" fontId="10" fillId="0" borderId="14" xfId="0" applyFont="1" applyBorder="1" applyAlignment="1">
      <alignment horizontal="left" vertical="center" indent="1"/>
    </xf>
    <xf numFmtId="0" fontId="19" fillId="13" borderId="36" xfId="0" applyFont="1" applyFill="1" applyBorder="1" applyAlignment="1">
      <alignment horizontal="center" vertical="center" wrapText="1"/>
    </xf>
    <xf numFmtId="0" fontId="19" fillId="13" borderId="34" xfId="0" applyFont="1" applyFill="1" applyBorder="1" applyAlignment="1">
      <alignment horizontal="center" vertical="center" wrapText="1"/>
    </xf>
    <xf numFmtId="0" fontId="19" fillId="13" borderId="35" xfId="0" applyFont="1" applyFill="1" applyBorder="1" applyAlignment="1">
      <alignment horizontal="center" vertical="center" wrapText="1"/>
    </xf>
    <xf numFmtId="0" fontId="19" fillId="22" borderId="0" xfId="0" applyFont="1" applyFill="1" applyAlignment="1">
      <alignment horizontal="center" vertical="center" wrapText="1"/>
    </xf>
    <xf numFmtId="0" fontId="19" fillId="21" borderId="48" xfId="0" applyFont="1" applyFill="1" applyBorder="1" applyAlignment="1">
      <alignment horizontal="center" vertical="center" wrapText="1"/>
    </xf>
    <xf numFmtId="0" fontId="19" fillId="18" borderId="49" xfId="0" applyFont="1" applyFill="1" applyBorder="1" applyAlignment="1">
      <alignment horizontal="center" vertical="center" wrapText="1"/>
    </xf>
    <xf numFmtId="0" fontId="19" fillId="19" borderId="50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19" fillId="20" borderId="52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7" borderId="53" xfId="0" applyFont="1" applyFill="1" applyBorder="1" applyAlignment="1">
      <alignment horizontal="center" vertical="center" wrapText="1"/>
    </xf>
    <xf numFmtId="0" fontId="19" fillId="17" borderId="0" xfId="0" applyFont="1" applyFill="1" applyAlignment="1">
      <alignment horizontal="center" vertical="center" wrapText="1"/>
    </xf>
    <xf numFmtId="0" fontId="19" fillId="17" borderId="5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12" borderId="36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2" borderId="33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left" vertical="center" indent="1"/>
    </xf>
    <xf numFmtId="0" fontId="8" fillId="0" borderId="56" xfId="0" applyFont="1" applyBorder="1" applyAlignment="1">
      <alignment horizontal="left" vertical="center" indent="1"/>
    </xf>
    <xf numFmtId="0" fontId="8" fillId="0" borderId="42" xfId="0" applyFont="1" applyBorder="1" applyAlignment="1">
      <alignment horizontal="left" vertical="center" indent="1"/>
    </xf>
    <xf numFmtId="0" fontId="8" fillId="0" borderId="44" xfId="0" applyFont="1" applyBorder="1" applyAlignment="1">
      <alignment horizontal="left" vertical="center" indent="1"/>
    </xf>
    <xf numFmtId="0" fontId="8" fillId="21" borderId="44" xfId="0" applyFont="1" applyFill="1" applyBorder="1" applyAlignment="1">
      <alignment horizontal="left" vertical="center" indent="1"/>
    </xf>
    <xf numFmtId="0" fontId="8" fillId="18" borderId="44" xfId="0" applyFont="1" applyFill="1" applyBorder="1" applyAlignment="1">
      <alignment horizontal="left" vertical="center" indent="1"/>
    </xf>
    <xf numFmtId="0" fontId="8" fillId="19" borderId="44" xfId="0" applyFont="1" applyFill="1" applyBorder="1" applyAlignment="1">
      <alignment horizontal="left" vertical="center" indent="1"/>
    </xf>
    <xf numFmtId="0" fontId="8" fillId="20" borderId="44" xfId="0" applyFont="1" applyFill="1" applyBorder="1" applyAlignment="1">
      <alignment horizontal="left" vertical="center" indent="1"/>
    </xf>
    <xf numFmtId="0" fontId="8" fillId="0" borderId="57" xfId="0" applyFont="1" applyBorder="1" applyAlignment="1">
      <alignment horizontal="left" vertical="center" indent="1"/>
    </xf>
    <xf numFmtId="1" fontId="8" fillId="0" borderId="56" xfId="0" applyNumberFormat="1" applyFont="1" applyBorder="1" applyAlignment="1">
      <alignment horizontal="left" vertical="center" indent="1"/>
    </xf>
    <xf numFmtId="1" fontId="8" fillId="0" borderId="45" xfId="0" applyNumberFormat="1" applyFont="1" applyBorder="1" applyAlignment="1">
      <alignment horizontal="left" vertical="center" indent="1"/>
    </xf>
    <xf numFmtId="1" fontId="8" fillId="0" borderId="44" xfId="0" applyNumberFormat="1" applyFont="1" applyBorder="1" applyAlignment="1">
      <alignment horizontal="left" vertical="center" indent="1"/>
    </xf>
    <xf numFmtId="1" fontId="8" fillId="0" borderId="46" xfId="0" applyNumberFormat="1" applyFont="1" applyBorder="1" applyAlignment="1">
      <alignment horizontal="left" vertical="center" indent="1"/>
    </xf>
    <xf numFmtId="0" fontId="8" fillId="0" borderId="43" xfId="0" applyFont="1" applyBorder="1" applyAlignment="1">
      <alignment horizontal="left" vertical="center" indent="1"/>
    </xf>
    <xf numFmtId="0" fontId="8" fillId="0" borderId="46" xfId="0" applyFont="1" applyBorder="1" applyAlignment="1">
      <alignment horizontal="left" vertical="center" indent="1"/>
    </xf>
    <xf numFmtId="0" fontId="8" fillId="0" borderId="45" xfId="0" applyFont="1" applyBorder="1" applyAlignment="1">
      <alignment horizontal="left" vertical="center" indent="1"/>
    </xf>
    <xf numFmtId="1" fontId="10" fillId="0" borderId="8" xfId="0" applyNumberFormat="1" applyFont="1" applyBorder="1" applyAlignment="1">
      <alignment horizontal="left" vertical="center" indent="1"/>
    </xf>
    <xf numFmtId="1" fontId="8" fillId="0" borderId="57" xfId="0" applyNumberFormat="1" applyFont="1" applyBorder="1" applyAlignment="1">
      <alignment horizontal="left" vertical="center" inden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20" borderId="0" xfId="0" applyFont="1" applyFill="1" applyAlignment="1">
      <alignment horizontal="center" vertical="center" wrapText="1"/>
    </xf>
    <xf numFmtId="0" fontId="39" fillId="0" borderId="44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42" xfId="0" applyFont="1" applyBorder="1" applyAlignment="1">
      <alignment horizontal="center" wrapText="1"/>
    </xf>
    <xf numFmtId="0" fontId="39" fillId="21" borderId="44" xfId="0" applyFont="1" applyFill="1" applyBorder="1" applyAlignment="1">
      <alignment horizontal="center" wrapText="1"/>
    </xf>
    <xf numFmtId="0" fontId="39" fillId="18" borderId="44" xfId="0" applyFont="1" applyFill="1" applyBorder="1" applyAlignment="1">
      <alignment horizontal="center" wrapText="1"/>
    </xf>
    <xf numFmtId="0" fontId="39" fillId="19" borderId="44" xfId="0" applyFont="1" applyFill="1" applyBorder="1" applyAlignment="1">
      <alignment horizontal="center" wrapText="1"/>
    </xf>
    <xf numFmtId="0" fontId="39" fillId="0" borderId="44" xfId="0" applyFont="1" applyBorder="1" applyAlignment="1">
      <alignment horizontal="center" wrapText="1"/>
    </xf>
    <xf numFmtId="0" fontId="39" fillId="20" borderId="44" xfId="0" applyFont="1" applyFill="1" applyBorder="1" applyAlignment="1">
      <alignment horizontal="center" wrapText="1"/>
    </xf>
    <xf numFmtId="0" fontId="39" fillId="0" borderId="43" xfId="0" applyFont="1" applyBorder="1" applyAlignment="1">
      <alignment horizontal="center"/>
    </xf>
    <xf numFmtId="1" fontId="39" fillId="0" borderId="42" xfId="0" applyNumberFormat="1" applyFont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0" fillId="0" borderId="42" xfId="0" applyFont="1" applyBorder="1" applyAlignment="1">
      <alignment horizontal="center"/>
    </xf>
    <xf numFmtId="0" fontId="40" fillId="0" borderId="42" xfId="0" applyFont="1" applyBorder="1" applyAlignment="1">
      <alignment horizontal="center" wrapText="1"/>
    </xf>
    <xf numFmtId="0" fontId="40" fillId="21" borderId="44" xfId="0" applyFont="1" applyFill="1" applyBorder="1" applyAlignment="1">
      <alignment horizontal="center" wrapText="1"/>
    </xf>
    <xf numFmtId="0" fontId="40" fillId="18" borderId="44" xfId="0" applyFont="1" applyFill="1" applyBorder="1" applyAlignment="1">
      <alignment horizontal="center" wrapText="1"/>
    </xf>
    <xf numFmtId="0" fontId="40" fillId="19" borderId="44" xfId="0" applyFont="1" applyFill="1" applyBorder="1" applyAlignment="1">
      <alignment horizontal="center" wrapText="1"/>
    </xf>
    <xf numFmtId="0" fontId="40" fillId="0" borderId="44" xfId="0" applyFont="1" applyBorder="1" applyAlignment="1">
      <alignment horizontal="center" wrapText="1"/>
    </xf>
    <xf numFmtId="0" fontId="40" fillId="20" borderId="44" xfId="0" applyFont="1" applyFill="1" applyBorder="1" applyAlignment="1">
      <alignment horizontal="center" wrapText="1"/>
    </xf>
    <xf numFmtId="0" fontId="40" fillId="0" borderId="43" xfId="0" applyFont="1" applyBorder="1" applyAlignment="1">
      <alignment horizontal="center"/>
    </xf>
    <xf numFmtId="1" fontId="40" fillId="0" borderId="42" xfId="0" applyNumberFormat="1" applyFont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43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1" fontId="39" fillId="0" borderId="44" xfId="0" applyNumberFormat="1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3" fillId="0" borderId="44" xfId="0" applyNumberFormat="1" applyFont="1" applyBorder="1" applyAlignment="1">
      <alignment horizontal="center"/>
    </xf>
    <xf numFmtId="1" fontId="40" fillId="0" borderId="44" xfId="0" applyNumberFormat="1" applyFon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23" fillId="0" borderId="44" xfId="0" applyNumberFormat="1" applyFont="1" applyBorder="1" applyAlignment="1">
      <alignment horizontal="center"/>
    </xf>
    <xf numFmtId="1" fontId="25" fillId="0" borderId="44" xfId="0" applyNumberFormat="1" applyFont="1" applyBorder="1" applyAlignment="1">
      <alignment horizontal="center"/>
    </xf>
    <xf numFmtId="1" fontId="8" fillId="0" borderId="44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2" fillId="5" borderId="36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19" fillId="14" borderId="59" xfId="0" applyFont="1" applyFill="1" applyBorder="1" applyAlignment="1">
      <alignment horizontal="center" vertical="center" wrapText="1"/>
    </xf>
    <xf numFmtId="0" fontId="19" fillId="14" borderId="50" xfId="0" applyFont="1" applyFill="1" applyBorder="1" applyAlignment="1">
      <alignment horizontal="center" vertical="center" wrapText="1"/>
    </xf>
    <xf numFmtId="0" fontId="19" fillId="14" borderId="52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50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19" fillId="3" borderId="49" xfId="0" applyFont="1" applyFill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center" vertical="center" wrapText="1"/>
    </xf>
    <xf numFmtId="0" fontId="8" fillId="21" borderId="43" xfId="0" applyFont="1" applyFill="1" applyBorder="1" applyAlignment="1">
      <alignment horizontal="left" vertical="center" indent="1"/>
    </xf>
    <xf numFmtId="0" fontId="19" fillId="19" borderId="51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9" fillId="0" borderId="58" xfId="0" applyFont="1" applyBorder="1" applyAlignment="1">
      <alignment horizontal="center"/>
    </xf>
    <xf numFmtId="0" fontId="39" fillId="0" borderId="58" xfId="0" applyFont="1" applyBorder="1" applyAlignment="1">
      <alignment horizontal="center" wrapText="1"/>
    </xf>
    <xf numFmtId="0" fontId="39" fillId="21" borderId="0" xfId="0" applyFont="1" applyFill="1" applyAlignment="1">
      <alignment horizontal="center" wrapText="1"/>
    </xf>
    <xf numFmtId="0" fontId="39" fillId="18" borderId="0" xfId="0" applyFont="1" applyFill="1" applyAlignment="1">
      <alignment horizontal="center" wrapText="1"/>
    </xf>
    <xf numFmtId="0" fontId="39" fillId="19" borderId="0" xfId="0" applyFont="1" applyFill="1" applyAlignment="1">
      <alignment horizontal="center" wrapText="1"/>
    </xf>
    <xf numFmtId="0" fontId="39" fillId="0" borderId="0" xfId="0" applyFont="1" applyAlignment="1">
      <alignment horizontal="center" wrapText="1"/>
    </xf>
    <xf numFmtId="0" fontId="39" fillId="20" borderId="0" xfId="0" applyFont="1" applyFill="1" applyAlignment="1">
      <alignment horizontal="center" wrapText="1"/>
    </xf>
    <xf numFmtId="0" fontId="39" fillId="0" borderId="53" xfId="0" applyFont="1" applyBorder="1" applyAlignment="1">
      <alignment horizontal="center"/>
    </xf>
    <xf numFmtId="1" fontId="39" fillId="0" borderId="58" xfId="0" applyNumberFormat="1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1" fontId="39" fillId="0" borderId="0" xfId="0" applyNumberFormat="1" applyFont="1" applyAlignment="1">
      <alignment horizontal="center"/>
    </xf>
    <xf numFmtId="0" fontId="20" fillId="9" borderId="28" xfId="0" applyFont="1" applyFill="1" applyBorder="1" applyAlignment="1">
      <alignment horizontal="center" vertical="center"/>
    </xf>
    <xf numFmtId="0" fontId="20" fillId="9" borderId="41" xfId="0" applyFont="1" applyFill="1" applyBorder="1" applyAlignment="1">
      <alignment horizontal="center" vertical="center"/>
    </xf>
    <xf numFmtId="0" fontId="20" fillId="9" borderId="41" xfId="0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0" fontId="19" fillId="11" borderId="28" xfId="0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0" fontId="19" fillId="17" borderId="28" xfId="0" applyFont="1" applyFill="1" applyBorder="1" applyAlignment="1">
      <alignment horizontal="center" vertical="center" wrapText="1"/>
    </xf>
    <xf numFmtId="0" fontId="19" fillId="17" borderId="29" xfId="0" applyFont="1" applyFill="1" applyBorder="1" applyAlignment="1">
      <alignment horizontal="center" vertical="center" wrapText="1"/>
    </xf>
    <xf numFmtId="0" fontId="19" fillId="17" borderId="30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24" borderId="29" xfId="0" applyFont="1" applyFill="1" applyBorder="1" applyAlignment="1">
      <alignment horizontal="center" vertical="center" wrapText="1"/>
    </xf>
    <xf numFmtId="0" fontId="19" fillId="16" borderId="28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16" borderId="29" xfId="0" applyFont="1" applyFill="1" applyBorder="1" applyAlignment="1">
      <alignment horizontal="center" vertical="center"/>
    </xf>
    <xf numFmtId="0" fontId="19" fillId="16" borderId="41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9" borderId="58" xfId="0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19" fillId="23" borderId="31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19" fillId="23" borderId="32" xfId="0" applyFont="1" applyFill="1" applyBorder="1" applyAlignment="1">
      <alignment horizontal="center" vertical="center" wrapText="1"/>
    </xf>
    <xf numFmtId="0" fontId="19" fillId="18" borderId="51" xfId="0" applyFont="1" applyFill="1" applyBorder="1" applyAlignment="1">
      <alignment horizontal="center" vertical="center" wrapText="1"/>
    </xf>
    <xf numFmtId="0" fontId="19" fillId="6" borderId="53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9" fillId="6" borderId="54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14" borderId="54" xfId="0" applyFont="1" applyFill="1" applyBorder="1" applyAlignment="1">
      <alignment horizontal="center" vertical="center" wrapText="1"/>
    </xf>
    <xf numFmtId="0" fontId="19" fillId="13" borderId="53" xfId="0" applyFont="1" applyFill="1" applyBorder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19" fillId="13" borderId="54" xfId="0" applyFont="1" applyFill="1" applyBorder="1" applyAlignment="1">
      <alignment horizontal="center" vertical="center" wrapText="1"/>
    </xf>
    <xf numFmtId="0" fontId="2" fillId="12" borderId="20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/>
    </xf>
    <xf numFmtId="0" fontId="20" fillId="8" borderId="58" xfId="0" applyFont="1" applyFill="1" applyBorder="1" applyAlignment="1">
      <alignment horizontal="center" vertical="center"/>
    </xf>
    <xf numFmtId="0" fontId="20" fillId="16" borderId="53" xfId="0" applyFont="1" applyFill="1" applyBorder="1" applyAlignment="1">
      <alignment horizontal="center" vertical="center"/>
    </xf>
    <xf numFmtId="0" fontId="20" fillId="16" borderId="58" xfId="0" applyFont="1" applyFill="1" applyBorder="1" applyAlignment="1">
      <alignment horizontal="center" vertical="center"/>
    </xf>
    <xf numFmtId="0" fontId="19" fillId="3" borderId="53" xfId="0" applyFont="1" applyFill="1" applyBorder="1" applyAlignment="1">
      <alignment horizontal="center" vertical="center"/>
    </xf>
    <xf numFmtId="0" fontId="19" fillId="3" borderId="58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3" fillId="21" borderId="44" xfId="0" applyFont="1" applyFill="1" applyBorder="1" applyAlignment="1">
      <alignment horizontal="left" vertical="center" indent="1"/>
    </xf>
    <xf numFmtId="0" fontId="3" fillId="18" borderId="44" xfId="0" applyFont="1" applyFill="1" applyBorder="1" applyAlignment="1">
      <alignment horizontal="left" vertical="center" indent="1"/>
    </xf>
    <xf numFmtId="0" fontId="3" fillId="19" borderId="44" xfId="0" applyFont="1" applyFill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20" borderId="44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1" fontId="3" fillId="0" borderId="11" xfId="0" applyNumberFormat="1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1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1" fontId="6" fillId="0" borderId="18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13" fillId="21" borderId="25" xfId="0" applyFont="1" applyFill="1" applyBorder="1" applyAlignment="1">
      <alignment horizontal="left" vertical="center" indent="1"/>
    </xf>
    <xf numFmtId="1" fontId="13" fillId="0" borderId="34" xfId="0" applyNumberFormat="1" applyFont="1" applyBorder="1" applyAlignment="1">
      <alignment horizontal="left" vertical="center" indent="1"/>
    </xf>
    <xf numFmtId="1" fontId="13" fillId="18" borderId="0" xfId="0" applyNumberFormat="1" applyFont="1" applyFill="1" applyAlignment="1">
      <alignment horizontal="center" vertical="center"/>
    </xf>
    <xf numFmtId="1" fontId="13" fillId="19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53" xfId="0" applyNumberFormat="1" applyFont="1" applyBorder="1" applyAlignment="1">
      <alignment horizontal="center" vertical="center"/>
    </xf>
    <xf numFmtId="1" fontId="13" fillId="0" borderId="54" xfId="0" applyNumberFormat="1" applyFont="1" applyBorder="1" applyAlignment="1">
      <alignment horizontal="center" vertical="center"/>
    </xf>
    <xf numFmtId="0" fontId="19" fillId="21" borderId="38" xfId="0" applyFont="1" applyFill="1" applyBorder="1" applyAlignment="1">
      <alignment horizontal="center" vertical="center" wrapText="1"/>
    </xf>
    <xf numFmtId="0" fontId="19" fillId="18" borderId="38" xfId="0" applyFont="1" applyFill="1" applyBorder="1" applyAlignment="1">
      <alignment horizontal="center" vertical="center" wrapText="1"/>
    </xf>
    <xf numFmtId="0" fontId="19" fillId="20" borderId="38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7" borderId="38" xfId="0" applyFont="1" applyFill="1" applyBorder="1" applyAlignment="1">
      <alignment horizontal="center" vertical="center" wrapText="1"/>
    </xf>
    <xf numFmtId="0" fontId="19" fillId="15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19" fillId="19" borderId="41" xfId="0" applyFont="1" applyFill="1" applyBorder="1" applyAlignment="1">
      <alignment horizontal="center" vertical="center" wrapText="1"/>
    </xf>
    <xf numFmtId="1" fontId="24" fillId="18" borderId="0" xfId="0" applyNumberFormat="1" applyFont="1" applyFill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23" fillId="18" borderId="0" xfId="0" applyNumberFormat="1" applyFont="1" applyFill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6" fillId="18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12" fillId="18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5" fillId="18" borderId="0" xfId="0" applyNumberFormat="1" applyFont="1" applyFill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4" fillId="0" borderId="53" xfId="0" applyNumberFormat="1" applyFont="1" applyBorder="1" applyAlignment="1">
      <alignment horizontal="center" vertical="center"/>
    </xf>
    <xf numFmtId="1" fontId="24" fillId="0" borderId="54" xfId="0" applyNumberFormat="1" applyFont="1" applyBorder="1" applyAlignment="1">
      <alignment horizontal="center" vertical="center"/>
    </xf>
    <xf numFmtId="1" fontId="23" fillId="0" borderId="53" xfId="0" applyNumberFormat="1" applyFont="1" applyBorder="1" applyAlignment="1">
      <alignment horizontal="center" vertical="center"/>
    </xf>
    <xf numFmtId="1" fontId="23" fillId="0" borderId="54" xfId="0" applyNumberFormat="1" applyFont="1" applyBorder="1" applyAlignment="1">
      <alignment horizontal="center" vertical="center"/>
    </xf>
    <xf numFmtId="1" fontId="6" fillId="0" borderId="53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12" fillId="0" borderId="53" xfId="0" applyNumberFormat="1" applyFont="1" applyBorder="1" applyAlignment="1">
      <alignment horizontal="center" vertical="center"/>
    </xf>
    <xf numFmtId="1" fontId="12" fillId="0" borderId="54" xfId="0" applyNumberFormat="1" applyFont="1" applyBorder="1" applyAlignment="1">
      <alignment horizontal="center" vertical="center"/>
    </xf>
    <xf numFmtId="1" fontId="8" fillId="0" borderId="53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1" fontId="25" fillId="0" borderId="53" xfId="0" applyNumberFormat="1" applyFont="1" applyBorder="1" applyAlignment="1">
      <alignment horizontal="center" vertical="center"/>
    </xf>
    <xf numFmtId="1" fontId="25" fillId="0" borderId="54" xfId="0" applyNumberFormat="1" applyFont="1" applyBorder="1" applyAlignment="1">
      <alignment horizontal="center" vertical="center"/>
    </xf>
    <xf numFmtId="1" fontId="6" fillId="0" borderId="48" xfId="0" applyNumberFormat="1" applyFont="1" applyBorder="1" applyAlignment="1">
      <alignment horizontal="center" vertical="center"/>
    </xf>
    <xf numFmtId="1" fontId="6" fillId="0" borderId="60" xfId="0" applyNumberFormat="1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0" fontId="19" fillId="17" borderId="41" xfId="0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19" fillId="20" borderId="47" xfId="0" applyFont="1" applyFill="1" applyBorder="1" applyAlignment="1">
      <alignment horizontal="center" vertical="center" wrapText="1"/>
    </xf>
    <xf numFmtId="1" fontId="13" fillId="18" borderId="53" xfId="0" applyNumberFormat="1" applyFont="1" applyFill="1" applyBorder="1" applyAlignment="1">
      <alignment horizontal="center" vertical="center"/>
    </xf>
    <xf numFmtId="1" fontId="24" fillId="18" borderId="43" xfId="0" applyNumberFormat="1" applyFont="1" applyFill="1" applyBorder="1" applyAlignment="1">
      <alignment horizontal="center" vertical="center"/>
    </xf>
    <xf numFmtId="1" fontId="13" fillId="18" borderId="43" xfId="0" applyNumberFormat="1" applyFont="1" applyFill="1" applyBorder="1" applyAlignment="1">
      <alignment horizontal="center" vertical="center"/>
    </xf>
    <xf numFmtId="1" fontId="23" fillId="18" borderId="43" xfId="0" applyNumberFormat="1" applyFont="1" applyFill="1" applyBorder="1" applyAlignment="1">
      <alignment horizontal="center" vertical="center"/>
    </xf>
    <xf numFmtId="1" fontId="6" fillId="18" borderId="43" xfId="0" applyNumberFormat="1" applyFont="1" applyFill="1" applyBorder="1" applyAlignment="1">
      <alignment horizontal="center" vertical="center"/>
    </xf>
    <xf numFmtId="1" fontId="12" fillId="18" borderId="43" xfId="0" applyNumberFormat="1" applyFont="1" applyFill="1" applyBorder="1" applyAlignment="1">
      <alignment horizontal="center" vertical="center"/>
    </xf>
    <xf numFmtId="1" fontId="8" fillId="18" borderId="43" xfId="0" applyNumberFormat="1" applyFont="1" applyFill="1" applyBorder="1" applyAlignment="1">
      <alignment horizontal="center" vertical="center"/>
    </xf>
    <xf numFmtId="1" fontId="25" fillId="18" borderId="43" xfId="0" applyNumberFormat="1" applyFont="1" applyFill="1" applyBorder="1" applyAlignment="1">
      <alignment horizontal="center" vertical="center"/>
    </xf>
    <xf numFmtId="1" fontId="6" fillId="18" borderId="18" xfId="0" applyNumberFormat="1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1" fontId="6" fillId="18" borderId="60" xfId="0" applyNumberFormat="1" applyFont="1" applyFill="1" applyBorder="1" applyAlignment="1">
      <alignment horizontal="center" vertical="center"/>
    </xf>
    <xf numFmtId="1" fontId="13" fillId="20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left" vertical="center" indent="1"/>
    </xf>
    <xf numFmtId="0" fontId="17" fillId="0" borderId="14" xfId="0" applyFont="1" applyBorder="1" applyAlignment="1">
      <alignment horizontal="left" vertical="center" indent="1"/>
    </xf>
    <xf numFmtId="0" fontId="2" fillId="5" borderId="20" xfId="0" applyFont="1" applyFill="1" applyBorder="1" applyAlignment="1">
      <alignment horizontal="center" wrapText="1"/>
    </xf>
    <xf numFmtId="0" fontId="19" fillId="21" borderId="60" xfId="0" applyFont="1" applyFill="1" applyBorder="1" applyAlignment="1">
      <alignment horizontal="center" vertical="center" wrapText="1"/>
    </xf>
    <xf numFmtId="0" fontId="19" fillId="18" borderId="59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15" fillId="0" borderId="55" xfId="0" applyFont="1" applyBorder="1" applyAlignment="1">
      <alignment horizontal="left" vertical="center" indent="1"/>
    </xf>
    <xf numFmtId="0" fontId="15" fillId="0" borderId="56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wrapText="1"/>
    </xf>
    <xf numFmtId="0" fontId="15" fillId="21" borderId="44" xfId="0" applyFont="1" applyFill="1" applyBorder="1" applyAlignment="1">
      <alignment horizontal="left" vertical="center" indent="1"/>
    </xf>
    <xf numFmtId="0" fontId="15" fillId="18" borderId="44" xfId="0" applyFont="1" applyFill="1" applyBorder="1" applyAlignment="1">
      <alignment horizontal="left" vertical="center" indent="1"/>
    </xf>
    <xf numFmtId="0" fontId="15" fillId="19" borderId="44" xfId="0" applyFont="1" applyFill="1" applyBorder="1" applyAlignment="1">
      <alignment horizontal="left" vertical="center" indent="1"/>
    </xf>
    <xf numFmtId="0" fontId="15" fillId="0" borderId="44" xfId="0" applyFont="1" applyBorder="1" applyAlignment="1">
      <alignment horizontal="left" vertical="center" indent="1"/>
    </xf>
    <xf numFmtId="0" fontId="15" fillId="20" borderId="44" xfId="0" applyFont="1" applyFill="1" applyBorder="1" applyAlignment="1">
      <alignment horizontal="left" vertical="center" indent="1"/>
    </xf>
    <xf numFmtId="0" fontId="15" fillId="0" borderId="43" xfId="0" applyFont="1" applyBorder="1" applyAlignment="1">
      <alignment horizontal="left" vertical="center" indent="1"/>
    </xf>
    <xf numFmtId="1" fontId="15" fillId="0" borderId="44" xfId="0" applyNumberFormat="1" applyFont="1" applyBorder="1" applyAlignment="1">
      <alignment horizontal="left" vertical="center" indent="1"/>
    </xf>
    <xf numFmtId="0" fontId="15" fillId="0" borderId="46" xfId="0" applyFont="1" applyBorder="1" applyAlignment="1">
      <alignment horizontal="left" vertical="center" indent="1"/>
    </xf>
    <xf numFmtId="0" fontId="15" fillId="18" borderId="43" xfId="0" applyFont="1" applyFill="1" applyBorder="1" applyAlignment="1">
      <alignment horizontal="left" vertical="center" indent="1"/>
    </xf>
    <xf numFmtId="0" fontId="15" fillId="0" borderId="57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left" vertical="center" indent="1"/>
    </xf>
    <xf numFmtId="0" fontId="16" fillId="0" borderId="55" xfId="0" applyFont="1" applyBorder="1" applyAlignment="1">
      <alignment horizontal="left" vertical="center" indent="1"/>
    </xf>
    <xf numFmtId="0" fontId="16" fillId="0" borderId="56" xfId="0" applyFont="1" applyBorder="1" applyAlignment="1">
      <alignment horizontal="left" vertical="center" indent="1"/>
    </xf>
    <xf numFmtId="0" fontId="16" fillId="0" borderId="42" xfId="0" applyFont="1" applyBorder="1" applyAlignment="1">
      <alignment horizontal="left" vertical="center" indent="1"/>
    </xf>
    <xf numFmtId="0" fontId="19" fillId="14" borderId="2" xfId="0" applyFont="1" applyFill="1" applyBorder="1" applyAlignment="1">
      <alignment horizontal="center" vertical="center" wrapText="1"/>
    </xf>
    <xf numFmtId="0" fontId="19" fillId="11" borderId="5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19" fillId="15" borderId="48" xfId="0" applyFont="1" applyFill="1" applyBorder="1" applyAlignment="1">
      <alignment horizontal="center" vertical="center" wrapText="1"/>
    </xf>
    <xf numFmtId="0" fontId="19" fillId="15" borderId="60" xfId="0" applyFont="1" applyFill="1" applyBorder="1" applyAlignment="1">
      <alignment horizontal="center" vertical="center" wrapText="1"/>
    </xf>
    <xf numFmtId="0" fontId="19" fillId="15" borderId="61" xfId="0" applyFont="1" applyFill="1" applyBorder="1" applyAlignment="1">
      <alignment horizontal="center" vertical="center" wrapText="1"/>
    </xf>
    <xf numFmtId="0" fontId="19" fillId="6" borderId="48" xfId="0" applyFont="1" applyFill="1" applyBorder="1" applyAlignment="1">
      <alignment horizontal="center" vertical="center" wrapText="1"/>
    </xf>
    <xf numFmtId="0" fontId="19" fillId="6" borderId="60" xfId="0" applyFont="1" applyFill="1" applyBorder="1" applyAlignment="1">
      <alignment horizontal="center" vertical="center" wrapText="1"/>
    </xf>
    <xf numFmtId="0" fontId="19" fillId="6" borderId="61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left" vertical="center" wrapText="1" indent="1"/>
    </xf>
    <xf numFmtId="0" fontId="19" fillId="7" borderId="25" xfId="0" applyFont="1" applyFill="1" applyBorder="1" applyAlignment="1">
      <alignment horizontal="left" vertical="center" wrapText="1" indent="1"/>
    </xf>
    <xf numFmtId="0" fontId="19" fillId="7" borderId="32" xfId="0" applyFont="1" applyFill="1" applyBorder="1" applyAlignment="1">
      <alignment horizontal="left" vertical="center" wrapText="1" indent="1"/>
    </xf>
    <xf numFmtId="0" fontId="2" fillId="5" borderId="35" xfId="0" applyFont="1" applyFill="1" applyBorder="1" applyAlignment="1">
      <alignment horizontal="center" vertical="center"/>
    </xf>
    <xf numFmtId="0" fontId="19" fillId="11" borderId="25" xfId="0" applyFont="1" applyFill="1" applyBorder="1" applyAlignment="1">
      <alignment horizontal="center" vertical="center"/>
    </xf>
    <xf numFmtId="0" fontId="2" fillId="5" borderId="62" xfId="0" applyFont="1" applyFill="1" applyBorder="1" applyAlignment="1">
      <alignment horizontal="center" wrapText="1"/>
    </xf>
    <xf numFmtId="0" fontId="27" fillId="0" borderId="63" xfId="0" applyFont="1" applyBorder="1" applyAlignment="1">
      <alignment horizontal="center" wrapText="1"/>
    </xf>
    <xf numFmtId="0" fontId="6" fillId="0" borderId="63" xfId="0" applyFont="1" applyBorder="1" applyAlignment="1">
      <alignment horizontal="center" wrapText="1"/>
    </xf>
    <xf numFmtId="0" fontId="15" fillId="0" borderId="63" xfId="0" applyFont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23" fillId="0" borderId="63" xfId="0" applyFont="1" applyBorder="1" applyAlignment="1">
      <alignment horizontal="center" wrapText="1"/>
    </xf>
    <xf numFmtId="0" fontId="8" fillId="0" borderId="63" xfId="0" applyFont="1" applyBorder="1" applyAlignment="1">
      <alignment horizontal="center" wrapText="1"/>
    </xf>
    <xf numFmtId="0" fontId="25" fillId="0" borderId="63" xfId="0" applyFont="1" applyBorder="1" applyAlignment="1">
      <alignment horizontal="center" wrapText="1"/>
    </xf>
    <xf numFmtId="0" fontId="17" fillId="0" borderId="63" xfId="0" applyFont="1" applyBorder="1" applyAlignment="1">
      <alignment horizontal="center" wrapText="1"/>
    </xf>
    <xf numFmtId="0" fontId="15" fillId="0" borderId="64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6" fillId="13" borderId="22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27" fillId="13" borderId="22" xfId="0" applyFont="1" applyFill="1" applyBorder="1" applyAlignment="1">
      <alignment horizontal="center" vertical="center"/>
    </xf>
    <xf numFmtId="0" fontId="23" fillId="13" borderId="22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19" fillId="19" borderId="26" xfId="0" applyFont="1" applyFill="1" applyBorder="1" applyAlignment="1">
      <alignment horizontal="center" vertical="center" wrapText="1"/>
    </xf>
    <xf numFmtId="0" fontId="19" fillId="19" borderId="21" xfId="0" applyFont="1" applyFill="1" applyBorder="1" applyAlignment="1">
      <alignment horizontal="center" vertical="center" wrapText="1"/>
    </xf>
    <xf numFmtId="0" fontId="19" fillId="19" borderId="27" xfId="0" applyFont="1" applyFill="1" applyBorder="1" applyAlignment="1">
      <alignment horizontal="center" vertical="center" wrapText="1"/>
    </xf>
    <xf numFmtId="0" fontId="19" fillId="25" borderId="5" xfId="0" applyFont="1" applyFill="1" applyBorder="1" applyAlignment="1">
      <alignment horizontal="center" vertical="center" wrapText="1"/>
    </xf>
    <xf numFmtId="0" fontId="19" fillId="25" borderId="6" xfId="0" applyFont="1" applyFill="1" applyBorder="1" applyAlignment="1">
      <alignment horizontal="center" vertical="center" wrapText="1"/>
    </xf>
    <xf numFmtId="0" fontId="19" fillId="25" borderId="7" xfId="0" applyFont="1" applyFill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0" fontId="3" fillId="18" borderId="22" xfId="0" applyFont="1" applyFill="1" applyBorder="1" applyAlignment="1">
      <alignment horizontal="center" vertical="center"/>
    </xf>
    <xf numFmtId="0" fontId="5" fillId="18" borderId="22" xfId="0" applyFont="1" applyFill="1" applyBorder="1" applyAlignment="1">
      <alignment horizontal="center" vertical="center"/>
    </xf>
    <xf numFmtId="0" fontId="27" fillId="18" borderId="22" xfId="0" applyFont="1" applyFill="1" applyBorder="1" applyAlignment="1">
      <alignment horizontal="center" vertical="center"/>
    </xf>
    <xf numFmtId="0" fontId="3" fillId="18" borderId="44" xfId="0" applyFont="1" applyFill="1" applyBorder="1" applyAlignment="1">
      <alignment horizontal="center" vertical="center"/>
    </xf>
    <xf numFmtId="0" fontId="3" fillId="19" borderId="22" xfId="0" applyFont="1" applyFill="1" applyBorder="1" applyAlignment="1">
      <alignment horizontal="center" vertical="center"/>
    </xf>
    <xf numFmtId="0" fontId="5" fillId="19" borderId="22" xfId="0" applyFont="1" applyFill="1" applyBorder="1" applyAlignment="1">
      <alignment horizontal="center" vertical="center"/>
    </xf>
    <xf numFmtId="0" fontId="27" fillId="19" borderId="22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20" borderId="22" xfId="0" applyFont="1" applyFill="1" applyBorder="1" applyAlignment="1">
      <alignment horizontal="center" vertical="center"/>
    </xf>
    <xf numFmtId="0" fontId="5" fillId="20" borderId="22" xfId="0" applyFont="1" applyFill="1" applyBorder="1" applyAlignment="1">
      <alignment horizontal="center" vertical="center"/>
    </xf>
    <xf numFmtId="0" fontId="27" fillId="20" borderId="22" xfId="0" applyFont="1" applyFill="1" applyBorder="1" applyAlignment="1">
      <alignment horizontal="center" vertical="center"/>
    </xf>
    <xf numFmtId="0" fontId="3" fillId="20" borderId="44" xfId="0" applyFont="1" applyFill="1" applyBorder="1" applyAlignment="1">
      <alignment horizontal="center" vertical="center"/>
    </xf>
    <xf numFmtId="0" fontId="34" fillId="0" borderId="14" xfId="0" applyFont="1" applyBorder="1" applyAlignment="1">
      <alignment horizontal="left" vertical="center" indent="1"/>
    </xf>
    <xf numFmtId="0" fontId="34" fillId="0" borderId="4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" fillId="5" borderId="36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left" vertical="center" indent="1"/>
    </xf>
    <xf numFmtId="0" fontId="6" fillId="0" borderId="56" xfId="0" applyFont="1" applyBorder="1" applyAlignment="1">
      <alignment horizontal="left" vertical="center" indent="1"/>
    </xf>
    <xf numFmtId="0" fontId="6" fillId="0" borderId="45" xfId="0" applyFont="1" applyBorder="1" applyAlignment="1">
      <alignment horizontal="left" vertical="center" indent="1"/>
    </xf>
    <xf numFmtId="0" fontId="6" fillId="0" borderId="43" xfId="0" applyFont="1" applyBorder="1" applyAlignment="1">
      <alignment horizontal="left" vertical="center" indent="1"/>
    </xf>
    <xf numFmtId="1" fontId="6" fillId="0" borderId="44" xfId="0" applyNumberFormat="1" applyFont="1" applyBorder="1" applyAlignment="1">
      <alignment horizontal="left" vertical="center" indent="1"/>
    </xf>
    <xf numFmtId="0" fontId="6" fillId="0" borderId="46" xfId="0" applyFont="1" applyBorder="1" applyAlignment="1">
      <alignment horizontal="left" vertical="center" indent="1"/>
    </xf>
    <xf numFmtId="0" fontId="6" fillId="0" borderId="44" xfId="0" applyFont="1" applyBorder="1" applyAlignment="1">
      <alignment horizontal="left" vertical="center" indent="1"/>
    </xf>
    <xf numFmtId="0" fontId="13" fillId="0" borderId="44" xfId="0" applyFont="1" applyBorder="1" applyAlignment="1">
      <alignment horizontal="left" vertical="center" indent="1"/>
    </xf>
    <xf numFmtId="0" fontId="6" fillId="0" borderId="57" xfId="0" applyFont="1" applyBorder="1" applyAlignment="1">
      <alignment horizontal="left" vertical="center" indent="1"/>
    </xf>
    <xf numFmtId="0" fontId="7" fillId="0" borderId="57" xfId="0" applyFont="1" applyBorder="1" applyAlignment="1">
      <alignment horizontal="left" vertical="center" indent="1"/>
    </xf>
    <xf numFmtId="0" fontId="7" fillId="0" borderId="56" xfId="0" applyFont="1" applyBorder="1" applyAlignment="1">
      <alignment horizontal="left" vertical="center" indent="1"/>
    </xf>
    <xf numFmtId="0" fontId="7" fillId="0" borderId="42" xfId="0" applyFont="1" applyBorder="1" applyAlignment="1">
      <alignment horizontal="left" vertical="center" indent="1"/>
    </xf>
    <xf numFmtId="0" fontId="19" fillId="21" borderId="2" xfId="0" applyFont="1" applyFill="1" applyBorder="1" applyAlignment="1">
      <alignment horizontal="center" vertical="center" wrapText="1"/>
    </xf>
    <xf numFmtId="0" fontId="19" fillId="21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diagonalUp="0" diagonalDown="0"/>
    </dxf>
    <dxf>
      <border diagonalUp="0" diagonalDown="0">
        <left style="medium">
          <color indexed="64"/>
        </left>
      </border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numFmt numFmtId="1" formatCode="0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1" indent="1" justifyLastLine="0" shrinkToFit="0" readingOrder="0"/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" formatCode="0"/>
      <border diagonalUp="0" diagonalDown="0">
        <left/>
        <right style="medium">
          <color indexed="64"/>
        </right>
        <vertical/>
      </border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/>
        <vertical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</border>
    </dxf>
    <dxf>
      <border diagonalUp="0" diagonalDown="0"/>
    </dxf>
    <dxf>
      <numFmt numFmtId="1" formatCode="0"/>
    </dxf>
    <dxf>
      <border diagonalUp="0" diagonalDown="0">
        <left style="medium">
          <color indexed="64"/>
        </left>
      </border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border outline="0">
        <right style="thin">
          <color indexed="64"/>
        </right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5B1722-550E-442F-8060-1BC95B7AE0FF}" name="RCB" displayName="RCB" ref="B5:BS32" totalsRowShown="0" headerRowDxfId="428" tableBorderDxfId="427">
  <sortState xmlns:xlrd2="http://schemas.microsoft.com/office/spreadsheetml/2017/richdata2" ref="B6:BS32">
    <sortCondition ref="AJ6:AJ32"/>
    <sortCondition ref="AS6:AS32"/>
    <sortCondition ref="AY6:AY32"/>
    <sortCondition ref="BE6:BE32"/>
    <sortCondition ref="BJ6:BJ32"/>
    <sortCondition descending="1" ref="D6:D32"/>
  </sortState>
  <tableColumns count="70">
    <tableColumn id="1" xr3:uid="{542E8140-7853-4ABB-8601-256A100762EB}" name="Team" dataDxfId="426"/>
    <tableColumn id="2" xr3:uid="{A2BAE48A-3FB1-43FA-B657-F265D29639A3}" name="Player" dataDxfId="425"/>
    <tableColumn id="5" xr3:uid="{021DC568-BC3C-4518-8F74-542C76351E4D}" name="Price (In Cr.)" dataDxfId="424"/>
    <tableColumn id="6" xr3:uid="{2F417D1C-D2CB-423C-848D-C93AD56F60A0}" name="In Nat '11" dataDxfId="423"/>
    <tableColumn id="8" xr3:uid="{5E4A98F3-93CE-40B3-8D4C-CB30EF817A8B}" name="CP ROLE" dataDxfId="422"/>
    <tableColumn id="9" xr3:uid="{619F6353-1416-4774-8B2A-C931F5200281}" name="MY11C ROLE" dataDxfId="421"/>
    <tableColumn id="12" xr3:uid="{969DF80A-8F94-4B35-955C-289974674968}" name="TAG" dataDxfId="420"/>
    <tableColumn id="13" xr3:uid="{48FD6D54-BA58-4EC9-8C44-64D03DFED8A9}" name="Must Have" dataDxfId="419"/>
    <tableColumn id="14" xr3:uid="{ED06BC20-4040-45EA-AEF1-B78E2A7DF172}" name="Should " dataDxfId="418"/>
    <tableColumn id="57" xr3:uid="{EECA1713-998C-488D-9FBB-857A498C3209}" name="Avg 50+" dataDxfId="417"/>
    <tableColumn id="56" xr3:uid="{D65A098E-B3C3-4867-8140-1076705112A3}" name="Avg 40+" dataDxfId="416"/>
    <tableColumn id="55" xr3:uid="{91AA6EC8-4162-4E30-BCDA-B1391E1E47B2}" name="Avg 30+" dataDxfId="415"/>
    <tableColumn id="16" xr3:uid="{3D8E4BC1-2204-4007-A03B-DDF31E759B81}" name="CH" dataDxfId="414"/>
    <tableColumn id="17" xr3:uid="{8BE58952-2D8E-4763-93B6-38432A2B28A7}" name="Max 100+" dataDxfId="413"/>
    <tableColumn id="54" xr3:uid="{A0E8B826-85A8-4452-A041-1B40E46F2116}" name="Max 80+" dataDxfId="412"/>
    <tableColumn id="53" xr3:uid="{44671CB1-B4C7-4516-A836-45714806CBA8}" name="Max 50+" dataDxfId="411"/>
    <tableColumn id="58" xr3:uid="{41183D90-1AD3-45C3-B590-185AA3E9E01F}" name="Innings" dataDxfId="410">
      <calculatedColumnFormula>COUNTA(RCB[[#This Row],[G24 cp]],RCB[[#This Row],[G20 cp]],RCB[[#This Row],[G15 cp]],RCB[[#This Row],[G9 cp]],RCB[[#This Row],[G5 cp]])</calculatedColumnFormula>
    </tableColumn>
    <tableColumn id="18" xr3:uid="{6810EA6E-A1DD-4B93-9739-83025DA61040}" name="Max" dataDxfId="409">
      <calculatedColumnFormula>MAX(RCB[[#This Row],[G27 cp]],RCB[[#This Row],[G24 cp]],RCB[[#This Row],[G20 cp]],RCB[[#This Row],[G15 cp]],RCB[[#This Row],[G9 cp]],RCB[[#This Row],[G9 cp]],RCB[[#This Row],[G5 cp]])</calculatedColumnFormula>
    </tableColumn>
    <tableColumn id="19" xr3:uid="{1D744231-2C1A-4839-9880-9B85839D392A}" name="Avg. Oth" dataDxfId="408">
      <calculatedColumnFormula>( SUM(BD6,BI6,BN6,BS6) - S6 ) / ( COUNTA(BD6,BI6,BN6,BS6) - 1 )</calculatedColumnFormula>
    </tableColumn>
    <tableColumn id="20" xr3:uid="{94F8DC23-4B2C-40A8-AA4D-CF37BE10B0C8}" name="Min." dataDxfId="407">
      <calculatedColumnFormula>MIN(RCB[[#This Row],[G24 cp]],RCB[[#This Row],[G24 cp]],RCB[[#This Row],[G20 cp]],RCB[[#This Row],[G15 cp]],RCB[[#This Row],[G9 cp]],RCB[[#This Row],[G9 cp]],RCB[[#This Row],[G5 cp]])</calculatedColumnFormula>
    </tableColumn>
    <tableColumn id="21" xr3:uid="{5345697B-485D-4831-A097-6484CA193FBB}" name="G27 Pts" dataDxfId="406">
      <calculatedColumnFormula>RCB[[#This Row],[G27 cp]]</calculatedColumnFormula>
    </tableColumn>
    <tableColumn id="76" xr3:uid="{07E2465E-B15B-4968-A03A-D25A73AF49EB}" name="G24 Pts" dataDxfId="405">
      <calculatedColumnFormula>RCB[[#This Row],[G24 cp]]</calculatedColumnFormula>
    </tableColumn>
    <tableColumn id="22" xr3:uid="{2C05209E-19DF-4341-8817-48E8B5228EF6}" name="G20 Pts" dataDxfId="404">
      <calculatedColumnFormula>RCB[[#This Row],[G20 cp]]</calculatedColumnFormula>
    </tableColumn>
    <tableColumn id="23" xr3:uid="{8D235B59-5364-46FD-A6BF-067DD492E690}" name="G15 Pts" dataDxfId="403">
      <calculatedColumnFormula>RCB[[#This Row],[G15 cp]]</calculatedColumnFormula>
    </tableColumn>
    <tableColumn id="24" xr3:uid="{02A365CF-D71B-434B-97BE-81D6DC67D16B}" name="G9 Pts" dataDxfId="402">
      <calculatedColumnFormula>RCB[[#This Row],[G9 cp]]</calculatedColumnFormula>
    </tableColumn>
    <tableColumn id="25" xr3:uid="{F62E50CD-AC55-43EF-8A1F-EA2D3C5FAFFF}" name="G5 Pts" dataDxfId="401">
      <calculatedColumnFormula>RCB[[#This Row],[G5 cp]]</calculatedColumnFormula>
    </tableColumn>
    <tableColumn id="62" xr3:uid="{8F52EEDC-B6AA-4F8A-B0DB-FC8465251C98}" name="Innings B1" dataDxfId="400">
      <calculatedColumnFormula>COUNTA(RCB[[#This Row],[G27 cp]], RCB[[#This Row],[G20 cp]],RCB[[#This Row],[G15 cp]])</calculatedColumnFormula>
    </tableColumn>
    <tableColumn id="61" xr3:uid="{301EACD7-A774-41E8-A1E5-5A2427577F07}" name="Max B1" dataDxfId="399">
      <calculatedColumnFormula>MAX(RCB[[#This Row],[G27 cp]], RCB[[#This Row],[G20 cp]],RCB[[#This Row],[G15 cp]])</calculatedColumnFormula>
    </tableColumn>
    <tableColumn id="60" xr3:uid="{312FAE11-3CCA-414F-BAE2-B5BA66B84164}" name="Avg. Oth B1" dataDxfId="398">
      <calculatedColumnFormula>( SUM(RCB[[#This Row],[G27 cp]],RCB[[#This Row],[G20 cp]],RCB[[#This Row],[G15 cp]]) - RCB[[#This Row],[Max B1]] ) / ( RCB[[#This Row],[Innings B1]] - 1)</calculatedColumnFormula>
    </tableColumn>
    <tableColumn id="59" xr3:uid="{0DB92553-574A-4B09-8684-A63C19A18A32}" name="Min B1" dataDxfId="397">
      <calculatedColumnFormula>MIN(RCB[[#This Row],[G27 cp]],RCB[[#This Row],[G20 cp]],RCB[[#This Row],[G15 cp]])</calculatedColumnFormula>
    </tableColumn>
    <tableColumn id="66" xr3:uid="{81CCCB8A-42EE-4D35-98DD-501BB3CB0764}" name="Innings CHS" dataDxfId="396">
      <calculatedColumnFormula>COUNTA(RCB[[#This Row],[G24 cp]],RCB[[#This Row],[G9 cp]],RCB[[#This Row],[G5 cp]])</calculatedColumnFormula>
    </tableColumn>
    <tableColumn id="65" xr3:uid="{BBA294BC-7488-4035-840F-55BB6D9AB382}" name="Max CHS" dataDxfId="395">
      <calculatedColumnFormula>MAX(RCB[[#This Row],[G24 cp]],RCB[[#This Row],[G9 cp]],RCB[[#This Row],[G5 cp]])</calculatedColumnFormula>
    </tableColumn>
    <tableColumn id="64" xr3:uid="{6800318E-43F2-4AB1-9106-1B720CBE823B}" name="Avg. Oth CHS" dataDxfId="394">
      <calculatedColumnFormula>( SUM(RCB[[#This Row],[G24 cp]],RCB[[#This Row],[G9 cp]],RCB[[#This Row],[G5 cp]]) - RCB[[#This Row],[Max CHS]] ) / (RCB[[#This Row],[Innings CHS]] - 1)</calculatedColumnFormula>
    </tableColumn>
    <tableColumn id="63" xr3:uid="{21C5DE70-0DB6-4FA7-8E5E-6CC3DB86632F}" name="Min CHS" dataDxfId="393">
      <calculatedColumnFormula>MIN(RCB[[#This Row],[G24 cp]],RCB[[#This Row],[G9 cp]],RCB[[#This Row],[G5 cp]])</calculatedColumnFormula>
    </tableColumn>
    <tableColumn id="72" xr3:uid="{2C68F161-BB7B-468E-83B9-4E41F03F1052}" name="G27 #" dataDxfId="392"/>
    <tableColumn id="71" xr3:uid="{5A12D0EC-7048-44A2-BEC5-81ABEB1DBE4B}" name="G27 B.type" dataDxfId="391"/>
    <tableColumn id="70" xr3:uid="{D1B60586-BF04-462D-BAF9-BD0F24D5D48E}" name="G27 B" dataDxfId="390"/>
    <tableColumn id="69" xr3:uid="{BAB44C9C-935A-4E85-84F0-85950613FBA5}" name="G27 r" dataDxfId="389"/>
    <tableColumn id="68" xr3:uid="{2BF063B6-A2BD-4C5E-9AC1-A4362F4E4604}" name="G27 r.b" dataDxfId="388"/>
    <tableColumn id="73" xr3:uid="{585A47B8-2D4A-4597-868D-0D4E5186B6F2}" name="G27 b.ov" dataDxfId="387"/>
    <tableColumn id="74" xr3:uid="{2A6EDFDF-4561-4E24-95BB-56E18AE1C407}" name="G27 b.rc" dataDxfId="386"/>
    <tableColumn id="75" xr3:uid="{6C18158E-38B4-4424-8435-5D2FCB684A3B}" name="G27 b.wkt" dataDxfId="385"/>
    <tableColumn id="67" xr3:uid="{F57EC68B-7CFA-421E-A0B0-A0D84B7416A1}" name="G27 cp" dataDxfId="384"/>
    <tableColumn id="26" xr3:uid="{0F15D354-D8B1-4A71-B9FC-8D8E7A9BBF03}" name="G24 #" dataDxfId="383"/>
    <tableColumn id="27" xr3:uid="{26F077DC-C01C-4BE0-9F8F-A2C97DA43286}" name="G24 b" dataDxfId="382"/>
    <tableColumn id="28" xr3:uid="{D3F5035F-D6B0-4D3C-B3C5-BDBE8273D09D}" name="G24 r" dataDxfId="381"/>
    <tableColumn id="29" xr3:uid="{EA13DB2F-A25C-4039-8F35-354C96551B49}" name="G24 rb" dataDxfId="380"/>
    <tableColumn id="30" xr3:uid="{40CA608E-0F08-4E71-B144-CE18DB2ECD12}" name="G24 Bow" dataDxfId="379"/>
    <tableColumn id="31" xr3:uid="{71E55C2B-DF82-41E9-A7B0-B997BD1F348D}" name="G24 cp" dataDxfId="378"/>
    <tableColumn id="32" xr3:uid="{D0E4CB45-FDC0-4581-9397-441B703A7384}" name="G20 #" dataDxfId="377"/>
    <tableColumn id="33" xr3:uid="{60F5BE97-4434-461E-88BA-63E7FF60B921}" name="G20 b" dataDxfId="376"/>
    <tableColumn id="34" xr3:uid="{59984656-60FE-4FD1-8536-8ED38E63AE46}" name="G20 rb" dataDxfId="375"/>
    <tableColumn id="35" xr3:uid="{441A0B5D-6944-489C-9519-8D023EA3DF62}" name="G20 r" dataDxfId="374"/>
    <tableColumn id="36" xr3:uid="{C6F5EA71-22DE-48C1-9A68-A6B480718938}" name="G20 Bow" dataDxfId="373"/>
    <tableColumn id="37" xr3:uid="{1A083B6C-2765-4F1D-BED1-93F3DDC1D6D0}" name="G20 cp" dataDxfId="372"/>
    <tableColumn id="38" xr3:uid="{48DE8D2F-AFC1-4854-A936-215038096EBA}" name="G15 #" dataDxfId="371"/>
    <tableColumn id="39" xr3:uid="{69E8E7A7-45D2-4DAC-9210-8FC1B9E34EB5}" name="G15 Bat." dataDxfId="370"/>
    <tableColumn id="40" xr3:uid="{D92D522A-413E-4147-B693-BFCF9BD242C1}" name="G15 b" dataDxfId="369"/>
    <tableColumn id="41" xr3:uid="{4236F175-96F2-4B97-A8F0-B1A7FCEB4994}" name="G15 Bow" dataDxfId="368"/>
    <tableColumn id="42" xr3:uid="{18D2BC6C-37FB-49EA-A6FF-875C569ABD5D}" name="G15 cp" dataDxfId="367"/>
    <tableColumn id="43" xr3:uid="{705F85ED-09E3-4E12-AEB5-72E33A689385}" name="G9 #" dataDxfId="366"/>
    <tableColumn id="44" xr3:uid="{6F848332-7F4F-407B-988C-D29334FEFDA5}" name="G9 b" dataDxfId="365"/>
    <tableColumn id="45" xr3:uid="{0F644189-9125-4DC8-9DC5-CD4A9AD44895}" name="G9 b8" dataDxfId="364"/>
    <tableColumn id="46" xr3:uid="{C2D5C40E-91D5-4B6C-86EF-7A02EA9ED56B}" name="G9 Bow"/>
    <tableColumn id="47" xr3:uid="{493AEDEB-951A-47AB-8493-6B09D073E8C1}" name="G9 cp"/>
    <tableColumn id="48" xr3:uid="{35D7E79D-9DC0-43E2-9998-B6108F0AD4B7}" name="G5 #"/>
    <tableColumn id="49" xr3:uid="{E47C7039-A205-41FF-9DB7-8AF6A00A05E4}" name="G5 Scr." dataDxfId="363"/>
    <tableColumn id="50" xr3:uid="{A7AF7EF5-042F-4E81-BF70-9BDE5617021B}" name="G5 b"/>
    <tableColumn id="51" xr3:uid="{71F90EF7-A895-4E32-B524-ADD7CCEAC1B4}" name="G5 Bow"/>
    <tableColumn id="52" xr3:uid="{B6B843FA-8A01-4BD6-886D-1DFE3999DBDB}" name="G5 cp" dataDxfId="36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AD078-54EF-455F-8FEC-4884CDF8C8CC}" name="KKR" displayName="KKR" ref="B5:CK28" totalsRowShown="0" headerRowDxfId="361" headerRowBorderDxfId="360" tableBorderDxfId="359">
  <autoFilter ref="B5:CK28" xr:uid="{7C4AD078-54EF-455F-8FEC-4884CDF8C8CC}"/>
  <sortState xmlns:xlrd2="http://schemas.microsoft.com/office/spreadsheetml/2017/richdata2" ref="B6:CK28">
    <sortCondition ref="BB6:BB28"/>
    <sortCondition ref="BK6:BK28"/>
    <sortCondition ref="BQ6:BQ28"/>
    <sortCondition ref="BW6:BW28"/>
    <sortCondition ref="CB6:CB28"/>
    <sortCondition descending="1" ref="D6:D28"/>
  </sortState>
  <tableColumns count="88">
    <tableColumn id="1" xr3:uid="{08942C7B-B010-41F2-80F6-3B0E3F790D79}" name="TEAM"/>
    <tableColumn id="2" xr3:uid="{A355188A-80CB-4A3D-9611-68FB86147256}" name="PLAYER"/>
    <tableColumn id="3" xr3:uid="{68683580-4AE7-479D-81A2-E1EEC18A8BC1}" name="PRICE In Cr."/>
    <tableColumn id="4" xr3:uid="{ACF9925C-4A94-421E-B1E7-85C2E669F48A}" name="Nat'"/>
    <tableColumn id="5" xr3:uid="{F53AB217-251A-4B0F-8CAF-5BAC628B5926}" name="CP ROLE"/>
    <tableColumn id="6" xr3:uid="{FB730454-20B6-4290-901F-F792945B6B60}" name="MY11C ROLE"/>
    <tableColumn id="7" xr3:uid="{F5FBB07C-B78D-4928-9AF1-3DC42E5337BA}" name="TAG"/>
    <tableColumn id="8" xr3:uid="{C1A04AC1-E862-42AD-953D-EE44E84FA411}" name="Must Have"/>
    <tableColumn id="9" xr3:uid="{3D4477A2-959C-4467-BD63-4D6FD9452B14}" name="Should "/>
    <tableColumn id="10" xr3:uid="{178DAA82-DFC7-4DB6-BAC1-5BDABAD0CB2D}" name="Avg Oth 50+"/>
    <tableColumn id="89" xr3:uid="{74BA24FF-ABD0-46EA-A958-4FB57A64945B}" name="Avg Oth 40+"/>
    <tableColumn id="88" xr3:uid="{727FF009-67ED-4107-88A8-28E6A71F84FE}" name="Avg Oth 30+"/>
    <tableColumn id="11" xr3:uid="{586206D8-6EE7-45DE-AEB0-E574F5534CB4}" name="CH"/>
    <tableColumn id="87" xr3:uid="{A60C199D-B7F1-4E2C-BE66-36D8AF41E1FC}" name="Max 100+"/>
    <tableColumn id="86" xr3:uid="{2EA3B93A-F10A-491D-BA33-BECC1C8B5DD0}" name="Max 80+"/>
    <tableColumn id="12" xr3:uid="{016B73F6-145C-443F-A95D-765127D28D6D}" name="Max 50+"/>
    <tableColumn id="58" xr3:uid="{D3FCD92C-5749-4DC6-83F6-96DBC6B6CBE0}" name="Innings" dataDxfId="358">
      <calculatedColumnFormula>COUNTA(KKR[[#This Row],[G28 cp]],KKR[[#This Row],[G22 cp]],KKR[[#This Row],[G19 cp]],KKR[[#This Row],[G13 cp]],KKR[[#This Row],[G9 cp]],KKR[[#This Row],[G2 cp]])</calculatedColumnFormula>
    </tableColumn>
    <tableColumn id="13" xr3:uid="{883FBC88-5F52-4BE0-A35A-38FC1717048D}" name="Max" dataDxfId="357">
      <calculatedColumnFormula>MAX(KKR[[#This Row],[G28 cp]],KKR[[#This Row],[G22 cp]],KKR[[#This Row],[G19 cp]],KKR[[#This Row],[G13 cp]],KKR[[#This Row],[G9 cp]],KKR[[#This Row],[G2 cp]])</calculatedColumnFormula>
    </tableColumn>
    <tableColumn id="14" xr3:uid="{4EC23D37-DC00-468E-9E96-642B166230F4}" name="Avg. Oth" dataDxfId="356">
      <calculatedColumnFormula>( SUM(KKR[[#This Row],[G28 cp]],KKR[[#This Row],[G22 cp]],KKR[[#This Row],[G19 cp]],KKR[[#This Row],[G13 cp]],KKR[[#This Row],[G9 cp]],KKR[[#This Row],[G2 cp]])- KKR[[#This Row],[Max]] ) / ( KKR[[#This Row],[Innings]] - 1)</calculatedColumnFormula>
    </tableColumn>
    <tableColumn id="15" xr3:uid="{7CB11AE2-4944-48F9-B011-FF9628AEFE03}" name="Min." dataDxfId="355">
      <calculatedColumnFormula>MIN(KKR[[#This Row],[G28 cp]],KKR[[#This Row],[G22 cp]],KKR[[#This Row],[G19 cp]],KKR[[#This Row],[G13 cp]],KKR[[#This Row],[G9 cp]],KKR[[#This Row],[G2 cp]])</calculatedColumnFormula>
    </tableColumn>
    <tableColumn id="57" xr3:uid="{42BC59C6-D03E-409F-943B-04ACB69DC5FB}" name="G28 Pts." dataDxfId="354">
      <calculatedColumnFormula>KKR[[#This Row],[G28 cp]]</calculatedColumnFormula>
    </tableColumn>
    <tableColumn id="16" xr3:uid="{D796FE0D-8E8F-4879-A01C-6B68A15D6B53}" name="G22 Pts.3">
      <calculatedColumnFormula>BP6</calculatedColumnFormula>
    </tableColumn>
    <tableColumn id="17" xr3:uid="{6427AAF7-347A-4615-B9B3-91BBBC06B5B1}" name="G19 pts.4">
      <calculatedColumnFormula>BV6</calculatedColumnFormula>
    </tableColumn>
    <tableColumn id="18" xr3:uid="{18267DC6-4F18-42CD-AA29-E02EAD89AC04}" name="G13 Pts5">
      <calculatedColumnFormula>CA6</calculatedColumnFormula>
    </tableColumn>
    <tableColumn id="19" xr3:uid="{DCF5864A-F475-4751-8DC0-503ABF6A4034}" name="G9 pts.6">
      <calculatedColumnFormula>CF6</calculatedColumnFormula>
    </tableColumn>
    <tableColumn id="20" xr3:uid="{5F6F1146-8668-454F-9D95-E860E946143B}" name="G2 pts.7">
      <calculatedColumnFormula>CK6</calculatedColumnFormula>
    </tableColumn>
    <tableColumn id="67" xr3:uid="{7C0D0855-5B3D-4281-BA31-B3C50CB88225}" name=" B1 Must Have" dataDxfId="353"/>
    <tableColumn id="66" xr3:uid="{A5C2820A-5C62-4F07-9C9D-095224BD6D8E}" name="B1 Should "/>
    <tableColumn id="65" xr3:uid="{C492D586-825C-4299-9936-6C3D0DF3C4DF}" name="B1 Avg Oth 50+"/>
    <tableColumn id="64" xr3:uid="{03889886-9B0D-49E3-9B22-89FDC0174FF3}" name="B1 Avg Oth 40+"/>
    <tableColumn id="63" xr3:uid="{B33D46C7-F19C-4BB0-A6C9-865925AD85B7}" name="B1 Avg Oth 30+"/>
    <tableColumn id="62" xr3:uid="{4C2C601C-8068-46E0-AECD-EBB154F133A3}" name=" B1 CH"/>
    <tableColumn id="61" xr3:uid="{B3BC7FE2-2A93-4CD7-9124-50EFC4902631}" name="B1 Max 100+" dataDxfId="352"/>
    <tableColumn id="60" xr3:uid="{71F8EA41-63C3-40AE-953A-4DD2D30A4AF4}" name="B1 Max 80+"/>
    <tableColumn id="59" xr3:uid="{1531036A-5895-481D-A6EB-C77AB6FF9ADE}" name="B1 Max 50+" dataDxfId="351"/>
    <tableColumn id="83" xr3:uid="{BE5A2679-02E3-4BE6-AC83-3F5558F88B1A}" name="B1 Inn" dataDxfId="350">
      <calculatedColumnFormula>COUNTA(KKR[[#This Row],[G28 cp]],KKR[[#This Row],[G22 cp]],KKR[[#This Row],[G19 cp]],KKR[[#This Row],[G13 cp]],KKR[[#This Row],[G9 cp]],KKR[[#This Row],[G2 cp]])</calculatedColumnFormula>
    </tableColumn>
    <tableColumn id="84" xr3:uid="{6C8139AF-C785-4BE1-8C77-8EFEC017FB22}" name="B1 MAX" dataDxfId="349">
      <calculatedColumnFormula>MAX(KKR[[#This Row],[G28 cp]],KKR[[#This Row],[G22 cp]],KKR[[#This Row],[G9 cp]])</calculatedColumnFormula>
    </tableColumn>
    <tableColumn id="82" xr3:uid="{0C38FA9E-D0CC-4C5E-A5D4-F8A2EC61065F}" name="B1 Avg. Oth" dataDxfId="348">
      <calculatedColumnFormula>( SUM(KKR[[#This Row],[G28 cp]],KKR[[#This Row],[G22 cp]],KKR[[#This Row],[G9 cp]]) - KKR[[#This Row],[B1 Inn]]) / (KKR[[#This Row],[B1 Inn]]-1)</calculatedColumnFormula>
    </tableColumn>
    <tableColumn id="81" xr3:uid="{C52A25AA-61CC-45A2-8B15-AE55F9742B84}" name="B1 Min" dataDxfId="347">
      <calculatedColumnFormula>MIN(KKR[[#This Row],[G28 cp]],KKR[[#This Row],[G22 cp]],KKR[[#This Row],[G9 cp]])</calculatedColumnFormula>
    </tableColumn>
    <tableColumn id="71" xr3:uid="{2DB093C9-1BC7-463A-8330-CD00193BC940}" name=" CHS Must Have" dataDxfId="346"/>
    <tableColumn id="70" xr3:uid="{9CF8BC38-D727-4223-A392-CFDAB1D16D9A}" name="CHS Should " dataDxfId="345"/>
    <tableColumn id="69" xr3:uid="{1C2F42DB-3771-4127-9529-4BF9E4FB05FC}" name="CHS Avg Oth 50+"/>
    <tableColumn id="68" xr3:uid="{DB8D3D1C-5D5C-4BCD-AB20-2357454F0F19}" name="CHS Avg Oth 40+"/>
    <tableColumn id="80" xr3:uid="{58968971-8277-4EEB-8BD4-DCC250366CBD}" name="CHS Avg Oth 30+"/>
    <tableColumn id="79" xr3:uid="{6D083354-6377-45AD-8DD3-D7F795FC199C}" name=" CHS CH" dataDxfId="344"/>
    <tableColumn id="78" xr3:uid="{496E5C99-F49F-4025-B7B4-FD5CF5F3DB84}" name=" CHS Max 100+"/>
    <tableColumn id="77" xr3:uid="{2635FE9D-85F9-46AF-A07E-4AB69BB7C7D1}" name=" CHS Max 80+"/>
    <tableColumn id="76" xr3:uid="{3BA002EA-9737-41E9-80D7-25CF084E8D7A}" name=" CHS Max  50+"/>
    <tableColumn id="75" xr3:uid="{9697830F-B238-4DAD-B7B8-07CFA0E6C429}" name="CHS Inn2" dataDxfId="343">
      <calculatedColumnFormula>COUNTA(KKR[[#This Row],[G19 cp]],KKR[[#This Row],[G13 cp]],KKR[[#This Row],[G2 cp]])</calculatedColumnFormula>
    </tableColumn>
    <tableColumn id="74" xr3:uid="{E9280D15-C108-4889-BA6F-E2E5ED259153}" name="CH MAX3" dataDxfId="342">
      <calculatedColumnFormula>MAX(KKR[[#This Row],[G19 cp]],KKR[[#This Row],[G13 cp]],KKR[[#This Row],[G2 cp]])</calculatedColumnFormula>
    </tableColumn>
    <tableColumn id="73" xr3:uid="{D33D01F6-C67F-4410-AE75-C070430B2FE5}" name="CH Avg. Oth4" dataDxfId="341">
      <calculatedColumnFormula>( SUM(KKR[[#This Row],[G19 cp]],KKR[[#This Row],[G13 cp]],KKR[[#This Row],[G2 cp]]) - KKR[[#This Row],[CHS Inn2]]) / (KKR[[#This Row],[CHS Inn2]] -1)</calculatedColumnFormula>
    </tableColumn>
    <tableColumn id="72" xr3:uid="{51E9B25C-3983-4BDD-92F2-131FB85C715F}" name="CH Min5" dataDxfId="340">
      <calculatedColumnFormula>MIN(KKR[[#This Row],[G19 cp]],KKR[[#This Row],[G13 cp]],KKR[[#This Row],[G2 cp]])</calculatedColumnFormula>
    </tableColumn>
    <tableColumn id="53" xr3:uid="{CA39500F-B6AD-47A9-8069-A254FDD9E82B}" name="G28 #" dataDxfId="339"/>
    <tableColumn id="52" xr3:uid="{800F3C17-18C0-4896-BEAC-A77A4BEBF6AC}" name="G28 B.type"/>
    <tableColumn id="51" xr3:uid="{B8ED5105-543A-4710-8127-45EA3686907E}" name="G28 B.nm"/>
    <tableColumn id="50" xr3:uid="{EF11CF56-0C2F-471B-BE04-D40DA576547B}" name="G28 r"/>
    <tableColumn id="49" xr3:uid="{E657B411-0719-4C96-817E-D30FF055350F}" name="G28 r.b"/>
    <tableColumn id="56" xr3:uid="{787E49E8-DCFE-498F-B7D0-3EC68356D9ED}" name="G28 b.ov"/>
    <tableColumn id="55" xr3:uid="{C5F5F258-240D-47D3-821D-BB05AB880CB0}" name="G28 b.rc"/>
    <tableColumn id="54" xr3:uid="{01FB11BA-6B39-485E-97B1-19ED2E75368F}" name="G28 b.wkt"/>
    <tableColumn id="48" xr3:uid="{83721CC4-677E-43DD-8801-16FF6985C0DC}" name="G28 cp" dataDxfId="338"/>
    <tableColumn id="21" xr3:uid="{1036882B-FAB2-4DE5-9A7E-28023C0A9FA7}" name="G22 #"/>
    <tableColumn id="22" xr3:uid="{F7B96382-CFB8-4988-BDB4-BE02E53DA46C}" name="G22 b"/>
    <tableColumn id="23" xr3:uid="{9889CF2B-0AA3-4958-A40F-C8DFC974D200}" name="G22 r"/>
    <tableColumn id="24" xr3:uid="{6B64BB6D-7D50-478A-9C1B-73A8B97CA4D6}" name="G22 rb"/>
    <tableColumn id="25" xr3:uid="{51AF6EB3-879A-41BA-91D1-A680B7844995}" name="G22 Bow"/>
    <tableColumn id="26" xr3:uid="{C41911FA-B79E-4190-89B9-893F2A76999F}" name="G22 cp"/>
    <tableColumn id="27" xr3:uid="{3047CBEC-17E9-4B63-941E-27AE8A0ABE5A}" name="G19 #"/>
    <tableColumn id="28" xr3:uid="{3797E19E-17D1-49D6-AEDF-E86CB9330980}" name="G19 b"/>
    <tableColumn id="29" xr3:uid="{5619EBDE-34F3-4682-BCAA-1A82ACED9CF3}" name="G19 r"/>
    <tableColumn id="30" xr3:uid="{D2B73164-AF49-47AC-B63A-A870F0228BA3}" name="G19 rb"/>
    <tableColumn id="31" xr3:uid="{DEB0B678-D9D0-4B46-80FB-2A8324FADEEE}" name="G19 bow"/>
    <tableColumn id="32" xr3:uid="{191906AC-8C41-4F42-B5F9-CB12E8BB385D}" name="G19 cp"/>
    <tableColumn id="33" xr3:uid="{78667D78-66B6-49D8-8F6E-24E4752AAF32}" name="G13 #"/>
    <tableColumn id="34" xr3:uid="{92881C2B-82BC-47E4-A3FF-46A1C3F52B29}" name="G13 Scr."/>
    <tableColumn id="35" xr3:uid="{502455FD-F3F5-4940-A526-3CF1FE02E7DA}" name="G13 b"/>
    <tableColumn id="36" xr3:uid="{3CF85B58-48EE-491D-9E52-262AA86F6A2E}" name="G13 Bow"/>
    <tableColumn id="37" xr3:uid="{5C18B03D-13DE-465A-A2D1-A1B3D6C9FBE1}" name="G13 cp"/>
    <tableColumn id="38" xr3:uid="{017F1FDC-3F55-44B2-B69B-959B7807E83B}" name="G9 #"/>
    <tableColumn id="39" xr3:uid="{0BD56EEF-35DE-43B9-B0B9-EE7A7DECE8D1}" name="G9 Scr."/>
    <tableColumn id="40" xr3:uid="{F15341A0-9254-48EA-857E-39078C72374C}" name="G9 b"/>
    <tableColumn id="41" xr3:uid="{ACEAE316-0F67-4129-9AD4-02AFB42AD7DF}" name="G9 bow"/>
    <tableColumn id="42" xr3:uid="{7524B623-0092-43B0-87D7-89D349939254}" name="G9 cp"/>
    <tableColumn id="43" xr3:uid="{13D29BD9-3281-4A62-A131-520856BE5CCF}" name="G2 #"/>
    <tableColumn id="44" xr3:uid="{4A51CB7A-71D5-4769-ABB4-BD221BBAA147}" name="G2 Scr."/>
    <tableColumn id="45" xr3:uid="{039B8078-3B2D-494B-A2F8-799F2CE54000}" name="G2 b"/>
    <tableColumn id="46" xr3:uid="{79BBD369-D9E3-4785-9B55-0AFFDA2078FC}" name="G2 bow"/>
    <tableColumn id="47" xr3:uid="{31138219-FB0E-4D33-A3B1-49952C5CBF6E}" name="G2 c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17AC34-9F26-4081-96D1-EEA62FD7943C}" name="SRH" displayName="SRH" ref="B5:CK30" totalsRowShown="0" headerRowDxfId="243" tableBorderDxfId="242">
  <autoFilter ref="B5:CK30" xr:uid="{7C17AC34-9F26-4081-96D1-EEA62FD7943C}"/>
  <sortState xmlns:xlrd2="http://schemas.microsoft.com/office/spreadsheetml/2017/richdata2" ref="B6:CK30">
    <sortCondition ref="BB6:BB30"/>
    <sortCondition ref="BK6:BK30"/>
    <sortCondition ref="BQ6:BQ30"/>
    <sortCondition ref="CB6:CB30"/>
    <sortCondition descending="1" ref="D6:D30"/>
  </sortState>
  <tableColumns count="88">
    <tableColumn id="1" xr3:uid="{75C3BBDD-2A03-419D-904F-05C8CB2E84C0}" name="TEAM"/>
    <tableColumn id="2" xr3:uid="{C496E05B-76AF-4A55-AEAE-F1EE284AE814}" name="PLAYER"/>
    <tableColumn id="3" xr3:uid="{065FB76C-E818-4243-A897-AA747A973146}" name="Rs Cr"/>
    <tableColumn id="4" xr3:uid="{4D4A495F-4D78-40FE-BA8A-4107B56F7009}" name="Nat"/>
    <tableColumn id="5" xr3:uid="{CE3D9853-C968-4492-8E65-7D9985BD249A}" name="CP ROLE "/>
    <tableColumn id="6" xr3:uid="{993A5DAE-636A-44C0-AFE7-848FB594E88A}" name="MY11C ROLE " dataDxfId="241"/>
    <tableColumn id="7" xr3:uid="{432DB221-9C00-43F7-9D6A-8EDA92D69B5D}" name="TAG"/>
    <tableColumn id="8" xr3:uid="{0B947974-2724-456F-9F53-FDA04025568E}" name="Must Have"/>
    <tableColumn id="9" xr3:uid="{528941B6-6194-4B76-BDE3-7567C9BAEEDB}" name="Should "/>
    <tableColumn id="10" xr3:uid="{789D23A1-2ED9-4BC5-A5DF-1D5D5E29E8D6}" name="Avg 50+"/>
    <tableColumn id="80" xr3:uid="{DBC166BA-74E9-4D16-B8E7-9A1709548D2E}" name="Avg 40+"/>
    <tableColumn id="79" xr3:uid="{AEDB9BF7-C34B-431D-B659-870B3E167515}" name="Avg 30+"/>
    <tableColumn id="11" xr3:uid="{1378E15F-CE76-46EA-9A46-0530EBC8A1DE}" name="Max"/>
    <tableColumn id="12" xr3:uid="{A9592418-5E8E-4738-A24D-3617410CC311}" name="Max 100+"/>
    <tableColumn id="78" xr3:uid="{E97E3BB9-77C4-4A3C-92D3-41B15568FEF3}" name="Max 80+"/>
    <tableColumn id="77" xr3:uid="{8A88F1CA-E6D6-4D5C-B3E1-A39772E90BF3}" name="Max 50+"/>
    <tableColumn id="74" xr3:uid="{FD48B7F6-4064-4A23-9A13-F59D85B28F51}" name="Innings" dataDxfId="240">
      <calculatedColumnFormula>COUNTA(SRH[[#This Row],[G29 cp]],SRH[[#This Row],[G25 cp]],SRH[[#This Row],[G19 cp]],SRH[[#This Row],[G14 cp]],SRH[[#This Row],[G10 cp]],SRH[[#This Row],[G4 cp]])</calculatedColumnFormula>
    </tableColumn>
    <tableColumn id="13" xr3:uid="{BF72A73A-7B87-4050-BE45-ABDCEEA06713}" name="Max2" dataDxfId="239">
      <calculatedColumnFormula>MAX(SRH[[#This Row],[G29 cp]],SRH[[#This Row],[G25 cp]],SRH[[#This Row],[G19 cp]],SRH[[#This Row],[G14 cp]],SRH[[#This Row],[G10 cp]],SRH[[#This Row],[G4 cp]])</calculatedColumnFormula>
    </tableColumn>
    <tableColumn id="14" xr3:uid="{7F5451B8-50C6-4116-BB18-BF3B42BC1509}" name="Avg. Oth" dataDxfId="238">
      <calculatedColumnFormula>( SUM(SRH[[#This Row],[G29 cp]],SRH[[#This Row],[G25 cp]],SRH[[#This Row],[G19 cp]],SRH[[#This Row],[G14 cp]],SRH[[#This Row],[G10 cp]],SRH[[#This Row],[G4 cp]]) - SRH[[#This Row],[Max2]]) / (SRH[[#This Row],[Innings]]-1)</calculatedColumnFormula>
    </tableColumn>
    <tableColumn id="15" xr3:uid="{4C3D3CBD-D30E-463C-97FB-EB462EB416CA}" name="Min" dataDxfId="237">
      <calculatedColumnFormula>MIN(SRH[[#This Row],[G29 cp]],SRH[[#This Row],[G25 cp]],SRH[[#This Row],[G19 cp]],SRH[[#This Row],[G14 cp]],SRH[[#This Row],[G10 cp]],SRH[[#This Row],[G4 cp]])</calculatedColumnFormula>
    </tableColumn>
    <tableColumn id="16" xr3:uid="{8B9ECFC3-0754-422E-8D5A-9B8B0B65AA16}" name="G29 Pts" dataDxfId="236">
      <calculatedColumnFormula>SRH[[#This Row],[G29 cp]]</calculatedColumnFormula>
    </tableColumn>
    <tableColumn id="73" xr3:uid="{2FFA1337-C868-490A-8634-3A7C78C54DFF}" name="G25 Pts" dataDxfId="235">
      <calculatedColumnFormula>SRH[[#This Row],[G25 cp]]</calculatedColumnFormula>
    </tableColumn>
    <tableColumn id="17" xr3:uid="{9E0B525E-3FCD-4F71-895F-575B725A7A68}" name="G19 Pts4">
      <calculatedColumnFormula>IF(BV6 = "","",BV6)</calculatedColumnFormula>
    </tableColumn>
    <tableColumn id="18" xr3:uid="{55E97DD3-1B26-4A82-AC91-9CB7E9F9A913}" name="G14 Pts.5">
      <calculatedColumnFormula>IF(CA6="","",CA6)</calculatedColumnFormula>
    </tableColumn>
    <tableColumn id="19" xr3:uid="{36918096-20D9-4CD3-B4CB-865B814348FD}" name="G10 Pts6">
      <calculatedColumnFormula>IF(CF6="","",CF6)</calculatedColumnFormula>
    </tableColumn>
    <tableColumn id="20" xr3:uid="{83C0B196-1FAB-4C3B-9695-D69B8DA3B468}" name="G4 Pts7">
      <calculatedColumnFormula>IF(CK6="","",CK6)</calculatedColumnFormula>
    </tableColumn>
    <tableColumn id="21" xr3:uid="{98BA7562-6CD7-4104-983A-D8DA5E49036B}" name="B1 Must Have"/>
    <tableColumn id="22" xr3:uid="{C7CA7339-D33F-4CA8-BBB3-04F19F1775C4}" name="B1 Should"/>
    <tableColumn id="23" xr3:uid="{2427563B-F258-43AA-AAC0-DE477178B0A9}" name="B1 Avg 50+"/>
    <tableColumn id="84" xr3:uid="{3B0156BC-F889-4006-9FEB-E3BCF38A2C6B}" name="B1 Avg 40+"/>
    <tableColumn id="83" xr3:uid="{76EB2F01-132C-4E06-B385-F6D6AE25C55E}" name="B1 Avg 30+"/>
    <tableColumn id="24" xr3:uid="{BEC676DE-EF97-4C9B-B167-FEFD370ABB07}" name="B1 Max"/>
    <tableColumn id="25" xr3:uid="{169BA2D2-A0FF-4478-81AC-05C54D69CD4A}" name="B1 Max 100+"/>
    <tableColumn id="82" xr3:uid="{0B4502B3-6DAD-45AC-B978-B15D11427167}" name="B1 Max 80+"/>
    <tableColumn id="81" xr3:uid="{0D8C4E63-D871-4ABF-A7A7-43364AE0BC91}" name="B1 Max 50+"/>
    <tableColumn id="75" xr3:uid="{5A691B49-155A-4904-BE18-640535987157}" name="B1 Innings" dataDxfId="234">
      <calculatedColumnFormula>COUNTA(SRH[[#This Row],[G29 cp]],SRH[[#This Row],[G19 cp]],SRH[[#This Row],[G10 cp]])</calculatedColumnFormula>
    </tableColumn>
    <tableColumn id="26" xr3:uid="{A9C1D716-2CC2-4106-8D8A-9AE4733356E7}" name="B1 MAX2" dataDxfId="233">
      <calculatedColumnFormula>MAX(SRH[[#This Row],[G29 cp]],SRH[[#This Row],[G19 cp]],SRH[[#This Row],[G10 cp]])</calculatedColumnFormula>
    </tableColumn>
    <tableColumn id="27" xr3:uid="{F52C4A39-04DB-4957-90C2-88CBEB6A8EC2}" name="B1 Avg. Oth" dataDxfId="232">
      <calculatedColumnFormula>( SUM(SRH[[#This Row],[G29 cp]],SRH[[#This Row],[G19 cp]],SRH[[#This Row],[G10 cp]]) - SRH[[#This Row],[B1 MAX2]]) / ( SRH[[#This Row],[B1 Innings]] - 1)</calculatedColumnFormula>
    </tableColumn>
    <tableColumn id="28" xr3:uid="{CE399B5F-5767-484F-B07D-9DCEE58070FD}" name="B1 Min" dataDxfId="231">
      <calculatedColumnFormula>MIN(SRH[[#This Row],[G29 cp]],SRH[[#This Row],[G19 cp]],SRH[[#This Row],[G10 cp]])</calculatedColumnFormula>
    </tableColumn>
    <tableColumn id="29" xr3:uid="{9EF50045-E13E-4AE5-AE27-168A6974F5A8}" name="CHS Must Have"/>
    <tableColumn id="30" xr3:uid="{76B4CCEA-F6B6-4220-AA5C-701AD731497B}" name="CHS Should "/>
    <tableColumn id="31" xr3:uid="{7A7B4905-8714-4658-AB0A-1D9B714DE6CA}" name="CHS Avg Oth 50+"/>
    <tableColumn id="88" xr3:uid="{EA5CB444-3892-4D2B-8232-2144BBB01C81}" name="CHS Avg Oth 40+"/>
    <tableColumn id="87" xr3:uid="{ED5E4934-7C33-4946-A6C6-4B6616315902}" name="CHS Avg Oth 30+"/>
    <tableColumn id="32" xr3:uid="{D0E5B4E4-4927-4D2B-AC18-0D79DDEDC396}" name="CHS CH"/>
    <tableColumn id="33" xr3:uid="{D613B1CA-6538-4908-969A-A15450DCC3F7}" name="CHS  Max 100+"/>
    <tableColumn id="86" xr3:uid="{16DFD828-45A0-475C-8FE3-B84D00995C2D}" name="CHS Max 80+"/>
    <tableColumn id="85" xr3:uid="{14B3B4A5-C2BD-42A1-9669-A4FDD68AD2C1}" name="CHS Max 50+"/>
    <tableColumn id="76" xr3:uid="{BBC4BCAF-30E5-49D4-BE6A-49267CD93181}" name="CHS Innings" dataDxfId="230">
      <calculatedColumnFormula>COUNTA(SRH[[#This Row],[G25 cp]],SRH[[#This Row],[G14 cp]],SRH[[#This Row],[G4 cp]])</calculatedColumnFormula>
    </tableColumn>
    <tableColumn id="34" xr3:uid="{5C3AA10E-B245-4A6A-BB35-9B932E68BA80}" name="CH MAX" dataDxfId="229">
      <calculatedColumnFormula>MAX(SRH[[#This Row],[G25 cp]],SRH[[#This Row],[G14 cp]],SRH[[#This Row],[G4 cp]])</calculatedColumnFormula>
    </tableColumn>
    <tableColumn id="35" xr3:uid="{50C47F8E-BD86-4AA5-B3F9-BCA1F415DAFC}" name="CH Avg. Oth" dataDxfId="228">
      <calculatedColumnFormula>( SUM(SRH[[#This Row],[G25 cp]],SRH[[#This Row],[G14 cp]],SRH[[#This Row],[G4 cp]]) -SRH[[#This Row],[CH MAX]]) / (SRH[[#This Row],[CHS Innings]]-1)</calculatedColumnFormula>
    </tableColumn>
    <tableColumn id="36" xr3:uid="{CED8FE52-4565-44F2-A226-F83DC16BB893}" name="CH Min" dataDxfId="227">
      <calculatedColumnFormula>MIN(SRH[[#This Row],[G25 cp]],SRH[[#This Row],[G14 cp]],SRH[[#This Row],[G4 cp]])</calculatedColumnFormula>
    </tableColumn>
    <tableColumn id="71" xr3:uid="{F8720238-972E-4735-A4E8-C02A497E7A0A}" name="G29#"/>
    <tableColumn id="70" xr3:uid="{AAF4FD5B-711F-4AA0-A292-A837130FD95B}" name="G29 B.type"/>
    <tableColumn id="69" xr3:uid="{B1BA074D-D7F2-478D-B4AA-B11DA68B8C0D}" name="G29 B.nm"/>
    <tableColumn id="68" xr3:uid="{CCBEAA7C-84AA-4DF5-AB44-8C23B1E6BB23}" name="G29 r"/>
    <tableColumn id="67" xr3:uid="{57EB2422-42A1-4153-A573-FFA533F13A01}" name="G29 r.b"/>
    <tableColumn id="66" xr3:uid="{78E2C0DA-7C1F-40EF-9341-04E67E1BE0E2}" name="G29 b.ov"/>
    <tableColumn id="65" xr3:uid="{413689E6-B558-4051-AD15-247AF8BC35FD}" name="G29 b.rc"/>
    <tableColumn id="72" xr3:uid="{F3E91656-4984-4AE3-8638-1530EB0601BA}" name="G29 b.wkt"/>
    <tableColumn id="64" xr3:uid="{140642E0-F75B-4747-BC3A-FEADD999870E}" name="G29 cp"/>
    <tableColumn id="37" xr3:uid="{051E3E2A-0129-48FE-BC75-986EB67E5FAB}" name="G25 #"/>
    <tableColumn id="38" xr3:uid="{B4167D57-24C9-4450-82C2-ACADBB9272CB}" name="G25 b"/>
    <tableColumn id="39" xr3:uid="{9C9649DE-6395-46FD-9961-F0DE6A918AF3}" name="G25 r"/>
    <tableColumn id="40" xr3:uid="{14CE7EFF-5F89-4F54-98D0-2F24504E9BDF}" name="G25 rb"/>
    <tableColumn id="41" xr3:uid="{64A7F779-BB4C-438B-A269-5B9A6BA5C979}" name="G25 Bow"/>
    <tableColumn id="42" xr3:uid="{BBEDDCBC-3D30-40EB-B365-8E8E338ECFA2}" name="G25 cp"/>
    <tableColumn id="43" xr3:uid="{C9DF7E36-4E55-4674-BC5E-83E7DBFB6828}" name="G19 #"/>
    <tableColumn id="44" xr3:uid="{4816C53F-1008-4305-9D6B-8E1F715BB492}" name="G19 b"/>
    <tableColumn id="45" xr3:uid="{33AF5EB9-ADDB-4E9F-9E99-72C252655AFE}" name="G19 r"/>
    <tableColumn id="46" xr3:uid="{20D83871-C3FA-4E57-8E4C-97F2DCF9AE36}" name="G19 rb"/>
    <tableColumn id="47" xr3:uid="{9BD5D56A-B77E-4CA8-8964-857A1092413A}" name="G19 Bow"/>
    <tableColumn id="48" xr3:uid="{E856364E-57D3-49B8-A480-921CCFEB0EA1}" name="G19 cp"/>
    <tableColumn id="49" xr3:uid="{4A3BF49E-487E-4BCE-AF4A-CAA68FEFC1F6}" name="G14 #"/>
    <tableColumn id="50" xr3:uid="{D8BFDAB4-D9A5-4C38-BD1C-189F7CD332FB}" name="G14 Scr."/>
    <tableColumn id="51" xr3:uid="{69EC557E-74BF-4649-A636-D7B4D8B63948}" name="G14 b"/>
    <tableColumn id="52" xr3:uid="{270C82CE-2B57-4E51-8206-55E1E17DA1F7}" name="G14 Bow"/>
    <tableColumn id="53" xr3:uid="{DA34DDAB-6151-4F43-A4C5-C8F7D06629FB}" name="G14 cp"/>
    <tableColumn id="54" xr3:uid="{479392AF-73AE-4D78-8BD1-F14AE188D4AA}" name="G10 #"/>
    <tableColumn id="55" xr3:uid="{ACAAEE80-D158-4C14-8EC1-B1BF5E17011A}" name="G10 Bat."/>
    <tableColumn id="56" xr3:uid="{2747BCD2-F66D-4F5B-801A-F90CE08AB652}" name="B"/>
    <tableColumn id="57" xr3:uid="{00DEB782-2CFD-412D-901B-7B8CCA106C2A}" name="G10 Bow"/>
    <tableColumn id="58" xr3:uid="{CEBE626E-68D6-409B-A75A-BC5171C099D9}" name="G10 cp"/>
    <tableColumn id="59" xr3:uid="{BC263711-8D25-4ADB-A7AE-3A15E524ECB8}" name="G4 #"/>
    <tableColumn id="60" xr3:uid="{C8A004E5-DF2D-495E-9668-97E95E217B50}" name="G4 Scr."/>
    <tableColumn id="61" xr3:uid="{02F0B772-CE26-42E1-BA5E-9A51193C4F45}" name="G4 b"/>
    <tableColumn id="62" xr3:uid="{6B092367-4D92-41F3-87A8-EBC529C86063}" name="G4 Bow"/>
    <tableColumn id="63" xr3:uid="{057FD17C-915A-4837-B871-AE445B18A02D}" name="G4 c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FC8D7-B3B9-48CC-985C-F351976B5F02}" name="DC" displayName="DC" ref="B5:BM30" totalsRowShown="0" headerRowDxfId="226" tableBorderDxfId="225">
  <autoFilter ref="B5:BM30" xr:uid="{B57FC8D7-B3B9-48CC-985C-F351976B5F02}"/>
  <sortState xmlns:xlrd2="http://schemas.microsoft.com/office/spreadsheetml/2017/richdata2" ref="B6:BM30">
    <sortCondition ref="AB6:AB30"/>
    <sortCondition ref="AK6:AK30"/>
    <sortCondition ref="AQ6:AQ30"/>
    <sortCondition ref="AW6:AW30"/>
    <sortCondition ref="BB6:BB30"/>
    <sortCondition ref="BG6:BG30"/>
    <sortCondition descending="1" ref="D6:D30"/>
  </sortState>
  <tableColumns count="64">
    <tableColumn id="1" xr3:uid="{29EDD2DB-1B9E-468B-8878-4F7A2A4B3D96}" name="TEAM" dataDxfId="224"/>
    <tableColumn id="2" xr3:uid="{13C3CC8C-8606-4AB4-9B5D-7B3C44218D65}" name="PLAYER" dataDxfId="223"/>
    <tableColumn id="5" xr3:uid="{367045DD-B381-4B00-86E3-75652C723611}" name="PRICE in Cr." dataDxfId="222"/>
    <tableColumn id="7" xr3:uid="{6A1639C8-9A9A-4FED-A1CC-779A1CC6E2B6}" name="Nat '11" dataDxfId="221"/>
    <tableColumn id="9" xr3:uid="{0DBF1FB8-4D83-47C5-A90F-8EA81168B1A5}" name="ROLE CRICKPE" dataDxfId="220"/>
    <tableColumn id="10" xr3:uid="{B15A83EB-6EAB-41D6-9F1F-900FBF3702BF}" name="ROLE MYCIRCLE11" dataDxfId="219"/>
    <tableColumn id="11" xr3:uid="{DCBB3C93-CB8B-4970-B1C8-294880B1EDFA}" name="TAG" dataDxfId="218"/>
    <tableColumn id="12" xr3:uid="{2E2E682B-EF99-4FC1-BAA9-0513DF07A5C5}" name="Must Have" dataDxfId="217"/>
    <tableColumn id="13" xr3:uid="{FC2A7AAE-66D7-401C-9AFC-BE73E5200BF7}" name="Should " dataDxfId="216"/>
    <tableColumn id="14" xr3:uid="{C4C79959-013A-48BA-90F7-4D2A5FE26566}" name="Avg 50+" dataDxfId="215"/>
    <tableColumn id="68" xr3:uid="{BE4BDECC-AC4D-4F11-B6D0-721201E8B35B}" name="Avg 40+" dataDxfId="214"/>
    <tableColumn id="67" xr3:uid="{80AD40D8-94B9-4392-A15B-0C6D76342519}" name="Avg 30+" dataDxfId="213"/>
    <tableColumn id="15" xr3:uid="{A320EF6A-1F0E-4B90-8F7F-4261B6DC68AF}" name="CH" dataDxfId="212"/>
    <tableColumn id="16" xr3:uid="{AFB4713F-0872-452E-ADD2-C1FEB6262F0A}" name="Max 100+" dataDxfId="211"/>
    <tableColumn id="66" xr3:uid="{A0FCABF4-C7EF-41D8-9BE9-4F2088421B0C}" name="Max 80+" dataDxfId="210"/>
    <tableColumn id="65" xr3:uid="{14DEF800-A2B0-4A8D-A935-77EE47062945}" name="Max 50+2" dataDxfId="209"/>
    <tableColumn id="64" xr3:uid="{7B17A7FB-0C0C-49B9-9331-C0B47C107AD4}" name="Innings" dataDxfId="208">
      <calculatedColumnFormula>COUNTA(DC[[#This Row],[G28 cp]],DC[[#This Row],[G20 cp]],DC[[#This Row],[G16 cp]],DC[[#This Row],[G11 cp]],DC[[#This Row],[G7 cp]],DC[[#This Row],[G3 cp]])</calculatedColumnFormula>
    </tableColumn>
    <tableColumn id="17" xr3:uid="{5013352F-01BD-409D-B784-9A0ADF755D57}" name="Max." dataDxfId="207">
      <calculatedColumnFormula>MAX(DC[[#This Row],[G28 cp]],DC[[#This Row],[G20 cp]],DC[[#This Row],[G16 cp]],DC[[#This Row],[G11 cp]],DC[[#This Row],[G7 cp]],DC[[#This Row],[G3 cp]])</calculatedColumnFormula>
    </tableColumn>
    <tableColumn id="18" xr3:uid="{44FBBA73-B6B0-40E5-BFF8-D3B3FC7A457A}" name="Avg. Oth" dataDxfId="206">
      <calculatedColumnFormula>( SUM(DC[[#This Row],[G28 cp]],DC[[#This Row],[G20 cp]],DC[[#This Row],[G16 cp]],DC[[#This Row],[G11 cp]],DC[[#This Row],[G7 cp]],DC[[#This Row],[G3 cp]])-DC[[#This Row],[Max.]]) / (DC[[#This Row],[Innings]]-1)</calculatedColumnFormula>
    </tableColumn>
    <tableColumn id="19" xr3:uid="{0EA3331F-2EE6-4AE2-9CD3-12CD31343697}" name="Min." dataDxfId="205">
      <calculatedColumnFormula>MIN(DC[[#This Row],[G28 cp]],DC[[#This Row],[G20 cp]],DC[[#This Row],[G16 cp]],DC[[#This Row],[G11 cp]],DC[[#This Row],[G7 cp]],DC[[#This Row],[G3 cp]])</calculatedColumnFormula>
    </tableColumn>
    <tableColumn id="20" xr3:uid="{086E92BE-BE6B-4E63-B64E-8F10AB3248CD}" name="G28 Pts" dataDxfId="204">
      <calculatedColumnFormula>DC[[#This Row],[G28 cp]]</calculatedColumnFormula>
    </tableColumn>
    <tableColumn id="63" xr3:uid="{71EDBD1B-9B61-4F47-89EF-8573A1D96777}" name="G20 Pts" dataDxfId="203">
      <calculatedColumnFormula>DC[[#This Row],[G20 cp]]</calculatedColumnFormula>
    </tableColumn>
    <tableColumn id="21" xr3:uid="{22C46913-36F2-490A-894E-29CCA936578A}" name="G16 Pts" dataDxfId="202">
      <calculatedColumnFormula>DC[[#This Row],[G16 cp]]</calculatedColumnFormula>
    </tableColumn>
    <tableColumn id="22" xr3:uid="{5FC909A3-91BB-4715-B41A-BCB91151F385}" name="G11 Pts" dataDxfId="201">
      <calculatedColumnFormula>DC[[#This Row],[G11 cp]]</calculatedColumnFormula>
    </tableColumn>
    <tableColumn id="23" xr3:uid="{C5D00056-CA34-4E88-9572-77ADE495F083}" name="G7 Pt" dataDxfId="200">
      <calculatedColumnFormula>DC[[#This Row],[G7 cp]]</calculatedColumnFormula>
    </tableColumn>
    <tableColumn id="24" xr3:uid="{B9D06B00-C2C0-4587-B695-3CE7668EB356}" name="G3 Pt" dataDxfId="199">
      <calculatedColumnFormula>DC[[#This Row],[G3 cp]]</calculatedColumnFormula>
    </tableColumn>
    <tableColumn id="62" xr3:uid="{6F303B20-1611-4EAD-BC56-358F40C4A0BB}" name="G28 #" dataDxfId="198"/>
    <tableColumn id="61" xr3:uid="{93AD503D-1795-4D13-8AF8-C07A913E00F8}" name="G28 b.type" dataDxfId="197"/>
    <tableColumn id="60" xr3:uid="{72FB8ECF-5BB3-4423-B6A3-5384F3F5DBA1}" name="G28 b.nm" dataDxfId="196"/>
    <tableColumn id="59" xr3:uid="{EE8A3706-C257-4701-877D-664CDDD4FFB8}" name="G28 r" dataDxfId="195"/>
    <tableColumn id="58" xr3:uid="{666EC228-D1D4-4B0B-A618-146FC36011CB}" name="G28 r.b" dataDxfId="194"/>
    <tableColumn id="57" xr3:uid="{ADEA163C-D5BE-41DD-BC63-9FBD4A3CE412}" name="G28 b.ov" dataDxfId="193"/>
    <tableColumn id="56" xr3:uid="{1F0B059B-308A-4B9A-8DF3-BC15D66F89CE}" name="G28 b.rc" dataDxfId="192"/>
    <tableColumn id="55" xr3:uid="{232C516B-5543-42D1-B539-16741734C803}" name="G28 b.wkt" dataDxfId="191"/>
    <tableColumn id="54" xr3:uid="{8A833732-7D3F-4B9F-B13F-A884BC7B74FB}" name="G28 cp" dataDxfId="190"/>
    <tableColumn id="25" xr3:uid="{B84B79A0-6626-4150-9E57-9E2C102DF009}" name="G20 #" dataDxfId="189"/>
    <tableColumn id="26" xr3:uid="{2E994CE9-0B86-4BAA-949C-E0A54F5EB404}" name="G20 b" dataDxfId="188"/>
    <tableColumn id="27" xr3:uid="{012E355F-894F-49C7-8AD3-62B4C7E6C973}" name="G20 r" dataDxfId="187"/>
    <tableColumn id="28" xr3:uid="{95290FFF-0EC2-4E09-A2D3-2AD51DB02B7F}" name="G20 rb" dataDxfId="186"/>
    <tableColumn id="29" xr3:uid="{6A1BA3E9-FCAB-48A9-88BD-010E38DE9E11}" name="G20 Bow" dataDxfId="185"/>
    <tableColumn id="30" xr3:uid="{A8113E09-E053-4BAE-AEBB-ADAC8BB4C03E}" name="G20 cp" dataDxfId="184"/>
    <tableColumn id="31" xr3:uid="{3D034558-06D5-4CDD-B25C-BE006771F605}" name="G16 #" dataDxfId="183"/>
    <tableColumn id="32" xr3:uid="{8BC246DB-FBDD-42EA-A023-BFD368CC5D2B}" name="G16 b" dataDxfId="182"/>
    <tableColumn id="33" xr3:uid="{586028CC-F84E-43C1-8583-58CE19D84DDF}" name="G16 r" dataDxfId="181"/>
    <tableColumn id="34" xr3:uid="{7CC1C569-9A44-47B5-A1C0-886936046A04}" name="G16 rb" dataDxfId="180"/>
    <tableColumn id="35" xr3:uid="{E704C5B0-A88A-4045-9C7D-18DE6C854FF8}" name="G16 Bow" dataDxfId="179"/>
    <tableColumn id="36" xr3:uid="{C0592050-4E2D-497A-AADE-84BAA448E674}" name="G16 cp" dataDxfId="178"/>
    <tableColumn id="37" xr3:uid="{C9546BF4-9D15-43D8-82EF-C6E4C2038EAB}" name="G11 #" dataDxfId="177"/>
    <tableColumn id="38" xr3:uid="{C4221AC0-4118-4CDE-89DF-C83DEF9EFC57}" name="G11 b" dataDxfId="176"/>
    <tableColumn id="39" xr3:uid="{60A1C9C8-109D-4530-B72E-123BD3551DF4}" name="G11 Scr." dataDxfId="175"/>
    <tableColumn id="40" xr3:uid="{3F1A0F41-24A4-486A-8A76-2F42A3EC482E}" name="G11 Bow" dataDxfId="174"/>
    <tableColumn id="41" xr3:uid="{E4EBA3A5-1BC4-4002-BCAD-B421138A966A}" name="G11 cp" dataDxfId="173"/>
    <tableColumn id="42" xr3:uid="{E0ABC1D7-9D0A-4F10-8EED-A283682EF406}" name="G7 #" dataDxfId="172"/>
    <tableColumn id="43" xr3:uid="{E370CBEA-AB86-405A-A44A-62275E0DF1EB}" name="G7 b" dataDxfId="171"/>
    <tableColumn id="44" xr3:uid="{B1A284C8-C8F5-4844-85FC-655F66190DC9}" name="G7 Scr." dataDxfId="170"/>
    <tableColumn id="45" xr3:uid="{81BEB5F5-2E8E-4DC1-B677-D5C7F9635BEE}" name="G7 Bow" dataDxfId="169"/>
    <tableColumn id="46" xr3:uid="{65DAF472-B37D-47C9-B05B-2ED687E72A99}" name="G7 cp" dataDxfId="168"/>
    <tableColumn id="47" xr3:uid="{63393352-C59E-4F96-91B3-F628C4817EAD}" name="G3 #" dataDxfId="167"/>
    <tableColumn id="48" xr3:uid="{2F23BAE9-806C-45EC-BB1A-22DF993FB49B}" name="G3 b" dataDxfId="166"/>
    <tableColumn id="49" xr3:uid="{86431C08-D67E-49D1-B46D-9AF8CA48D7D2}" name="G3 Scr." dataDxfId="165"/>
    <tableColumn id="50" xr3:uid="{1665BF8C-A767-45B4-B993-7F446553225B}" name="G3 Bow" dataDxfId="164"/>
    <tableColumn id="51" xr3:uid="{8FC59F79-E73D-4B4F-A129-A57D01633B8F}" name="G3 cp" dataDxfId="163"/>
    <tableColumn id="52" xr3:uid="{9A0F5910-BA17-4211-BF3A-B72580CC4721}" name="vs LSG G1" dataDxfId="162"/>
    <tableColumn id="53" xr3:uid="{5D3419F9-8127-410C-8C5F-310C4E278255}" name="vs LSG G2" dataDxfId="16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CD374-A9F3-4354-83FD-69956214D386}" name="RR" displayName="RR" ref="B5:BY30" totalsRowShown="0" headerRowDxfId="160" headerRowBorderDxfId="159" tableBorderDxfId="158">
  <sortState xmlns:xlrd2="http://schemas.microsoft.com/office/spreadsheetml/2017/richdata2" ref="B6:BY30">
    <sortCondition ref="AL6:AL30"/>
    <sortCondition ref="BB6:BB30"/>
    <sortCondition ref="BH6:BH30"/>
    <sortCondition ref="BN6:BN30"/>
    <sortCondition ref="BT6:BT30"/>
    <sortCondition descending="1" ref="D6:D30"/>
  </sortState>
  <tableColumns count="76">
    <tableColumn id="1" xr3:uid="{B58D8899-2650-4FBF-9151-D28FDDB4E698}" name="TEAM"/>
    <tableColumn id="2" xr3:uid="{7FC4EA5A-75EC-40B7-8E5A-AD03353DF771}" name="PLAYER"/>
    <tableColumn id="5" xr3:uid="{027EA716-DB5A-4C76-B71E-256A42F332CB}" name="Rs Cr"/>
    <tableColumn id="6" xr3:uid="{AC90CBFD-E2FB-4066-854C-07741EDA5B19}" name="Info"/>
    <tableColumn id="8" xr3:uid="{5FAB6285-F0D8-4B82-B308-635B923F9DBB}" name="CRICKPE ROLE"/>
    <tableColumn id="9" xr3:uid="{1413E506-2232-4D1D-B2EC-3E77F7878726}" name="MY11 CIRCLE ROLE"/>
    <tableColumn id="10" xr3:uid="{D4A38F4C-AA37-4AFE-8AC4-4A745CF77C49}" name="TAG"/>
    <tableColumn id="11" xr3:uid="{0CEF6B28-F8FD-45D6-94FD-C0ACAB29E786}" name="Must Have"/>
    <tableColumn id="12" xr3:uid="{E18F52B9-2FDA-4D48-8B85-284CD94BB44A}" name="Should "/>
    <tableColumn id="13" xr3:uid="{F1782330-4B83-44A7-AC15-947C3E0034F2}" name="Avg. 50+"/>
    <tableColumn id="80" xr3:uid="{9BCCD3FB-ABB5-474E-969C-09CE31F2E475}" name="Avg. 40+"/>
    <tableColumn id="81" xr3:uid="{6E5C1A18-6600-4858-980B-C3E436A20867}" name="Avg. 30+"/>
    <tableColumn id="14" xr3:uid="{C2C1094B-8F82-4B08-BE4C-623F639B9364}" name="CH"/>
    <tableColumn id="15" xr3:uid="{0C2B6B1F-368A-46F1-8916-55345EB559A5}" name="Max 100+"/>
    <tableColumn id="79" xr3:uid="{646ADB5D-9463-4F2D-AD5D-B6931ADCEC1B}" name="Max 80+"/>
    <tableColumn id="78" xr3:uid="{30529D84-4022-4637-983C-1691B2B6E70D}" name="Max 50+"/>
    <tableColumn id="69" xr3:uid="{B4A0B6BC-BFA8-464E-9F6A-08974AFAB726}" name="Innings" dataDxfId="157">
      <calculatedColumnFormula>COUNTA(RR[[#This Row],[G26 cp]],RR[[#This Row],[G23 cp]],RR[[#This Row],[G17 cp]],RR[[#This Row],[G11 cp]],RR[[#This Row],[G8 cp]],RR[[#This Row],[G4 cp]])</calculatedColumnFormula>
    </tableColumn>
    <tableColumn id="16" xr3:uid="{BA8863BC-D5B6-4FF0-B5A3-A11296FC3D23}" name="Max." dataDxfId="156">
      <calculatedColumnFormula>MAX(RR[[#This Row],[G26 cp]],RR[[#This Row],[G23 cp]],RR[[#This Row],[G17 cp]],RR[[#This Row],[G11 cp]],RR[[#This Row],[G8 cp]],RR[[#This Row],[G4 cp]])</calculatedColumnFormula>
    </tableColumn>
    <tableColumn id="17" xr3:uid="{461D705F-B580-4E5D-8B32-CC5C17114217}" name="Avg. Oth" dataDxfId="155">
      <calculatedColumnFormula>(SUM(RR[[#This Row],[G26 cp]],RR[[#This Row],[G23 cp]],RR[[#This Row],[G17 cp]],RR[[#This Row],[G11 cp]],RR[[#This Row],[G8 cp]],RR[[#This Row],[G4 cp]])-RR[[#This Row],[Max.]]) / (RR[[#This Row],[Innings]]-1)</calculatedColumnFormula>
    </tableColumn>
    <tableColumn id="18" xr3:uid="{81A4DB11-871C-4DD5-A111-78CC4571CB0D}" name="Min. " dataDxfId="154">
      <calculatedColumnFormula>MIN(RR[[#This Row],[G26 cp]],RR[[#This Row],[G23 cp]],RR[[#This Row],[G17 cp]],RR[[#This Row],[G11 cp]],RR[[#This Row],[G8 cp]],RR[[#This Row],[G4 cp]])</calculatedColumnFormula>
    </tableColumn>
    <tableColumn id="68" xr3:uid="{72F2C533-F2A6-483D-BDC7-C74613FEEF5B}" name="G26 Pts" dataDxfId="153">
      <calculatedColumnFormula>RR[[#This Row],[G26 cp]]</calculatedColumnFormula>
    </tableColumn>
    <tableColumn id="19" xr3:uid="{640EE6CE-226C-432C-BAE0-512FFD740824}" name="G23 Pts" dataDxfId="152">
      <calculatedColumnFormula>RR[[#This Row],[G23 cp]]</calculatedColumnFormula>
    </tableColumn>
    <tableColumn id="20" xr3:uid="{A8E9FEBE-69BF-46C2-9366-E6F86B622C4E}" name="G17 Pts" dataDxfId="151">
      <calculatedColumnFormula>RR[[#This Row],[G17 cp]]</calculatedColumnFormula>
    </tableColumn>
    <tableColumn id="21" xr3:uid="{A0F8A6D7-FD1B-4DC4-9D0A-85696980E26F}" name="G11 Pt" dataDxfId="150">
      <calculatedColumnFormula>RR[[#This Row],[G11 cp]]</calculatedColumnFormula>
    </tableColumn>
    <tableColumn id="22" xr3:uid="{4507198D-303C-4A09-9B61-2264D1B5C3D2}" name="G8 Pts" dataDxfId="149">
      <calculatedColumnFormula>RR[[#This Row],[G8 cp]]</calculatedColumnFormula>
    </tableColumn>
    <tableColumn id="23" xr3:uid="{029A23BD-D2D8-4A72-B2C4-F4888D8F9FA2}" name="G4 Pts" dataDxfId="148">
      <calculatedColumnFormula>RR[[#This Row],[G4 cp]]</calculatedColumnFormula>
    </tableColumn>
    <tableColumn id="72" xr3:uid="{3B90B65F-747F-4DB1-93EC-4E8F4F6585D0}" name="Innings B1" dataDxfId="147">
      <calculatedColumnFormula>COUNTA(RR[[#This Row],[G17 cp]],RR[[#This Row],[G11 cp]],RR[[#This Row],[G4 cp]])</calculatedColumnFormula>
    </tableColumn>
    <tableColumn id="71" xr3:uid="{8973F8B6-59D7-4342-8EA5-05C9928F3F12}" name="Max B1" dataDxfId="146">
      <calculatedColumnFormula>MAX(RR[[#This Row],[G17 cp]],RR[[#This Row],[G11 cp]],RR[[#This Row],[G4 cp]])</calculatedColumnFormula>
    </tableColumn>
    <tableColumn id="73" xr3:uid="{51D32309-6FFF-4EE6-98CB-09F2E16CF98E}" name="Avg. Oth B1" dataDxfId="145">
      <calculatedColumnFormula>( SUM(RR[[#This Row],[G17 cp]],RR[[#This Row],[G11 cp]],RR[[#This Row],[G4 cp]]) -RR[[#This Row],[Max B1]]) / (RR[[#This Row],[Innings B1]] - 1)</calculatedColumnFormula>
    </tableColumn>
    <tableColumn id="70" xr3:uid="{2C946232-4523-433D-AF61-CD045D51972D}" name="Min. B1" dataDxfId="144">
      <calculatedColumnFormula>MIN(RR[[#This Row],[G17 cp]],RR[[#This Row],[G11 cp]],RR[[#This Row],[G4 cp]])</calculatedColumnFormula>
    </tableColumn>
    <tableColumn id="77" xr3:uid="{BDE53819-2F9A-422A-AAF4-DCF191096027}" name="Innings CHS" dataDxfId="143">
      <calculatedColumnFormula>COUNTA(RR[[#This Row],[G26 cp]],RR[[#This Row],[G11 cp]],RR[[#This Row],[G8 cp]])</calculatedColumnFormula>
    </tableColumn>
    <tableColumn id="76" xr3:uid="{53300A61-5233-457A-A7C6-55FC3A4EBDD1}" name="Max CHS" dataDxfId="142">
      <calculatedColumnFormula>MAX(RR[[#This Row],[G26 cp]],RR[[#This Row],[G23 cp]],RR[[#This Row],[G8 cp]])</calculatedColumnFormula>
    </tableColumn>
    <tableColumn id="75" xr3:uid="{238856E2-92BC-4CC4-B6A3-DB71CA473095}" name="Avg. Oth CHS" dataDxfId="141">
      <calculatedColumnFormula>( SUM(RR[[#This Row],[G26 cp]],RR[[#This Row],[G23 cp]],RR[[#This Row],[G8 cp]]) -RR[[#This Row],[Max CHS]]) / (RR[[#This Row],[Innings CHS]] - 1)</calculatedColumnFormula>
    </tableColumn>
    <tableColumn id="74" xr3:uid="{57D8D75C-413C-408C-B0CD-AE0B666F6A44}" name="Min. CHS" dataDxfId="140">
      <calculatedColumnFormula>MIN(RR[[#This Row],[G26 cp]],RR[[#This Row],[G23 cp]],RR[[#This Row],[G8 cp]])</calculatedColumnFormula>
    </tableColumn>
    <tableColumn id="65" xr3:uid="{A1052BD2-4CAA-42BD-8608-9B0564E1FCE0}" name="G32 #" dataDxfId="139"/>
    <tableColumn id="64" xr3:uid="{EE84E22B-DDEB-40D9-993F-0CC4919A5FE3}" name="G32 Pts" dataDxfId="138"/>
    <tableColumn id="24" xr3:uid="{18F276C0-714A-4CE9-85FC-2245F91917DD}" name="G26 #" dataDxfId="137"/>
    <tableColumn id="25" xr3:uid="{F2966FBC-F2BD-45F8-B408-AD76C0C7068D}" name="G26 B.type" dataDxfId="136"/>
    <tableColumn id="26" xr3:uid="{4866DF68-560E-4E9B-93D4-04D97164698F}" name="G26 B.nm" dataDxfId="135"/>
    <tableColumn id="27" xr3:uid="{DACB1B36-0F7A-43CF-9B46-4A2BC6E0BE08}" name="G26 r" dataDxfId="134"/>
    <tableColumn id="28" xr3:uid="{9B13E07C-8875-4647-B4EC-B235911EFC2C}" name="G26 r.b" dataDxfId="133"/>
    <tableColumn id="29" xr3:uid="{0F907D1B-E2D8-456D-B2E3-0A831E92268B}" name="G26 b.wkt" dataDxfId="132"/>
    <tableColumn id="30" xr3:uid="{C795FBA5-784D-4B22-B84C-AB0F31966CF0}" name="G26 b.r" dataDxfId="131"/>
    <tableColumn id="66" xr3:uid="{96CA585E-853C-47FD-8E85-7A55D694B1E7}" name="G26 b.ov"/>
    <tableColumn id="31" xr3:uid="{F1C1D098-C13B-4604-AE3E-D732D9B81300}" name="G26 cp"/>
    <tableColumn id="32" xr3:uid="{BABC76F7-8DBF-4DF2-9D2B-9184EDDD99A4}" name="G23 #"/>
    <tableColumn id="67" xr3:uid="{21294958-880B-43C3-9E54-6DB915EDF937}" name="G23 B.type"/>
    <tableColumn id="33" xr3:uid="{5D21E4D1-6A70-4092-BAAD-AC4C6947A97F}" name="G23 B.nm"/>
    <tableColumn id="34" xr3:uid="{EDB07B34-D27B-4705-A2E9-8F46E5C83D62}" name="G23 r"/>
    <tableColumn id="35" xr3:uid="{BBDBE318-006F-42AC-A7F1-8BA2C7426C1A}" name="G23 r.b"/>
    <tableColumn id="36" xr3:uid="{A6AF1BB7-0C60-481A-90BC-8C53769C7E8B}" name="G23 Bow"/>
    <tableColumn id="37" xr3:uid="{8B2FFC1C-3469-4BE8-B6CD-77DD25DDBC20}" name="G23 cp"/>
    <tableColumn id="38" xr3:uid="{7CDCF4E5-0DE0-42F6-88EE-701ABD731CF1}" name="G17#"/>
    <tableColumn id="39" xr3:uid="{1D4F3048-027F-4AB6-8E9B-0B777CD5CB86}" name="G17 B"/>
    <tableColumn id="40" xr3:uid="{175A6C60-7E39-4C21-9C0A-5E4BEFABE58F}" name="G17 r"/>
    <tableColumn id="41" xr3:uid="{112BA856-AA87-4178-8B4B-81524B78BECE}" name="G17 rb"/>
    <tableColumn id="42" xr3:uid="{C1C6FAA2-69C8-441A-8609-771F2783826A}" name="G17 Bow"/>
    <tableColumn id="43" xr3:uid="{2E03368C-9F02-4350-BFA8-D8A8745910E5}" name="G17 cp"/>
    <tableColumn id="44" xr3:uid="{93B1ED80-50FC-43C6-9068-5C9F01EAAC9C}" name="G11 #"/>
    <tableColumn id="45" xr3:uid="{752FEC94-7110-473D-8F47-C2D7104938C8}" name="G11 r"/>
    <tableColumn id="46" xr3:uid="{A005D15B-9959-4046-9B70-A61938EC65F0}" name="G11 rb"/>
    <tableColumn id="47" xr3:uid="{60908EDE-165F-4DFD-8CD4-EADB05F96B22}" name="G11 b"/>
    <tableColumn id="48" xr3:uid="{3E3B5C04-4886-4499-9C5B-7EC4423B28C5}" name="G11 Bow"/>
    <tableColumn id="49" xr3:uid="{9F3BE2BB-2071-4F23-8958-FDE0745D8F6B}" name="G11 cp"/>
    <tableColumn id="50" xr3:uid="{FD49262A-05E7-49F3-BD52-260801A779B2}" name="G8 #"/>
    <tableColumn id="51" xr3:uid="{3C6E5143-E9ED-4D4C-8967-11C0A7180C00}" name="G8 B"/>
    <tableColumn id="52" xr3:uid="{4CF58026-5EEA-4215-B658-AC4817E2D1A0}" name="G8 r"/>
    <tableColumn id="53" xr3:uid="{A5F9219B-5FEE-4E5F-A0C7-7333783E1F4F}" name="G8 rb"/>
    <tableColumn id="54" xr3:uid="{4DB335B2-C34F-456A-8200-C33E87C622EE}" name="G8 Bow"/>
    <tableColumn id="55" xr3:uid="{B0E11761-543B-477E-A449-B0E73EF07675}" name="G8 cp"/>
    <tableColumn id="56" xr3:uid="{06C7D6B6-FE19-474D-9271-2A0820C8702E}" name="G4 #"/>
    <tableColumn id="57" xr3:uid="{60157845-8041-40CC-86BC-85EF17CBF3CA}" name="G4 b"/>
    <tableColumn id="58" xr3:uid="{319353F0-3B14-4899-ADFF-E199136B06FF}" name="G4 r"/>
    <tableColumn id="59" xr3:uid="{409AE0D0-EE91-4F3C-8923-9387361D74BE}" name="G4 rb"/>
    <tableColumn id="60" xr3:uid="{F536B8E3-381F-4594-ABE2-DE1848E8101D}" name="G4 Bow"/>
    <tableColumn id="61" xr3:uid="{1F22A8C7-0FD4-46E7-A806-A98AA5EA2255}" name="G4 cp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ADF08-A0D3-4A6F-AB3B-CAC475AD59EA}" name="Table1" displayName="Table1" ref="B3:BE27" totalsRowShown="0" headerRowDxfId="130" tableBorderDxfId="129">
  <sortState xmlns:xlrd2="http://schemas.microsoft.com/office/spreadsheetml/2017/richdata2" ref="B4:BE27">
    <sortCondition ref="AC4:AC27"/>
    <sortCondition ref="AE4:AE27"/>
    <sortCondition descending="1" ref="F4:F27"/>
  </sortState>
  <tableColumns count="56">
    <tableColumn id="1" xr3:uid="{38C3B30D-CE2B-4FED-B365-7906EB612983}" name="TEAM"/>
    <tableColumn id="2" xr3:uid="{51DA4A36-7CB1-4070-9F3B-AEC589FB9555}" name="PLAYER"/>
    <tableColumn id="3" xr3:uid="{D5BF9775-7BF2-4033-97A9-377BECCD0EAC}" name="ROLE"/>
    <tableColumn id="4" xr3:uid="{38E78CCB-BAAF-49DD-99EA-8EC7139C922D}" name="PRICE"/>
    <tableColumn id="5" xr3:uid="{DFBD837C-8C65-4EB6-9086-DA15E4E58BB5}" name="Prince (In Cr.)"/>
    <tableColumn id="6" xr3:uid="{0F464EBF-0A95-47A3-912B-E3C14D1F8348}" name="Nat'"/>
    <tableColumn id="7" xr3:uid="{4191702F-1B23-4C55-9372-BB9F0512C496}" name="Age"/>
    <tableColumn id="8" xr3:uid="{B057A1C7-0047-4EB1-9F4E-B8016C8A3622}" name="CRICKPE ROLE"/>
    <tableColumn id="9" xr3:uid="{F4637C95-9F6F-4C08-B4B1-DC1F2AF54044}" name="MY 11 CIRCLE ROLE"/>
    <tableColumn id="10" xr3:uid="{B304245A-87B3-40C7-B14C-AFB7A9588EC9}" name="FORM TEAM "/>
    <tableColumn id="11" xr3:uid="{3C9C7720-3B3E-460D-8A9C-6F63DFD5E2C4}" name="FORM TEAM C/VC"/>
    <tableColumn id="12" xr3:uid="{6C743C57-4611-42F4-BEB4-EAAFA1DEAC1A}" name="TAG"/>
    <tableColumn id="13" xr3:uid="{A208C357-E05C-4482-8E0B-3516078AB790}" name="Must Have"/>
    <tableColumn id="14" xr3:uid="{FD37D469-C750-479A-9FEE-ABF21E788DD2}" name="Should "/>
    <tableColumn id="15" xr3:uid="{1C00109D-C835-4A79-B7CE-0DCD42DF0B9A}" name="Avg Oth"/>
    <tableColumn id="16" xr3:uid="{5DFF0CE3-23B0-47C9-91A6-5C6BEF3A0FB2}" name="CH"/>
    <tableColumn id="17" xr3:uid="{5E46A81E-66E6-44CB-8E35-957D36715C91}" name="CH2"/>
    <tableColumn id="18" xr3:uid="{99E0D868-7159-42DE-8753-BD91C4FF7F2D}" name="Max" dataDxfId="128">
      <calculatedColumnFormula>MAX(AD4,AJ4,AP4,AU4,AZ4,BE4)</calculatedColumnFormula>
    </tableColumn>
    <tableColumn id="19" xr3:uid="{3C0A2A42-2FCA-45B7-9A02-7EA948D67BE8}" name="Avg. Oth" dataDxfId="127">
      <calculatedColumnFormula xml:space="preserve"> ( SUM(AD4,AJ4,AP4,AU4,AZ4,BE4)-S4 ) / ( COUNTA(AD4,AJ4,AP4,AU4,AZ4,BE4)- 1 )</calculatedColumnFormula>
    </tableColumn>
    <tableColumn id="20" xr3:uid="{A07E0C5B-FCAF-42B8-8A70-D01A05A006DA}" name="Min." dataDxfId="126">
      <calculatedColumnFormula>MIN(AD4,AJ4,AP4,AU4,AZ4,BE4)</calculatedColumnFormula>
    </tableColumn>
    <tableColumn id="21" xr3:uid="{DC7B0D6F-0D19-4555-A4F9-C79F39CBA9F5}" name="G26 Pts." dataDxfId="125">
      <calculatedColumnFormula>Table1[[#This Row],[G26 Pts.2]]</calculatedColumnFormula>
    </tableColumn>
    <tableColumn id="55" xr3:uid="{B3E48ECC-FB08-4D31-967E-2A06A4DA9887}" name="G21 Pts." dataDxfId="124">
      <calculatedColumnFormula>AJ4</calculatedColumnFormula>
    </tableColumn>
    <tableColumn id="22" xr3:uid="{E01E5E40-237D-4BD4-AFC7-4CB6FDA1170D}" name="G18 Pts.4">
      <calculatedColumnFormula>AP4</calculatedColumnFormula>
    </tableColumn>
    <tableColumn id="23" xr3:uid="{84E7D49A-FAF8-489F-B49D-F881B712475A}" name="G14 Pts.5">
      <calculatedColumnFormula>AU4</calculatedColumnFormula>
    </tableColumn>
    <tableColumn id="24" xr3:uid="{6DC06358-2ABD-4506-88B9-E37A6F840B95}" name="G8 Pts.6">
      <calculatedColumnFormula>AZ4</calculatedColumnFormula>
    </tableColumn>
    <tableColumn id="25" xr3:uid="{E5E06ACD-39A9-4C64-A164-F2C8D0DC94E7}" name="G2 Pts.7">
      <calculatedColumnFormula>BE4</calculatedColumnFormula>
    </tableColumn>
    <tableColumn id="56" xr3:uid="{FF7E0ECC-032B-4216-B662-E6C2742ABE6D}" name="G31 #" dataDxfId="123"/>
    <tableColumn id="26" xr3:uid="{39AEBB02-5631-4DD5-B1B5-9C97DD8B12C6}" name="G26 #"/>
    <tableColumn id="27" xr3:uid="{98F86E1C-D736-4BC2-A28D-5B047732A516}" name="G26 Pts.2"/>
    <tableColumn id="28" xr3:uid="{6E6F0F40-5EFB-4C72-8483-F6A7513DF9AA}" name="G21 #"/>
    <tableColumn id="29" xr3:uid="{81680833-BD04-4BD8-A1AB-505032137920}" name="G21 b"/>
    <tableColumn id="30" xr3:uid="{C701A886-5DBF-477F-843B-9B0E68C57082}" name="G21 r"/>
    <tableColumn id="31" xr3:uid="{663994A1-5EC3-49FE-803B-70E5A67E7816}" name="G21 rb"/>
    <tableColumn id="32" xr3:uid="{B0FDAD85-0919-484D-A34F-1ACC7048057C}" name="G21 Bow"/>
    <tableColumn id="33" xr3:uid="{CEBBDD27-AAFF-456F-9A80-DC238FA1D264}" name="G21 Pts.2"/>
    <tableColumn id="34" xr3:uid="{ACF8D8A6-7466-4102-B448-66819FD2F81A}" name="G18 #"/>
    <tableColumn id="35" xr3:uid="{710EADA9-A7E5-4AA4-9A35-A1E2E0E2AF58}" name="G18 b "/>
    <tableColumn id="36" xr3:uid="{E8BD7EFE-32BF-4A83-B60A-2426B3A90E85}" name="G18 r"/>
    <tableColumn id="37" xr3:uid="{92744012-30DB-470E-BEA6-43A29D8C16A3}" name="G18 rb"/>
    <tableColumn id="38" xr3:uid="{98822416-EA43-43CE-AE91-8A7748FC4E78}" name="G18 Bow"/>
    <tableColumn id="39" xr3:uid="{7895AE5A-AFC7-49EC-9CE9-49882DB8122C}" name="G18 Pts."/>
    <tableColumn id="40" xr3:uid="{F5291ADD-C17B-4697-A135-3F580A285D2B}" name="G14 #"/>
    <tableColumn id="41" xr3:uid="{B79BD0F8-A2FA-4347-9DF6-6708D57936BB}" name="G14 Scr."/>
    <tableColumn id="42" xr3:uid="{5A9626BA-9450-411F-8EEB-29322B795EAA}" name="G14 b "/>
    <tableColumn id="43" xr3:uid="{D9B71300-16F0-4958-99B0-318B6726E16F}" name="G14 Bow"/>
    <tableColumn id="44" xr3:uid="{73B3D246-D508-46CD-9189-CEEB3290758E}" name="G14 Pts."/>
    <tableColumn id="45" xr3:uid="{21F4BB2B-3589-4014-9CD9-030BEB17C77D}" name="G8 #"/>
    <tableColumn id="46" xr3:uid="{719AF425-F1E5-4D95-9F2D-7EC888C8438F}" name="G8 Scr."/>
    <tableColumn id="47" xr3:uid="{9FD68638-50AA-46C8-8DE1-1C9C820D1BFB}" name="G8 b"/>
    <tableColumn id="48" xr3:uid="{4E383BD0-E1B8-4B3A-82C2-C4E0FE163772}" name="G8 Bow"/>
    <tableColumn id="49" xr3:uid="{6FF92E70-6A4E-4B27-BE08-BD3F54DAF7B9}" name="G8 Pts."/>
    <tableColumn id="50" xr3:uid="{2FDD47AC-4448-4341-82EC-ADE368FCE00B}" name="G2 #"/>
    <tableColumn id="51" xr3:uid="{1997CD93-56EB-41E8-954F-3A90B0A07338}" name="G2 Scr."/>
    <tableColumn id="52" xr3:uid="{ABC5670B-B708-4A7F-B821-D4DF24B31500}" name="G2 b"/>
    <tableColumn id="53" xr3:uid="{7FAD7B1D-F031-4554-BF99-8036BAC1BFA0}" name="G2 Bow"/>
    <tableColumn id="54" xr3:uid="{F9AC4077-9D56-449D-9395-6D46DF584AC7}" name="G2 Pts.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BEA602-5EB9-4CEC-A56F-C82144641CA9}" name="GT" displayName="GT" ref="B5:BY30" totalsRowShown="0" headerRowDxfId="122" headerRowBorderDxfId="121" tableBorderDxfId="120" totalsRowBorderDxfId="119">
  <autoFilter ref="B5:BY30" xr:uid="{88BEA602-5EB9-4CEC-A56F-C82144641CA9}"/>
  <sortState xmlns:xlrd2="http://schemas.microsoft.com/office/spreadsheetml/2017/richdata2" ref="B6:BY30">
    <sortCondition ref="AM6:AM30"/>
    <sortCondition ref="AV6:AV30"/>
    <sortCondition ref="BE6:BE30"/>
    <sortCondition ref="BK6:BK30"/>
    <sortCondition ref="BP6:BP30"/>
    <sortCondition descending="1" ref="D6:D30"/>
  </sortState>
  <tableColumns count="76">
    <tableColumn id="1" xr3:uid="{6041E5F6-A81B-408A-BBE2-26CD95F74F6C}" name="TEAM"/>
    <tableColumn id="2" xr3:uid="{9D02B934-8160-46D1-BA5C-E5A04DD9B998}" name="PLAYER"/>
    <tableColumn id="5" xr3:uid="{C6B27630-0BC6-42D4-9F75-153F9CCD3DE9}" name="Rs Cr."/>
    <tableColumn id="6" xr3:uid="{4482221A-5C6A-4F64-81C2-FFCBC1241EAA}" name="Info"/>
    <tableColumn id="8" xr3:uid="{3B1C4CFF-6C50-436C-84E5-CC29374879C5}" name="ROLE CRICKPE"/>
    <tableColumn id="9" xr3:uid="{3402F985-0D29-4E0C-BB5A-183331287839}" name="ROLE MYCIRCLE11"/>
    <tableColumn id="60" xr3:uid="{D69791DB-29AE-42B2-8F91-E25B3188D47C}" name="Tag" dataDxfId="118"/>
    <tableColumn id="61" xr3:uid="{30434C85-B62D-4BAA-867B-9918058FDEFC}" name="Form Team" dataDxfId="117"/>
    <tableColumn id="80" xr3:uid="{FC7F5A04-507C-46D1-97D6-CB376E2C7381}" name="Must Have" dataDxfId="116"/>
    <tableColumn id="79" xr3:uid="{DBB972B5-E37E-43D5-AC70-D69EBD67898F}" name="Should" dataDxfId="115"/>
    <tableColumn id="78" xr3:uid="{DACC5B8E-2970-4CA3-8349-5436AFBAEAD5}" name="Avg 50+"/>
    <tableColumn id="82" xr3:uid="{450E3797-81F3-402C-8B8F-FC3E9D141BFD}" name="Avg 40+"/>
    <tableColumn id="81" xr3:uid="{842C879F-F762-4695-B313-6D59D0756FC7}" name="Avg 30+"/>
    <tableColumn id="77" xr3:uid="{AC084C33-8D87-40E5-82DA-FFA7FD4F697C}" name="Max" dataDxfId="114"/>
    <tableColumn id="76" xr3:uid="{72DF9998-EBCC-4CA4-BA34-0D872E0EDBE1}" name="Max 100+"/>
    <tableColumn id="84" xr3:uid="{7D9F0EDF-B8F7-4C5C-B5C3-2C1DD0788554}" name="Max 80+"/>
    <tableColumn id="83" xr3:uid="{7420C63C-FDD4-44EE-BB4F-AB5C0B94F0B1}" name="Max 50+"/>
    <tableColumn id="34" xr3:uid="{F18C9A08-DEA5-4439-9E4C-D96DEF7D1AA9}" name="Inn" dataDxfId="113">
      <calculatedColumnFormula>COUNTA(GT[[#This Row],[G30 cp]],GT[[#This Row],[G23 cp]],GT[[#This Row],[G18 cp]],GT[[#This Row],[G13 cp]],GT[[#This Row],[G7 cp]],GT[[#This Row],[G1 cp]])</calculatedColumnFormula>
    </tableColumn>
    <tableColumn id="10" xr3:uid="{755CAC12-DA7C-4F55-B8D6-5743E73C263C}" name="Max2" dataDxfId="112">
      <calculatedColumnFormula>MAX(GT[[#This Row],[G30 cp]],GT[[#This Row],[G23 cp]],GT[[#This Row],[G18 cp]],GT[[#This Row],[G13 cp]],GT[[#This Row],[G7 cp]],GT[[#This Row],[G1 cp]])</calculatedColumnFormula>
    </tableColumn>
    <tableColumn id="11" xr3:uid="{C6D95DC9-52B4-4A55-B7D4-E215A98D12FA}" name="Avg. Oth" dataDxfId="111">
      <calculatedColumnFormula xml:space="preserve"> ( SUM(GT[[#This Row],[G30 cp]],GT[[#This Row],[G23 cp]],GT[[#This Row],[G18 cp]],GT[[#This Row],[G13 cp]],GT[[#This Row],[G7 cp]],GT[[#This Row],[G1 cp]]) -GT[[#This Row],[Max2]]) / (GT[[#This Row],[Inn]]-1)</calculatedColumnFormula>
    </tableColumn>
    <tableColumn id="12" xr3:uid="{26C60C46-3289-44CD-8318-10A497F929C0}" name="Min." dataDxfId="110">
      <calculatedColumnFormula>MIN(GT[[#This Row],[G30 cp]],GT[[#This Row],[G23 cp]],GT[[#This Row],[G18 cp]],GT[[#This Row],[G13 cp]],GT[[#This Row],[G7 cp]],GT[[#This Row],[G1 cp]])</calculatedColumnFormula>
    </tableColumn>
    <tableColumn id="69" xr3:uid="{DFD40ED3-8E01-4E97-A2FE-F14BD292F184}" name="B1 Inn" dataDxfId="109">
      <calculatedColumnFormula>COUNTA(GT[[#This Row],[G30 cp]],GT[[#This Row],[G23 cp]],GT[[#This Row],[G13 cp]])</calculatedColumnFormula>
    </tableColumn>
    <tableColumn id="68" xr3:uid="{FD12CE37-8FA1-48B0-965C-95C1C842A1E7}" name="B1  Max" dataDxfId="108">
      <calculatedColumnFormula>MAX(GT[[#This Row],[G30 cp]],GT[[#This Row],[G23 cp]],GT[[#This Row],[G13 cp]])</calculatedColumnFormula>
    </tableColumn>
    <tableColumn id="67" xr3:uid="{98B039A1-CCB6-4574-8BAB-C4C9AB98F818}" name="B1 Avg Oth" dataDxfId="107">
      <calculatedColumnFormula>( SUM(GT[[#This Row],[G30 cp]],GT[[#This Row],[G23 cp]],GT[[#This Row],[G13 cp]]) -GT[[#This Row],[B1  Max]]) / (GT[[#This Row],[B1 Inn]]-1)</calculatedColumnFormula>
    </tableColumn>
    <tableColumn id="66" xr3:uid="{F8FA47F0-45C2-4C70-935F-A4F0D674BC4F}" name="B1 Min" dataDxfId="106">
      <calculatedColumnFormula>MIN(GT[[#This Row],[G30 cp]],GT[[#This Row],[G23 cp]],GT[[#This Row],[G13 cp]])</calculatedColumnFormula>
    </tableColumn>
    <tableColumn id="65" xr3:uid="{6CD81B04-FF1E-402F-8CF4-4CDE98DED29C}" name="CHS Inn" dataDxfId="105">
      <calculatedColumnFormula>COUNTA(GT[[#This Row],[G18 cp]],GT[[#This Row],[G7 cp]],GT[[#This Row],[G1 cp]])</calculatedColumnFormula>
    </tableColumn>
    <tableColumn id="64" xr3:uid="{1C50CC74-781F-4A99-B828-7A105AEF2793}" name="CHS Max" dataDxfId="104">
      <calculatedColumnFormula>MAX(GT[[#This Row],[G18 cp]],GT[[#This Row],[G7 cp]],GT[[#This Row],[G1 cp]])</calculatedColumnFormula>
    </tableColumn>
    <tableColumn id="63" xr3:uid="{A47E2F9D-A282-43B4-AC61-EBE35A080EAC}" name="CHS Avg Oth" dataDxfId="103">
      <calculatedColumnFormula>( SUM(GT[[#This Row],[G18 cp]],GT[[#This Row],[G7 cp]],GT[[#This Row],[G1 cp]]) - GT[[#This Row],[CHS Max]]) / ( GT[[#This Row],[CHS Inn]] - 1)</calculatedColumnFormula>
    </tableColumn>
    <tableColumn id="62" xr3:uid="{4E32D6D0-3786-414C-9232-2A6C0F187A57}" name="CHS Min" dataDxfId="102">
      <calculatedColumnFormula>MIN(GT[[#This Row],[G18 cp]],GT[[#This Row],[G7 cp]],GT[[#This Row],[G1 cp]])</calculatedColumnFormula>
    </tableColumn>
    <tableColumn id="71" xr3:uid="{E552F99C-C25B-4F57-9E25-2AC7BA9D146A}" name="G34 #"/>
    <tableColumn id="70" xr3:uid="{A634CB7F-6D78-472A-BC8F-DB6A9CDE122E}" name="G34 cp"/>
    <tableColumn id="39" xr3:uid="{E78FD3A7-5D7C-4AF2-A376-32CB40E6F32D}" name="G30 pts" dataDxfId="101">
      <calculatedColumnFormula>GT[[#This Row],[G30 cp]]</calculatedColumnFormula>
    </tableColumn>
    <tableColumn id="59" xr3:uid="{B0BCB8AC-339C-491F-88E4-B0AE98B99DB9}" name="G23 pts" dataDxfId="100">
      <calculatedColumnFormula>GT[[#This Row],[G23 cp]]</calculatedColumnFormula>
    </tableColumn>
    <tableColumn id="58" xr3:uid="{03622128-A5D0-48A0-AEAD-BC885D6677BD}" name="G18 pts3" dataDxfId="99">
      <calculatedColumnFormula>GT[[#This Row],[G18 cp]]</calculatedColumnFormula>
    </tableColumn>
    <tableColumn id="38" xr3:uid="{85CFD07D-25C7-4317-9EC6-5601CF649D73}" name="G13 pts" dataDxfId="98">
      <calculatedColumnFormula>GT[[#This Row],[G13 cp]]</calculatedColumnFormula>
    </tableColumn>
    <tableColumn id="37" xr3:uid="{C5CEF069-3A81-4164-9196-9EBA5C6DCA6F}" name="G7 pts" dataDxfId="97">
      <calculatedColumnFormula>GT[[#This Row],[G7 cp]]</calculatedColumnFormula>
    </tableColumn>
    <tableColumn id="36" xr3:uid="{19EC87E0-2E97-484E-B91E-CEC6EB91CB61}" name="G1 pts" dataDxfId="96">
      <calculatedColumnFormula>GT[[#This Row],[G1 cp]]</calculatedColumnFormula>
    </tableColumn>
    <tableColumn id="56" xr3:uid="{633392EE-8EED-4FCD-A2CE-F819E2F85528}" name="G30 #" dataDxfId="95"/>
    <tableColumn id="55" xr3:uid="{82EB1290-CA5A-4DFC-82CD-8F1F3EE4B843}" name="G30 b.type" dataDxfId="94"/>
    <tableColumn id="54" xr3:uid="{8BBCF97F-4A16-4E76-B9B7-D946D9EA93A2}" name="G30 b.nm" dataDxfId="93"/>
    <tableColumn id="53" xr3:uid="{84DBAA72-34B2-44FC-A48D-66281162030F}" name="G30 r" dataDxfId="92"/>
    <tableColumn id="52" xr3:uid="{5B223B08-7D1E-4E5E-8DE5-E8682D5E3EE1}" name="G30 r.b" dataDxfId="91"/>
    <tableColumn id="51" xr3:uid="{A39EC84A-3812-4F58-962C-BB23A7680A91}" name="G30 b.ov" dataDxfId="90"/>
    <tableColumn id="50" xr3:uid="{9576F135-0B51-4025-A13F-B17CB71686DA}" name="G30 b.rc" dataDxfId="89"/>
    <tableColumn id="57" xr3:uid="{C57FB54D-12D3-42A7-8BF9-92576D0C9B9E}" name="G30 b.wkt" dataDxfId="88"/>
    <tableColumn id="49" xr3:uid="{D23DA23B-1926-485B-9BCC-990A3D2297DB}" name="G30 cp" dataDxfId="87"/>
    <tableColumn id="47" xr3:uid="{BDEA3092-98C4-4912-A18C-6F8D5F6FA139}" name="G23 #"/>
    <tableColumn id="46" xr3:uid="{A4D7DBB2-7408-46FB-B0F2-21559D5F502F}" name="G23 b.type"/>
    <tableColumn id="45" xr3:uid="{261D6CDE-64FA-4558-9A72-C5EBC00A58EA}" name="G23 b.nm"/>
    <tableColumn id="44" xr3:uid="{0BB7A035-FBFB-41AB-BF19-6252C4AABA9A}" name="G23 r"/>
    <tableColumn id="43" xr3:uid="{A70E3B35-4DEC-4267-AD7C-CA240E17F058}" name="G23 r.b"/>
    <tableColumn id="42" xr3:uid="{B34AB7FE-5B56-4690-A6AC-9C625D7E2137}" name="G23 b.ov"/>
    <tableColumn id="41" xr3:uid="{3C9A7379-D840-41A8-8ACE-E27D9BFFFC63}" name="G23 b.rc"/>
    <tableColumn id="48" xr3:uid="{B7BC89E6-9133-4943-B338-38C9814D2546}" name="G23 b.wkt"/>
    <tableColumn id="40" xr3:uid="{DD83E621-67D4-4718-8848-F0235947D2D8}" name="G23 cp"/>
    <tableColumn id="13" xr3:uid="{CF582FFD-6F23-42E7-B6AA-5B51DDDDF27B}" name="G18 #" dataDxfId="86"/>
    <tableColumn id="14" xr3:uid="{FB821FD7-76B1-461C-8656-6F349234F42F}" name="G18 b" dataDxfId="85"/>
    <tableColumn id="15" xr3:uid="{CD0A697A-543A-489B-AFAB-D2AF6FAFFA14}" name="G18 r" dataDxfId="84"/>
    <tableColumn id="16" xr3:uid="{2AD6F6C7-4828-4C8E-8059-B76D5C7FB3D3}" name="G18 rb" dataDxfId="83"/>
    <tableColumn id="17" xr3:uid="{06BADAA1-1EBD-4C91-B93D-D8366C1E18B2}" name="G18 Bow" dataDxfId="82"/>
    <tableColumn id="18" xr3:uid="{76B2DFDB-8B9B-4EAC-89B6-BCD6D6B63D97}" name="G18 cp" dataDxfId="81"/>
    <tableColumn id="19" xr3:uid="{960C2C3C-7990-42BA-899F-17A072011B22}" name="G13 #" dataDxfId="80"/>
    <tableColumn id="20" xr3:uid="{BE8BF28F-0123-4223-9D5B-B9E0C3975CFB}" name="G13 Scr" dataDxfId="79"/>
    <tableColumn id="21" xr3:uid="{8BE7B10C-CA07-4391-B958-E28ABA47431E}" name="G13 b" dataDxfId="78"/>
    <tableColumn id="22" xr3:uid="{C804E282-7F4A-4223-981E-6A7F1BFF77D9}" name="G13 bow" dataDxfId="77"/>
    <tableColumn id="23" xr3:uid="{8B3E3664-3063-4ED0-9DDF-F2A5A73E9F3C}" name="G13 cp" dataDxfId="76"/>
    <tableColumn id="24" xr3:uid="{85ED39D8-A6C8-489B-95C9-DFF3DC68D2BE}" name="G7 #" dataDxfId="75"/>
    <tableColumn id="25" xr3:uid="{14CBECD0-24CD-4EAD-A69A-3C809F2F8336}" name="G7 Scr" dataDxfId="74"/>
    <tableColumn id="26" xr3:uid="{4CB64B6C-9586-4980-848C-90ED9D68D613}" name="G7 b" dataDxfId="73"/>
    <tableColumn id="27" xr3:uid="{E8D9E6CA-0F7A-4831-9101-7146175A3893}" name="G7 bow" dataDxfId="72"/>
    <tableColumn id="28" xr3:uid="{F53D52D5-3A7D-48E3-848F-696372430757}" name="G7 cp" dataDxfId="71"/>
    <tableColumn id="29" xr3:uid="{C454139C-A4E4-4F70-8D33-3EF73C6C7CDE}" name="G1 #" dataDxfId="70"/>
    <tableColumn id="30" xr3:uid="{94F55286-DCD6-4966-A8FC-7213D9FB44A9}" name="G1 Scr" dataDxfId="69"/>
    <tableColumn id="31" xr3:uid="{85994FED-4D7A-478A-80C3-309BB4CB72DC}" name="G1 b" dataDxfId="68"/>
    <tableColumn id="32" xr3:uid="{C14F82A3-1FBB-4D88-826C-BEB95A749C3F}" name="G1 bow" dataDxfId="67"/>
    <tableColumn id="33" xr3:uid="{FFA081FC-AAD1-402E-9FC0-FA8E5807B0B9}" name="G1 cp" dataDxfId="6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F89D92-708F-489D-BA00-67F8C57F2A5E}" name="MI" displayName="MI" ref="B5:BR31" totalsRowShown="0" headerRowDxfId="65" tableBorderDxfId="64">
  <autoFilter ref="B5:BR31" xr:uid="{97F89D92-708F-489D-BA00-67F8C57F2A5E}"/>
  <sortState xmlns:xlrd2="http://schemas.microsoft.com/office/spreadsheetml/2017/richdata2" ref="B6:BR31">
    <sortCondition ref="AD6:AD31"/>
    <sortCondition ref="AL6:AL31"/>
    <sortCondition ref="AU6:AU31"/>
    <sortCondition ref="BC6:BC31"/>
    <sortCondition ref="BI6:BI31"/>
    <sortCondition descending="1" ref="D6:D31"/>
  </sortState>
  <tableColumns count="69">
    <tableColumn id="1" xr3:uid="{931B9CF6-009A-412D-9230-55EFB486F3DC}" name="Team" dataDxfId="63"/>
    <tableColumn id="2" xr3:uid="{828317B5-730E-41EF-9DF8-45D883B90D1F}" name="PLAYER" dataDxfId="62"/>
    <tableColumn id="3" xr3:uid="{63613833-4F6E-4353-A40D-DBF6ECB94744}" name="Price ( In Cr. )" dataDxfId="61"/>
    <tableColumn id="4" xr3:uid="{FC3EAAA7-D132-46F9-BCBB-B408A2C72AEC}" name="Nat'" dataDxfId="60"/>
    <tableColumn id="5" xr3:uid="{00B0383D-D412-4C8E-822D-4E8A2DE83294}" name="CRICKPE ROLE" dataDxfId="59"/>
    <tableColumn id="6" xr3:uid="{22198CB0-A5CC-4D1A-A16C-75B7E4C876B5}" name="MY11C ROLE" dataDxfId="58"/>
    <tableColumn id="7" xr3:uid="{7FEF20A6-FCD9-45B7-92B1-3587D5E0A7E4}" name="TAG" dataDxfId="57"/>
    <tableColumn id="8" xr3:uid="{AFB38FA4-8B3D-4944-BD87-27B498CECAEE}" name="Must Have" dataDxfId="56"/>
    <tableColumn id="9" xr3:uid="{D6E65BFC-FF24-4511-BCC1-4F0CC7A7AE4E}" name="Should " dataDxfId="55"/>
    <tableColumn id="10" xr3:uid="{CF45CAA6-4D6E-4C7D-A3FB-E711096C58E3}" name="Avg 50+" dataDxfId="54"/>
    <tableColumn id="46" xr3:uid="{EF1F9974-522D-4288-B9F8-16C65680E1DC}" name="Avg 40+" dataDxfId="53"/>
    <tableColumn id="45" xr3:uid="{98BCBE0B-6182-4AD2-9451-EB25F5A722FB}" name="Avg 30+" dataDxfId="52"/>
    <tableColumn id="11" xr3:uid="{69EDC8D9-0720-4B50-8230-9B1318B574B0}" name="CH" dataDxfId="51"/>
    <tableColumn id="12" xr3:uid="{7FFEC3C6-ACD7-48C9-96EE-4C430899CB3E}" name="Max 100+" dataDxfId="50"/>
    <tableColumn id="48" xr3:uid="{CDD20C9D-D0D2-4E91-BB09-CAAC4ADCFF2D}" name="Max 80+" dataDxfId="49"/>
    <tableColumn id="47" xr3:uid="{E37AE635-06F9-4036-8539-63994322BF6E}" name="Max 50+" dataDxfId="48"/>
    <tableColumn id="49" xr3:uid="{F3520E59-8DDB-4F1B-95D9-AA9CE1D28214}" name="Innings" dataDxfId="47">
      <calculatedColumnFormula>COUNTA(MI[[#This Row],[G31 cp]],MI[[#This Row],[G25 cp]],MI[[#This Row],[G22 cp]],MI[[#This Row],[G16 cp]],MI[[#This Row],[G12 cp]],MI[[#This Row],[G5 cp]])</calculatedColumnFormula>
    </tableColumn>
    <tableColumn id="13" xr3:uid="{E5E2F547-B4B9-4546-8B20-0D1DA7656E2B}" name="Max." dataDxfId="46">
      <calculatedColumnFormula>MAX(MI[[#This Row],[G31 cp]],MI[[#This Row],[G25 cp]],MI[[#This Row],[G22 cp]],MI[[#This Row],[G16 cp]],MI[[#This Row],[G12 cp]],MI[[#This Row],[G5 cp]])</calculatedColumnFormula>
    </tableColumn>
    <tableColumn id="14" xr3:uid="{47881DD1-A9DF-4CC3-800C-066A7FBF384C}" name="Avg. Oth" dataDxfId="45">
      <calculatedColumnFormula>( SUM(MI[[#This Row],[G31 cp]],MI[[#This Row],[G25 cp]],MI[[#This Row],[G22 cp]],MI[[#This Row],[G16 cp]],MI[[#This Row],[G12 cp]],MI[[#This Row],[G5 cp]]) - MI[[#This Row],[Max.]]) / (MI[[#This Row],[Innings]]-1)</calculatedColumnFormula>
    </tableColumn>
    <tableColumn id="15" xr3:uid="{68F9FE70-480E-42ED-BB27-148BA4BD0854}" name="Min. " dataDxfId="44">
      <calculatedColumnFormula>MIN(MI[[#This Row],[G31 cp]],MI[[#This Row],[G25 cp]],MI[[#This Row],[G22 cp]],MI[[#This Row],[G16 cp]],MI[[#This Row],[G12 cp]],MI[[#This Row],[G5 cp]])</calculatedColumnFormula>
    </tableColumn>
    <tableColumn id="57" xr3:uid="{7F97CE65-8966-40D9-82AA-4DAC4D873A30}" name="B1 Inn" dataDxfId="43">
      <calculatedColumnFormula>COUNTA(MI[[#This Row],[G25 cp]],MI[[#This Row],[G22 cp]],MI[[#This Row],[G12 cp]],MI[[#This Row],[G5 cp]])</calculatedColumnFormula>
    </tableColumn>
    <tableColumn id="56" xr3:uid="{6E0EF0F9-66A4-4B7E-8E4F-4219CDA772DD}" name="B1  Max" dataDxfId="42">
      <calculatedColumnFormula>MAX(MI[[#This Row],[G25 cp]],MI[[#This Row],[G22 cp]],MI[[#This Row],[G12 cp]],MI[[#This Row],[G5 cp]])</calculatedColumnFormula>
    </tableColumn>
    <tableColumn id="55" xr3:uid="{50033DF7-7D35-428F-995E-851C26DA907F}" name="B1 Avg Oth" dataDxfId="41">
      <calculatedColumnFormula>( SUM(MI[[#This Row],[G25 cp]],MI[[#This Row],[G22 cp]],MI[[#This Row],[G12 cp]],MI[[#This Row],[G5 cp]]) - MI[[#This Row],[B1  Max]]) / (MI[[#This Row],[B1 Inn]]-1)</calculatedColumnFormula>
    </tableColumn>
    <tableColumn id="54" xr3:uid="{44BFF372-B02C-4E03-9235-EF2342DDD256}" name="B1 Min" dataDxfId="40">
      <calculatedColumnFormula>MIN(MI[[#This Row],[G25 cp]],MI[[#This Row],[G22 cp]],MI[[#This Row],[G12 cp]],MI[[#This Row],[G5 cp]])</calculatedColumnFormula>
    </tableColumn>
    <tableColumn id="53" xr3:uid="{A6CE587D-D59F-48FA-801F-A7AE35A89947}" name="CHS Inn" dataDxfId="39">
      <calculatedColumnFormula>COUNTA(MI[[#This Row],[G31 cp]],MI[[#This Row],[G16 cp]])</calculatedColumnFormula>
    </tableColumn>
    <tableColumn id="52" xr3:uid="{2396C1A5-7080-43BD-BA95-808DD14154D3}" name="CHS Max" dataDxfId="38">
      <calculatedColumnFormula>MAX(MI[[#This Row],[G31 cp]],MI[[#This Row],[G16 cp]])</calculatedColumnFormula>
    </tableColumn>
    <tableColumn id="51" xr3:uid="{73B5ED9E-121E-4BE2-8F18-A1CB093CA47C}" name="CHS Avg Oth" dataDxfId="37">
      <calculatedColumnFormula>( SUM(MI[[#This Row],[G31 cp]],MI[[#This Row],[G16 cp]]) - MI[[#This Row],[CHS Max]]) / ( MI[[#This Row],[CHS Inn]] - 1 )</calculatedColumnFormula>
    </tableColumn>
    <tableColumn id="50" xr3:uid="{92D1777A-5462-4226-A270-28498C80478E}" name="CHS Min" dataDxfId="36">
      <calculatedColumnFormula>MIN(MI[[#This Row],[G31 cp]],MI[[#This Row],[G16 cp]])</calculatedColumnFormula>
    </tableColumn>
    <tableColumn id="59" xr3:uid="{797C31CD-EBE8-43D0-B674-791209CBA345}" name="G34 #" dataDxfId="35"/>
    <tableColumn id="58" xr3:uid="{5F0CDCA4-6671-440A-8081-C01EFEB511BC}" name="G34 cp" dataDxfId="34"/>
    <tableColumn id="69" xr3:uid="{930BAF47-F1AD-4595-BBCA-95E1D8F9F5FD}" name="G31 Pts" dataDxfId="33">
      <calculatedColumnFormula>MI[[#This Row],[G31 cp]]</calculatedColumnFormula>
    </tableColumn>
    <tableColumn id="16" xr3:uid="{8778D286-5F3D-4549-BABF-B9A479BE6501}" name="G25 Pts." dataDxfId="32">
      <calculatedColumnFormula>MI[[#This Row],[G25 cp]]</calculatedColumnFormula>
    </tableColumn>
    <tableColumn id="17" xr3:uid="{5DF17E4E-12D6-4E93-B777-E7859C58CB80}" name="G22 Pts." dataDxfId="31">
      <calculatedColumnFormula>MI[[#This Row],[G22 cp]]</calculatedColumnFormula>
    </tableColumn>
    <tableColumn id="18" xr3:uid="{591AA6E3-9509-4E86-946B-618BFA23682B}" name="G16 Pts." dataDxfId="30">
      <calculatedColumnFormula>MI[[#This Row],[G16 cp]]</calculatedColumnFormula>
    </tableColumn>
    <tableColumn id="19" xr3:uid="{4471E92B-974A-47C2-AA6C-19F92CC4FD0D}" name="G12 Pts." dataDxfId="29">
      <calculatedColumnFormula>MI[[#This Row],[G12 cp]]</calculatedColumnFormula>
    </tableColumn>
    <tableColumn id="20" xr3:uid="{9451D7E8-4023-4F92-BC83-8E8A0E5FE6FF}" name="G5 Pts." dataDxfId="28">
      <calculatedColumnFormula>MI[[#This Row],[G5 cp]]</calculatedColumnFormula>
    </tableColumn>
    <tableColumn id="61" xr3:uid="{BEA7E942-E68D-420C-BABC-1DC303C1AF45}" name="G31 #" dataDxfId="27"/>
    <tableColumn id="68" xr3:uid="{4C27900B-455B-4023-98F2-9848F3EFF763}" name="G31 b.type" dataDxfId="26"/>
    <tableColumn id="67" xr3:uid="{B5EE4652-DAFD-4207-9D03-D51AAA300438}" name="G31 b.nm" dataDxfId="25"/>
    <tableColumn id="66" xr3:uid="{0143C21C-1DE4-4A88-9F7F-A7C07A3CCC85}" name="G31 r" dataDxfId="24"/>
    <tableColumn id="65" xr3:uid="{51626D4C-1638-402A-BF65-9B02C1F9B1AF}" name="G31r.b" dataDxfId="23"/>
    <tableColumn id="64" xr3:uid="{FD47728A-6A9A-403E-B6A5-B80C1BAFF7F7}" name="G31 b.ov" dataDxfId="22"/>
    <tableColumn id="63" xr3:uid="{1E20FBDE-9107-4EF1-AD0B-DD75C6B57F70}" name="G31 b.rc" dataDxfId="21"/>
    <tableColumn id="62" xr3:uid="{E572BA71-691F-4922-B74A-E5078ACD6BD0}" name="G31 b.wkt" dataDxfId="20"/>
    <tableColumn id="60" xr3:uid="{BBC87565-1DB3-4B41-A691-4EE9ED6180C2}" name="G31 cp" dataDxfId="19"/>
    <tableColumn id="21" xr3:uid="{53046098-0383-4751-88F0-7C5B2E02D626}" name="G25 #" dataDxfId="18"/>
    <tableColumn id="22" xr3:uid="{5810DE98-AFCB-4356-A397-D6ADA7E21F42}" name="G25 cp" dataDxfId="17"/>
    <tableColumn id="23" xr3:uid="{9EA4EA00-466D-43C1-B34A-1BC37D8FEF70}" name="G22 #" dataDxfId="16"/>
    <tableColumn id="24" xr3:uid="{1DDC2137-3814-48F9-8F07-14B74D37D3D2}" name="G22 b" dataDxfId="15"/>
    <tableColumn id="25" xr3:uid="{7292DC22-24A5-4253-AFB8-CE0B1CA4C678}" name="G22 r" dataDxfId="14"/>
    <tableColumn id="26" xr3:uid="{B692A955-79EC-4B92-9B75-4A0C3B45B3FE}" name="G22 rb" dataDxfId="13"/>
    <tableColumn id="27" xr3:uid="{1AA80ED6-5E27-470D-AB13-14DB75FFB110}" name="G22 Bow" dataDxfId="12"/>
    <tableColumn id="28" xr3:uid="{33729A4D-7118-4F6C-8F04-765FACC7C4B0}" name="G22 cp" dataDxfId="11"/>
    <tableColumn id="29" xr3:uid="{44A33CAF-A513-40AF-80E4-59E7B6254076}" name="G16 #" dataDxfId="10"/>
    <tableColumn id="30" xr3:uid="{A39AC43B-B613-46B5-A08D-4DC6E71C61BD}" name="G16 b" dataDxfId="9"/>
    <tableColumn id="31" xr3:uid="{F2D7535A-7889-455B-BE69-3AA5539CD613}" name="G16 r" dataDxfId="8"/>
    <tableColumn id="32" xr3:uid="{C90B60AC-8B41-4485-B664-BA366DC6F878}" name="G16 rb" dataDxfId="7"/>
    <tableColumn id="33" xr3:uid="{0A6AE33F-6D57-4394-BD43-722753CBC493}" name="G16 Bow" dataDxfId="6"/>
    <tableColumn id="34" xr3:uid="{0C1A2C55-CDB3-4CE2-9093-CEB96CA5EC00}" name="G16 cp" dataDxfId="5"/>
    <tableColumn id="35" xr3:uid="{F2894A33-7454-4FD1-83FC-F6C5C3218236}" name="G12 #" dataDxfId="4"/>
    <tableColumn id="36" xr3:uid="{FDF3EA60-613B-4698-9122-9178587328AD}" name="G12 b" dataDxfId="3"/>
    <tableColumn id="37" xr3:uid="{E0203831-1193-4EF1-A937-56D2831CD439}" name="G12 Scr." dataDxfId="2"/>
    <tableColumn id="38" xr3:uid="{2749EF35-8248-4BA8-B078-0D8CF34CE8A2}" name="G12 Bow" dataDxfId="1"/>
    <tableColumn id="39" xr3:uid="{4C9B63AD-470E-43F9-A9CF-7441CDC49F7C}" name="G12 cp" dataDxfId="0"/>
    <tableColumn id="40" xr3:uid="{1CD93BD9-649D-49CC-BF3C-EB50FF52C8AA}" name="G5 #"/>
    <tableColumn id="41" xr3:uid="{03D49759-CAF8-44E7-B075-9D0456FFBABF}" name="G5 b"/>
    <tableColumn id="42" xr3:uid="{6F240E31-D5AE-499F-B6FB-56D0EA85FD1A}" name="G5 Scr."/>
    <tableColumn id="43" xr3:uid="{DFC1221F-8746-4623-8D05-391BB2A31904}" name="G5 bow"/>
    <tableColumn id="44" xr3:uid="{454C2F5F-7710-4EF3-BF29-919F8E54A1B6}" name="G5 cp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BA1DC5-412B-4D37-9104-B7BCB213FB97}" name="CSK" displayName="CSK" ref="B4:CN31" totalsRowShown="0" headerRowDxfId="337" dataDxfId="336" tableBorderDxfId="335">
  <autoFilter ref="B4:CN31" xr:uid="{E7BA1DC5-412B-4D37-9104-B7BCB213FB97}"/>
  <sortState xmlns:xlrd2="http://schemas.microsoft.com/office/spreadsheetml/2017/richdata2" ref="B5:CN31">
    <sortCondition ref="BB5:BB31"/>
    <sortCondition ref="BK5:BK31"/>
    <sortCondition ref="BQ5:BQ31"/>
    <sortCondition ref="BW5:BW31"/>
    <sortCondition descending="1" ref="D5:D31"/>
  </sortState>
  <tableColumns count="91">
    <tableColumn id="1" xr3:uid="{22C62F0C-6993-49CA-A6A5-FC95F35676BC}" name="TEAM" dataDxfId="334"/>
    <tableColumn id="2" xr3:uid="{E7CD6B45-EBF0-4099-AA9D-D2096DB9BD59}" name="PLAYER" dataDxfId="333"/>
    <tableColumn id="3" xr3:uid="{042804DA-DA03-411E-9C61-B1510091CC3B}" name="PRICE _x000a_(In Cr.)" dataDxfId="332"/>
    <tableColumn id="4" xr3:uid="{108F8E1F-91A3-4C15-A69B-90B7765DFF34}" name="Info" dataDxfId="331"/>
    <tableColumn id="5" xr3:uid="{9214F8E0-3DF6-4ED2-AE17-E94319859644}" name="CP ROLE" dataDxfId="330"/>
    <tableColumn id="6" xr3:uid="{C8A8EE2E-5D0C-49A5-80D6-9871C1A6AF42}" name="MY 11 CIRCLE ROLE" dataDxfId="329"/>
    <tableColumn id="7" xr3:uid="{106A5B80-590C-4DC7-BBBE-C39EE97DD79D}" name="TAG" dataDxfId="328"/>
    <tableColumn id="8" xr3:uid="{BB85B3C7-B61E-4768-8887-4DE6EB85C588}" name="Must Have" dataDxfId="327"/>
    <tableColumn id="9" xr3:uid="{153CAE57-6864-4410-B55C-5E42904F60AF}" name="Should " dataDxfId="326"/>
    <tableColumn id="10" xr3:uid="{D6B08B63-DD0A-4430-BEB6-DA115A44D0F6}" name="Avg. Oth. 50+" dataDxfId="325"/>
    <tableColumn id="80" xr3:uid="{B78999EC-30EF-4FD3-BC30-002EA442EC04}" name="Avg. Oth. 40+" dataDxfId="324"/>
    <tableColumn id="79" xr3:uid="{B90651F3-8989-4276-8F44-3A5ABB9A188F}" name="Avg. Oth. 30+" dataDxfId="323"/>
    <tableColumn id="11" xr3:uid="{6D219173-2A8C-4CA4-BF43-B3232B3CF743}" name="CH" dataDxfId="322"/>
    <tableColumn id="77" xr3:uid="{780540F5-408E-4392-9C8A-7F0C7EF55E60}" name="Max 100+" dataDxfId="321"/>
    <tableColumn id="78" xr3:uid="{97EBDEFB-AAFB-4010-B688-0A79BE056E22}" name="Max 80+" dataDxfId="320"/>
    <tableColumn id="12" xr3:uid="{C70D0477-EC4D-4CAB-B6AD-1283EAD3B082}" name="Max 50+" dataDxfId="319"/>
    <tableColumn id="81" xr3:uid="{21B6DAB1-2DC9-4D71-BFAB-8E4955ED9371}" name="Innings" dataDxfId="318">
      <calculatedColumnFormula>COUNTA(CSK[[#This Row],[G29 cp]],CSK[[#This Row],[G24 cp]],CSK[[#This Row],[G16 cp]],CSK[[#This Row],[G12 cp]],CSK[[#This Row],[G6 cp]],CSK[[#This Row],[G1 cp]])</calculatedColumnFormula>
    </tableColumn>
    <tableColumn id="13" xr3:uid="{99955ACD-2E36-4727-97FC-D7FEFD8AD3FE}" name="Max" dataDxfId="317">
      <calculatedColumnFormula>MAX(CSK[[#This Row],[G29 cp]],CSK[[#This Row],[G24 cp]],CSK[[#This Row],[G16 cp]],CSK[[#This Row],[G12 cp]],CSK[[#This Row],[G6 cp]],CSK[[#This Row],[G1 cp]])</calculatedColumnFormula>
    </tableColumn>
    <tableColumn id="14" xr3:uid="{2BA1BF57-F619-4FF4-835A-85A104D25F8A}" name="Avg. Oth" dataDxfId="316">
      <calculatedColumnFormula>( SUM(CSK[[#This Row],[G29 cp]],CSK[[#This Row],[G24 cp]],CSK[[#This Row],[G16 cp]],CSK[[#This Row],[G12 cp]],CSK[[#This Row],[G6 cp]],CSK[[#This Row],[G1 cp]]) - CSK[[#This Row],[Max]] ) /  ( CSK[[#This Row],[Innings]] - 1)</calculatedColumnFormula>
    </tableColumn>
    <tableColumn id="15" xr3:uid="{2C3125BD-F2B4-4B8B-92F1-47FD4709CC1D}" name="Min" dataDxfId="315">
      <calculatedColumnFormula>MIN(CSK[[#This Row],[G29 cp]],CSK[[#This Row],[G24 cp]],CSK[[#This Row],[G16 cp]],CSK[[#This Row],[G12 cp]],CSK[[#This Row],[G6 cp]],CSK[[#This Row],[G1 cp]])</calculatedColumnFormula>
    </tableColumn>
    <tableColumn id="16" xr3:uid="{43898278-DA5C-487E-AF37-B1C59C089A8C}" name="G29 Pts" dataDxfId="314">
      <calculatedColumnFormula>CSK[[#This Row],[G29 cp]]</calculatedColumnFormula>
    </tableColumn>
    <tableColumn id="17" xr3:uid="{EEE692B6-26BC-4308-8FB1-5843876E1CA8}" name="G24 Pts." dataDxfId="313">
      <calculatedColumnFormula>CSK[[#This Row],[G24 cp]]</calculatedColumnFormula>
    </tableColumn>
    <tableColumn id="18" xr3:uid="{DBACC637-F191-4B3C-A6C0-E8D8A34ED3A7}" name="G16 Pts." dataDxfId="312">
      <calculatedColumnFormula>CSK[[#This Row],[G16 cp]]</calculatedColumnFormula>
    </tableColumn>
    <tableColumn id="19" xr3:uid="{AAF15C34-6758-49B2-9ADE-FAB67BCC3F32}" name="G12 Pts." dataDxfId="311">
      <calculatedColumnFormula>CSK[[#This Row],[G12 cp]]</calculatedColumnFormula>
    </tableColumn>
    <tableColumn id="20" xr3:uid="{78EF7077-0B2F-462C-8D50-B7DC5CD2FA7C}" name="G6 Pts." dataDxfId="310">
      <calculatedColumnFormula>CSK[[#This Row],[G6 cp]]</calculatedColumnFormula>
    </tableColumn>
    <tableColumn id="21" xr3:uid="{98151264-80B2-49AC-BDCF-3043206D3C70}" name="G1 Pts." dataDxfId="309">
      <calculatedColumnFormula>CSK[[#This Row],[G1 cp]]</calculatedColumnFormula>
    </tableColumn>
    <tableColumn id="22" xr3:uid="{49F95DFE-B540-41F5-AF8E-403D8E0BD054}" name=" B1 Must Have" dataDxfId="308"/>
    <tableColumn id="23" xr3:uid="{38F5D1AF-AF0B-4BE5-AD39-6E4C12F80473}" name="B1 Should " dataDxfId="307"/>
    <tableColumn id="24" xr3:uid="{EBF74343-3E67-4D12-8245-ABA59FD8692F}" name="B1 Avg Oth 50+" dataDxfId="306"/>
    <tableColumn id="86" xr3:uid="{E66A9B81-9352-4C84-B1E6-47B250A1D798}" name="B1 Avg Oth 40+" dataDxfId="305"/>
    <tableColumn id="87" xr3:uid="{E741B9DA-066F-4CB7-A6A5-25C04EA594BA}" name="B1 Avg Oth 30+" dataDxfId="304"/>
    <tableColumn id="25" xr3:uid="{E34C700F-0CBB-48DB-B9FF-55F77C83560A}" name=" B1 CH" dataDxfId="303"/>
    <tableColumn id="84" xr3:uid="{0F31ACDA-68D2-4C0D-92A9-A17BD737021A}" name="B1 Max 100+" dataDxfId="302"/>
    <tableColumn id="85" xr3:uid="{559CF41E-F997-4773-8053-274797F689A5}" name="B1 Max 80+" dataDxfId="301"/>
    <tableColumn id="26" xr3:uid="{F52E0E60-7865-430E-A0CF-BC5CF1A0DE82}" name="B1 Max 50+" dataDxfId="300"/>
    <tableColumn id="82" xr3:uid="{ADDE7D42-5FB7-42EC-AB95-9BE2977EFD92}" name="B1 Inn" dataDxfId="299">
      <calculatedColumnFormula>COUNTA(CSK[[#This Row],[G24 cp]],CSK[[#This Row],[G16 cp]],CSK[[#This Row],[G6 cp]])</calculatedColumnFormula>
    </tableColumn>
    <tableColumn id="27" xr3:uid="{027C45FE-EE1C-4D6E-8E53-5653B9FA43BD}" name="B1 MAX" dataDxfId="298">
      <calculatedColumnFormula>MAX(CSK[[#This Row],[G24 cp]],CSK[[#This Row],[G16 cp]],CSK[[#This Row],[G6 cp]])</calculatedColumnFormula>
    </tableColumn>
    <tableColumn id="28" xr3:uid="{5FD5104B-BA96-4309-9B6D-88426C7E39D9}" name="B1 Avg. Oth" dataDxfId="297">
      <calculatedColumnFormula>(SUM(CSK[[#This Row],[G24 cp]],CSK[[#This Row],[G16 cp]],CSK[[#This Row],[G6 cp]])-CSK[[#This Row],[B1 MAX]])/(CSK[[#This Row],[B1 Inn]]-1)</calculatedColumnFormula>
    </tableColumn>
    <tableColumn id="29" xr3:uid="{C609170B-5B99-4957-9E57-A99C4785009E}" name="B1 Min" dataDxfId="296">
      <calculatedColumnFormula>MIN(CSK[[#This Row],[G24 cp]],CSK[[#This Row],[G16 cp]],CSK[[#This Row],[G6 cp]])</calculatedColumnFormula>
    </tableColumn>
    <tableColumn id="30" xr3:uid="{9C7CBA0A-F4EA-47DB-83F0-2EE0C4615474}" name=" CHS Must Have" dataDxfId="295"/>
    <tableColumn id="31" xr3:uid="{84FAA4E2-9F05-4478-A686-495F8DFCEDFE}" name="CHS Should " dataDxfId="294"/>
    <tableColumn id="32" xr3:uid="{4D8436A4-01F2-4F3B-9D0C-1459890EC58E}" name="CHS Avg Oth 50+" dataDxfId="293"/>
    <tableColumn id="89" xr3:uid="{E5ADDF9C-1655-4FFB-9026-C7673D4DE6B3}" name="CHS Avg Oth 40+" dataDxfId="292"/>
    <tableColumn id="88" xr3:uid="{8C84F3AE-B26C-406A-AE27-72DC74332839}" name="CHS Avg Oth 30+" dataDxfId="291"/>
    <tableColumn id="33" xr3:uid="{2CCCD66F-370B-4A30-BEA8-E37418DBDBF4}" name=" CHS CH" dataDxfId="290"/>
    <tableColumn id="34" xr3:uid="{B2D1FDC2-B2FB-4029-9427-E6DF83B7C9AE}" name=" CHS Max 100+" dataDxfId="289"/>
    <tableColumn id="91" xr3:uid="{6D7FAE61-FE93-4604-B5DE-AC0632EE747A}" name=" CHS Max 80+" dataDxfId="288"/>
    <tableColumn id="90" xr3:uid="{6031759E-7BD1-495B-B7FE-D82DEEB2FC38}" name=" CHS Max  50+" dataDxfId="287"/>
    <tableColumn id="83" xr3:uid="{597BCB1C-935F-4825-8030-5043DDF248F2}" name="CHS Inn" dataDxfId="286">
      <calculatedColumnFormula xml:space="preserve"> COUNTA(CSK[[#This Row],[G29 cp]],CSK[[#This Row],[G12 cp]],CSK[[#This Row],[G1 cp]])</calculatedColumnFormula>
    </tableColumn>
    <tableColumn id="35" xr3:uid="{6FF6D5CB-0DC1-4029-B0E0-3174B405CB56}" name="CH MAX" dataDxfId="285">
      <calculatedColumnFormula>MAX(CSK[[#This Row],[G29 cp]],CSK[[#This Row],[G12 cp]],CSK[[#This Row],[G1 cp]])</calculatedColumnFormula>
    </tableColumn>
    <tableColumn id="36" xr3:uid="{E0E99DC5-6831-4E59-A8A2-F6F122688AA2}" name="CH Avg. Oth" dataDxfId="284">
      <calculatedColumnFormula>( SUM(CSK[[#This Row],[G29 cp]],CSK[[#This Row],[G12 cp]],CSK[[#This Row],[G1 cp]]) -CSK[[#This Row],[CH MAX]]) / ( CSK[[#This Row],[CHS Inn]] - 1 )</calculatedColumnFormula>
    </tableColumn>
    <tableColumn id="37" xr3:uid="{1B6DDD88-351C-45BE-8AD6-540FB8643353}" name="CH Min" dataDxfId="283">
      <calculatedColumnFormula>MIN(CSK[[#This Row],[G29 cp]],CSK[[#This Row],[G12 cp]],CSK[[#This Row],[G1 cp]])</calculatedColumnFormula>
    </tableColumn>
    <tableColumn id="38" xr3:uid="{951B14BC-6461-4E9E-A602-080559039F16}" name="G29 #" dataDxfId="282"/>
    <tableColumn id="39" xr3:uid="{62C5A2B2-13E2-464A-9FBF-1EBC4C35B9C8}" name="G29 B.type" dataDxfId="281"/>
    <tableColumn id="40" xr3:uid="{4334AE0A-A62B-47B0-8A4E-BBE6126A6AE7}" name="G29 B.nm" dataDxfId="280"/>
    <tableColumn id="41" xr3:uid="{67541F80-4B8A-42D1-9A8C-99B0E96B9378}" name="G29 r" dataDxfId="279"/>
    <tableColumn id="42" xr3:uid="{1C7A46B8-8EA3-4D9D-B1A3-EB168880368D}" name="G29 r.b" dataDxfId="278"/>
    <tableColumn id="43" xr3:uid="{0A8D327B-4563-4280-8DAC-ACF0D53D5F54}" name="G29 b.ov" dataDxfId="277"/>
    <tableColumn id="44" xr3:uid="{7182FCCD-C760-46AE-B295-4FE41B9743D5}" name="G29 b.rc" dataDxfId="276"/>
    <tableColumn id="45" xr3:uid="{E94314CF-1399-487D-A4C5-794169C270C3}" name="G29 b.wkt" dataDxfId="275"/>
    <tableColumn id="46" xr3:uid="{483628A9-7873-405C-AF57-108A183265BA}" name="G29 cp" dataDxfId="274"/>
    <tableColumn id="47" xr3:uid="{6E741343-BB4C-4E4B-9830-08892F4F836C}" name="G24 #" dataDxfId="273"/>
    <tableColumn id="48" xr3:uid="{5C9F4D21-50AD-4121-888C-BE334F9BCAB9}" name="G24 b" dataDxfId="272"/>
    <tableColumn id="49" xr3:uid="{26239931-DCAC-4F27-B721-78AE8C680840}" name="G24 r" dataDxfId="271"/>
    <tableColumn id="50" xr3:uid="{B913FABA-5CFA-44BD-8CE0-D2DBE9FB2540}" name="G24 rb" dataDxfId="270"/>
    <tableColumn id="51" xr3:uid="{42DECEAA-2A98-4AE6-A661-372C1C3F3107}" name="G24 Bow" dataDxfId="269"/>
    <tableColumn id="52" xr3:uid="{CC0FE0A8-6927-4DB2-A553-F73F5EC11CCD}" name="G24 cp" dataDxfId="268"/>
    <tableColumn id="53" xr3:uid="{15798282-FEDC-4F14-8AD3-CB940765B165}" name="G16 #" dataDxfId="267"/>
    <tableColumn id="54" xr3:uid="{7CF854C0-92A1-498F-AC2A-77831CECA177}" name="G16 b" dataDxfId="266"/>
    <tableColumn id="55" xr3:uid="{4B7BEC63-0235-4295-BBFF-4500FCA5CA06}" name="G16 r" dataDxfId="265"/>
    <tableColumn id="56" xr3:uid="{C39582E8-E45D-4DF6-B577-17865A67B0F4}" name="G16 rb" dataDxfId="264"/>
    <tableColumn id="57" xr3:uid="{51E6DA92-E910-472D-ADEB-4203C588340F}" name="G16 Bow" dataDxfId="263"/>
    <tableColumn id="58" xr3:uid="{F3535772-A78E-43C9-8F40-82D9D0AD5774}" name="G16 cp" dataDxfId="262"/>
    <tableColumn id="59" xr3:uid="{FEC0DC2D-7C05-43FE-987F-AEC2AAE62924}" name="G12 #" dataDxfId="261"/>
    <tableColumn id="60" xr3:uid="{DAD77313-5A6D-4291-A6F7-8019E52D3E1C}" name="G12 b" dataDxfId="260"/>
    <tableColumn id="61" xr3:uid="{BA0CFDB1-E2EF-4749-8164-A91F3F94F164}" name="G12 r" dataDxfId="259"/>
    <tableColumn id="62" xr3:uid="{A523EFAE-E5FF-4E68-ADA5-C6717B58AF81}" name="G12 rb" dataDxfId="258"/>
    <tableColumn id="63" xr3:uid="{72551490-84AB-4A94-83FE-150964E603A6}" name="G12 Bow" dataDxfId="257"/>
    <tableColumn id="64" xr3:uid="{A6CA180F-1BC6-466D-8C09-11CDB82060D5}" name="G12 cp" dataDxfId="256"/>
    <tableColumn id="65" xr3:uid="{3F79FBDC-BC82-4FDC-A6BE-7CADF06E9953}" name="G6 #" dataDxfId="255"/>
    <tableColumn id="66" xr3:uid="{DE0889A4-910A-421B-A180-914D93C9F879}" name="G6 b" dataDxfId="254"/>
    <tableColumn id="67" xr3:uid="{C4430ADF-6943-4C31-91F2-9181D5F78113}" name="G6 r" dataDxfId="253"/>
    <tableColumn id="68" xr3:uid="{E452839F-82A6-4FA4-B8E3-D883D1C33C3A}" name="G6 rb" dataDxfId="252"/>
    <tableColumn id="69" xr3:uid="{D3DC2BDD-62BC-4E3A-99DF-05A6D20540CA}" name="G6 Bow" dataDxfId="251"/>
    <tableColumn id="70" xr3:uid="{3DD980D4-8B19-4B9A-9B6E-9D985889668F}" name="G6 cp" dataDxfId="250"/>
    <tableColumn id="71" xr3:uid="{A6B6A2E1-A84C-4FED-906B-1773DAB082EE}" name="G1 #" dataDxfId="249"/>
    <tableColumn id="72" xr3:uid="{B89C61AB-0833-4C1A-9B2C-4CD6906DA8F8}" name="G1 b" dataDxfId="248"/>
    <tableColumn id="73" xr3:uid="{036E9D5F-8E71-4C36-9473-41D4F985C529}" name="G1 r" dataDxfId="247"/>
    <tableColumn id="74" xr3:uid="{F6B32752-BF61-46C2-BC93-C4B55F3DD7AC}" name="G1 rb" dataDxfId="246"/>
    <tableColumn id="75" xr3:uid="{5292E2D7-7774-48C9-A1AD-C12E89665DC8}" name="G1 Bow" dataDxfId="245"/>
    <tableColumn id="76" xr3:uid="{DD35C931-D0A3-4B27-8B72-1F4427C29A23}" name="G1 cp" dataDxfId="2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32CF-7606-4F67-8F42-713185D84BAF}">
  <dimension ref="B2:BS32"/>
  <sheetViews>
    <sheetView showGridLines="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4.4"/>
  <cols>
    <col min="1" max="1" width="3.44140625" customWidth="1"/>
    <col min="2" max="2" width="7.21875" customWidth="1"/>
    <col min="3" max="3" width="22.5546875" customWidth="1"/>
    <col min="4" max="4" width="12.109375" customWidth="1"/>
    <col min="5" max="5" width="12.33203125" customWidth="1"/>
    <col min="6" max="6" width="7.44140625" customWidth="1"/>
    <col min="7" max="7" width="7.5546875" customWidth="1"/>
    <col min="8" max="8" width="10.44140625" style="351" bestFit="1" customWidth="1"/>
    <col min="9" max="9" width="10.88671875" style="361" customWidth="1"/>
    <col min="10" max="10" width="8.88671875" style="370"/>
    <col min="11" max="11" width="4.21875" customWidth="1"/>
    <col min="12" max="12" width="4.44140625" customWidth="1"/>
    <col min="13" max="13" width="4.109375" customWidth="1"/>
    <col min="14" max="14" width="5.33203125" style="379" customWidth="1"/>
    <col min="15" max="15" width="4.88671875" customWidth="1"/>
    <col min="16" max="17" width="4.109375" customWidth="1"/>
    <col min="19" max="19" width="9.33203125" customWidth="1"/>
    <col min="21" max="21" width="9.44140625" customWidth="1"/>
    <col min="22" max="23" width="9.88671875" customWidth="1"/>
    <col min="24" max="24" width="9.44140625" customWidth="1"/>
    <col min="25" max="26" width="9" customWidth="1"/>
    <col min="45" max="45" width="12.44140625" bestFit="1" customWidth="1"/>
    <col min="48" max="48" width="9.44140625" customWidth="1"/>
    <col min="50" max="50" width="7" customWidth="1"/>
    <col min="52" max="52" width="7.77734375" customWidth="1"/>
    <col min="53" max="53" width="6.77734375" customWidth="1"/>
    <col min="54" max="54" width="9.44140625" customWidth="1"/>
    <col min="55" max="55" width="9" customWidth="1"/>
    <col min="59" max="59" width="9.44140625" customWidth="1"/>
    <col min="61" max="61" width="6.109375" customWidth="1"/>
    <col min="62" max="62" width="6.77734375" bestFit="1" customWidth="1"/>
    <col min="63" max="63" width="13.21875" bestFit="1" customWidth="1"/>
    <col min="64" max="64" width="8.6640625" customWidth="1"/>
    <col min="66" max="66" width="6.109375" customWidth="1"/>
    <col min="67" max="67" width="8.21875" customWidth="1"/>
    <col min="68" max="68" width="7.88671875" bestFit="1" customWidth="1"/>
    <col min="69" max="69" width="8.6640625" customWidth="1"/>
  </cols>
  <sheetData>
    <row r="2" spans="2:71">
      <c r="V2" s="276" t="s">
        <v>1097</v>
      </c>
      <c r="W2" s="282" t="s">
        <v>1112</v>
      </c>
      <c r="X2" s="602" t="s">
        <v>1112</v>
      </c>
      <c r="Y2" s="276" t="s">
        <v>1112</v>
      </c>
      <c r="Z2" s="282" t="s">
        <v>1094</v>
      </c>
      <c r="AA2" s="602" t="s">
        <v>1112</v>
      </c>
    </row>
    <row r="3" spans="2:71">
      <c r="U3" s="276"/>
      <c r="V3" s="276" t="s">
        <v>933</v>
      </c>
      <c r="W3" s="282" t="s">
        <v>1132</v>
      </c>
      <c r="X3" s="602" t="s">
        <v>933</v>
      </c>
      <c r="Y3" s="276" t="s">
        <v>933</v>
      </c>
      <c r="Z3" s="282" t="s">
        <v>1132</v>
      </c>
      <c r="AA3" s="602" t="s">
        <v>1132</v>
      </c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2"/>
      <c r="AQ3" s="602"/>
      <c r="AR3" s="602"/>
    </row>
    <row r="4" spans="2:71" ht="15" thickBot="1">
      <c r="U4" s="276"/>
      <c r="V4" s="276" t="s">
        <v>1077</v>
      </c>
      <c r="W4" s="282" t="s">
        <v>141</v>
      </c>
      <c r="X4" s="602" t="s">
        <v>95</v>
      </c>
      <c r="Y4" s="276" t="s">
        <v>94</v>
      </c>
      <c r="Z4" s="282" t="s">
        <v>231</v>
      </c>
      <c r="AA4" s="602" t="s">
        <v>134</v>
      </c>
      <c r="AB4" s="602"/>
      <c r="AC4" s="602"/>
      <c r="AD4" s="602"/>
      <c r="AE4" s="602"/>
      <c r="AF4" s="602"/>
      <c r="AG4" s="602"/>
      <c r="AH4" s="602"/>
      <c r="AI4" s="602"/>
      <c r="AJ4" s="602" t="s">
        <v>1245</v>
      </c>
      <c r="AK4" s="602"/>
      <c r="AL4" s="602"/>
      <c r="AM4" s="602" t="s">
        <v>1246</v>
      </c>
      <c r="AN4" s="602"/>
      <c r="AO4" s="602"/>
      <c r="AP4" s="602"/>
      <c r="AQ4" s="602"/>
      <c r="AR4" s="602"/>
      <c r="AS4" s="276" t="s">
        <v>1070</v>
      </c>
      <c r="AT4" s="276" t="s">
        <v>1071</v>
      </c>
      <c r="AX4" s="283"/>
      <c r="AY4" s="283" t="s">
        <v>1072</v>
      </c>
      <c r="AZ4" s="283"/>
      <c r="BA4" s="283" t="s">
        <v>955</v>
      </c>
      <c r="BB4" s="283"/>
      <c r="BD4" s="276"/>
      <c r="BE4" s="276" t="s">
        <v>1072</v>
      </c>
      <c r="BF4" s="276"/>
      <c r="BG4" s="276" t="s">
        <v>954</v>
      </c>
      <c r="BH4" s="276"/>
      <c r="BI4" s="276"/>
      <c r="BJ4" s="276" t="s">
        <v>1073</v>
      </c>
      <c r="BK4" s="276"/>
      <c r="BL4" s="276" t="s">
        <v>953</v>
      </c>
      <c r="BN4" s="283"/>
      <c r="BO4" s="283" t="s">
        <v>1030</v>
      </c>
      <c r="BP4" s="283"/>
      <c r="BQ4" s="283" t="s">
        <v>952</v>
      </c>
    </row>
    <row r="5" spans="2:71" ht="40.200000000000003" customHeight="1" thickBot="1">
      <c r="B5" s="770" t="s">
        <v>131</v>
      </c>
      <c r="C5" s="771" t="s">
        <v>120</v>
      </c>
      <c r="D5" s="772" t="s">
        <v>133</v>
      </c>
      <c r="E5" s="771" t="s">
        <v>633</v>
      </c>
      <c r="F5" s="772" t="s">
        <v>1215</v>
      </c>
      <c r="G5" s="773" t="s">
        <v>252</v>
      </c>
      <c r="H5" s="692" t="s">
        <v>989</v>
      </c>
      <c r="I5" s="693" t="s">
        <v>990</v>
      </c>
      <c r="J5" s="694" t="s">
        <v>991</v>
      </c>
      <c r="K5" s="785" t="s">
        <v>1222</v>
      </c>
      <c r="L5" s="785" t="s">
        <v>1221</v>
      </c>
      <c r="M5" s="785" t="s">
        <v>1220</v>
      </c>
      <c r="N5" s="695" t="s">
        <v>993</v>
      </c>
      <c r="O5" s="736" t="s">
        <v>1216</v>
      </c>
      <c r="P5" s="736" t="s">
        <v>1217</v>
      </c>
      <c r="Q5" s="736" t="s">
        <v>1218</v>
      </c>
      <c r="R5" s="697" t="s">
        <v>1198</v>
      </c>
      <c r="S5" s="698" t="s">
        <v>479</v>
      </c>
      <c r="T5" s="698" t="s">
        <v>776</v>
      </c>
      <c r="U5" s="698" t="s">
        <v>777</v>
      </c>
      <c r="V5" s="438" t="s">
        <v>1247</v>
      </c>
      <c r="W5" s="324" t="s">
        <v>1059</v>
      </c>
      <c r="X5" s="324" t="s">
        <v>1231</v>
      </c>
      <c r="Y5" s="324" t="s">
        <v>678</v>
      </c>
      <c r="Z5" s="324" t="s">
        <v>1230</v>
      </c>
      <c r="AA5" s="439" t="s">
        <v>395</v>
      </c>
      <c r="AB5" s="319" t="s">
        <v>1199</v>
      </c>
      <c r="AC5" s="192" t="s">
        <v>1200</v>
      </c>
      <c r="AD5" s="192" t="s">
        <v>1201</v>
      </c>
      <c r="AE5" s="320" t="s">
        <v>1232</v>
      </c>
      <c r="AF5" s="808" t="s">
        <v>1208</v>
      </c>
      <c r="AG5" s="808" t="s">
        <v>1209</v>
      </c>
      <c r="AH5" s="808" t="s">
        <v>1210</v>
      </c>
      <c r="AI5" s="808" t="s">
        <v>1233</v>
      </c>
      <c r="AJ5" s="47" t="s">
        <v>1234</v>
      </c>
      <c r="AK5" s="48" t="s">
        <v>1235</v>
      </c>
      <c r="AL5" s="48" t="s">
        <v>1236</v>
      </c>
      <c r="AM5" s="48" t="s">
        <v>1237</v>
      </c>
      <c r="AN5" s="48" t="s">
        <v>1238</v>
      </c>
      <c r="AO5" s="48" t="s">
        <v>1241</v>
      </c>
      <c r="AP5" s="48" t="s">
        <v>1240</v>
      </c>
      <c r="AQ5" s="48" t="s">
        <v>1239</v>
      </c>
      <c r="AR5" s="49" t="s">
        <v>1242</v>
      </c>
      <c r="AS5" s="774" t="s">
        <v>1056</v>
      </c>
      <c r="AT5" s="775" t="s">
        <v>1057</v>
      </c>
      <c r="AU5" s="775" t="s">
        <v>1060</v>
      </c>
      <c r="AV5" s="775" t="s">
        <v>1061</v>
      </c>
      <c r="AW5" s="775" t="s">
        <v>1058</v>
      </c>
      <c r="AX5" s="776" t="s">
        <v>1225</v>
      </c>
      <c r="AY5" s="777" t="s">
        <v>949</v>
      </c>
      <c r="AZ5" s="778" t="s">
        <v>950</v>
      </c>
      <c r="BA5" s="779" t="s">
        <v>958</v>
      </c>
      <c r="BB5" s="779" t="s">
        <v>959</v>
      </c>
      <c r="BC5" s="779" t="s">
        <v>951</v>
      </c>
      <c r="BD5" s="780" t="s">
        <v>1226</v>
      </c>
      <c r="BE5" s="774" t="s">
        <v>674</v>
      </c>
      <c r="BF5" s="775" t="s">
        <v>675</v>
      </c>
      <c r="BG5" s="775" t="s">
        <v>676</v>
      </c>
      <c r="BH5" s="775" t="s">
        <v>677</v>
      </c>
      <c r="BI5" s="776" t="s">
        <v>1227</v>
      </c>
      <c r="BJ5" s="781" t="s">
        <v>462</v>
      </c>
      <c r="BK5" s="782" t="s">
        <v>461</v>
      </c>
      <c r="BL5" s="782" t="s">
        <v>1214</v>
      </c>
      <c r="BM5" s="782" t="s">
        <v>480</v>
      </c>
      <c r="BN5" s="783" t="s">
        <v>1228</v>
      </c>
      <c r="BO5" s="777" t="s">
        <v>391</v>
      </c>
      <c r="BP5" s="778" t="s">
        <v>392</v>
      </c>
      <c r="BQ5" s="779" t="s">
        <v>393</v>
      </c>
      <c r="BR5" s="779" t="s">
        <v>481</v>
      </c>
      <c r="BS5" s="779" t="s">
        <v>1229</v>
      </c>
    </row>
    <row r="6" spans="2:71">
      <c r="B6" s="105" t="s">
        <v>132</v>
      </c>
      <c r="C6" s="102" t="s">
        <v>121</v>
      </c>
      <c r="D6" s="102">
        <v>15</v>
      </c>
      <c r="E6" s="102"/>
      <c r="F6" s="102" t="s">
        <v>54</v>
      </c>
      <c r="G6" s="104" t="s">
        <v>54</v>
      </c>
      <c r="H6" s="593"/>
      <c r="I6" s="581"/>
      <c r="J6" s="585"/>
      <c r="K6" s="87"/>
      <c r="L6" s="87"/>
      <c r="M6" s="87"/>
      <c r="N6" s="589"/>
      <c r="O6" s="87"/>
      <c r="P6" s="87"/>
      <c r="Q6" s="87"/>
      <c r="R6" s="101">
        <f>COUNTA(RCB[[#This Row],[G24 cp]],RCB[[#This Row],[G20 cp]],RCB[[#This Row],[G15 cp]],RCB[[#This Row],[G9 cp]],RCB[[#This Row],[G5 cp]])</f>
        <v>5</v>
      </c>
      <c r="S6" s="316">
        <f>MAX(RCB[[#This Row],[G27 cp]],RCB[[#This Row],[G24 cp]],RCB[[#This Row],[G20 cp]],RCB[[#This Row],[G15 cp]],RCB[[#This Row],[G9 cp]],RCB[[#This Row],[G9 cp]],RCB[[#This Row],[G5 cp]])</f>
        <v>105</v>
      </c>
      <c r="T6" s="316">
        <f xml:space="preserve"> ( SUM(RCB[[#This Row],[G27 cp]],RCB[[#This Row],[G24 cp]],RCB[[#This Row],[G20 cp]],RCB[[#This Row],[G15 cp]],RCB[[#This Row],[G9 cp]],RCB[[#This Row],[G9 cp]],RCB[[#This Row],[G5 cp]]) -RCB[[#This Row],[Max]])</f>
        <v>343</v>
      </c>
      <c r="U6" s="104">
        <f>MIN(RCB[[#This Row],[G24 cp]],RCB[[#This Row],[G24 cp]],RCB[[#This Row],[G20 cp]],RCB[[#This Row],[G15 cp]],RCB[[#This Row],[G9 cp]],RCB[[#This Row],[G9 cp]],RCB[[#This Row],[G5 cp]])</f>
        <v>6</v>
      </c>
      <c r="V6" s="88">
        <f>RCB[[#This Row],[G27 cp]]</f>
        <v>78</v>
      </c>
      <c r="W6" s="87">
        <f>RCB[[#This Row],[G24 cp]]</f>
        <v>6</v>
      </c>
      <c r="X6" s="87">
        <f>RCB[[#This Row],[G20 cp]]</f>
        <v>94</v>
      </c>
      <c r="Y6" s="87">
        <f>RCB[[#This Row],[G15 cp]]</f>
        <v>93</v>
      </c>
      <c r="Z6" s="87">
        <f>RCB[[#This Row],[G9 cp]]</f>
        <v>36</v>
      </c>
      <c r="AA6" s="89">
        <f>RCB[[#This Row],[G5 cp]]</f>
        <v>105</v>
      </c>
      <c r="AB6" s="88">
        <f>COUNTA(RCB[[#This Row],[G27 cp]], RCB[[#This Row],[G20 cp]],RCB[[#This Row],[G15 cp]])</f>
        <v>3</v>
      </c>
      <c r="AC6" s="87">
        <f>MAX(RCB[[#This Row],[G27 cp]], RCB[[#This Row],[G20 cp]],RCB[[#This Row],[G15 cp]])</f>
        <v>94</v>
      </c>
      <c r="AD6" s="87">
        <f>( SUM(RCB[[#This Row],[G27 cp]],RCB[[#This Row],[G20 cp]],RCB[[#This Row],[G15 cp]]) - RCB[[#This Row],[Max B1]] ) / ( RCB[[#This Row],[Innings B1]] - 1)</f>
        <v>85.5</v>
      </c>
      <c r="AE6" s="89">
        <f>MIN(RCB[[#This Row],[G27 cp]],RCB[[#This Row],[G20 cp]],RCB[[#This Row],[G15 cp]])</f>
        <v>78</v>
      </c>
      <c r="AF6" s="87">
        <f>COUNTA(RCB[[#This Row],[G24 cp]],RCB[[#This Row],[G9 cp]],RCB[[#This Row],[G5 cp]])</f>
        <v>3</v>
      </c>
      <c r="AG6" s="87">
        <f>MAX(RCB[[#This Row],[G24 cp]],RCB[[#This Row],[G9 cp]],RCB[[#This Row],[G5 cp]])</f>
        <v>105</v>
      </c>
      <c r="AH6" s="316">
        <f>( SUM(RCB[[#This Row],[G24 cp]],RCB[[#This Row],[G9 cp]],RCB[[#This Row],[G5 cp]]) - RCB[[#This Row],[Max CHS]] ) / (RCB[[#This Row],[Innings CHS]] - 1)</f>
        <v>21</v>
      </c>
      <c r="AI6" s="87">
        <f>MIN(RCB[[#This Row],[G24 cp]],RCB[[#This Row],[G9 cp]],RCB[[#This Row],[G5 cp]])</f>
        <v>6</v>
      </c>
      <c r="AJ6" s="88">
        <v>1</v>
      </c>
      <c r="AK6" s="87" t="s">
        <v>1243</v>
      </c>
      <c r="AL6" s="87" t="s">
        <v>939</v>
      </c>
      <c r="AM6" s="87">
        <v>59</v>
      </c>
      <c r="AN6" s="87">
        <v>47</v>
      </c>
      <c r="AO6" s="87"/>
      <c r="AP6" s="87"/>
      <c r="AQ6" s="87"/>
      <c r="AR6" s="89">
        <v>78</v>
      </c>
      <c r="AS6" s="88">
        <v>1</v>
      </c>
      <c r="AT6" s="87" t="s">
        <v>355</v>
      </c>
      <c r="AU6" s="87">
        <v>6</v>
      </c>
      <c r="AV6" s="87">
        <v>4</v>
      </c>
      <c r="AW6" s="87"/>
      <c r="AX6" s="89">
        <v>6</v>
      </c>
      <c r="AY6" s="87">
        <v>1</v>
      </c>
      <c r="AZ6" s="87" t="s">
        <v>957</v>
      </c>
      <c r="BA6" s="87">
        <v>50</v>
      </c>
      <c r="BB6" s="87">
        <v>34</v>
      </c>
      <c r="BC6" s="87"/>
      <c r="BD6" s="89">
        <v>94</v>
      </c>
      <c r="BE6" s="101">
        <v>1</v>
      </c>
      <c r="BF6" s="102" t="s">
        <v>681</v>
      </c>
      <c r="BG6" s="102" t="s">
        <v>285</v>
      </c>
      <c r="BH6" s="102"/>
      <c r="BI6" s="103">
        <v>93</v>
      </c>
      <c r="BJ6" s="105">
        <v>1</v>
      </c>
      <c r="BK6" s="102" t="s">
        <v>487</v>
      </c>
      <c r="BL6" s="102" t="s">
        <v>488</v>
      </c>
      <c r="BM6" s="104"/>
      <c r="BN6" s="103">
        <v>36</v>
      </c>
      <c r="BO6" s="105">
        <v>1</v>
      </c>
      <c r="BP6" s="102" t="s">
        <v>484</v>
      </c>
      <c r="BQ6" s="104" t="s">
        <v>327</v>
      </c>
      <c r="BR6" s="104"/>
      <c r="BS6" s="104">
        <v>105</v>
      </c>
    </row>
    <row r="7" spans="2:71">
      <c r="B7" s="146" t="s">
        <v>132</v>
      </c>
      <c r="C7" s="97" t="s">
        <v>122</v>
      </c>
      <c r="D7" s="97">
        <v>7</v>
      </c>
      <c r="E7" s="97" t="s">
        <v>616</v>
      </c>
      <c r="F7" s="97" t="s">
        <v>54</v>
      </c>
      <c r="G7" s="145" t="s">
        <v>54</v>
      </c>
      <c r="H7" s="594" t="s">
        <v>1007</v>
      </c>
      <c r="I7" s="582"/>
      <c r="J7" s="586"/>
      <c r="K7" s="144"/>
      <c r="L7" s="144"/>
      <c r="M7" s="144"/>
      <c r="N7" s="590"/>
      <c r="O7" s="144"/>
      <c r="P7" s="144"/>
      <c r="Q7" s="144"/>
      <c r="R7" s="142">
        <f>COUNTA(RCB[[#This Row],[G24 cp]],RCB[[#This Row],[G20 cp]],RCB[[#This Row],[G15 cp]],RCB[[#This Row],[G9 cp]],RCB[[#This Row],[G5 cp]])</f>
        <v>5</v>
      </c>
      <c r="S7" s="274">
        <f>MAX(RCB[[#This Row],[G27 cp]],RCB[[#This Row],[G24 cp]],RCB[[#This Row],[G20 cp]],RCB[[#This Row],[G15 cp]],RCB[[#This Row],[G9 cp]],RCB[[#This Row],[G9 cp]],RCB[[#This Row],[G5 cp]])</f>
        <v>111</v>
      </c>
      <c r="T7" s="274">
        <f t="shared" ref="T7:T12" si="0">( SUM(BD7,BI7,BN7,BS7) - S7 ) / ( COUNTA(BD7,BI7,BN7,BS7) - 1 )</f>
        <v>54.666666666666664</v>
      </c>
      <c r="U7" s="145">
        <f>MIN(RCB[[#This Row],[G24 cp]],RCB[[#This Row],[G24 cp]],RCB[[#This Row],[G20 cp]],RCB[[#This Row],[G15 cp]],RCB[[#This Row],[G9 cp]],RCB[[#This Row],[G9 cp]],RCB[[#This Row],[G5 cp]])</f>
        <v>31</v>
      </c>
      <c r="V7" s="193">
        <f>RCB[[#This Row],[G27 cp]]</f>
        <v>111</v>
      </c>
      <c r="W7" s="144">
        <f>RCB[[#This Row],[G24 cp]]</f>
        <v>80</v>
      </c>
      <c r="X7" s="144">
        <f>RCB[[#This Row],[G20 cp]]</f>
        <v>31</v>
      </c>
      <c r="Y7" s="144">
        <f>RCB[[#This Row],[G15 cp]]</f>
        <v>101</v>
      </c>
      <c r="Z7" s="144">
        <f>RCB[[#This Row],[G9 cp]]</f>
        <v>33</v>
      </c>
      <c r="AA7" s="194">
        <f>RCB[[#This Row],[G5 cp]]</f>
        <v>110</v>
      </c>
      <c r="AB7" s="193">
        <f>COUNTA(RCB[[#This Row],[G27 cp]], RCB[[#This Row],[G20 cp]],RCB[[#This Row],[G15 cp]])</f>
        <v>3</v>
      </c>
      <c r="AC7" s="144">
        <f>MAX(RCB[[#This Row],[G27 cp]], RCB[[#This Row],[G20 cp]],RCB[[#This Row],[G15 cp]])</f>
        <v>111</v>
      </c>
      <c r="AD7" s="144">
        <f>( SUM(RCB[[#This Row],[G27 cp]],RCB[[#This Row],[G20 cp]],RCB[[#This Row],[G15 cp]]) - RCB[[#This Row],[Max B1]] ) / ( RCB[[#This Row],[Innings B1]] - 1)</f>
        <v>66</v>
      </c>
      <c r="AE7" s="194">
        <f>MIN(RCB[[#This Row],[G27 cp]],RCB[[#This Row],[G20 cp]],RCB[[#This Row],[G15 cp]])</f>
        <v>31</v>
      </c>
      <c r="AF7" s="144">
        <f>COUNTA(RCB[[#This Row],[G24 cp]],RCB[[#This Row],[G9 cp]],RCB[[#This Row],[G5 cp]])</f>
        <v>3</v>
      </c>
      <c r="AG7" s="144">
        <f>MAX(RCB[[#This Row],[G24 cp]],RCB[[#This Row],[G9 cp]],RCB[[#This Row],[G5 cp]])</f>
        <v>110</v>
      </c>
      <c r="AH7" s="274">
        <f>( SUM(RCB[[#This Row],[G24 cp]],RCB[[#This Row],[G9 cp]],RCB[[#This Row],[G5 cp]]) - RCB[[#This Row],[Max CHS]] ) / (RCB[[#This Row],[Innings CHS]] - 1)</f>
        <v>56.5</v>
      </c>
      <c r="AI7" s="144">
        <f>MIN(RCB[[#This Row],[G24 cp]],RCB[[#This Row],[G9 cp]],RCB[[#This Row],[G5 cp]])</f>
        <v>33</v>
      </c>
      <c r="AJ7" s="193">
        <v>2</v>
      </c>
      <c r="AK7" s="144" t="s">
        <v>645</v>
      </c>
      <c r="AL7" s="144" t="s">
        <v>356</v>
      </c>
      <c r="AM7" s="144">
        <v>84</v>
      </c>
      <c r="AN7" s="144">
        <v>56</v>
      </c>
      <c r="AO7" s="144"/>
      <c r="AP7" s="144"/>
      <c r="AQ7" s="144"/>
      <c r="AR7" s="194">
        <v>111</v>
      </c>
      <c r="AS7" s="193">
        <v>2</v>
      </c>
      <c r="AT7" s="144" t="s">
        <v>662</v>
      </c>
      <c r="AU7" s="144">
        <v>62</v>
      </c>
      <c r="AV7" s="144">
        <v>33</v>
      </c>
      <c r="AW7" s="144"/>
      <c r="AX7" s="194">
        <v>80</v>
      </c>
      <c r="AY7" s="144">
        <v>2</v>
      </c>
      <c r="AZ7" s="144" t="s">
        <v>440</v>
      </c>
      <c r="BA7" s="144">
        <v>22</v>
      </c>
      <c r="BB7" s="144">
        <v>16</v>
      </c>
      <c r="BC7" s="144"/>
      <c r="BD7" s="194">
        <v>31</v>
      </c>
      <c r="BE7" s="142">
        <v>2</v>
      </c>
      <c r="BF7" s="97" t="s">
        <v>680</v>
      </c>
      <c r="BG7" s="97" t="s">
        <v>372</v>
      </c>
      <c r="BH7" s="97"/>
      <c r="BI7" s="143">
        <v>101</v>
      </c>
      <c r="BJ7" s="146">
        <v>2</v>
      </c>
      <c r="BK7" s="97" t="s">
        <v>490</v>
      </c>
      <c r="BL7" s="97" t="s">
        <v>489</v>
      </c>
      <c r="BM7" s="145"/>
      <c r="BN7" s="143">
        <v>33</v>
      </c>
      <c r="BO7" s="146">
        <v>2</v>
      </c>
      <c r="BP7" s="97" t="s">
        <v>483</v>
      </c>
      <c r="BQ7" s="145" t="s">
        <v>321</v>
      </c>
      <c r="BR7" s="145"/>
      <c r="BS7" s="145">
        <v>110</v>
      </c>
    </row>
    <row r="8" spans="2:71">
      <c r="B8" s="152" t="s">
        <v>132</v>
      </c>
      <c r="C8" s="148" t="s">
        <v>699</v>
      </c>
      <c r="D8" s="148">
        <v>11</v>
      </c>
      <c r="E8" s="148" t="s">
        <v>614</v>
      </c>
      <c r="F8" s="148" t="s">
        <v>55</v>
      </c>
      <c r="G8" s="151" t="s">
        <v>55</v>
      </c>
      <c r="H8" s="596" t="s">
        <v>1005</v>
      </c>
      <c r="I8" s="366"/>
      <c r="J8" s="375"/>
      <c r="K8" s="150"/>
      <c r="L8" s="150"/>
      <c r="M8" s="150"/>
      <c r="N8" s="384"/>
      <c r="O8" s="150"/>
      <c r="P8" s="150"/>
      <c r="Q8" s="150"/>
      <c r="R8" s="147">
        <f>COUNTA(RCB[[#This Row],[G24 cp]],RCB[[#This Row],[G20 cp]],RCB[[#This Row],[G15 cp]],RCB[[#This Row],[G9 cp]],RCB[[#This Row],[G5 cp]])</f>
        <v>5</v>
      </c>
      <c r="S8" s="272">
        <f>MAX(RCB[[#This Row],[G27 cp]],RCB[[#This Row],[G24 cp]],RCB[[#This Row],[G20 cp]],RCB[[#This Row],[G15 cp]],RCB[[#This Row],[G9 cp]],RCB[[#This Row],[G9 cp]],RCB[[#This Row],[G5 cp]])</f>
        <v>120</v>
      </c>
      <c r="T8" s="272">
        <f t="shared" si="0"/>
        <v>15.333333333333334</v>
      </c>
      <c r="U8" s="151">
        <f>MIN(RCB[[#This Row],[G24 cp]],RCB[[#This Row],[G24 cp]],RCB[[#This Row],[G20 cp]],RCB[[#This Row],[G15 cp]],RCB[[#This Row],[G9 cp]],RCB[[#This Row],[G9 cp]],RCB[[#This Row],[G5 cp]])</f>
        <v>18</v>
      </c>
      <c r="V8" s="207">
        <f>RCB[[#This Row],[G27 cp]]</f>
        <v>2</v>
      </c>
      <c r="W8" s="150">
        <f>RCB[[#This Row],[G24 cp]]</f>
        <v>120</v>
      </c>
      <c r="X8" s="150">
        <f>RCB[[#This Row],[G20 cp]]</f>
        <v>42</v>
      </c>
      <c r="Y8" s="150">
        <f>RCB[[#This Row],[G15 cp]]</f>
        <v>86</v>
      </c>
      <c r="Z8" s="150">
        <f>RCB[[#This Row],[G9 cp]]</f>
        <v>18</v>
      </c>
      <c r="AA8" s="208">
        <f>RCB[[#This Row],[G5 cp]]</f>
        <v>20</v>
      </c>
      <c r="AB8" s="207">
        <f>COUNTA(RCB[[#This Row],[G27 cp]], RCB[[#This Row],[G20 cp]],RCB[[#This Row],[G15 cp]])</f>
        <v>3</v>
      </c>
      <c r="AC8" s="150">
        <f>MAX(RCB[[#This Row],[G27 cp]], RCB[[#This Row],[G20 cp]],RCB[[#This Row],[G15 cp]])</f>
        <v>86</v>
      </c>
      <c r="AD8" s="150">
        <f>( SUM(RCB[[#This Row],[G27 cp]],RCB[[#This Row],[G20 cp]],RCB[[#This Row],[G15 cp]]) - RCB[[#This Row],[Max B1]] ) / ( RCB[[#This Row],[Innings B1]] - 1)</f>
        <v>22</v>
      </c>
      <c r="AE8" s="208">
        <f>MIN(RCB[[#This Row],[G27 cp]],RCB[[#This Row],[G20 cp]],RCB[[#This Row],[G15 cp]])</f>
        <v>2</v>
      </c>
      <c r="AF8" s="150">
        <f>COUNTA(RCB[[#This Row],[G24 cp]],RCB[[#This Row],[G9 cp]],RCB[[#This Row],[G5 cp]])</f>
        <v>3</v>
      </c>
      <c r="AG8" s="150">
        <f>MAX(RCB[[#This Row],[G24 cp]],RCB[[#This Row],[G9 cp]],RCB[[#This Row],[G5 cp]])</f>
        <v>120</v>
      </c>
      <c r="AH8" s="272">
        <f>( SUM(RCB[[#This Row],[G24 cp]],RCB[[#This Row],[G9 cp]],RCB[[#This Row],[G5 cp]]) - RCB[[#This Row],[Max CHS]] ) / (RCB[[#This Row],[Innings CHS]] - 1)</f>
        <v>19</v>
      </c>
      <c r="AI8" s="150">
        <f>MIN(RCB[[#This Row],[G24 cp]],RCB[[#This Row],[G9 cp]],RCB[[#This Row],[G5 cp]])</f>
        <v>18</v>
      </c>
      <c r="AJ8" s="207">
        <v>3</v>
      </c>
      <c r="AK8" s="150" t="s">
        <v>1243</v>
      </c>
      <c r="AL8" s="150" t="s">
        <v>939</v>
      </c>
      <c r="AM8" s="150">
        <v>0</v>
      </c>
      <c r="AN8" s="150">
        <v>1</v>
      </c>
      <c r="AO8" s="150">
        <v>1</v>
      </c>
      <c r="AP8" s="150">
        <v>5</v>
      </c>
      <c r="AQ8" s="150">
        <v>0</v>
      </c>
      <c r="AR8" s="208">
        <v>2</v>
      </c>
      <c r="AS8" s="207">
        <v>4</v>
      </c>
      <c r="AT8" s="150" t="s">
        <v>1062</v>
      </c>
      <c r="AU8" s="150">
        <v>76</v>
      </c>
      <c r="AV8" s="150">
        <v>36</v>
      </c>
      <c r="AW8" s="150" t="s">
        <v>1067</v>
      </c>
      <c r="AX8" s="208">
        <v>120</v>
      </c>
      <c r="AY8" s="150">
        <v>4</v>
      </c>
      <c r="AZ8" s="150" t="s">
        <v>605</v>
      </c>
      <c r="BA8" s="150">
        <v>24</v>
      </c>
      <c r="BB8" s="150">
        <v>14</v>
      </c>
      <c r="BC8" s="150"/>
      <c r="BD8" s="208">
        <v>42</v>
      </c>
      <c r="BE8" s="147">
        <v>3</v>
      </c>
      <c r="BF8" s="148" t="s">
        <v>679</v>
      </c>
      <c r="BG8" s="148" t="s">
        <v>320</v>
      </c>
      <c r="BH8" s="148"/>
      <c r="BI8" s="149">
        <v>86</v>
      </c>
      <c r="BJ8" s="152">
        <v>4</v>
      </c>
      <c r="BK8" s="148" t="s">
        <v>492</v>
      </c>
      <c r="BL8" s="148" t="s">
        <v>489</v>
      </c>
      <c r="BM8" s="151"/>
      <c r="BN8" s="149">
        <v>18</v>
      </c>
      <c r="BO8" s="152">
        <v>4</v>
      </c>
      <c r="BP8" s="148" t="s">
        <v>384</v>
      </c>
      <c r="BQ8" s="151" t="s">
        <v>327</v>
      </c>
      <c r="BR8" s="148" t="s">
        <v>485</v>
      </c>
      <c r="BS8" s="151">
        <v>20</v>
      </c>
    </row>
    <row r="9" spans="2:71">
      <c r="B9" s="100" t="s">
        <v>132</v>
      </c>
      <c r="C9" s="2" t="s">
        <v>123</v>
      </c>
      <c r="D9" s="2">
        <v>5.5</v>
      </c>
      <c r="E9" s="2" t="s">
        <v>142</v>
      </c>
      <c r="F9" s="2" t="s">
        <v>75</v>
      </c>
      <c r="G9" s="3" t="s">
        <v>75</v>
      </c>
      <c r="H9" s="598"/>
      <c r="I9" s="572"/>
      <c r="J9" s="575"/>
      <c r="K9" s="78"/>
      <c r="L9" s="78"/>
      <c r="M9" s="78"/>
      <c r="N9" s="578"/>
      <c r="O9" s="78"/>
      <c r="P9" s="78"/>
      <c r="Q9" s="78"/>
      <c r="R9" s="4">
        <f>COUNTA(RCB[[#This Row],[G24 cp]],RCB[[#This Row],[G20 cp]],RCB[[#This Row],[G15 cp]],RCB[[#This Row],[G9 cp]],RCB[[#This Row],[G5 cp]])</f>
        <v>5</v>
      </c>
      <c r="S9" s="317">
        <f>MAX(RCB[[#This Row],[G27 cp]],RCB[[#This Row],[G24 cp]],RCB[[#This Row],[G20 cp]],RCB[[#This Row],[G15 cp]],RCB[[#This Row],[G9 cp]],RCB[[#This Row],[G9 cp]],RCB[[#This Row],[G5 cp]])</f>
        <v>32</v>
      </c>
      <c r="T9" s="317">
        <f t="shared" si="0"/>
        <v>10.333333333333334</v>
      </c>
      <c r="U9" s="3">
        <f>MIN(RCB[[#This Row],[G24 cp]],RCB[[#This Row],[G24 cp]],RCB[[#This Row],[G20 cp]],RCB[[#This Row],[G15 cp]],RCB[[#This Row],[G9 cp]],RCB[[#This Row],[G9 cp]],RCB[[#This Row],[G5 cp]])</f>
        <v>2</v>
      </c>
      <c r="V9" s="81">
        <f>RCB[[#This Row],[G27 cp]]</f>
        <v>24</v>
      </c>
      <c r="W9" s="78">
        <f>RCB[[#This Row],[G24 cp]]</f>
        <v>32</v>
      </c>
      <c r="X9" s="78">
        <f>RCB[[#This Row],[G20 cp]]</f>
        <v>2</v>
      </c>
      <c r="Y9" s="78">
        <f>RCB[[#This Row],[G15 cp]]</f>
        <v>21</v>
      </c>
      <c r="Z9" s="78">
        <f>RCB[[#This Row],[G9 cp]]</f>
        <v>30</v>
      </c>
      <c r="AA9" s="82">
        <f>RCB[[#This Row],[G5 cp]]</f>
        <v>10</v>
      </c>
      <c r="AB9" s="81">
        <f>COUNTA(RCB[[#This Row],[G27 cp]], RCB[[#This Row],[G20 cp]],RCB[[#This Row],[G15 cp]])</f>
        <v>3</v>
      </c>
      <c r="AC9" s="78">
        <f>MAX(RCB[[#This Row],[G27 cp]], RCB[[#This Row],[G20 cp]],RCB[[#This Row],[G15 cp]])</f>
        <v>24</v>
      </c>
      <c r="AD9" s="78">
        <f>( SUM(RCB[[#This Row],[G27 cp]],RCB[[#This Row],[G20 cp]],RCB[[#This Row],[G15 cp]]) - RCB[[#This Row],[Max B1]] ) / ( RCB[[#This Row],[Innings B1]] - 1)</f>
        <v>11.5</v>
      </c>
      <c r="AE9" s="82">
        <f>MIN(RCB[[#This Row],[G27 cp]],RCB[[#This Row],[G20 cp]],RCB[[#This Row],[G15 cp]])</f>
        <v>2</v>
      </c>
      <c r="AF9" s="78">
        <f>COUNTA(RCB[[#This Row],[G24 cp]],RCB[[#This Row],[G9 cp]],RCB[[#This Row],[G5 cp]])</f>
        <v>3</v>
      </c>
      <c r="AG9" s="78">
        <f>MAX(RCB[[#This Row],[G24 cp]],RCB[[#This Row],[G9 cp]],RCB[[#This Row],[G5 cp]])</f>
        <v>32</v>
      </c>
      <c r="AH9" s="317">
        <f>( SUM(RCB[[#This Row],[G24 cp]],RCB[[#This Row],[G9 cp]],RCB[[#This Row],[G5 cp]]) - RCB[[#This Row],[Max CHS]] ) / (RCB[[#This Row],[Innings CHS]] - 1)</f>
        <v>20</v>
      </c>
      <c r="AI9" s="78">
        <f>MIN(RCB[[#This Row],[G24 cp]],RCB[[#This Row],[G9 cp]],RCB[[#This Row],[G5 cp]])</f>
        <v>10</v>
      </c>
      <c r="AJ9" s="81">
        <v>4</v>
      </c>
      <c r="AK9" s="78" t="s">
        <v>1244</v>
      </c>
      <c r="AL9" s="78" t="s">
        <v>355</v>
      </c>
      <c r="AM9" s="78">
        <v>7</v>
      </c>
      <c r="AN9" s="78">
        <v>5</v>
      </c>
      <c r="AO9" s="78"/>
      <c r="AP9" s="78"/>
      <c r="AQ9" s="78"/>
      <c r="AR9" s="82">
        <v>24</v>
      </c>
      <c r="AS9" s="81">
        <v>6</v>
      </c>
      <c r="AT9" s="78" t="s">
        <v>417</v>
      </c>
      <c r="AU9" s="78">
        <v>28</v>
      </c>
      <c r="AV9" s="78">
        <v>14</v>
      </c>
      <c r="AW9" s="78"/>
      <c r="AX9" s="82">
        <v>32</v>
      </c>
      <c r="AY9" s="78">
        <v>7</v>
      </c>
      <c r="AZ9" s="78" t="s">
        <v>605</v>
      </c>
      <c r="BA9" s="78">
        <v>0</v>
      </c>
      <c r="BB9" s="78">
        <v>1</v>
      </c>
      <c r="BC9" s="78"/>
      <c r="BD9" s="82">
        <v>2</v>
      </c>
      <c r="BE9" s="4">
        <v>4</v>
      </c>
      <c r="BF9" s="2" t="s">
        <v>338</v>
      </c>
      <c r="BG9" s="2" t="s">
        <v>372</v>
      </c>
      <c r="BH9" s="2"/>
      <c r="BI9" s="5">
        <v>21</v>
      </c>
      <c r="BJ9" s="100">
        <v>7</v>
      </c>
      <c r="BK9" s="2" t="s">
        <v>494</v>
      </c>
      <c r="BL9" s="2" t="s">
        <v>495</v>
      </c>
      <c r="BM9" s="3"/>
      <c r="BN9" s="5">
        <v>30</v>
      </c>
      <c r="BO9" s="100">
        <v>3</v>
      </c>
      <c r="BP9" s="2" t="s">
        <v>468</v>
      </c>
      <c r="BQ9" s="3" t="s">
        <v>486</v>
      </c>
      <c r="BR9" s="3"/>
      <c r="BS9" s="3">
        <v>10</v>
      </c>
    </row>
    <row r="10" spans="2:71">
      <c r="B10" s="61" t="s">
        <v>132</v>
      </c>
      <c r="C10" s="6" t="s">
        <v>644</v>
      </c>
      <c r="D10" s="6">
        <v>0.95</v>
      </c>
      <c r="E10" s="6" t="s">
        <v>643</v>
      </c>
      <c r="F10" s="6" t="s">
        <v>55</v>
      </c>
      <c r="G10" s="7" t="s">
        <v>55</v>
      </c>
      <c r="H10" s="595"/>
      <c r="I10" s="364"/>
      <c r="J10" s="373"/>
      <c r="K10" s="71"/>
      <c r="L10" s="71"/>
      <c r="M10" s="71"/>
      <c r="N10" s="382"/>
      <c r="O10" s="71"/>
      <c r="P10" s="71"/>
      <c r="Q10" s="71"/>
      <c r="R10" s="8">
        <f>COUNTA(RCB[[#This Row],[G24 cp]],RCB[[#This Row],[G20 cp]],RCB[[#This Row],[G15 cp]],RCB[[#This Row],[G9 cp]],RCB[[#This Row],[G5 cp]])</f>
        <v>5</v>
      </c>
      <c r="S10" s="260">
        <f>MAX(RCB[[#This Row],[G27 cp]],RCB[[#This Row],[G24 cp]],RCB[[#This Row],[G20 cp]],RCB[[#This Row],[G15 cp]],RCB[[#This Row],[G9 cp]],RCB[[#This Row],[G9 cp]],RCB[[#This Row],[G5 cp]])</f>
        <v>34</v>
      </c>
      <c r="T10" s="260">
        <f t="shared" si="0"/>
        <v>3.3333333333333335</v>
      </c>
      <c r="U10" s="7">
        <f>MIN(RCB[[#This Row],[G24 cp]],RCB[[#This Row],[G24 cp]],RCB[[#This Row],[G20 cp]],RCB[[#This Row],[G15 cp]],RCB[[#This Row],[G9 cp]],RCB[[#This Row],[G9 cp]],RCB[[#This Row],[G5 cp]])</f>
        <v>-2</v>
      </c>
      <c r="V10" s="58">
        <f>RCB[[#This Row],[G27 cp]]</f>
        <v>12</v>
      </c>
      <c r="W10" s="71">
        <f>RCB[[#This Row],[G24 cp]]</f>
        <v>-2</v>
      </c>
      <c r="X10" s="71">
        <f>RCB[[#This Row],[G20 cp]]</f>
        <v>34</v>
      </c>
      <c r="Y10" s="71">
        <f>RCB[[#This Row],[G15 cp]]</f>
        <v>4</v>
      </c>
      <c r="Z10" s="71">
        <f>RCB[[#This Row],[G9 cp]]</f>
        <v>3</v>
      </c>
      <c r="AA10" s="80">
        <f>RCB[[#This Row],[G5 cp]]</f>
        <v>3</v>
      </c>
      <c r="AB10" s="58">
        <f>COUNTA(RCB[[#This Row],[G27 cp]], RCB[[#This Row],[G20 cp]],RCB[[#This Row],[G15 cp]])</f>
        <v>3</v>
      </c>
      <c r="AC10" s="71">
        <f>MAX(RCB[[#This Row],[G27 cp]], RCB[[#This Row],[G20 cp]],RCB[[#This Row],[G15 cp]])</f>
        <v>34</v>
      </c>
      <c r="AD10" s="71">
        <f>( SUM(RCB[[#This Row],[G27 cp]],RCB[[#This Row],[G20 cp]],RCB[[#This Row],[G15 cp]]) - RCB[[#This Row],[Max B1]] ) / ( RCB[[#This Row],[Innings B1]] - 1)</f>
        <v>8</v>
      </c>
      <c r="AE10" s="80">
        <f>MIN(RCB[[#This Row],[G27 cp]],RCB[[#This Row],[G20 cp]],RCB[[#This Row],[G15 cp]])</f>
        <v>4</v>
      </c>
      <c r="AF10" s="71">
        <f>COUNTA(RCB[[#This Row],[G24 cp]],RCB[[#This Row],[G9 cp]],RCB[[#This Row],[G5 cp]])</f>
        <v>3</v>
      </c>
      <c r="AG10" s="71">
        <f>MAX(RCB[[#This Row],[G24 cp]],RCB[[#This Row],[G9 cp]],RCB[[#This Row],[G5 cp]])</f>
        <v>3</v>
      </c>
      <c r="AH10" s="260">
        <f>( SUM(RCB[[#This Row],[G24 cp]],RCB[[#This Row],[G9 cp]],RCB[[#This Row],[G5 cp]]) - RCB[[#This Row],[Max CHS]] ) / (RCB[[#This Row],[Innings CHS]] - 1)</f>
        <v>0.5</v>
      </c>
      <c r="AI10" s="71">
        <f>MIN(RCB[[#This Row],[G24 cp]],RCB[[#This Row],[G9 cp]],RCB[[#This Row],[G5 cp]])</f>
        <v>-2</v>
      </c>
      <c r="AJ10" s="58">
        <v>5</v>
      </c>
      <c r="AK10" s="71"/>
      <c r="AL10" s="71" t="s">
        <v>876</v>
      </c>
      <c r="AM10" s="71">
        <v>7</v>
      </c>
      <c r="AN10" s="71">
        <v>9</v>
      </c>
      <c r="AO10" s="71"/>
      <c r="AP10" s="71"/>
      <c r="AQ10" s="71"/>
      <c r="AR10" s="80">
        <v>12</v>
      </c>
      <c r="AS10" s="58">
        <v>3</v>
      </c>
      <c r="AT10" s="71" t="s">
        <v>417</v>
      </c>
      <c r="AU10" s="71">
        <v>0</v>
      </c>
      <c r="AV10" s="71">
        <v>5</v>
      </c>
      <c r="AW10" s="71"/>
      <c r="AX10" s="80">
        <v>-2</v>
      </c>
      <c r="AY10" s="71">
        <v>3</v>
      </c>
      <c r="AZ10" s="71" t="s">
        <v>440</v>
      </c>
      <c r="BA10" s="71">
        <v>26</v>
      </c>
      <c r="BB10" s="71">
        <v>18</v>
      </c>
      <c r="BC10" s="71"/>
      <c r="BD10" s="80">
        <v>34</v>
      </c>
      <c r="BE10" s="8">
        <v>5</v>
      </c>
      <c r="BF10" s="6"/>
      <c r="BG10" s="6"/>
      <c r="BH10" s="6"/>
      <c r="BI10" s="9">
        <v>4</v>
      </c>
      <c r="BJ10" s="61">
        <v>15</v>
      </c>
      <c r="BK10" s="6"/>
      <c r="BL10" s="6"/>
      <c r="BM10" s="7"/>
      <c r="BN10" s="9">
        <v>3</v>
      </c>
      <c r="BO10" s="61">
        <v>15</v>
      </c>
      <c r="BP10" s="6"/>
      <c r="BQ10" s="7"/>
      <c r="BR10" s="6"/>
      <c r="BS10" s="7">
        <v>3</v>
      </c>
    </row>
    <row r="11" spans="2:71">
      <c r="B11" s="61" t="s">
        <v>132</v>
      </c>
      <c r="C11" s="6" t="s">
        <v>637</v>
      </c>
      <c r="D11" s="6">
        <v>2.4</v>
      </c>
      <c r="E11" s="6" t="s">
        <v>638</v>
      </c>
      <c r="F11" s="6" t="s">
        <v>55</v>
      </c>
      <c r="G11" s="7" t="s">
        <v>55</v>
      </c>
      <c r="H11" s="595"/>
      <c r="I11" s="364"/>
      <c r="J11" s="373"/>
      <c r="K11" s="71"/>
      <c r="L11" s="71"/>
      <c r="M11" s="71"/>
      <c r="N11" s="382"/>
      <c r="O11" s="71"/>
      <c r="P11" s="71"/>
      <c r="Q11" s="71"/>
      <c r="R11" s="8">
        <f>COUNTA(RCB[[#This Row],[G24 cp]],RCB[[#This Row],[G20 cp]],RCB[[#This Row],[G15 cp]],RCB[[#This Row],[G9 cp]],RCB[[#This Row],[G5 cp]])</f>
        <v>5</v>
      </c>
      <c r="S11" s="260">
        <f>MAX(RCB[[#This Row],[G27 cp]],RCB[[#This Row],[G24 cp]],RCB[[#This Row],[G20 cp]],RCB[[#This Row],[G15 cp]],RCB[[#This Row],[G9 cp]],RCB[[#This Row],[G9 cp]],RCB[[#This Row],[G5 cp]])</f>
        <v>27</v>
      </c>
      <c r="T11" s="260">
        <f t="shared" si="0"/>
        <v>12.333333333333334</v>
      </c>
      <c r="U11" s="7">
        <f>MIN(RCB[[#This Row],[G24 cp]],RCB[[#This Row],[G24 cp]],RCB[[#This Row],[G20 cp]],RCB[[#This Row],[G15 cp]],RCB[[#This Row],[G9 cp]],RCB[[#This Row],[G9 cp]],RCB[[#This Row],[G5 cp]])</f>
        <v>5</v>
      </c>
      <c r="V11" s="58">
        <f>RCB[[#This Row],[G27 cp]]</f>
        <v>17</v>
      </c>
      <c r="W11" s="71">
        <f>RCB[[#This Row],[G24 cp]]</f>
        <v>15</v>
      </c>
      <c r="X11" s="71">
        <f>RCB[[#This Row],[G20 cp]]</f>
        <v>27</v>
      </c>
      <c r="Y11" s="71">
        <f>RCB[[#This Row],[G15 cp]]</f>
        <v>20</v>
      </c>
      <c r="Z11" s="71">
        <f>RCB[[#This Row],[G9 cp]]</f>
        <v>5</v>
      </c>
      <c r="AA11" s="80">
        <f>RCB[[#This Row],[G5 cp]]</f>
        <v>12</v>
      </c>
      <c r="AB11" s="58">
        <f>COUNTA(RCB[[#This Row],[G27 cp]], RCB[[#This Row],[G20 cp]],RCB[[#This Row],[G15 cp]])</f>
        <v>3</v>
      </c>
      <c r="AC11" s="71">
        <f>MAX(RCB[[#This Row],[G27 cp]], RCB[[#This Row],[G20 cp]],RCB[[#This Row],[G15 cp]])</f>
        <v>27</v>
      </c>
      <c r="AD11" s="71">
        <f>( SUM(RCB[[#This Row],[G27 cp]],RCB[[#This Row],[G20 cp]],RCB[[#This Row],[G15 cp]]) - RCB[[#This Row],[Max B1]] ) / ( RCB[[#This Row],[Innings B1]] - 1)</f>
        <v>18.5</v>
      </c>
      <c r="AE11" s="80">
        <f>MIN(RCB[[#This Row],[G27 cp]],RCB[[#This Row],[G20 cp]],RCB[[#This Row],[G15 cp]])</f>
        <v>17</v>
      </c>
      <c r="AF11" s="71">
        <f>COUNTA(RCB[[#This Row],[G24 cp]],RCB[[#This Row],[G9 cp]],RCB[[#This Row],[G5 cp]])</f>
        <v>3</v>
      </c>
      <c r="AG11" s="71">
        <f>MAX(RCB[[#This Row],[G24 cp]],RCB[[#This Row],[G9 cp]],RCB[[#This Row],[G5 cp]])</f>
        <v>15</v>
      </c>
      <c r="AH11" s="260">
        <f>( SUM(RCB[[#This Row],[G24 cp]],RCB[[#This Row],[G9 cp]],RCB[[#This Row],[G5 cp]]) - RCB[[#This Row],[Max CHS]] ) / (RCB[[#This Row],[Innings CHS]] - 1)</f>
        <v>8.5</v>
      </c>
      <c r="AI11" s="71">
        <f>MIN(RCB[[#This Row],[G24 cp]],RCB[[#This Row],[G9 cp]],RCB[[#This Row],[G5 cp]])</f>
        <v>5</v>
      </c>
      <c r="AJ11" s="58">
        <v>6</v>
      </c>
      <c r="AK11" s="71"/>
      <c r="AL11" s="71" t="s">
        <v>876</v>
      </c>
      <c r="AM11" s="71">
        <v>5</v>
      </c>
      <c r="AN11" s="71">
        <v>3</v>
      </c>
      <c r="AO11" s="71"/>
      <c r="AP11" s="71"/>
      <c r="AQ11" s="71"/>
      <c r="AR11" s="80">
        <v>17</v>
      </c>
      <c r="AS11" s="58">
        <v>5</v>
      </c>
      <c r="AT11" s="71" t="s">
        <v>1063</v>
      </c>
      <c r="AU11" s="71">
        <v>12</v>
      </c>
      <c r="AV11" s="71">
        <v>10</v>
      </c>
      <c r="AW11" s="71"/>
      <c r="AX11" s="80">
        <v>15</v>
      </c>
      <c r="AY11" s="71">
        <v>6</v>
      </c>
      <c r="AZ11" s="71" t="s">
        <v>876</v>
      </c>
      <c r="BA11" s="71">
        <v>20</v>
      </c>
      <c r="BB11" s="71">
        <v>31</v>
      </c>
      <c r="BC11" s="71" t="s">
        <v>962</v>
      </c>
      <c r="BD11" s="80">
        <v>27</v>
      </c>
      <c r="BE11" s="8">
        <v>6</v>
      </c>
      <c r="BF11" s="6"/>
      <c r="BG11" s="6"/>
      <c r="BH11" s="6" t="s">
        <v>685</v>
      </c>
      <c r="BI11" s="9">
        <v>20</v>
      </c>
      <c r="BJ11" s="61">
        <v>6</v>
      </c>
      <c r="BK11" s="6" t="s">
        <v>469</v>
      </c>
      <c r="BL11" s="6" t="s">
        <v>493</v>
      </c>
      <c r="BM11" s="7" t="s">
        <v>501</v>
      </c>
      <c r="BN11" s="9">
        <v>5</v>
      </c>
      <c r="BO11" s="61">
        <v>6</v>
      </c>
      <c r="BP11" s="6"/>
      <c r="BQ11" s="7"/>
      <c r="BR11" s="7"/>
      <c r="BS11" s="7">
        <v>12</v>
      </c>
    </row>
    <row r="12" spans="2:71">
      <c r="B12" s="99" t="s">
        <v>132</v>
      </c>
      <c r="C12" s="26" t="s">
        <v>127</v>
      </c>
      <c r="D12" s="26">
        <v>0.3</v>
      </c>
      <c r="E12" s="26" t="s">
        <v>618</v>
      </c>
      <c r="F12" s="26" t="s">
        <v>54</v>
      </c>
      <c r="G12" s="29" t="s">
        <v>54</v>
      </c>
      <c r="H12" s="600"/>
      <c r="I12" s="583"/>
      <c r="J12" s="587"/>
      <c r="K12" s="84"/>
      <c r="L12" s="84"/>
      <c r="M12" s="84"/>
      <c r="N12" s="591"/>
      <c r="O12" s="84"/>
      <c r="P12" s="84"/>
      <c r="Q12" s="84"/>
      <c r="R12" s="30">
        <f>COUNTA(RCB[[#This Row],[G24 cp]],RCB[[#This Row],[G20 cp]],RCB[[#This Row],[G15 cp]],RCB[[#This Row],[G9 cp]],RCB[[#This Row],[G5 cp]])</f>
        <v>1</v>
      </c>
      <c r="S12" s="261">
        <f>MAX(RCB[[#This Row],[G27 cp]],RCB[[#This Row],[G24 cp]],RCB[[#This Row],[G20 cp]],RCB[[#This Row],[G15 cp]],RCB[[#This Row],[G9 cp]],RCB[[#This Row],[G9 cp]],RCB[[#This Row],[G5 cp]])</f>
        <v>22</v>
      </c>
      <c r="T12" s="261">
        <f t="shared" si="0"/>
        <v>22</v>
      </c>
      <c r="U12" s="29">
        <f>MIN(RCB[[#This Row],[G24 cp]],RCB[[#This Row],[G24 cp]],RCB[[#This Row],[G20 cp]],RCB[[#This Row],[G15 cp]],RCB[[#This Row],[G9 cp]],RCB[[#This Row],[G9 cp]],RCB[[#This Row],[G5 cp]])</f>
        <v>22</v>
      </c>
      <c r="V12" s="85">
        <f>RCB[[#This Row],[G27 cp]]</f>
        <v>4</v>
      </c>
      <c r="W12" s="84">
        <f>RCB[[#This Row],[G24 cp]]</f>
        <v>22</v>
      </c>
      <c r="X12" s="84">
        <f>RCB[[#This Row],[G20 cp]]</f>
        <v>0</v>
      </c>
      <c r="Y12" s="84">
        <f>RCB[[#This Row],[G15 cp]]</f>
        <v>0</v>
      </c>
      <c r="Z12" s="84">
        <f>RCB[[#This Row],[G9 cp]]</f>
        <v>0</v>
      </c>
      <c r="AA12" s="86">
        <f>RCB[[#This Row],[G5 cp]]</f>
        <v>0</v>
      </c>
      <c r="AB12" s="85">
        <f>COUNTA(RCB[[#This Row],[G27 cp]], RCB[[#This Row],[G20 cp]],RCB[[#This Row],[G15 cp]])</f>
        <v>1</v>
      </c>
      <c r="AC12" s="84">
        <f>MAX(RCB[[#This Row],[G27 cp]], RCB[[#This Row],[G20 cp]],RCB[[#This Row],[G15 cp]])</f>
        <v>4</v>
      </c>
      <c r="AD12" s="84" t="e">
        <f>( SUM(RCB[[#This Row],[G27 cp]],RCB[[#This Row],[G20 cp]],RCB[[#This Row],[G15 cp]]) - RCB[[#This Row],[Max B1]] ) / ( RCB[[#This Row],[Innings B1]] - 1)</f>
        <v>#DIV/0!</v>
      </c>
      <c r="AE12" s="86">
        <f>MIN(RCB[[#This Row],[G27 cp]],RCB[[#This Row],[G20 cp]],RCB[[#This Row],[G15 cp]])</f>
        <v>4</v>
      </c>
      <c r="AF12" s="84">
        <f>COUNTA(RCB[[#This Row],[G24 cp]],RCB[[#This Row],[G9 cp]],RCB[[#This Row],[G5 cp]])</f>
        <v>1</v>
      </c>
      <c r="AG12" s="84">
        <f>MAX(RCB[[#This Row],[G24 cp]],RCB[[#This Row],[G9 cp]],RCB[[#This Row],[G5 cp]])</f>
        <v>22</v>
      </c>
      <c r="AH12" s="261" t="e">
        <f>( SUM(RCB[[#This Row],[G24 cp]],RCB[[#This Row],[G9 cp]],RCB[[#This Row],[G5 cp]]) - RCB[[#This Row],[Max CHS]] ) / (RCB[[#This Row],[Innings CHS]] - 1)</f>
        <v>#DIV/0!</v>
      </c>
      <c r="AI12" s="84">
        <f>MIN(RCB[[#This Row],[G24 cp]],RCB[[#This Row],[G9 cp]],RCB[[#This Row],[G5 cp]])</f>
        <v>22</v>
      </c>
      <c r="AJ12" s="85">
        <v>7</v>
      </c>
      <c r="AK12" s="84"/>
      <c r="AL12" s="84"/>
      <c r="AM12" s="84"/>
      <c r="AN12" s="84"/>
      <c r="AO12" s="84"/>
      <c r="AP12" s="84"/>
      <c r="AQ12" s="84"/>
      <c r="AR12" s="86">
        <v>4</v>
      </c>
      <c r="AS12" s="85">
        <v>7</v>
      </c>
      <c r="AT12" s="84" t="s">
        <v>1063</v>
      </c>
      <c r="AU12" s="84">
        <v>19</v>
      </c>
      <c r="AV12" s="84">
        <v>11</v>
      </c>
      <c r="AW12" s="84"/>
      <c r="AX12" s="86">
        <v>22</v>
      </c>
      <c r="AY12" s="84">
        <v>15</v>
      </c>
      <c r="AZ12" s="84"/>
      <c r="BA12" s="84"/>
      <c r="BB12" s="84"/>
      <c r="BC12" s="84"/>
      <c r="BD12" s="86"/>
      <c r="BE12" s="30">
        <v>15</v>
      </c>
      <c r="BF12" s="26"/>
      <c r="BG12" s="26"/>
      <c r="BH12" s="26"/>
      <c r="BI12" s="31"/>
      <c r="BJ12" s="99">
        <v>15</v>
      </c>
      <c r="BK12" s="26"/>
      <c r="BL12" s="26"/>
      <c r="BM12" s="29"/>
      <c r="BN12" s="31"/>
      <c r="BO12" s="99">
        <v>15</v>
      </c>
      <c r="BP12" s="26"/>
      <c r="BQ12" s="29"/>
      <c r="BR12" s="29"/>
      <c r="BS12" s="29"/>
    </row>
    <row r="13" spans="2:71">
      <c r="B13" s="163" t="s">
        <v>132</v>
      </c>
      <c r="C13" s="159" t="s">
        <v>647</v>
      </c>
      <c r="D13" s="159">
        <v>10.75</v>
      </c>
      <c r="E13" s="159" t="s">
        <v>646</v>
      </c>
      <c r="F13" s="159" t="s">
        <v>55</v>
      </c>
      <c r="G13" s="162"/>
      <c r="H13" s="599" t="s">
        <v>1005</v>
      </c>
      <c r="I13" s="368"/>
      <c r="J13" s="377"/>
      <c r="K13" s="161"/>
      <c r="L13" s="161"/>
      <c r="M13" s="161"/>
      <c r="N13" s="386"/>
      <c r="O13" s="161"/>
      <c r="P13" s="161"/>
      <c r="Q13" s="161"/>
      <c r="R13" s="158">
        <f>COUNTA(RCB[[#This Row],[G24 cp]],RCB[[#This Row],[G20 cp]],RCB[[#This Row],[G15 cp]],RCB[[#This Row],[G9 cp]],RCB[[#This Row],[G5 cp]])</f>
        <v>2</v>
      </c>
      <c r="S13" s="273">
        <f>MAX(RCB[[#This Row],[G27 cp]],RCB[[#This Row],[G24 cp]],RCB[[#This Row],[G20 cp]],RCB[[#This Row],[G15 cp]],RCB[[#This Row],[G9 cp]],RCB[[#This Row],[G9 cp]],RCB[[#This Row],[G5 cp]])</f>
        <v>66</v>
      </c>
      <c r="T13" s="273"/>
      <c r="U13" s="162">
        <f>MIN(RCB[[#This Row],[G24 cp]],RCB[[#This Row],[G24 cp]],RCB[[#This Row],[G20 cp]],RCB[[#This Row],[G15 cp]],RCB[[#This Row],[G9 cp]],RCB[[#This Row],[G9 cp]],RCB[[#This Row],[G5 cp]])</f>
        <v>25</v>
      </c>
      <c r="V13" s="195">
        <f>RCB[[#This Row],[G27 cp]]</f>
        <v>66</v>
      </c>
      <c r="W13" s="161">
        <f>RCB[[#This Row],[G24 cp]]</f>
        <v>25</v>
      </c>
      <c r="X13" s="161">
        <f>RCB[[#This Row],[G20 cp]]</f>
        <v>29</v>
      </c>
      <c r="Y13" s="161">
        <f>RCB[[#This Row],[G15 cp]]</f>
        <v>0</v>
      </c>
      <c r="Z13" s="161">
        <f>RCB[[#This Row],[G9 cp]]</f>
        <v>0</v>
      </c>
      <c r="AA13" s="196">
        <f>RCB[[#This Row],[G5 cp]]</f>
        <v>0</v>
      </c>
      <c r="AB13" s="195">
        <f>COUNTA(RCB[[#This Row],[G27 cp]], RCB[[#This Row],[G20 cp]],RCB[[#This Row],[G15 cp]])</f>
        <v>2</v>
      </c>
      <c r="AC13" s="161">
        <f>MAX(RCB[[#This Row],[G27 cp]], RCB[[#This Row],[G20 cp]],RCB[[#This Row],[G15 cp]])</f>
        <v>66</v>
      </c>
      <c r="AD13" s="161">
        <f>( SUM(RCB[[#This Row],[G27 cp]],RCB[[#This Row],[G20 cp]],RCB[[#This Row],[G15 cp]]) - RCB[[#This Row],[Max B1]] ) / ( RCB[[#This Row],[Innings B1]] - 1)</f>
        <v>29</v>
      </c>
      <c r="AE13" s="196">
        <f>MIN(RCB[[#This Row],[G27 cp]],RCB[[#This Row],[G20 cp]],RCB[[#This Row],[G15 cp]])</f>
        <v>29</v>
      </c>
      <c r="AF13" s="161">
        <f>COUNTA(RCB[[#This Row],[G24 cp]],RCB[[#This Row],[G9 cp]],RCB[[#This Row],[G5 cp]])</f>
        <v>1</v>
      </c>
      <c r="AG13" s="161">
        <f>MAX(RCB[[#This Row],[G24 cp]],RCB[[#This Row],[G9 cp]],RCB[[#This Row],[G5 cp]])</f>
        <v>25</v>
      </c>
      <c r="AH13" s="273" t="e">
        <f>( SUM(RCB[[#This Row],[G24 cp]],RCB[[#This Row],[G9 cp]],RCB[[#This Row],[G5 cp]]) - RCB[[#This Row],[Max CHS]] ) / (RCB[[#This Row],[Innings CHS]] - 1)</f>
        <v>#DIV/0!</v>
      </c>
      <c r="AI13" s="161">
        <f>MIN(RCB[[#This Row],[G24 cp]],RCB[[#This Row],[G9 cp]],RCB[[#This Row],[G5 cp]])</f>
        <v>25</v>
      </c>
      <c r="AJ13" s="60">
        <v>8</v>
      </c>
      <c r="AK13" s="161"/>
      <c r="AL13" s="161"/>
      <c r="AM13" s="161"/>
      <c r="AN13" s="161"/>
      <c r="AO13" s="161">
        <v>4</v>
      </c>
      <c r="AP13" s="161">
        <v>39</v>
      </c>
      <c r="AQ13" s="161">
        <v>2</v>
      </c>
      <c r="AR13" s="196">
        <v>66</v>
      </c>
      <c r="AS13" s="195">
        <v>9</v>
      </c>
      <c r="AT13" s="161" t="s">
        <v>876</v>
      </c>
      <c r="AU13" s="161"/>
      <c r="AV13" s="161"/>
      <c r="AW13" s="161" t="s">
        <v>1068</v>
      </c>
      <c r="AX13" s="196">
        <v>25</v>
      </c>
      <c r="AY13" s="161">
        <v>9</v>
      </c>
      <c r="AZ13" s="161"/>
      <c r="BA13" s="161"/>
      <c r="BB13" s="161"/>
      <c r="BC13" s="161" t="s">
        <v>963</v>
      </c>
      <c r="BD13" s="196">
        <v>29</v>
      </c>
      <c r="BE13" s="158"/>
      <c r="BF13" s="159"/>
      <c r="BG13" s="159"/>
      <c r="BH13" s="159"/>
      <c r="BI13" s="160"/>
      <c r="BJ13" s="163"/>
      <c r="BK13" s="159"/>
      <c r="BL13" s="159"/>
      <c r="BM13" s="162"/>
      <c r="BN13" s="160"/>
      <c r="BO13" s="163"/>
      <c r="BP13" s="159"/>
      <c r="BQ13" s="162"/>
      <c r="BR13" s="162"/>
      <c r="BS13" s="162"/>
    </row>
    <row r="14" spans="2:71">
      <c r="B14" s="63" t="s">
        <v>132</v>
      </c>
      <c r="C14" s="12" t="s">
        <v>636</v>
      </c>
      <c r="D14" s="12">
        <v>10.75</v>
      </c>
      <c r="E14" s="12" t="s">
        <v>142</v>
      </c>
      <c r="F14" s="12" t="s">
        <v>56</v>
      </c>
      <c r="G14" s="13" t="s">
        <v>56</v>
      </c>
      <c r="H14" s="597"/>
      <c r="I14" s="367"/>
      <c r="J14" s="376"/>
      <c r="K14" s="72"/>
      <c r="L14" s="72"/>
      <c r="M14" s="72"/>
      <c r="N14" s="385"/>
      <c r="O14" s="72"/>
      <c r="P14" s="72"/>
      <c r="Q14" s="72"/>
      <c r="R14" s="14">
        <f>COUNTA(RCB[[#This Row],[G24 cp]],RCB[[#This Row],[G20 cp]],RCB[[#This Row],[G15 cp]],RCB[[#This Row],[G9 cp]],RCB[[#This Row],[G5 cp]])</f>
        <v>5</v>
      </c>
      <c r="S14" s="262">
        <f>MAX(RCB[[#This Row],[G27 cp]],RCB[[#This Row],[G24 cp]],RCB[[#This Row],[G20 cp]],RCB[[#This Row],[G15 cp]],RCB[[#This Row],[G9 cp]],RCB[[#This Row],[G9 cp]],RCB[[#This Row],[G5 cp]])</f>
        <v>50</v>
      </c>
      <c r="T14" s="262">
        <f>( SUM(BD14,BI14,BN14,BS14) - S14 ) / ( COUNTA(BD14,BI14,BN14,BS14) - 1 )</f>
        <v>34.333333333333336</v>
      </c>
      <c r="U14" s="13">
        <f>MIN(RCB[[#This Row],[G24 cp]],RCB[[#This Row],[G24 cp]],RCB[[#This Row],[G20 cp]],RCB[[#This Row],[G15 cp]],RCB[[#This Row],[G9 cp]],RCB[[#This Row],[G9 cp]],RCB[[#This Row],[G5 cp]])</f>
        <v>25</v>
      </c>
      <c r="V14" s="60">
        <f>RCB[[#This Row],[G27 cp]]</f>
        <v>29</v>
      </c>
      <c r="W14" s="72">
        <f>RCB[[#This Row],[G24 cp]]</f>
        <v>25</v>
      </c>
      <c r="X14" s="72">
        <f>RCB[[#This Row],[G20 cp]]</f>
        <v>37</v>
      </c>
      <c r="Y14" s="72">
        <f>RCB[[#This Row],[G15 cp]]</f>
        <v>50</v>
      </c>
      <c r="Z14" s="72">
        <f>RCB[[#This Row],[G9 cp]]</f>
        <v>29</v>
      </c>
      <c r="AA14" s="83">
        <f>RCB[[#This Row],[G5 cp]]</f>
        <v>37</v>
      </c>
      <c r="AB14" s="60">
        <f>COUNTA(RCB[[#This Row],[G27 cp]], RCB[[#This Row],[G20 cp]],RCB[[#This Row],[G15 cp]])</f>
        <v>3</v>
      </c>
      <c r="AC14" s="72">
        <f>MAX(RCB[[#This Row],[G27 cp]], RCB[[#This Row],[G20 cp]],RCB[[#This Row],[G15 cp]])</f>
        <v>50</v>
      </c>
      <c r="AD14" s="72">
        <f>( SUM(RCB[[#This Row],[G27 cp]],RCB[[#This Row],[G20 cp]],RCB[[#This Row],[G15 cp]]) - RCB[[#This Row],[Max B1]] ) / ( RCB[[#This Row],[Innings B1]] - 1)</f>
        <v>33</v>
      </c>
      <c r="AE14" s="83">
        <f>MIN(RCB[[#This Row],[G27 cp]],RCB[[#This Row],[G20 cp]],RCB[[#This Row],[G15 cp]])</f>
        <v>29</v>
      </c>
      <c r="AF14" s="72">
        <f>COUNTA(RCB[[#This Row],[G24 cp]],RCB[[#This Row],[G9 cp]],RCB[[#This Row],[G5 cp]])</f>
        <v>3</v>
      </c>
      <c r="AG14" s="72">
        <f>MAX(RCB[[#This Row],[G24 cp]],RCB[[#This Row],[G9 cp]],RCB[[#This Row],[G5 cp]])</f>
        <v>37</v>
      </c>
      <c r="AH14" s="262">
        <f>( SUM(RCB[[#This Row],[G24 cp]],RCB[[#This Row],[G9 cp]],RCB[[#This Row],[G5 cp]]) - RCB[[#This Row],[Max CHS]] ) / (RCB[[#This Row],[Innings CHS]] - 1)</f>
        <v>27</v>
      </c>
      <c r="AI14" s="72">
        <f>MIN(RCB[[#This Row],[G24 cp]],RCB[[#This Row],[G9 cp]],RCB[[#This Row],[G5 cp]])</f>
        <v>25</v>
      </c>
      <c r="AJ14" s="60">
        <v>9</v>
      </c>
      <c r="AK14" s="72"/>
      <c r="AL14" s="72"/>
      <c r="AM14" s="72"/>
      <c r="AN14" s="72"/>
      <c r="AO14" s="72">
        <v>3</v>
      </c>
      <c r="AP14" s="72">
        <v>22</v>
      </c>
      <c r="AQ14" s="72">
        <v>1</v>
      </c>
      <c r="AR14" s="83">
        <v>29</v>
      </c>
      <c r="AS14" s="60">
        <v>10</v>
      </c>
      <c r="AT14" s="72"/>
      <c r="AU14" s="72"/>
      <c r="AV14" s="72"/>
      <c r="AW14" s="72" t="s">
        <v>1069</v>
      </c>
      <c r="AX14" s="83">
        <v>25</v>
      </c>
      <c r="AY14" s="72">
        <v>5</v>
      </c>
      <c r="AZ14" s="72" t="s">
        <v>601</v>
      </c>
      <c r="BA14" s="72">
        <v>6</v>
      </c>
      <c r="BB14" s="72">
        <v>4</v>
      </c>
      <c r="BC14" s="72" t="s">
        <v>942</v>
      </c>
      <c r="BD14" s="83">
        <v>37</v>
      </c>
      <c r="BE14" s="14">
        <v>9</v>
      </c>
      <c r="BF14" s="12"/>
      <c r="BG14" s="12"/>
      <c r="BH14" s="12" t="s">
        <v>683</v>
      </c>
      <c r="BI14" s="15">
        <v>50</v>
      </c>
      <c r="BJ14" s="63">
        <v>5</v>
      </c>
      <c r="BK14" s="12" t="s">
        <v>471</v>
      </c>
      <c r="BL14" s="12" t="s">
        <v>489</v>
      </c>
      <c r="BM14" s="13" t="s">
        <v>503</v>
      </c>
      <c r="BN14" s="15">
        <v>29</v>
      </c>
      <c r="BO14" s="63">
        <v>7</v>
      </c>
      <c r="BP14" s="12"/>
      <c r="BQ14" s="13"/>
      <c r="BR14" s="12" t="s">
        <v>249</v>
      </c>
      <c r="BS14" s="13">
        <v>37</v>
      </c>
    </row>
    <row r="15" spans="2:71">
      <c r="B15" s="63" t="s">
        <v>132</v>
      </c>
      <c r="C15" s="12" t="s">
        <v>1074</v>
      </c>
      <c r="D15" s="12">
        <v>0.75</v>
      </c>
      <c r="E15" s="12" t="s">
        <v>616</v>
      </c>
      <c r="F15" s="12" t="s">
        <v>56</v>
      </c>
      <c r="G15" s="13" t="s">
        <v>56</v>
      </c>
      <c r="H15" s="597"/>
      <c r="I15" s="367"/>
      <c r="J15" s="376"/>
      <c r="K15" s="72"/>
      <c r="L15" s="72"/>
      <c r="M15" s="72"/>
      <c r="N15" s="385"/>
      <c r="O15" s="72"/>
      <c r="P15" s="72"/>
      <c r="Q15" s="72"/>
      <c r="R15" s="14">
        <f>COUNTA(RCB[[#This Row],[G24 cp]],RCB[[#This Row],[G20 cp]],RCB[[#This Row],[G15 cp]],RCB[[#This Row],[G9 cp]],RCB[[#This Row],[G5 cp]])</f>
        <v>3</v>
      </c>
      <c r="S15" s="262">
        <f>MAX(RCB[[#This Row],[G27 cp]],RCB[[#This Row],[G24 cp]],RCB[[#This Row],[G20 cp]],RCB[[#This Row],[G15 cp]],RCB[[#This Row],[G9 cp]],RCB[[#This Row],[G9 cp]],RCB[[#This Row],[G5 cp]])</f>
        <v>79</v>
      </c>
      <c r="T15" s="262">
        <f>( SUM(BD15,BI15,BN15,BS15) - S15 ) / ( COUNTA(BD15,BI15,BN15,BS15) - 1 )</f>
        <v>37</v>
      </c>
      <c r="U15" s="13">
        <f>MIN(RCB[[#This Row],[G24 cp]],RCB[[#This Row],[G24 cp]],RCB[[#This Row],[G20 cp]],RCB[[#This Row],[G15 cp]],RCB[[#This Row],[G9 cp]],RCB[[#This Row],[G9 cp]],RCB[[#This Row],[G5 cp]])</f>
        <v>28</v>
      </c>
      <c r="V15" s="60">
        <f>RCB[[#This Row],[G27 cp]]</f>
        <v>29</v>
      </c>
      <c r="W15" s="72">
        <f>RCB[[#This Row],[G24 cp]]</f>
        <v>28</v>
      </c>
      <c r="X15" s="72">
        <f>RCB[[#This Row],[G20 cp]]</f>
        <v>37</v>
      </c>
      <c r="Y15" s="72">
        <f>RCB[[#This Row],[G15 cp]]</f>
        <v>79</v>
      </c>
      <c r="Z15" s="72">
        <f>RCB[[#This Row],[G9 cp]]</f>
        <v>0</v>
      </c>
      <c r="AA15" s="83">
        <f>RCB[[#This Row],[G5 cp]]</f>
        <v>0</v>
      </c>
      <c r="AB15" s="60">
        <f>COUNTA(RCB[[#This Row],[G27 cp]], RCB[[#This Row],[G20 cp]],RCB[[#This Row],[G15 cp]])</f>
        <v>3</v>
      </c>
      <c r="AC15" s="72">
        <f>MAX(RCB[[#This Row],[G27 cp]], RCB[[#This Row],[G20 cp]],RCB[[#This Row],[G15 cp]])</f>
        <v>79</v>
      </c>
      <c r="AD15" s="72">
        <f>( SUM(RCB[[#This Row],[G27 cp]],RCB[[#This Row],[G20 cp]],RCB[[#This Row],[G15 cp]]) - RCB[[#This Row],[Max B1]] ) / ( RCB[[#This Row],[Innings B1]] - 1)</f>
        <v>33</v>
      </c>
      <c r="AE15" s="83">
        <f>MIN(RCB[[#This Row],[G27 cp]],RCB[[#This Row],[G20 cp]],RCB[[#This Row],[G15 cp]])</f>
        <v>29</v>
      </c>
      <c r="AF15" s="72">
        <f>COUNTA(RCB[[#This Row],[G24 cp]],RCB[[#This Row],[G9 cp]],RCB[[#This Row],[G5 cp]])</f>
        <v>1</v>
      </c>
      <c r="AG15" s="72">
        <f>MAX(RCB[[#This Row],[G24 cp]],RCB[[#This Row],[G9 cp]],RCB[[#This Row],[G5 cp]])</f>
        <v>28</v>
      </c>
      <c r="AH15" s="262" t="e">
        <f>( SUM(RCB[[#This Row],[G24 cp]],RCB[[#This Row],[G9 cp]],RCB[[#This Row],[G5 cp]]) - RCB[[#This Row],[Max CHS]] ) / (RCB[[#This Row],[Innings CHS]] - 1)</f>
        <v>#DIV/0!</v>
      </c>
      <c r="AI15" s="72">
        <f>MIN(RCB[[#This Row],[G24 cp]],RCB[[#This Row],[G9 cp]],RCB[[#This Row],[G5 cp]])</f>
        <v>28</v>
      </c>
      <c r="AJ15" s="60">
        <v>10</v>
      </c>
      <c r="AK15" s="72"/>
      <c r="AL15" s="72"/>
      <c r="AM15" s="72"/>
      <c r="AN15" s="72"/>
      <c r="AO15" s="72">
        <v>3</v>
      </c>
      <c r="AP15" s="72">
        <v>32</v>
      </c>
      <c r="AQ15" s="72">
        <v>1</v>
      </c>
      <c r="AR15" s="83">
        <v>29</v>
      </c>
      <c r="AS15" s="60">
        <v>8</v>
      </c>
      <c r="AT15" s="72" t="s">
        <v>417</v>
      </c>
      <c r="AU15" s="72">
        <v>2</v>
      </c>
      <c r="AV15" s="72">
        <v>5</v>
      </c>
      <c r="AW15" s="72" t="s">
        <v>1065</v>
      </c>
      <c r="AX15" s="83">
        <v>28</v>
      </c>
      <c r="AY15" s="72">
        <v>10</v>
      </c>
      <c r="AZ15" s="72"/>
      <c r="BA15" s="72"/>
      <c r="BB15" s="72"/>
      <c r="BC15" s="72" t="s">
        <v>961</v>
      </c>
      <c r="BD15" s="83">
        <v>37</v>
      </c>
      <c r="BE15" s="14">
        <v>8</v>
      </c>
      <c r="BF15" s="12"/>
      <c r="BG15" s="12"/>
      <c r="BH15" s="12" t="s">
        <v>441</v>
      </c>
      <c r="BI15" s="15">
        <v>79</v>
      </c>
      <c r="BJ15" s="63"/>
      <c r="BK15" s="12"/>
      <c r="BL15" s="12"/>
      <c r="BM15" s="13"/>
      <c r="BN15" s="15"/>
      <c r="BO15" s="63"/>
      <c r="BP15" s="12"/>
      <c r="BQ15" s="13"/>
      <c r="BR15" s="12"/>
      <c r="BS15" s="13"/>
    </row>
    <row r="16" spans="2:71">
      <c r="B16" s="63" t="s">
        <v>132</v>
      </c>
      <c r="C16" s="12" t="s">
        <v>642</v>
      </c>
      <c r="D16" s="12">
        <v>7</v>
      </c>
      <c r="E16" s="12" t="s">
        <v>142</v>
      </c>
      <c r="F16" s="12" t="s">
        <v>56</v>
      </c>
      <c r="G16" s="13" t="s">
        <v>56</v>
      </c>
      <c r="H16" s="597"/>
      <c r="I16" s="367"/>
      <c r="J16" s="376"/>
      <c r="K16" s="72"/>
      <c r="L16" s="72"/>
      <c r="M16" s="72"/>
      <c r="N16" s="385"/>
      <c r="O16" s="72"/>
      <c r="P16" s="72"/>
      <c r="Q16" s="72"/>
      <c r="R16" s="14">
        <f>COUNTA(RCB[[#This Row],[G24 cp]],RCB[[#This Row],[G20 cp]],RCB[[#This Row],[G15 cp]],RCB[[#This Row],[G9 cp]],RCB[[#This Row],[G5 cp]])</f>
        <v>5</v>
      </c>
      <c r="S16" s="262">
        <f>MAX(RCB[[#This Row],[G27 cp]],RCB[[#This Row],[G24 cp]],RCB[[#This Row],[G20 cp]],RCB[[#This Row],[G15 cp]],RCB[[#This Row],[G9 cp]],RCB[[#This Row],[G9 cp]],RCB[[#This Row],[G5 cp]])</f>
        <v>126</v>
      </c>
      <c r="T16" s="262">
        <f>( SUM(BD16,BI16,BN16,BS16) - S16 ) / ( COUNTA(BD16,BI16,BN16,BS16) - 1 )</f>
        <v>26.333333333333332</v>
      </c>
      <c r="U16" s="13">
        <f>MIN(RCB[[#This Row],[G24 cp]],RCB[[#This Row],[G24 cp]],RCB[[#This Row],[G20 cp]],RCB[[#This Row],[G15 cp]],RCB[[#This Row],[G9 cp]],RCB[[#This Row],[G9 cp]],RCB[[#This Row],[G5 cp]])</f>
        <v>25</v>
      </c>
      <c r="V16" s="60">
        <f>RCB[[#This Row],[G27 cp]]</f>
        <v>126</v>
      </c>
      <c r="W16" s="72">
        <f>RCB[[#This Row],[G24 cp]]</f>
        <v>25</v>
      </c>
      <c r="X16" s="72">
        <f>RCB[[#This Row],[G20 cp]]</f>
        <v>64</v>
      </c>
      <c r="Y16" s="72">
        <f>RCB[[#This Row],[G15 cp]]</f>
        <v>81</v>
      </c>
      <c r="Z16" s="72">
        <f>RCB[[#This Row],[G9 cp]]</f>
        <v>29</v>
      </c>
      <c r="AA16" s="83">
        <f>RCB[[#This Row],[G5 cp]]</f>
        <v>31</v>
      </c>
      <c r="AB16" s="60">
        <f>COUNTA(RCB[[#This Row],[G27 cp]], RCB[[#This Row],[G20 cp]],RCB[[#This Row],[G15 cp]])</f>
        <v>3</v>
      </c>
      <c r="AC16" s="72">
        <f>MAX(RCB[[#This Row],[G27 cp]], RCB[[#This Row],[G20 cp]],RCB[[#This Row],[G15 cp]])</f>
        <v>126</v>
      </c>
      <c r="AD16" s="72">
        <f>( SUM(RCB[[#This Row],[G27 cp]],RCB[[#This Row],[G20 cp]],RCB[[#This Row],[G15 cp]]) - RCB[[#This Row],[Max B1]] ) / ( RCB[[#This Row],[Innings B1]] - 1)</f>
        <v>72.5</v>
      </c>
      <c r="AE16" s="83">
        <f>MIN(RCB[[#This Row],[G27 cp]],RCB[[#This Row],[G20 cp]],RCB[[#This Row],[G15 cp]])</f>
        <v>64</v>
      </c>
      <c r="AF16" s="72">
        <f>COUNTA(RCB[[#This Row],[G24 cp]],RCB[[#This Row],[G9 cp]],RCB[[#This Row],[G5 cp]])</f>
        <v>3</v>
      </c>
      <c r="AG16" s="72">
        <f>MAX(RCB[[#This Row],[G24 cp]],RCB[[#This Row],[G9 cp]],RCB[[#This Row],[G5 cp]])</f>
        <v>31</v>
      </c>
      <c r="AH16" s="262">
        <f>( SUM(RCB[[#This Row],[G24 cp]],RCB[[#This Row],[G9 cp]],RCB[[#This Row],[G5 cp]]) - RCB[[#This Row],[Max CHS]] ) / (RCB[[#This Row],[Innings CHS]] - 1)</f>
        <v>27</v>
      </c>
      <c r="AI16" s="72">
        <f>MIN(RCB[[#This Row],[G24 cp]],RCB[[#This Row],[G9 cp]],RCB[[#This Row],[G5 cp]])</f>
        <v>25</v>
      </c>
      <c r="AJ16" s="60">
        <v>11</v>
      </c>
      <c r="AK16" s="72"/>
      <c r="AL16" s="72"/>
      <c r="AM16" s="72"/>
      <c r="AN16" s="72"/>
      <c r="AO16" s="72">
        <v>4</v>
      </c>
      <c r="AP16" s="72">
        <v>21</v>
      </c>
      <c r="AQ16" s="72">
        <v>4</v>
      </c>
      <c r="AR16" s="83">
        <v>126</v>
      </c>
      <c r="AS16" s="60">
        <v>12</v>
      </c>
      <c r="AT16" s="72"/>
      <c r="AU16" s="72"/>
      <c r="AV16" s="72"/>
      <c r="AW16" s="72" t="s">
        <v>1064</v>
      </c>
      <c r="AX16" s="83">
        <v>25</v>
      </c>
      <c r="AY16" s="72">
        <v>11</v>
      </c>
      <c r="AZ16" s="72"/>
      <c r="BA16" s="72"/>
      <c r="BB16" s="72"/>
      <c r="BC16" s="72" t="s">
        <v>960</v>
      </c>
      <c r="BD16" s="83">
        <v>64</v>
      </c>
      <c r="BE16" s="14">
        <v>10</v>
      </c>
      <c r="BF16" s="12"/>
      <c r="BG16" s="12"/>
      <c r="BH16" s="12" t="s">
        <v>682</v>
      </c>
      <c r="BI16" s="15">
        <v>81</v>
      </c>
      <c r="BJ16" s="63">
        <v>11</v>
      </c>
      <c r="BK16" s="12"/>
      <c r="BL16" s="12"/>
      <c r="BM16" s="13" t="s">
        <v>498</v>
      </c>
      <c r="BN16" s="15">
        <v>29</v>
      </c>
      <c r="BO16" s="63">
        <v>10</v>
      </c>
      <c r="BP16" s="12"/>
      <c r="BQ16" s="13"/>
      <c r="BR16" s="12" t="s">
        <v>71</v>
      </c>
      <c r="BS16" s="13">
        <v>31</v>
      </c>
    </row>
    <row r="17" spans="2:71">
      <c r="B17" s="63" t="s">
        <v>132</v>
      </c>
      <c r="C17" s="12" t="s">
        <v>956</v>
      </c>
      <c r="D17" s="12"/>
      <c r="E17" s="12" t="s">
        <v>827</v>
      </c>
      <c r="F17" s="12" t="s">
        <v>56</v>
      </c>
      <c r="G17" s="13" t="s">
        <v>56</v>
      </c>
      <c r="H17" s="597"/>
      <c r="I17" s="367"/>
      <c r="J17" s="376"/>
      <c r="K17" s="72"/>
      <c r="L17" s="72"/>
      <c r="M17" s="72"/>
      <c r="N17" s="385"/>
      <c r="O17" s="72"/>
      <c r="P17" s="72"/>
      <c r="Q17" s="72"/>
      <c r="R17" s="14">
        <f>COUNTA(RCB[[#This Row],[G24 cp]],RCB[[#This Row],[G20 cp]],RCB[[#This Row],[G15 cp]],RCB[[#This Row],[G9 cp]],RCB[[#This Row],[G5 cp]])</f>
        <v>2</v>
      </c>
      <c r="S17" s="262">
        <f>MAX(RCB[[#This Row],[G27 cp]],RCB[[#This Row],[G24 cp]],RCB[[#This Row],[G20 cp]],RCB[[#This Row],[G15 cp]],RCB[[#This Row],[G9 cp]],RCB[[#This Row],[G9 cp]],RCB[[#This Row],[G5 cp]])</f>
        <v>81</v>
      </c>
      <c r="T17" s="262"/>
      <c r="U17" s="13">
        <f>MIN(RCB[[#This Row],[G24 cp]],RCB[[#This Row],[G24 cp]],RCB[[#This Row],[G20 cp]],RCB[[#This Row],[G15 cp]],RCB[[#This Row],[G9 cp]],RCB[[#This Row],[G9 cp]],RCB[[#This Row],[G5 cp]])</f>
        <v>20</v>
      </c>
      <c r="V17" s="60">
        <f>RCB[[#This Row],[G27 cp]]</f>
        <v>0</v>
      </c>
      <c r="W17" s="72">
        <f>RCB[[#This Row],[G24 cp]]</f>
        <v>20</v>
      </c>
      <c r="X17" s="72">
        <f>RCB[[#This Row],[G20 cp]]</f>
        <v>81</v>
      </c>
      <c r="Y17" s="72">
        <f>RCB[[#This Row],[G15 cp]]</f>
        <v>0</v>
      </c>
      <c r="Z17" s="72">
        <f>RCB[[#This Row],[G9 cp]]</f>
        <v>0</v>
      </c>
      <c r="AA17" s="83">
        <f>RCB[[#This Row],[G5 cp]]</f>
        <v>0</v>
      </c>
      <c r="AB17" s="60">
        <f>COUNTA(RCB[[#This Row],[G27 cp]], RCB[[#This Row],[G20 cp]],RCB[[#This Row],[G15 cp]])</f>
        <v>1</v>
      </c>
      <c r="AC17" s="72">
        <f>MAX(RCB[[#This Row],[G27 cp]], RCB[[#This Row],[G20 cp]],RCB[[#This Row],[G15 cp]])</f>
        <v>81</v>
      </c>
      <c r="AD17" s="72" t="e">
        <f>( SUM(RCB[[#This Row],[G27 cp]],RCB[[#This Row],[G20 cp]],RCB[[#This Row],[G15 cp]]) - RCB[[#This Row],[Max B1]] ) / ( RCB[[#This Row],[Innings B1]] - 1)</f>
        <v>#DIV/0!</v>
      </c>
      <c r="AE17" s="83">
        <f>MIN(RCB[[#This Row],[G27 cp]],RCB[[#This Row],[G20 cp]],RCB[[#This Row],[G15 cp]])</f>
        <v>81</v>
      </c>
      <c r="AF17" s="72">
        <f>COUNTA(RCB[[#This Row],[G24 cp]],RCB[[#This Row],[G9 cp]],RCB[[#This Row],[G5 cp]])</f>
        <v>1</v>
      </c>
      <c r="AG17" s="72">
        <f>MAX(RCB[[#This Row],[G24 cp]],RCB[[#This Row],[G9 cp]],RCB[[#This Row],[G5 cp]])</f>
        <v>20</v>
      </c>
      <c r="AH17" s="262" t="e">
        <f>( SUM(RCB[[#This Row],[G24 cp]],RCB[[#This Row],[G9 cp]],RCB[[#This Row],[G5 cp]]) - RCB[[#This Row],[Max CHS]] ) / (RCB[[#This Row],[Innings CHS]] - 1)</f>
        <v>#DIV/0!</v>
      </c>
      <c r="AI17" s="72">
        <f>MIN(RCB[[#This Row],[G24 cp]],RCB[[#This Row],[G9 cp]],RCB[[#This Row],[G5 cp]])</f>
        <v>20</v>
      </c>
      <c r="AJ17" s="60">
        <v>12</v>
      </c>
      <c r="AK17" s="72"/>
      <c r="AL17" s="72"/>
      <c r="AM17" s="72"/>
      <c r="AN17" s="72"/>
      <c r="AO17" s="72">
        <v>3</v>
      </c>
      <c r="AP17" s="72">
        <v>29</v>
      </c>
      <c r="AQ17" s="72">
        <v>0</v>
      </c>
      <c r="AR17" s="83"/>
      <c r="AS17" s="60">
        <v>11</v>
      </c>
      <c r="AT17" s="72"/>
      <c r="AU17" s="72"/>
      <c r="AV17" s="72"/>
      <c r="AW17" s="72" t="s">
        <v>1066</v>
      </c>
      <c r="AX17" s="83">
        <v>20</v>
      </c>
      <c r="AY17" s="72">
        <v>12</v>
      </c>
      <c r="AZ17" s="72"/>
      <c r="BA17" s="72"/>
      <c r="BB17" s="72"/>
      <c r="BC17" s="72" t="s">
        <v>774</v>
      </c>
      <c r="BD17" s="83">
        <v>81</v>
      </c>
      <c r="BE17" s="14"/>
      <c r="BF17" s="12"/>
      <c r="BG17" s="12"/>
      <c r="BH17" s="12"/>
      <c r="BI17" s="15"/>
      <c r="BJ17" s="63"/>
      <c r="BK17" s="12"/>
      <c r="BL17" s="12"/>
      <c r="BM17" s="13"/>
      <c r="BN17" s="15"/>
      <c r="BO17" s="63"/>
      <c r="BP17" s="12"/>
      <c r="BQ17" s="13"/>
      <c r="BR17" s="13"/>
      <c r="BS17" s="13"/>
    </row>
    <row r="18" spans="2:71">
      <c r="B18" s="100" t="s">
        <v>132</v>
      </c>
      <c r="C18" s="2" t="s">
        <v>125</v>
      </c>
      <c r="D18" s="2">
        <v>3.4</v>
      </c>
      <c r="E18" s="2" t="s">
        <v>631</v>
      </c>
      <c r="F18" s="2" t="s">
        <v>75</v>
      </c>
      <c r="G18" s="3" t="s">
        <v>75</v>
      </c>
      <c r="H18" s="598"/>
      <c r="I18" s="572"/>
      <c r="J18" s="575"/>
      <c r="K18" s="78"/>
      <c r="L18" s="78"/>
      <c r="M18" s="78"/>
      <c r="N18" s="578"/>
      <c r="O18" s="78"/>
      <c r="P18" s="78"/>
      <c r="Q18" s="78"/>
      <c r="R18" s="4">
        <f>COUNTA(RCB[[#This Row],[G24 cp]],RCB[[#This Row],[G20 cp]],RCB[[#This Row],[G15 cp]],RCB[[#This Row],[G9 cp]],RCB[[#This Row],[G5 cp]])</f>
        <v>4</v>
      </c>
      <c r="S18" s="317">
        <f>MAX(RCB[[#This Row],[G27 cp]],RCB[[#This Row],[G24 cp]],RCB[[#This Row],[G20 cp]],RCB[[#This Row],[G15 cp]],RCB[[#This Row],[G9 cp]],RCB[[#This Row],[G9 cp]],RCB[[#This Row],[G5 cp]])</f>
        <v>19</v>
      </c>
      <c r="T18" s="317">
        <f t="shared" ref="T18:T25" si="1">( SUM(BD18,BI18,BN18,BS18) - S18 ) / ( COUNTA(BD18,BI18,BN18,BS18) - 1 )</f>
        <v>3.6666666666666665</v>
      </c>
      <c r="U18" s="3">
        <f>MIN(RCB[[#This Row],[G24 cp]],RCB[[#This Row],[G24 cp]],RCB[[#This Row],[G20 cp]],RCB[[#This Row],[G15 cp]],RCB[[#This Row],[G9 cp]],RCB[[#This Row],[G9 cp]],RCB[[#This Row],[G5 cp]])</f>
        <v>3</v>
      </c>
      <c r="V18" s="81">
        <f>RCB[[#This Row],[G27 cp]]</f>
        <v>0</v>
      </c>
      <c r="W18" s="78">
        <f>RCB[[#This Row],[G24 cp]]</f>
        <v>0</v>
      </c>
      <c r="X18" s="78">
        <f>RCB[[#This Row],[G20 cp]]</f>
        <v>19</v>
      </c>
      <c r="Y18" s="78">
        <f>RCB[[#This Row],[G15 cp]]</f>
        <v>4</v>
      </c>
      <c r="Z18" s="78">
        <f>RCB[[#This Row],[G9 cp]]</f>
        <v>4</v>
      </c>
      <c r="AA18" s="82">
        <f>RCB[[#This Row],[G5 cp]]</f>
        <v>3</v>
      </c>
      <c r="AB18" s="81">
        <f>COUNTA(RCB[[#This Row],[G27 cp]], RCB[[#This Row],[G20 cp]],RCB[[#This Row],[G15 cp]])</f>
        <v>2</v>
      </c>
      <c r="AC18" s="78">
        <f>MAX(RCB[[#This Row],[G27 cp]], RCB[[#This Row],[G20 cp]],RCB[[#This Row],[G15 cp]])</f>
        <v>19</v>
      </c>
      <c r="AD18" s="78">
        <f>( SUM(RCB[[#This Row],[G27 cp]],RCB[[#This Row],[G20 cp]],RCB[[#This Row],[G15 cp]]) - RCB[[#This Row],[Max B1]] ) / ( RCB[[#This Row],[Innings B1]] - 1)</f>
        <v>4</v>
      </c>
      <c r="AE18" s="82">
        <f>MIN(RCB[[#This Row],[G27 cp]],RCB[[#This Row],[G20 cp]],RCB[[#This Row],[G15 cp]])</f>
        <v>4</v>
      </c>
      <c r="AF18" s="78">
        <f>COUNTA(RCB[[#This Row],[G24 cp]],RCB[[#This Row],[G9 cp]],RCB[[#This Row],[G5 cp]])</f>
        <v>2</v>
      </c>
      <c r="AG18" s="78">
        <f>MAX(RCB[[#This Row],[G24 cp]],RCB[[#This Row],[G9 cp]],RCB[[#This Row],[G5 cp]])</f>
        <v>4</v>
      </c>
      <c r="AH18" s="317">
        <f>( SUM(RCB[[#This Row],[G24 cp]],RCB[[#This Row],[G9 cp]],RCB[[#This Row],[G5 cp]]) - RCB[[#This Row],[Max CHS]] ) / (RCB[[#This Row],[Innings CHS]] - 1)</f>
        <v>3</v>
      </c>
      <c r="AI18" s="78">
        <f>MIN(RCB[[#This Row],[G24 cp]],RCB[[#This Row],[G9 cp]],RCB[[#This Row],[G5 cp]])</f>
        <v>3</v>
      </c>
      <c r="AJ18" s="81"/>
      <c r="AK18" s="78"/>
      <c r="AL18" s="78"/>
      <c r="AM18" s="78"/>
      <c r="AN18" s="78"/>
      <c r="AO18" s="78"/>
      <c r="AP18" s="78"/>
      <c r="AQ18" s="78"/>
      <c r="AR18" s="82"/>
      <c r="AS18" s="81"/>
      <c r="AT18" s="78"/>
      <c r="AU18" s="78"/>
      <c r="AV18" s="78"/>
      <c r="AW18" s="78"/>
      <c r="AX18" s="82"/>
      <c r="AY18" s="78">
        <v>8</v>
      </c>
      <c r="AZ18" s="78" t="s">
        <v>876</v>
      </c>
      <c r="BA18" s="78">
        <v>15</v>
      </c>
      <c r="BB18" s="78">
        <v>22</v>
      </c>
      <c r="BC18" s="78"/>
      <c r="BD18" s="82">
        <v>19</v>
      </c>
      <c r="BE18" s="4">
        <v>11</v>
      </c>
      <c r="BF18" s="2"/>
      <c r="BG18" s="2"/>
      <c r="BH18" s="2"/>
      <c r="BI18" s="5">
        <v>4</v>
      </c>
      <c r="BJ18" s="100">
        <v>12</v>
      </c>
      <c r="BK18" s="2" t="s">
        <v>469</v>
      </c>
      <c r="BL18" s="2" t="s">
        <v>495</v>
      </c>
      <c r="BM18" s="3"/>
      <c r="BN18" s="5">
        <v>4</v>
      </c>
      <c r="BO18" s="100">
        <v>15</v>
      </c>
      <c r="BP18" s="2"/>
      <c r="BQ18" s="3"/>
      <c r="BR18" s="3"/>
      <c r="BS18" s="3">
        <v>3</v>
      </c>
    </row>
    <row r="19" spans="2:71">
      <c r="B19" s="152" t="s">
        <v>132</v>
      </c>
      <c r="C19" s="148" t="s">
        <v>639</v>
      </c>
      <c r="D19" s="148">
        <v>2</v>
      </c>
      <c r="E19" s="148" t="s">
        <v>615</v>
      </c>
      <c r="F19" s="148" t="s">
        <v>56</v>
      </c>
      <c r="G19" s="151" t="s">
        <v>55</v>
      </c>
      <c r="H19" s="596" t="s">
        <v>1075</v>
      </c>
      <c r="I19" s="366"/>
      <c r="J19" s="375"/>
      <c r="K19" s="150"/>
      <c r="L19" s="150"/>
      <c r="M19" s="150"/>
      <c r="N19" s="384"/>
      <c r="O19" s="150"/>
      <c r="P19" s="150"/>
      <c r="Q19" s="150"/>
      <c r="R19" s="147">
        <f>COUNTA(RCB[[#This Row],[G24 cp]],RCB[[#This Row],[G20 cp]],RCB[[#This Row],[G15 cp]],RCB[[#This Row],[G9 cp]],RCB[[#This Row],[G5 cp]])</f>
        <v>2</v>
      </c>
      <c r="S19" s="272">
        <f>MAX(RCB[[#This Row],[G27 cp]],RCB[[#This Row],[G24 cp]],RCB[[#This Row],[G20 cp]],RCB[[#This Row],[G15 cp]],RCB[[#This Row],[G9 cp]],RCB[[#This Row],[G9 cp]],RCB[[#This Row],[G5 cp]])</f>
        <v>80</v>
      </c>
      <c r="T19" s="272">
        <f t="shared" si="1"/>
        <v>4</v>
      </c>
      <c r="U19" s="151">
        <f>MIN(RCB[[#This Row],[G24 cp]],RCB[[#This Row],[G24 cp]],RCB[[#This Row],[G20 cp]],RCB[[#This Row],[G15 cp]],RCB[[#This Row],[G9 cp]],RCB[[#This Row],[G9 cp]],RCB[[#This Row],[G5 cp]])</f>
        <v>4</v>
      </c>
      <c r="V19" s="207">
        <f>RCB[[#This Row],[G27 cp]]</f>
        <v>0</v>
      </c>
      <c r="W19" s="150">
        <f>RCB[[#This Row],[G24 cp]]</f>
        <v>0</v>
      </c>
      <c r="X19" s="150">
        <f>RCB[[#This Row],[G20 cp]]</f>
        <v>0</v>
      </c>
      <c r="Y19" s="150">
        <f>RCB[[#This Row],[G15 cp]]</f>
        <v>4</v>
      </c>
      <c r="Z19" s="150">
        <f>RCB[[#This Row],[G9 cp]]</f>
        <v>80</v>
      </c>
      <c r="AA19" s="208">
        <f>RCB[[#This Row],[G5 cp]]</f>
        <v>0</v>
      </c>
      <c r="AB19" s="207">
        <f>COUNTA(RCB[[#This Row],[G27 cp]], RCB[[#This Row],[G20 cp]],RCB[[#This Row],[G15 cp]])</f>
        <v>1</v>
      </c>
      <c r="AC19" s="150">
        <f>MAX(RCB[[#This Row],[G27 cp]], RCB[[#This Row],[G20 cp]],RCB[[#This Row],[G15 cp]])</f>
        <v>4</v>
      </c>
      <c r="AD19" s="150" t="e">
        <f>( SUM(RCB[[#This Row],[G27 cp]],RCB[[#This Row],[G20 cp]],RCB[[#This Row],[G15 cp]]) - RCB[[#This Row],[Max B1]] ) / ( RCB[[#This Row],[Innings B1]] - 1)</f>
        <v>#DIV/0!</v>
      </c>
      <c r="AE19" s="208">
        <f>MIN(RCB[[#This Row],[G27 cp]],RCB[[#This Row],[G20 cp]],RCB[[#This Row],[G15 cp]])</f>
        <v>4</v>
      </c>
      <c r="AF19" s="150">
        <f>COUNTA(RCB[[#This Row],[G24 cp]],RCB[[#This Row],[G9 cp]],RCB[[#This Row],[G5 cp]])</f>
        <v>1</v>
      </c>
      <c r="AG19" s="150">
        <f>MAX(RCB[[#This Row],[G24 cp]],RCB[[#This Row],[G9 cp]],RCB[[#This Row],[G5 cp]])</f>
        <v>80</v>
      </c>
      <c r="AH19" s="272" t="e">
        <f>( SUM(RCB[[#This Row],[G24 cp]],RCB[[#This Row],[G9 cp]],RCB[[#This Row],[G5 cp]]) - RCB[[#This Row],[Max CHS]] ) / (RCB[[#This Row],[Innings CHS]] - 1)</f>
        <v>#DIV/0!</v>
      </c>
      <c r="AI19" s="150">
        <f>MIN(RCB[[#This Row],[G24 cp]],RCB[[#This Row],[G9 cp]],RCB[[#This Row],[G5 cp]])</f>
        <v>80</v>
      </c>
      <c r="AJ19" s="207"/>
      <c r="AK19" s="150"/>
      <c r="AL19" s="150"/>
      <c r="AM19" s="150"/>
      <c r="AN19" s="150"/>
      <c r="AO19" s="150"/>
      <c r="AP19" s="150"/>
      <c r="AQ19" s="150"/>
      <c r="AR19" s="208"/>
      <c r="AS19" s="207"/>
      <c r="AT19" s="150"/>
      <c r="AU19" s="150"/>
      <c r="AV19" s="150"/>
      <c r="AW19" s="150"/>
      <c r="AX19" s="208"/>
      <c r="AY19" s="150">
        <v>15</v>
      </c>
      <c r="AZ19" s="150"/>
      <c r="BA19" s="150"/>
      <c r="BB19" s="150"/>
      <c r="BC19" s="150"/>
      <c r="BD19" s="208"/>
      <c r="BE19" s="147">
        <v>7</v>
      </c>
      <c r="BF19" s="148"/>
      <c r="BG19" s="148"/>
      <c r="BH19" s="148" t="s">
        <v>378</v>
      </c>
      <c r="BI19" s="149">
        <v>4</v>
      </c>
      <c r="BJ19" s="152">
        <v>8</v>
      </c>
      <c r="BK19" s="148" t="s">
        <v>496</v>
      </c>
      <c r="BL19" s="148" t="s">
        <v>372</v>
      </c>
      <c r="BM19" s="151" t="s">
        <v>476</v>
      </c>
      <c r="BN19" s="149">
        <v>80</v>
      </c>
      <c r="BO19" s="152">
        <v>15</v>
      </c>
      <c r="BP19" s="148"/>
      <c r="BQ19" s="151"/>
      <c r="BR19" s="151"/>
      <c r="BS19" s="151"/>
    </row>
    <row r="20" spans="2:71">
      <c r="B20" s="63" t="s">
        <v>132</v>
      </c>
      <c r="C20" s="12" t="s">
        <v>640</v>
      </c>
      <c r="D20" s="12">
        <v>0.5</v>
      </c>
      <c r="E20" s="12" t="s">
        <v>641</v>
      </c>
      <c r="F20" s="12" t="s">
        <v>56</v>
      </c>
      <c r="G20" s="13" t="s">
        <v>56</v>
      </c>
      <c r="H20" s="597"/>
      <c r="I20" s="367"/>
      <c r="J20" s="376"/>
      <c r="K20" s="72"/>
      <c r="L20" s="72"/>
      <c r="M20" s="72"/>
      <c r="N20" s="385"/>
      <c r="O20" s="72"/>
      <c r="P20" s="72"/>
      <c r="Q20" s="72"/>
      <c r="R20" s="14">
        <f>COUNTA(RCB[[#This Row],[G24 cp]],RCB[[#This Row],[G20 cp]],RCB[[#This Row],[G15 cp]],RCB[[#This Row],[G9 cp]],RCB[[#This Row],[G5 cp]])</f>
        <v>2</v>
      </c>
      <c r="S20" s="262">
        <f>MAX(RCB[[#This Row],[G27 cp]],RCB[[#This Row],[G24 cp]],RCB[[#This Row],[G20 cp]],RCB[[#This Row],[G15 cp]],RCB[[#This Row],[G9 cp]],RCB[[#This Row],[G9 cp]],RCB[[#This Row],[G5 cp]])</f>
        <v>54</v>
      </c>
      <c r="T20" s="262">
        <f t="shared" si="1"/>
        <v>28</v>
      </c>
      <c r="U20" s="13">
        <f>MIN(RCB[[#This Row],[G24 cp]],RCB[[#This Row],[G24 cp]],RCB[[#This Row],[G20 cp]],RCB[[#This Row],[G15 cp]],RCB[[#This Row],[G9 cp]],RCB[[#This Row],[G9 cp]],RCB[[#This Row],[G5 cp]])</f>
        <v>28</v>
      </c>
      <c r="V20" s="60">
        <f>RCB[[#This Row],[G27 cp]]</f>
        <v>0</v>
      </c>
      <c r="W20" s="72">
        <f>RCB[[#This Row],[G24 cp]]</f>
        <v>0</v>
      </c>
      <c r="X20" s="72">
        <f>RCB[[#This Row],[G20 cp]]</f>
        <v>0</v>
      </c>
      <c r="Y20" s="72">
        <f>RCB[[#This Row],[G15 cp]]</f>
        <v>28</v>
      </c>
      <c r="Z20" s="72">
        <f>RCB[[#This Row],[G9 cp]]</f>
        <v>0</v>
      </c>
      <c r="AA20" s="83">
        <f>RCB[[#This Row],[G5 cp]]</f>
        <v>54</v>
      </c>
      <c r="AB20" s="60">
        <f>COUNTA(RCB[[#This Row],[G27 cp]], RCB[[#This Row],[G20 cp]],RCB[[#This Row],[G15 cp]])</f>
        <v>1</v>
      </c>
      <c r="AC20" s="72">
        <f>MAX(RCB[[#This Row],[G27 cp]], RCB[[#This Row],[G20 cp]],RCB[[#This Row],[G15 cp]])</f>
        <v>28</v>
      </c>
      <c r="AD20" s="72" t="e">
        <f>( SUM(RCB[[#This Row],[G27 cp]],RCB[[#This Row],[G20 cp]],RCB[[#This Row],[G15 cp]]) - RCB[[#This Row],[Max B1]] ) / ( RCB[[#This Row],[Innings B1]] - 1)</f>
        <v>#DIV/0!</v>
      </c>
      <c r="AE20" s="83">
        <f>MIN(RCB[[#This Row],[G27 cp]],RCB[[#This Row],[G20 cp]],RCB[[#This Row],[G15 cp]])</f>
        <v>28</v>
      </c>
      <c r="AF20" s="72">
        <f>COUNTA(RCB[[#This Row],[G24 cp]],RCB[[#This Row],[G9 cp]],RCB[[#This Row],[G5 cp]])</f>
        <v>1</v>
      </c>
      <c r="AG20" s="72">
        <f>MAX(RCB[[#This Row],[G24 cp]],RCB[[#This Row],[G9 cp]],RCB[[#This Row],[G5 cp]])</f>
        <v>54</v>
      </c>
      <c r="AH20" s="262" t="e">
        <f>( SUM(RCB[[#This Row],[G24 cp]],RCB[[#This Row],[G9 cp]],RCB[[#This Row],[G5 cp]]) - RCB[[#This Row],[Max CHS]] ) / (RCB[[#This Row],[Innings CHS]] - 1)</f>
        <v>#DIV/0!</v>
      </c>
      <c r="AI20" s="72">
        <f>MIN(RCB[[#This Row],[G24 cp]],RCB[[#This Row],[G9 cp]],RCB[[#This Row],[G5 cp]])</f>
        <v>54</v>
      </c>
      <c r="AJ20" s="60"/>
      <c r="AK20" s="72"/>
      <c r="AL20" s="72"/>
      <c r="AM20" s="72"/>
      <c r="AN20" s="72"/>
      <c r="AO20" s="72"/>
      <c r="AP20" s="72"/>
      <c r="AQ20" s="72"/>
      <c r="AR20" s="83"/>
      <c r="AS20" s="60"/>
      <c r="AT20" s="72"/>
      <c r="AU20" s="72"/>
      <c r="AV20" s="72"/>
      <c r="AW20" s="72"/>
      <c r="AX20" s="83"/>
      <c r="AY20" s="72">
        <v>15</v>
      </c>
      <c r="AZ20" s="72"/>
      <c r="BA20" s="72"/>
      <c r="BB20" s="72"/>
      <c r="BC20" s="72"/>
      <c r="BD20" s="83"/>
      <c r="BE20" s="14">
        <v>12</v>
      </c>
      <c r="BF20" s="12"/>
      <c r="BG20" s="12"/>
      <c r="BH20" s="12" t="s">
        <v>684</v>
      </c>
      <c r="BI20" s="15">
        <v>28</v>
      </c>
      <c r="BJ20" s="63">
        <v>9</v>
      </c>
      <c r="BK20" s="12" t="s">
        <v>323</v>
      </c>
      <c r="BL20" s="12" t="s">
        <v>400</v>
      </c>
      <c r="BM20" s="13" t="s">
        <v>502</v>
      </c>
      <c r="BN20" s="15"/>
      <c r="BO20" s="63">
        <v>11</v>
      </c>
      <c r="BP20" s="12"/>
      <c r="BQ20" s="13"/>
      <c r="BR20" s="13" t="s">
        <v>251</v>
      </c>
      <c r="BS20" s="13">
        <v>54</v>
      </c>
    </row>
    <row r="21" spans="2:71">
      <c r="B21" s="63" t="s">
        <v>132</v>
      </c>
      <c r="C21" s="12" t="s">
        <v>673</v>
      </c>
      <c r="D21" s="12">
        <v>0.2</v>
      </c>
      <c r="E21" s="12" t="s">
        <v>618</v>
      </c>
      <c r="F21" s="12" t="s">
        <v>56</v>
      </c>
      <c r="G21" s="13" t="s">
        <v>56</v>
      </c>
      <c r="H21" s="597"/>
      <c r="I21" s="367"/>
      <c r="J21" s="376"/>
      <c r="K21" s="72"/>
      <c r="L21" s="72"/>
      <c r="M21" s="72"/>
      <c r="N21" s="385"/>
      <c r="O21" s="72"/>
      <c r="P21" s="72"/>
      <c r="Q21" s="72"/>
      <c r="R21" s="14">
        <f>COUNTA(RCB[[#This Row],[G24 cp]],RCB[[#This Row],[G20 cp]],RCB[[#This Row],[G15 cp]],RCB[[#This Row],[G9 cp]],RCB[[#This Row],[G5 cp]])</f>
        <v>2</v>
      </c>
      <c r="S21" s="262">
        <f>MAX(RCB[[#This Row],[G27 cp]],RCB[[#This Row],[G24 cp]],RCB[[#This Row],[G20 cp]],RCB[[#This Row],[G15 cp]],RCB[[#This Row],[G9 cp]],RCB[[#This Row],[G9 cp]],RCB[[#This Row],[G5 cp]])</f>
        <v>29</v>
      </c>
      <c r="T21" s="262">
        <f t="shared" si="1"/>
        <v>18</v>
      </c>
      <c r="U21" s="13">
        <f>MIN(RCB[[#This Row],[G24 cp]],RCB[[#This Row],[G24 cp]],RCB[[#This Row],[G20 cp]],RCB[[#This Row],[G15 cp]],RCB[[#This Row],[G9 cp]],RCB[[#This Row],[G9 cp]],RCB[[#This Row],[G5 cp]])</f>
        <v>18</v>
      </c>
      <c r="V21" s="60">
        <f>RCB[[#This Row],[G27 cp]]</f>
        <v>0</v>
      </c>
      <c r="W21" s="72">
        <f>RCB[[#This Row],[G24 cp]]</f>
        <v>0</v>
      </c>
      <c r="X21" s="72">
        <f>RCB[[#This Row],[G20 cp]]</f>
        <v>0</v>
      </c>
      <c r="Y21" s="72">
        <f>RCB[[#This Row],[G15 cp]]</f>
        <v>0</v>
      </c>
      <c r="Z21" s="72">
        <f>RCB[[#This Row],[G9 cp]]</f>
        <v>18</v>
      </c>
      <c r="AA21" s="83">
        <f>RCB[[#This Row],[G5 cp]]</f>
        <v>29</v>
      </c>
      <c r="AB21" s="60">
        <f>COUNTA(RCB[[#This Row],[G27 cp]], RCB[[#This Row],[G20 cp]],RCB[[#This Row],[G15 cp]])</f>
        <v>0</v>
      </c>
      <c r="AC21" s="72">
        <f>MAX(RCB[[#This Row],[G27 cp]], RCB[[#This Row],[G20 cp]],RCB[[#This Row],[G15 cp]])</f>
        <v>0</v>
      </c>
      <c r="AD21" s="72">
        <f>( SUM(RCB[[#This Row],[G27 cp]],RCB[[#This Row],[G20 cp]],RCB[[#This Row],[G15 cp]]) - RCB[[#This Row],[Max B1]] ) / ( RCB[[#This Row],[Innings B1]] - 1)</f>
        <v>0</v>
      </c>
      <c r="AE21" s="83">
        <f>MIN(RCB[[#This Row],[G27 cp]],RCB[[#This Row],[G20 cp]],RCB[[#This Row],[G15 cp]])</f>
        <v>0</v>
      </c>
      <c r="AF21" s="72">
        <f>COUNTA(RCB[[#This Row],[G24 cp]],RCB[[#This Row],[G9 cp]],RCB[[#This Row],[G5 cp]])</f>
        <v>2</v>
      </c>
      <c r="AG21" s="72">
        <f>MAX(RCB[[#This Row],[G24 cp]],RCB[[#This Row],[G9 cp]],RCB[[#This Row],[G5 cp]])</f>
        <v>29</v>
      </c>
      <c r="AH21" s="262">
        <f>( SUM(RCB[[#This Row],[G24 cp]],RCB[[#This Row],[G9 cp]],RCB[[#This Row],[G5 cp]]) - RCB[[#This Row],[Max CHS]] ) / (RCB[[#This Row],[Innings CHS]] - 1)</f>
        <v>18</v>
      </c>
      <c r="AI21" s="72">
        <f>MIN(RCB[[#This Row],[G24 cp]],RCB[[#This Row],[G9 cp]],RCB[[#This Row],[G5 cp]])</f>
        <v>18</v>
      </c>
      <c r="AJ21" s="60"/>
      <c r="AK21" s="72"/>
      <c r="AL21" s="72"/>
      <c r="AM21" s="72"/>
      <c r="AN21" s="72"/>
      <c r="AO21" s="72"/>
      <c r="AP21" s="72"/>
      <c r="AQ21" s="72"/>
      <c r="AR21" s="83"/>
      <c r="AS21" s="60"/>
      <c r="AT21" s="72"/>
      <c r="AU21" s="72"/>
      <c r="AV21" s="72"/>
      <c r="AW21" s="72"/>
      <c r="AX21" s="83"/>
      <c r="AY21" s="72">
        <v>15</v>
      </c>
      <c r="AZ21" s="72"/>
      <c r="BA21" s="72"/>
      <c r="BB21" s="72"/>
      <c r="BC21" s="72"/>
      <c r="BD21" s="83"/>
      <c r="BE21" s="14">
        <v>15</v>
      </c>
      <c r="BF21" s="12"/>
      <c r="BG21" s="12"/>
      <c r="BH21" s="12"/>
      <c r="BI21" s="15"/>
      <c r="BJ21" s="63">
        <v>10</v>
      </c>
      <c r="BK21" s="12" t="s">
        <v>497</v>
      </c>
      <c r="BL21" s="12" t="s">
        <v>489</v>
      </c>
      <c r="BM21" s="13" t="s">
        <v>499</v>
      </c>
      <c r="BN21" s="15">
        <v>18</v>
      </c>
      <c r="BO21" s="63">
        <v>8</v>
      </c>
      <c r="BP21" s="12"/>
      <c r="BQ21" s="13"/>
      <c r="BR21" s="13" t="s">
        <v>248</v>
      </c>
      <c r="BS21" s="13">
        <v>29</v>
      </c>
    </row>
    <row r="22" spans="2:71">
      <c r="B22" s="152" t="s">
        <v>132</v>
      </c>
      <c r="C22" s="148" t="s">
        <v>635</v>
      </c>
      <c r="D22" s="148">
        <v>1</v>
      </c>
      <c r="E22" s="148" t="s">
        <v>634</v>
      </c>
      <c r="F22" s="148"/>
      <c r="G22" s="151" t="s">
        <v>55</v>
      </c>
      <c r="H22" s="596" t="s">
        <v>1076</v>
      </c>
      <c r="I22" s="366"/>
      <c r="J22" s="375"/>
      <c r="K22" s="150"/>
      <c r="L22" s="150"/>
      <c r="M22" s="150"/>
      <c r="N22" s="384"/>
      <c r="O22" s="150"/>
      <c r="P22" s="150"/>
      <c r="Q22" s="150"/>
      <c r="R22" s="147">
        <f>COUNTA(RCB[[#This Row],[G24 cp]],RCB[[#This Row],[G20 cp]],RCB[[#This Row],[G15 cp]],RCB[[#This Row],[G9 cp]],RCB[[#This Row],[G5 cp]])</f>
        <v>2</v>
      </c>
      <c r="S22" s="272">
        <f>MAX(RCB[[#This Row],[G27 cp]],RCB[[#This Row],[G24 cp]],RCB[[#This Row],[G20 cp]],RCB[[#This Row],[G15 cp]],RCB[[#This Row],[G9 cp]],RCB[[#This Row],[G9 cp]],RCB[[#This Row],[G5 cp]])</f>
        <v>51</v>
      </c>
      <c r="T22" s="272">
        <f t="shared" si="1"/>
        <v>30</v>
      </c>
      <c r="U22" s="151">
        <f>MIN(RCB[[#This Row],[G24 cp]],RCB[[#This Row],[G24 cp]],RCB[[#This Row],[G20 cp]],RCB[[#This Row],[G15 cp]],RCB[[#This Row],[G9 cp]],RCB[[#This Row],[G9 cp]],RCB[[#This Row],[G5 cp]])</f>
        <v>30</v>
      </c>
      <c r="V22" s="207">
        <f>RCB[[#This Row],[G27 cp]]</f>
        <v>0</v>
      </c>
      <c r="W22" s="150">
        <f>RCB[[#This Row],[G24 cp]]</f>
        <v>0</v>
      </c>
      <c r="X22" s="150">
        <f>RCB[[#This Row],[G20 cp]]</f>
        <v>0</v>
      </c>
      <c r="Y22" s="150">
        <f>RCB[[#This Row],[G15 cp]]</f>
        <v>0</v>
      </c>
      <c r="Z22" s="150">
        <f>RCB[[#This Row],[G9 cp]]</f>
        <v>51</v>
      </c>
      <c r="AA22" s="208">
        <f>RCB[[#This Row],[G5 cp]]</f>
        <v>30</v>
      </c>
      <c r="AB22" s="207">
        <f>COUNTA(RCB[[#This Row],[G27 cp]], RCB[[#This Row],[G20 cp]],RCB[[#This Row],[G15 cp]])</f>
        <v>0</v>
      </c>
      <c r="AC22" s="150">
        <f>MAX(RCB[[#This Row],[G27 cp]], RCB[[#This Row],[G20 cp]],RCB[[#This Row],[G15 cp]])</f>
        <v>0</v>
      </c>
      <c r="AD22" s="150">
        <f>( SUM(RCB[[#This Row],[G27 cp]],RCB[[#This Row],[G20 cp]],RCB[[#This Row],[G15 cp]]) - RCB[[#This Row],[Max B1]] ) / ( RCB[[#This Row],[Innings B1]] - 1)</f>
        <v>0</v>
      </c>
      <c r="AE22" s="208">
        <f>MIN(RCB[[#This Row],[G27 cp]],RCB[[#This Row],[G20 cp]],RCB[[#This Row],[G15 cp]])</f>
        <v>0</v>
      </c>
      <c r="AF22" s="150">
        <f>COUNTA(RCB[[#This Row],[G24 cp]],RCB[[#This Row],[G9 cp]],RCB[[#This Row],[G5 cp]])</f>
        <v>2</v>
      </c>
      <c r="AG22" s="150">
        <f>MAX(RCB[[#This Row],[G24 cp]],RCB[[#This Row],[G9 cp]],RCB[[#This Row],[G5 cp]])</f>
        <v>51</v>
      </c>
      <c r="AH22" s="272">
        <f>( SUM(RCB[[#This Row],[G24 cp]],RCB[[#This Row],[G9 cp]],RCB[[#This Row],[G5 cp]]) - RCB[[#This Row],[Max CHS]] ) / (RCB[[#This Row],[Innings CHS]] - 1)</f>
        <v>30</v>
      </c>
      <c r="AI22" s="150">
        <f>MIN(RCB[[#This Row],[G24 cp]],RCB[[#This Row],[G9 cp]],RCB[[#This Row],[G5 cp]])</f>
        <v>30</v>
      </c>
      <c r="AJ22" s="207"/>
      <c r="AK22" s="150"/>
      <c r="AL22" s="150"/>
      <c r="AM22" s="150"/>
      <c r="AN22" s="150"/>
      <c r="AO22" s="150"/>
      <c r="AP22" s="150"/>
      <c r="AQ22" s="150"/>
      <c r="AR22" s="208"/>
      <c r="AS22" s="207"/>
      <c r="AT22" s="150"/>
      <c r="AU22" s="150"/>
      <c r="AV22" s="150"/>
      <c r="AW22" s="150"/>
      <c r="AX22" s="208"/>
      <c r="AY22" s="150"/>
      <c r="AZ22" s="150"/>
      <c r="BA22" s="150"/>
      <c r="BB22" s="150"/>
      <c r="BC22" s="150"/>
      <c r="BD22" s="208"/>
      <c r="BE22" s="147">
        <v>15</v>
      </c>
      <c r="BF22" s="148"/>
      <c r="BG22" s="148"/>
      <c r="BH22" s="148"/>
      <c r="BI22" s="149"/>
      <c r="BJ22" s="152">
        <v>3</v>
      </c>
      <c r="BK22" s="148" t="s">
        <v>373</v>
      </c>
      <c r="BL22" s="148" t="s">
        <v>491</v>
      </c>
      <c r="BM22" s="151" t="s">
        <v>500</v>
      </c>
      <c r="BN22" s="149">
        <v>51</v>
      </c>
      <c r="BO22" s="152">
        <v>5</v>
      </c>
      <c r="BP22" s="148"/>
      <c r="BQ22" s="151"/>
      <c r="BR22" s="151" t="s">
        <v>250</v>
      </c>
      <c r="BS22" s="151">
        <v>30</v>
      </c>
    </row>
    <row r="23" spans="2:71">
      <c r="B23" s="61" t="s">
        <v>132</v>
      </c>
      <c r="C23" s="6" t="s">
        <v>130</v>
      </c>
      <c r="D23" s="6">
        <v>0.2</v>
      </c>
      <c r="E23" s="6" t="s">
        <v>645</v>
      </c>
      <c r="F23" s="6" t="s">
        <v>55</v>
      </c>
      <c r="G23" s="7" t="s">
        <v>55</v>
      </c>
      <c r="H23" s="595"/>
      <c r="I23" s="364"/>
      <c r="J23" s="373"/>
      <c r="K23" s="71"/>
      <c r="L23" s="71"/>
      <c r="M23" s="71"/>
      <c r="N23" s="382"/>
      <c r="O23" s="71"/>
      <c r="P23" s="71"/>
      <c r="Q23" s="71"/>
      <c r="R23" s="8">
        <f>COUNTA(RCB[[#This Row],[G24 cp]],RCB[[#This Row],[G20 cp]],RCB[[#This Row],[G15 cp]],RCB[[#This Row],[G9 cp]],RCB[[#This Row],[G5 cp]])</f>
        <v>0</v>
      </c>
      <c r="S23" s="260">
        <f>MAX(RCB[[#This Row],[G27 cp]],RCB[[#This Row],[G24 cp]],RCB[[#This Row],[G20 cp]],RCB[[#This Row],[G15 cp]],RCB[[#This Row],[G9 cp]],RCB[[#This Row],[G9 cp]],RCB[[#This Row],[G5 cp]])</f>
        <v>0</v>
      </c>
      <c r="T23" s="260">
        <f t="shared" si="1"/>
        <v>0</v>
      </c>
      <c r="U23" s="7">
        <f>MIN(RCB[[#This Row],[G24 cp]],RCB[[#This Row],[G24 cp]],RCB[[#This Row],[G20 cp]],RCB[[#This Row],[G15 cp]],RCB[[#This Row],[G9 cp]],RCB[[#This Row],[G9 cp]],RCB[[#This Row],[G5 cp]])</f>
        <v>0</v>
      </c>
      <c r="V23" s="58">
        <f>RCB[[#This Row],[G27 cp]]</f>
        <v>0</v>
      </c>
      <c r="W23" s="71">
        <f>RCB[[#This Row],[G24 cp]]</f>
        <v>0</v>
      </c>
      <c r="X23" s="71">
        <f>RCB[[#This Row],[G20 cp]]</f>
        <v>0</v>
      </c>
      <c r="Y23" s="71">
        <f>RCB[[#This Row],[G15 cp]]</f>
        <v>0</v>
      </c>
      <c r="Z23" s="71">
        <f>RCB[[#This Row],[G9 cp]]</f>
        <v>0</v>
      </c>
      <c r="AA23" s="80">
        <f>RCB[[#This Row],[G5 cp]]</f>
        <v>0</v>
      </c>
      <c r="AB23" s="58">
        <f>COUNTA(RCB[[#This Row],[G27 cp]], RCB[[#This Row],[G20 cp]],RCB[[#This Row],[G15 cp]])</f>
        <v>0</v>
      </c>
      <c r="AC23" s="71">
        <f>MAX(RCB[[#This Row],[G27 cp]], RCB[[#This Row],[G20 cp]],RCB[[#This Row],[G15 cp]])</f>
        <v>0</v>
      </c>
      <c r="AD23" s="71">
        <f>( SUM(RCB[[#This Row],[G27 cp]],RCB[[#This Row],[G20 cp]],RCB[[#This Row],[G15 cp]]) - RCB[[#This Row],[Max B1]] ) / ( RCB[[#This Row],[Innings B1]] - 1)</f>
        <v>0</v>
      </c>
      <c r="AE23" s="80">
        <f>MIN(RCB[[#This Row],[G27 cp]],RCB[[#This Row],[G20 cp]],RCB[[#This Row],[G15 cp]])</f>
        <v>0</v>
      </c>
      <c r="AF23" s="71">
        <f>COUNTA(RCB[[#This Row],[G24 cp]],RCB[[#This Row],[G9 cp]],RCB[[#This Row],[G5 cp]])</f>
        <v>0</v>
      </c>
      <c r="AG23" s="71">
        <f>MAX(RCB[[#This Row],[G24 cp]],RCB[[#This Row],[G9 cp]],RCB[[#This Row],[G5 cp]])</f>
        <v>0</v>
      </c>
      <c r="AH23" s="260">
        <f>( SUM(RCB[[#This Row],[G24 cp]],RCB[[#This Row],[G9 cp]],RCB[[#This Row],[G5 cp]]) - RCB[[#This Row],[Max CHS]] ) / (RCB[[#This Row],[Innings CHS]] - 1)</f>
        <v>0</v>
      </c>
      <c r="AI23" s="71">
        <f>MIN(RCB[[#This Row],[G24 cp]],RCB[[#This Row],[G9 cp]],RCB[[#This Row],[G5 cp]])</f>
        <v>0</v>
      </c>
      <c r="AJ23" s="58"/>
      <c r="AK23" s="71"/>
      <c r="AL23" s="71"/>
      <c r="AM23" s="71"/>
      <c r="AN23" s="71"/>
      <c r="AO23" s="71"/>
      <c r="AP23" s="71"/>
      <c r="AQ23" s="71"/>
      <c r="AR23" s="80"/>
      <c r="AS23" s="58"/>
      <c r="AT23" s="71"/>
      <c r="AU23" s="71"/>
      <c r="AV23" s="71"/>
      <c r="AW23" s="71"/>
      <c r="AX23" s="80"/>
      <c r="AY23" s="71"/>
      <c r="AZ23" s="71"/>
      <c r="BA23" s="71"/>
      <c r="BB23" s="71"/>
      <c r="BC23" s="71"/>
      <c r="BD23" s="80"/>
      <c r="BE23" s="8">
        <v>15</v>
      </c>
      <c r="BF23" s="6"/>
      <c r="BG23" s="6"/>
      <c r="BH23" s="6"/>
      <c r="BI23" s="9"/>
      <c r="BJ23" s="61">
        <v>15</v>
      </c>
      <c r="BK23" s="6"/>
      <c r="BL23" s="6"/>
      <c r="BM23" s="7"/>
      <c r="BN23" s="9"/>
      <c r="BO23" s="61">
        <v>15</v>
      </c>
      <c r="BP23" s="6"/>
      <c r="BQ23" s="7"/>
      <c r="BR23" s="7"/>
      <c r="BS23" s="7"/>
    </row>
    <row r="24" spans="2:71">
      <c r="B24" s="157" t="s">
        <v>132</v>
      </c>
      <c r="C24" s="154" t="s">
        <v>126</v>
      </c>
      <c r="D24" s="154">
        <v>0.8</v>
      </c>
      <c r="E24" s="154" t="s">
        <v>634</v>
      </c>
      <c r="F24" s="154" t="s">
        <v>54</v>
      </c>
      <c r="G24" s="156" t="s">
        <v>75</v>
      </c>
      <c r="H24" s="601"/>
      <c r="I24" s="584"/>
      <c r="J24" s="588"/>
      <c r="K24" s="286"/>
      <c r="L24" s="286"/>
      <c r="M24" s="286"/>
      <c r="N24" s="592"/>
      <c r="O24" s="286"/>
      <c r="P24" s="286"/>
      <c r="Q24" s="286"/>
      <c r="R24" s="153">
        <f>COUNTA(RCB[[#This Row],[G24 cp]],RCB[[#This Row],[G20 cp]],RCB[[#This Row],[G15 cp]],RCB[[#This Row],[G9 cp]],RCB[[#This Row],[G5 cp]])</f>
        <v>0</v>
      </c>
      <c r="S24" s="318">
        <f>MAX(RCB[[#This Row],[G27 cp]],RCB[[#This Row],[G24 cp]],RCB[[#This Row],[G20 cp]],RCB[[#This Row],[G15 cp]],RCB[[#This Row],[G9 cp]],RCB[[#This Row],[G9 cp]],RCB[[#This Row],[G5 cp]])</f>
        <v>0</v>
      </c>
      <c r="T24" s="318">
        <f t="shared" si="1"/>
        <v>0</v>
      </c>
      <c r="U24" s="156">
        <f>MIN(RCB[[#This Row],[G24 cp]],RCB[[#This Row],[G24 cp]],RCB[[#This Row],[G20 cp]],RCB[[#This Row],[G15 cp]],RCB[[#This Row],[G9 cp]],RCB[[#This Row],[G9 cp]],RCB[[#This Row],[G5 cp]])</f>
        <v>0</v>
      </c>
      <c r="V24" s="580">
        <f>RCB[[#This Row],[G27 cp]]</f>
        <v>0</v>
      </c>
      <c r="W24" s="286">
        <f>RCB[[#This Row],[G24 cp]]</f>
        <v>0</v>
      </c>
      <c r="X24" s="286">
        <f>RCB[[#This Row],[G20 cp]]</f>
        <v>0</v>
      </c>
      <c r="Y24" s="286">
        <f>RCB[[#This Row],[G15 cp]]</f>
        <v>0</v>
      </c>
      <c r="Z24" s="286">
        <f>RCB[[#This Row],[G9 cp]]</f>
        <v>0</v>
      </c>
      <c r="AA24" s="287">
        <f>RCB[[#This Row],[G5 cp]]</f>
        <v>0</v>
      </c>
      <c r="AB24" s="580">
        <f>COUNTA(RCB[[#This Row],[G27 cp]], RCB[[#This Row],[G20 cp]],RCB[[#This Row],[G15 cp]])</f>
        <v>0</v>
      </c>
      <c r="AC24" s="286">
        <f>MAX(RCB[[#This Row],[G27 cp]], RCB[[#This Row],[G20 cp]],RCB[[#This Row],[G15 cp]])</f>
        <v>0</v>
      </c>
      <c r="AD24" s="286">
        <f>( SUM(RCB[[#This Row],[G27 cp]],RCB[[#This Row],[G20 cp]],RCB[[#This Row],[G15 cp]]) - RCB[[#This Row],[Max B1]] ) / ( RCB[[#This Row],[Innings B1]] - 1)</f>
        <v>0</v>
      </c>
      <c r="AE24" s="287">
        <f>MIN(RCB[[#This Row],[G27 cp]],RCB[[#This Row],[G20 cp]],RCB[[#This Row],[G15 cp]])</f>
        <v>0</v>
      </c>
      <c r="AF24" s="286">
        <f>COUNTA(RCB[[#This Row],[G24 cp]],RCB[[#This Row],[G9 cp]],RCB[[#This Row],[G5 cp]])</f>
        <v>0</v>
      </c>
      <c r="AG24" s="286">
        <f>MAX(RCB[[#This Row],[G24 cp]],RCB[[#This Row],[G9 cp]],RCB[[#This Row],[G5 cp]])</f>
        <v>0</v>
      </c>
      <c r="AH24" s="318">
        <f>( SUM(RCB[[#This Row],[G24 cp]],RCB[[#This Row],[G9 cp]],RCB[[#This Row],[G5 cp]]) - RCB[[#This Row],[Max CHS]] ) / (RCB[[#This Row],[Innings CHS]] - 1)</f>
        <v>0</v>
      </c>
      <c r="AI24" s="286">
        <f>MIN(RCB[[#This Row],[G24 cp]],RCB[[#This Row],[G9 cp]],RCB[[#This Row],[G5 cp]])</f>
        <v>0</v>
      </c>
      <c r="AJ24" s="580"/>
      <c r="AK24" s="286"/>
      <c r="AL24" s="286"/>
      <c r="AM24" s="286"/>
      <c r="AN24" s="286"/>
      <c r="AO24" s="286"/>
      <c r="AP24" s="286"/>
      <c r="AQ24" s="286"/>
      <c r="AR24" s="287"/>
      <c r="AS24" s="580"/>
      <c r="AT24" s="286"/>
      <c r="AU24" s="286"/>
      <c r="AV24" s="286"/>
      <c r="AW24" s="286"/>
      <c r="AX24" s="287"/>
      <c r="AY24" s="286"/>
      <c r="AZ24" s="286"/>
      <c r="BA24" s="286"/>
      <c r="BB24" s="286"/>
      <c r="BC24" s="286"/>
      <c r="BD24" s="287"/>
      <c r="BE24" s="153"/>
      <c r="BF24" s="154"/>
      <c r="BG24" s="154"/>
      <c r="BH24" s="154"/>
      <c r="BI24" s="155"/>
      <c r="BJ24" s="157">
        <v>15</v>
      </c>
      <c r="BK24" s="154"/>
      <c r="BL24" s="154"/>
      <c r="BM24" s="156"/>
      <c r="BN24" s="155"/>
      <c r="BO24" s="157"/>
      <c r="BP24" s="154"/>
      <c r="BQ24" s="156"/>
      <c r="BR24" s="156"/>
      <c r="BS24" s="156"/>
    </row>
    <row r="25" spans="2:71">
      <c r="B25" s="163" t="s">
        <v>132</v>
      </c>
      <c r="C25" s="159" t="s">
        <v>649</v>
      </c>
      <c r="D25" s="159">
        <v>7.75</v>
      </c>
      <c r="E25" s="159" t="s">
        <v>614</v>
      </c>
      <c r="F25" s="159" t="s">
        <v>56</v>
      </c>
      <c r="G25" s="162" t="s">
        <v>56</v>
      </c>
      <c r="H25" s="599" t="s">
        <v>1007</v>
      </c>
      <c r="I25" s="368"/>
      <c r="J25" s="377"/>
      <c r="K25" s="161"/>
      <c r="L25" s="161"/>
      <c r="M25" s="161"/>
      <c r="N25" s="386"/>
      <c r="O25" s="161"/>
      <c r="P25" s="161"/>
      <c r="Q25" s="161"/>
      <c r="R25" s="158">
        <f>COUNTA(RCB[[#This Row],[G24 cp]],RCB[[#This Row],[G20 cp]],RCB[[#This Row],[G15 cp]],RCB[[#This Row],[G9 cp]],RCB[[#This Row],[G5 cp]])</f>
        <v>0</v>
      </c>
      <c r="S25" s="273">
        <f>MAX(RCB[[#This Row],[G27 cp]],RCB[[#This Row],[G24 cp]],RCB[[#This Row],[G20 cp]],RCB[[#This Row],[G15 cp]],RCB[[#This Row],[G9 cp]],RCB[[#This Row],[G9 cp]],RCB[[#This Row],[G5 cp]])</f>
        <v>0</v>
      </c>
      <c r="T25" s="273">
        <f t="shared" si="1"/>
        <v>0</v>
      </c>
      <c r="U25" s="162">
        <f>MIN(RCB[[#This Row],[G24 cp]],RCB[[#This Row],[G24 cp]],RCB[[#This Row],[G20 cp]],RCB[[#This Row],[G15 cp]],RCB[[#This Row],[G9 cp]],RCB[[#This Row],[G9 cp]],RCB[[#This Row],[G5 cp]])</f>
        <v>0</v>
      </c>
      <c r="V25" s="195">
        <f>RCB[[#This Row],[G27 cp]]</f>
        <v>0</v>
      </c>
      <c r="W25" s="161">
        <f>RCB[[#This Row],[G24 cp]]</f>
        <v>0</v>
      </c>
      <c r="X25" s="161">
        <f>RCB[[#This Row],[G20 cp]]</f>
        <v>0</v>
      </c>
      <c r="Y25" s="161">
        <f>RCB[[#This Row],[G15 cp]]</f>
        <v>0</v>
      </c>
      <c r="Z25" s="161">
        <f>RCB[[#This Row],[G9 cp]]</f>
        <v>0</v>
      </c>
      <c r="AA25" s="196">
        <f>RCB[[#This Row],[G5 cp]]</f>
        <v>0</v>
      </c>
      <c r="AB25" s="195">
        <f>COUNTA(RCB[[#This Row],[G27 cp]], RCB[[#This Row],[G20 cp]],RCB[[#This Row],[G15 cp]])</f>
        <v>0</v>
      </c>
      <c r="AC25" s="161">
        <f>MAX(RCB[[#This Row],[G27 cp]], RCB[[#This Row],[G20 cp]],RCB[[#This Row],[G15 cp]])</f>
        <v>0</v>
      </c>
      <c r="AD25" s="161">
        <f>( SUM(RCB[[#This Row],[G27 cp]],RCB[[#This Row],[G20 cp]],RCB[[#This Row],[G15 cp]]) - RCB[[#This Row],[Max B1]] ) / ( RCB[[#This Row],[Innings B1]] - 1)</f>
        <v>0</v>
      </c>
      <c r="AE25" s="196">
        <f>MIN(RCB[[#This Row],[G27 cp]],RCB[[#This Row],[G20 cp]],RCB[[#This Row],[G15 cp]])</f>
        <v>0</v>
      </c>
      <c r="AF25" s="161">
        <f>COUNTA(RCB[[#This Row],[G24 cp]],RCB[[#This Row],[G9 cp]],RCB[[#This Row],[G5 cp]])</f>
        <v>0</v>
      </c>
      <c r="AG25" s="161">
        <f>MAX(RCB[[#This Row],[G24 cp]],RCB[[#This Row],[G9 cp]],RCB[[#This Row],[G5 cp]])</f>
        <v>0</v>
      </c>
      <c r="AH25" s="273">
        <f>( SUM(RCB[[#This Row],[G24 cp]],RCB[[#This Row],[G9 cp]],RCB[[#This Row],[G5 cp]]) - RCB[[#This Row],[Max CHS]] ) / (RCB[[#This Row],[Innings CHS]] - 1)</f>
        <v>0</v>
      </c>
      <c r="AI25" s="161">
        <f>MIN(RCB[[#This Row],[G24 cp]],RCB[[#This Row],[G9 cp]],RCB[[#This Row],[G5 cp]])</f>
        <v>0</v>
      </c>
      <c r="AJ25" s="195"/>
      <c r="AK25" s="161"/>
      <c r="AL25" s="161"/>
      <c r="AM25" s="161"/>
      <c r="AN25" s="161"/>
      <c r="AO25" s="161"/>
      <c r="AP25" s="161"/>
      <c r="AQ25" s="161"/>
      <c r="AR25" s="196"/>
      <c r="AS25" s="195"/>
      <c r="AT25" s="161"/>
      <c r="AU25" s="161"/>
      <c r="AV25" s="161"/>
      <c r="AW25" s="161"/>
      <c r="AX25" s="196"/>
      <c r="AY25" s="161"/>
      <c r="AZ25" s="161"/>
      <c r="BA25" s="161"/>
      <c r="BB25" s="161"/>
      <c r="BC25" s="161"/>
      <c r="BD25" s="196"/>
      <c r="BE25" s="158"/>
      <c r="BF25" s="159"/>
      <c r="BG25" s="159"/>
      <c r="BH25" s="159"/>
      <c r="BI25" s="160"/>
      <c r="BJ25" s="163"/>
      <c r="BK25" s="159"/>
      <c r="BL25" s="159"/>
      <c r="BM25" s="162"/>
      <c r="BN25" s="160"/>
      <c r="BO25" s="163"/>
      <c r="BP25" s="159"/>
      <c r="BQ25" s="162"/>
      <c r="BR25" s="162"/>
      <c r="BS25" s="162"/>
    </row>
    <row r="26" spans="2:71">
      <c r="B26" s="163" t="s">
        <v>132</v>
      </c>
      <c r="C26" s="159" t="s">
        <v>648</v>
      </c>
      <c r="D26" s="159">
        <v>1.9</v>
      </c>
      <c r="E26" s="159" t="s">
        <v>615</v>
      </c>
      <c r="F26" s="159" t="s">
        <v>56</v>
      </c>
      <c r="G26" s="162" t="s">
        <v>56</v>
      </c>
      <c r="H26" s="599" t="s">
        <v>1007</v>
      </c>
      <c r="I26" s="368"/>
      <c r="J26" s="377"/>
      <c r="K26" s="161"/>
      <c r="L26" s="161"/>
      <c r="M26" s="161"/>
      <c r="N26" s="386"/>
      <c r="O26" s="161"/>
      <c r="P26" s="161"/>
      <c r="Q26" s="161"/>
      <c r="R26" s="158">
        <f>COUNTA(RCB[[#This Row],[G24 cp]],RCB[[#This Row],[G20 cp]],RCB[[#This Row],[G15 cp]],RCB[[#This Row],[G9 cp]],RCB[[#This Row],[G5 cp]])</f>
        <v>1</v>
      </c>
      <c r="S26" s="273">
        <f>MAX(RCB[[#This Row],[G27 cp]],RCB[[#This Row],[G24 cp]],RCB[[#This Row],[G20 cp]],RCB[[#This Row],[G15 cp]],RCB[[#This Row],[G9 cp]],RCB[[#This Row],[G9 cp]],RCB[[#This Row],[G5 cp]])</f>
        <v>29</v>
      </c>
      <c r="T26" s="273"/>
      <c r="U26" s="162">
        <f>MIN(RCB[[#This Row],[G24 cp]],RCB[[#This Row],[G24 cp]],RCB[[#This Row],[G20 cp]],RCB[[#This Row],[G15 cp]],RCB[[#This Row],[G9 cp]],RCB[[#This Row],[G9 cp]],RCB[[#This Row],[G5 cp]])</f>
        <v>29</v>
      </c>
      <c r="V26" s="195">
        <f>RCB[[#This Row],[G27 cp]]</f>
        <v>0</v>
      </c>
      <c r="W26" s="161">
        <f>RCB[[#This Row],[G24 cp]]</f>
        <v>0</v>
      </c>
      <c r="X26" s="161">
        <f>RCB[[#This Row],[G20 cp]]</f>
        <v>0</v>
      </c>
      <c r="Y26" s="161">
        <f>RCB[[#This Row],[G15 cp]]</f>
        <v>0</v>
      </c>
      <c r="Z26" s="161">
        <f>RCB[[#This Row],[G9 cp]]</f>
        <v>0</v>
      </c>
      <c r="AA26" s="196">
        <f>RCB[[#This Row],[G5 cp]]</f>
        <v>29</v>
      </c>
      <c r="AB26" s="195">
        <f>COUNTA(RCB[[#This Row],[G27 cp]], RCB[[#This Row],[G20 cp]],RCB[[#This Row],[G15 cp]])</f>
        <v>0</v>
      </c>
      <c r="AC26" s="161">
        <f>MAX(RCB[[#This Row],[G27 cp]], RCB[[#This Row],[G20 cp]],RCB[[#This Row],[G15 cp]])</f>
        <v>0</v>
      </c>
      <c r="AD26" s="161">
        <f>( SUM(RCB[[#This Row],[G27 cp]],RCB[[#This Row],[G20 cp]],RCB[[#This Row],[G15 cp]]) - RCB[[#This Row],[Max B1]] ) / ( RCB[[#This Row],[Innings B1]] - 1)</f>
        <v>0</v>
      </c>
      <c r="AE26" s="196">
        <f>MIN(RCB[[#This Row],[G27 cp]],RCB[[#This Row],[G20 cp]],RCB[[#This Row],[G15 cp]])</f>
        <v>0</v>
      </c>
      <c r="AF26" s="161">
        <f>COUNTA(RCB[[#This Row],[G24 cp]],RCB[[#This Row],[G9 cp]],RCB[[#This Row],[G5 cp]])</f>
        <v>1</v>
      </c>
      <c r="AG26" s="161">
        <f>MAX(RCB[[#This Row],[G24 cp]],RCB[[#This Row],[G9 cp]],RCB[[#This Row],[G5 cp]])</f>
        <v>29</v>
      </c>
      <c r="AH26" s="273" t="e">
        <f>( SUM(RCB[[#This Row],[G24 cp]],RCB[[#This Row],[G9 cp]],RCB[[#This Row],[G5 cp]]) - RCB[[#This Row],[Max CHS]] ) / (RCB[[#This Row],[Innings CHS]] - 1)</f>
        <v>#DIV/0!</v>
      </c>
      <c r="AI26" s="161">
        <f>MIN(RCB[[#This Row],[G24 cp]],RCB[[#This Row],[G9 cp]],RCB[[#This Row],[G5 cp]])</f>
        <v>29</v>
      </c>
      <c r="AJ26" s="195"/>
      <c r="AK26" s="161"/>
      <c r="AL26" s="161"/>
      <c r="AM26" s="161"/>
      <c r="AN26" s="161"/>
      <c r="AO26" s="161"/>
      <c r="AP26" s="161"/>
      <c r="AQ26" s="161"/>
      <c r="AR26" s="196"/>
      <c r="AS26" s="195"/>
      <c r="AT26" s="161"/>
      <c r="AU26" s="161"/>
      <c r="AV26" s="161"/>
      <c r="AW26" s="161"/>
      <c r="AX26" s="196"/>
      <c r="AY26" s="161"/>
      <c r="AZ26" s="161"/>
      <c r="BA26" s="161"/>
      <c r="BB26" s="161"/>
      <c r="BC26" s="161"/>
      <c r="BD26" s="196"/>
      <c r="BE26" s="158"/>
      <c r="BF26" s="159"/>
      <c r="BG26" s="159"/>
      <c r="BH26" s="159"/>
      <c r="BI26" s="160"/>
      <c r="BJ26" s="163"/>
      <c r="BK26" s="159"/>
      <c r="BL26" s="159"/>
      <c r="BM26" s="162"/>
      <c r="BN26" s="160"/>
      <c r="BO26" s="163">
        <v>9</v>
      </c>
      <c r="BP26" s="159"/>
      <c r="BQ26" s="162"/>
      <c r="BR26" s="162" t="s">
        <v>247</v>
      </c>
      <c r="BS26" s="162">
        <v>29</v>
      </c>
    </row>
    <row r="27" spans="2:71">
      <c r="B27" s="99" t="s">
        <v>132</v>
      </c>
      <c r="C27" s="26" t="s">
        <v>128</v>
      </c>
      <c r="D27" s="26">
        <v>0.75</v>
      </c>
      <c r="E27" s="26"/>
      <c r="F27" s="26" t="s">
        <v>56</v>
      </c>
      <c r="G27" s="29" t="s">
        <v>56</v>
      </c>
      <c r="H27" s="600"/>
      <c r="I27" s="583"/>
      <c r="J27" s="587"/>
      <c r="K27" s="84"/>
      <c r="L27" s="84"/>
      <c r="M27" s="84"/>
      <c r="N27" s="591"/>
      <c r="O27" s="84"/>
      <c r="P27" s="84"/>
      <c r="Q27" s="84"/>
      <c r="R27" s="30">
        <f>COUNTA(RCB[[#This Row],[G24 cp]],RCB[[#This Row],[G20 cp]],RCB[[#This Row],[G15 cp]],RCB[[#This Row],[G9 cp]],RCB[[#This Row],[G5 cp]])</f>
        <v>0</v>
      </c>
      <c r="S27" s="261">
        <f>MAX(RCB[[#This Row],[G27 cp]],RCB[[#This Row],[G24 cp]],RCB[[#This Row],[G20 cp]],RCB[[#This Row],[G15 cp]],RCB[[#This Row],[G9 cp]],RCB[[#This Row],[G9 cp]],RCB[[#This Row],[G5 cp]])</f>
        <v>0</v>
      </c>
      <c r="T27" s="261">
        <f t="shared" ref="T27:T32" si="2">( SUM(BD27,BI27,BN27,BS27) - S27 ) / ( COUNTA(BD27,BI27,BN27,BS27) - 1 )</f>
        <v>0</v>
      </c>
      <c r="U27" s="29">
        <f>MIN(RCB[[#This Row],[G24 cp]],RCB[[#This Row],[G24 cp]],RCB[[#This Row],[G20 cp]],RCB[[#This Row],[G15 cp]],RCB[[#This Row],[G9 cp]],RCB[[#This Row],[G9 cp]],RCB[[#This Row],[G5 cp]])</f>
        <v>0</v>
      </c>
      <c r="V27" s="85">
        <f>RCB[[#This Row],[G27 cp]]</f>
        <v>0</v>
      </c>
      <c r="W27" s="84">
        <f>RCB[[#This Row],[G24 cp]]</f>
        <v>0</v>
      </c>
      <c r="X27" s="84">
        <f>RCB[[#This Row],[G20 cp]]</f>
        <v>0</v>
      </c>
      <c r="Y27" s="84">
        <f>RCB[[#This Row],[G15 cp]]</f>
        <v>0</v>
      </c>
      <c r="Z27" s="84">
        <f>RCB[[#This Row],[G9 cp]]</f>
        <v>0</v>
      </c>
      <c r="AA27" s="86">
        <f>RCB[[#This Row],[G5 cp]]</f>
        <v>0</v>
      </c>
      <c r="AB27" s="85">
        <f>COUNTA(RCB[[#This Row],[G27 cp]], RCB[[#This Row],[G20 cp]],RCB[[#This Row],[G15 cp]])</f>
        <v>0</v>
      </c>
      <c r="AC27" s="84">
        <f>MAX(RCB[[#This Row],[G27 cp]], RCB[[#This Row],[G20 cp]],RCB[[#This Row],[G15 cp]])</f>
        <v>0</v>
      </c>
      <c r="AD27" s="84">
        <f>( SUM(RCB[[#This Row],[G27 cp]],RCB[[#This Row],[G20 cp]],RCB[[#This Row],[G15 cp]]) - RCB[[#This Row],[Max B1]] ) / ( RCB[[#This Row],[Innings B1]] - 1)</f>
        <v>0</v>
      </c>
      <c r="AE27" s="86">
        <f>MIN(RCB[[#This Row],[G27 cp]],RCB[[#This Row],[G20 cp]],RCB[[#This Row],[G15 cp]])</f>
        <v>0</v>
      </c>
      <c r="AF27" s="84">
        <f>COUNTA(RCB[[#This Row],[G24 cp]],RCB[[#This Row],[G9 cp]],RCB[[#This Row],[G5 cp]])</f>
        <v>0</v>
      </c>
      <c r="AG27" s="84">
        <f>MAX(RCB[[#This Row],[G24 cp]],RCB[[#This Row],[G9 cp]],RCB[[#This Row],[G5 cp]])</f>
        <v>0</v>
      </c>
      <c r="AH27" s="261">
        <f>( SUM(RCB[[#This Row],[G24 cp]],RCB[[#This Row],[G9 cp]],RCB[[#This Row],[G5 cp]]) - RCB[[#This Row],[Max CHS]] ) / (RCB[[#This Row],[Innings CHS]] - 1)</f>
        <v>0</v>
      </c>
      <c r="AI27" s="84">
        <f>MIN(RCB[[#This Row],[G24 cp]],RCB[[#This Row],[G9 cp]],RCB[[#This Row],[G5 cp]])</f>
        <v>0</v>
      </c>
      <c r="AJ27" s="85"/>
      <c r="AK27" s="84"/>
      <c r="AL27" s="84"/>
      <c r="AM27" s="84"/>
      <c r="AN27" s="84"/>
      <c r="AO27" s="84"/>
      <c r="AP27" s="84"/>
      <c r="AQ27" s="84"/>
      <c r="AR27" s="86"/>
      <c r="AS27" s="85"/>
      <c r="AT27" s="84"/>
      <c r="AU27" s="84"/>
      <c r="AV27" s="84"/>
      <c r="AW27" s="84"/>
      <c r="AX27" s="86"/>
      <c r="AY27" s="84"/>
      <c r="AZ27" s="84"/>
      <c r="BA27" s="84"/>
      <c r="BB27" s="84"/>
      <c r="BC27" s="84"/>
      <c r="BD27" s="86"/>
      <c r="BE27" s="30"/>
      <c r="BF27" s="26"/>
      <c r="BG27" s="26"/>
      <c r="BH27" s="26"/>
      <c r="BI27" s="31"/>
      <c r="BJ27" s="99"/>
      <c r="BK27" s="26"/>
      <c r="BL27" s="26"/>
      <c r="BM27" s="29"/>
      <c r="BN27" s="31"/>
      <c r="BO27" s="99"/>
      <c r="BP27" s="26"/>
      <c r="BQ27" s="29"/>
      <c r="BR27" s="29"/>
      <c r="BS27" s="29"/>
    </row>
    <row r="28" spans="2:71">
      <c r="B28" s="63" t="s">
        <v>132</v>
      </c>
      <c r="C28" s="12" t="s">
        <v>650</v>
      </c>
      <c r="D28" s="12">
        <v>0.7</v>
      </c>
      <c r="E28" s="12"/>
      <c r="F28" s="12" t="s">
        <v>54</v>
      </c>
      <c r="G28" s="13" t="s">
        <v>56</v>
      </c>
      <c r="H28" s="597"/>
      <c r="I28" s="367"/>
      <c r="J28" s="376"/>
      <c r="K28" s="72"/>
      <c r="L28" s="72"/>
      <c r="M28" s="72"/>
      <c r="N28" s="385"/>
      <c r="O28" s="72"/>
      <c r="P28" s="72"/>
      <c r="Q28" s="72"/>
      <c r="R28" s="14">
        <f>COUNTA(RCB[[#This Row],[G24 cp]],RCB[[#This Row],[G20 cp]],RCB[[#This Row],[G15 cp]],RCB[[#This Row],[G9 cp]],RCB[[#This Row],[G5 cp]])</f>
        <v>0</v>
      </c>
      <c r="S28" s="262">
        <f>MAX(RCB[[#This Row],[G27 cp]],RCB[[#This Row],[G24 cp]],RCB[[#This Row],[G20 cp]],RCB[[#This Row],[G15 cp]],RCB[[#This Row],[G9 cp]],RCB[[#This Row],[G9 cp]],RCB[[#This Row],[G5 cp]])</f>
        <v>0</v>
      </c>
      <c r="T28" s="262">
        <f t="shared" si="2"/>
        <v>0</v>
      </c>
      <c r="U28" s="13">
        <f>MIN(RCB[[#This Row],[G24 cp]],RCB[[#This Row],[G24 cp]],RCB[[#This Row],[G20 cp]],RCB[[#This Row],[G15 cp]],RCB[[#This Row],[G9 cp]],RCB[[#This Row],[G9 cp]],RCB[[#This Row],[G5 cp]])</f>
        <v>0</v>
      </c>
      <c r="V28" s="60">
        <f>RCB[[#This Row],[G27 cp]]</f>
        <v>0</v>
      </c>
      <c r="W28" s="72">
        <f>RCB[[#This Row],[G24 cp]]</f>
        <v>0</v>
      </c>
      <c r="X28" s="72">
        <f>RCB[[#This Row],[G20 cp]]</f>
        <v>0</v>
      </c>
      <c r="Y28" s="72">
        <f>RCB[[#This Row],[G15 cp]]</f>
        <v>0</v>
      </c>
      <c r="Z28" s="72">
        <f>RCB[[#This Row],[G9 cp]]</f>
        <v>0</v>
      </c>
      <c r="AA28" s="83">
        <f>RCB[[#This Row],[G5 cp]]</f>
        <v>0</v>
      </c>
      <c r="AB28" s="60">
        <f>COUNTA(RCB[[#This Row],[G27 cp]], RCB[[#This Row],[G20 cp]],RCB[[#This Row],[G15 cp]])</f>
        <v>0</v>
      </c>
      <c r="AC28" s="72">
        <f>MAX(RCB[[#This Row],[G27 cp]], RCB[[#This Row],[G20 cp]],RCB[[#This Row],[G15 cp]])</f>
        <v>0</v>
      </c>
      <c r="AD28" s="72">
        <f>( SUM(RCB[[#This Row],[G27 cp]],RCB[[#This Row],[G20 cp]],RCB[[#This Row],[G15 cp]]) - RCB[[#This Row],[Max B1]] ) / ( RCB[[#This Row],[Innings B1]] - 1)</f>
        <v>0</v>
      </c>
      <c r="AE28" s="83">
        <f>MIN(RCB[[#This Row],[G27 cp]],RCB[[#This Row],[G20 cp]],RCB[[#This Row],[G15 cp]])</f>
        <v>0</v>
      </c>
      <c r="AF28" s="72">
        <f>COUNTA(RCB[[#This Row],[G24 cp]],RCB[[#This Row],[G9 cp]],RCB[[#This Row],[G5 cp]])</f>
        <v>0</v>
      </c>
      <c r="AG28" s="72">
        <f>MAX(RCB[[#This Row],[G24 cp]],RCB[[#This Row],[G9 cp]],RCB[[#This Row],[G5 cp]])</f>
        <v>0</v>
      </c>
      <c r="AH28" s="262">
        <f>( SUM(RCB[[#This Row],[G24 cp]],RCB[[#This Row],[G9 cp]],RCB[[#This Row],[G5 cp]]) - RCB[[#This Row],[Max CHS]] ) / (RCB[[#This Row],[Innings CHS]] - 1)</f>
        <v>0</v>
      </c>
      <c r="AI28" s="72">
        <f>MIN(RCB[[#This Row],[G24 cp]],RCB[[#This Row],[G9 cp]],RCB[[#This Row],[G5 cp]])</f>
        <v>0</v>
      </c>
      <c r="AJ28" s="60"/>
      <c r="AK28" s="72"/>
      <c r="AL28" s="72"/>
      <c r="AM28" s="72"/>
      <c r="AN28" s="72"/>
      <c r="AO28" s="72"/>
      <c r="AP28" s="72"/>
      <c r="AQ28" s="72"/>
      <c r="AR28" s="83"/>
      <c r="AS28" s="60"/>
      <c r="AT28" s="72"/>
      <c r="AU28" s="72"/>
      <c r="AV28" s="72"/>
      <c r="AW28" s="72"/>
      <c r="AX28" s="83"/>
      <c r="AY28" s="72"/>
      <c r="AZ28" s="72"/>
      <c r="BA28" s="72"/>
      <c r="BB28" s="72"/>
      <c r="BC28" s="72"/>
      <c r="BD28" s="83"/>
      <c r="BE28" s="14"/>
      <c r="BF28" s="12"/>
      <c r="BG28" s="12"/>
      <c r="BH28" s="12"/>
      <c r="BI28" s="15"/>
      <c r="BJ28" s="63"/>
      <c r="BK28" s="12"/>
      <c r="BL28" s="12"/>
      <c r="BM28" s="13"/>
      <c r="BN28" s="15"/>
      <c r="BO28" s="63"/>
      <c r="BP28" s="12"/>
      <c r="BQ28" s="13"/>
      <c r="BR28" s="13"/>
      <c r="BS28" s="13"/>
    </row>
    <row r="29" spans="2:71">
      <c r="B29" s="63" t="s">
        <v>132</v>
      </c>
      <c r="C29" s="12" t="s">
        <v>651</v>
      </c>
      <c r="D29" s="12">
        <v>0.6</v>
      </c>
      <c r="E29" s="12"/>
      <c r="F29" s="12" t="s">
        <v>55</v>
      </c>
      <c r="G29" s="13" t="s">
        <v>56</v>
      </c>
      <c r="H29" s="597"/>
      <c r="I29" s="367"/>
      <c r="J29" s="376"/>
      <c r="K29" s="72"/>
      <c r="L29" s="72"/>
      <c r="M29" s="72"/>
      <c r="N29" s="385"/>
      <c r="O29" s="72"/>
      <c r="P29" s="72"/>
      <c r="Q29" s="72"/>
      <c r="R29" s="14">
        <f>COUNTA(RCB[[#This Row],[G24 cp]],RCB[[#This Row],[G20 cp]],RCB[[#This Row],[G15 cp]],RCB[[#This Row],[G9 cp]],RCB[[#This Row],[G5 cp]])</f>
        <v>0</v>
      </c>
      <c r="S29" s="262">
        <f>MAX(RCB[[#This Row],[G27 cp]],RCB[[#This Row],[G24 cp]],RCB[[#This Row],[G20 cp]],RCB[[#This Row],[G15 cp]],RCB[[#This Row],[G9 cp]],RCB[[#This Row],[G9 cp]],RCB[[#This Row],[G5 cp]])</f>
        <v>0</v>
      </c>
      <c r="T29" s="262">
        <f t="shared" si="2"/>
        <v>0</v>
      </c>
      <c r="U29" s="13">
        <f>MIN(RCB[[#This Row],[G24 cp]],RCB[[#This Row],[G24 cp]],RCB[[#This Row],[G20 cp]],RCB[[#This Row],[G15 cp]],RCB[[#This Row],[G9 cp]],RCB[[#This Row],[G9 cp]],RCB[[#This Row],[G5 cp]])</f>
        <v>0</v>
      </c>
      <c r="V29" s="60">
        <f>RCB[[#This Row],[G27 cp]]</f>
        <v>0</v>
      </c>
      <c r="W29" s="72">
        <f>RCB[[#This Row],[G24 cp]]</f>
        <v>0</v>
      </c>
      <c r="X29" s="72">
        <f>RCB[[#This Row],[G20 cp]]</f>
        <v>0</v>
      </c>
      <c r="Y29" s="72">
        <f>RCB[[#This Row],[G15 cp]]</f>
        <v>0</v>
      </c>
      <c r="Z29" s="72">
        <f>RCB[[#This Row],[G9 cp]]</f>
        <v>0</v>
      </c>
      <c r="AA29" s="83">
        <f>RCB[[#This Row],[G5 cp]]</f>
        <v>0</v>
      </c>
      <c r="AB29" s="60">
        <f>COUNTA(RCB[[#This Row],[G27 cp]], RCB[[#This Row],[G20 cp]],RCB[[#This Row],[G15 cp]])</f>
        <v>0</v>
      </c>
      <c r="AC29" s="72">
        <f>MAX(RCB[[#This Row],[G27 cp]], RCB[[#This Row],[G20 cp]],RCB[[#This Row],[G15 cp]])</f>
        <v>0</v>
      </c>
      <c r="AD29" s="72">
        <f>( SUM(RCB[[#This Row],[G27 cp]],RCB[[#This Row],[G20 cp]],RCB[[#This Row],[G15 cp]]) - RCB[[#This Row],[Max B1]] ) / ( RCB[[#This Row],[Innings B1]] - 1)</f>
        <v>0</v>
      </c>
      <c r="AE29" s="83">
        <f>MIN(RCB[[#This Row],[G27 cp]],RCB[[#This Row],[G20 cp]],RCB[[#This Row],[G15 cp]])</f>
        <v>0</v>
      </c>
      <c r="AF29" s="72">
        <f>COUNTA(RCB[[#This Row],[G24 cp]],RCB[[#This Row],[G9 cp]],RCB[[#This Row],[G5 cp]])</f>
        <v>0</v>
      </c>
      <c r="AG29" s="72">
        <f>MAX(RCB[[#This Row],[G24 cp]],RCB[[#This Row],[G9 cp]],RCB[[#This Row],[G5 cp]])</f>
        <v>0</v>
      </c>
      <c r="AH29" s="262">
        <f>( SUM(RCB[[#This Row],[G24 cp]],RCB[[#This Row],[G9 cp]],RCB[[#This Row],[G5 cp]]) - RCB[[#This Row],[Max CHS]] ) / (RCB[[#This Row],[Innings CHS]] - 1)</f>
        <v>0</v>
      </c>
      <c r="AI29" s="72">
        <f>MIN(RCB[[#This Row],[G24 cp]],RCB[[#This Row],[G9 cp]],RCB[[#This Row],[G5 cp]])</f>
        <v>0</v>
      </c>
      <c r="AJ29" s="60"/>
      <c r="AK29" s="72"/>
      <c r="AL29" s="72"/>
      <c r="AM29" s="72"/>
      <c r="AN29" s="72"/>
      <c r="AO29" s="72"/>
      <c r="AP29" s="72"/>
      <c r="AQ29" s="72"/>
      <c r="AR29" s="83"/>
      <c r="AS29" s="60"/>
      <c r="AT29" s="72"/>
      <c r="AU29" s="72"/>
      <c r="AV29" s="72"/>
      <c r="AW29" s="72"/>
      <c r="AX29" s="83"/>
      <c r="AY29" s="72"/>
      <c r="AZ29" s="72"/>
      <c r="BA29" s="72"/>
      <c r="BB29" s="72"/>
      <c r="BC29" s="72"/>
      <c r="BD29" s="83"/>
      <c r="BE29" s="14"/>
      <c r="BF29" s="12"/>
      <c r="BG29" s="12"/>
      <c r="BH29" s="12"/>
      <c r="BI29" s="15"/>
      <c r="BJ29" s="63"/>
      <c r="BK29" s="12"/>
      <c r="BL29" s="12"/>
      <c r="BM29" s="13"/>
      <c r="BN29" s="15"/>
      <c r="BO29" s="63"/>
      <c r="BP29" s="12"/>
      <c r="BQ29" s="13"/>
      <c r="BR29" s="13"/>
      <c r="BS29" s="13"/>
    </row>
    <row r="30" spans="2:71">
      <c r="B30" s="61" t="s">
        <v>132</v>
      </c>
      <c r="C30" s="6" t="s">
        <v>652</v>
      </c>
      <c r="D30" s="6">
        <v>0.2</v>
      </c>
      <c r="E30" s="6"/>
      <c r="F30" s="6" t="s">
        <v>55</v>
      </c>
      <c r="G30" s="7" t="s">
        <v>55</v>
      </c>
      <c r="H30" s="595"/>
      <c r="I30" s="364"/>
      <c r="J30" s="373"/>
      <c r="K30" s="71"/>
      <c r="L30" s="71"/>
      <c r="M30" s="71"/>
      <c r="N30" s="382"/>
      <c r="O30" s="71"/>
      <c r="P30" s="71"/>
      <c r="Q30" s="71"/>
      <c r="R30" s="8">
        <f>COUNTA(RCB[[#This Row],[G24 cp]],RCB[[#This Row],[G20 cp]],RCB[[#This Row],[G15 cp]],RCB[[#This Row],[G9 cp]],RCB[[#This Row],[G5 cp]])</f>
        <v>0</v>
      </c>
      <c r="S30" s="260">
        <f>MAX(RCB[[#This Row],[G27 cp]],RCB[[#This Row],[G24 cp]],RCB[[#This Row],[G20 cp]],RCB[[#This Row],[G15 cp]],RCB[[#This Row],[G9 cp]],RCB[[#This Row],[G9 cp]],RCB[[#This Row],[G5 cp]])</f>
        <v>0</v>
      </c>
      <c r="T30" s="260">
        <f t="shared" si="2"/>
        <v>0</v>
      </c>
      <c r="U30" s="7">
        <f>MIN(RCB[[#This Row],[G24 cp]],RCB[[#This Row],[G24 cp]],RCB[[#This Row],[G20 cp]],RCB[[#This Row],[G15 cp]],RCB[[#This Row],[G9 cp]],RCB[[#This Row],[G9 cp]],RCB[[#This Row],[G5 cp]])</f>
        <v>0</v>
      </c>
      <c r="V30" s="58">
        <f>RCB[[#This Row],[G27 cp]]</f>
        <v>0</v>
      </c>
      <c r="W30" s="71">
        <f>RCB[[#This Row],[G24 cp]]</f>
        <v>0</v>
      </c>
      <c r="X30" s="71">
        <f>RCB[[#This Row],[G20 cp]]</f>
        <v>0</v>
      </c>
      <c r="Y30" s="71">
        <f>RCB[[#This Row],[G15 cp]]</f>
        <v>0</v>
      </c>
      <c r="Z30" s="71">
        <f>RCB[[#This Row],[G9 cp]]</f>
        <v>0</v>
      </c>
      <c r="AA30" s="80">
        <f>RCB[[#This Row],[G5 cp]]</f>
        <v>0</v>
      </c>
      <c r="AB30" s="58">
        <f>COUNTA(RCB[[#This Row],[G27 cp]], RCB[[#This Row],[G20 cp]],RCB[[#This Row],[G15 cp]])</f>
        <v>0</v>
      </c>
      <c r="AC30" s="71">
        <f>MAX(RCB[[#This Row],[G27 cp]], RCB[[#This Row],[G20 cp]],RCB[[#This Row],[G15 cp]])</f>
        <v>0</v>
      </c>
      <c r="AD30" s="71">
        <f>( SUM(RCB[[#This Row],[G27 cp]],RCB[[#This Row],[G20 cp]],RCB[[#This Row],[G15 cp]]) - RCB[[#This Row],[Max B1]] ) / ( RCB[[#This Row],[Innings B1]] - 1)</f>
        <v>0</v>
      </c>
      <c r="AE30" s="80">
        <f>MIN(RCB[[#This Row],[G27 cp]],RCB[[#This Row],[G20 cp]],RCB[[#This Row],[G15 cp]])</f>
        <v>0</v>
      </c>
      <c r="AF30" s="71">
        <f>COUNTA(RCB[[#This Row],[G24 cp]],RCB[[#This Row],[G9 cp]],RCB[[#This Row],[G5 cp]])</f>
        <v>0</v>
      </c>
      <c r="AG30" s="71">
        <f>MAX(RCB[[#This Row],[G24 cp]],RCB[[#This Row],[G9 cp]],RCB[[#This Row],[G5 cp]])</f>
        <v>0</v>
      </c>
      <c r="AH30" s="260">
        <f>( SUM(RCB[[#This Row],[G24 cp]],RCB[[#This Row],[G9 cp]],RCB[[#This Row],[G5 cp]]) - RCB[[#This Row],[Max CHS]] ) / (RCB[[#This Row],[Innings CHS]] - 1)</f>
        <v>0</v>
      </c>
      <c r="AI30" s="71">
        <f>MIN(RCB[[#This Row],[G24 cp]],RCB[[#This Row],[G9 cp]],RCB[[#This Row],[G5 cp]])</f>
        <v>0</v>
      </c>
      <c r="AJ30" s="58"/>
      <c r="AK30" s="71"/>
      <c r="AL30" s="71"/>
      <c r="AM30" s="71"/>
      <c r="AN30" s="71"/>
      <c r="AO30" s="71"/>
      <c r="AP30" s="71"/>
      <c r="AQ30" s="71"/>
      <c r="AR30" s="80"/>
      <c r="AS30" s="58"/>
      <c r="AT30" s="71"/>
      <c r="AU30" s="71"/>
      <c r="AV30" s="71"/>
      <c r="AW30" s="71"/>
      <c r="AX30" s="80"/>
      <c r="AY30" s="71"/>
      <c r="AZ30" s="71"/>
      <c r="BA30" s="71"/>
      <c r="BB30" s="71"/>
      <c r="BC30" s="71"/>
      <c r="BD30" s="80"/>
      <c r="BE30" s="8"/>
      <c r="BF30" s="6"/>
      <c r="BG30" s="6"/>
      <c r="BH30" s="6"/>
      <c r="BI30" s="9"/>
      <c r="BJ30" s="61"/>
      <c r="BK30" s="6"/>
      <c r="BL30" s="6"/>
      <c r="BM30" s="7"/>
      <c r="BN30" s="9"/>
      <c r="BO30" s="61"/>
      <c r="BP30" s="6"/>
      <c r="BQ30" s="7"/>
      <c r="BR30" s="7"/>
      <c r="BS30" s="7"/>
    </row>
    <row r="31" spans="2:71">
      <c r="B31" s="99" t="s">
        <v>132</v>
      </c>
      <c r="C31" s="26" t="s">
        <v>124</v>
      </c>
      <c r="D31" s="26">
        <v>0.2</v>
      </c>
      <c r="E31" s="26" t="s">
        <v>631</v>
      </c>
      <c r="F31" s="26" t="s">
        <v>54</v>
      </c>
      <c r="G31" s="29"/>
      <c r="H31" s="600"/>
      <c r="I31" s="583"/>
      <c r="J31" s="587"/>
      <c r="K31" s="84"/>
      <c r="L31" s="84"/>
      <c r="M31" s="84"/>
      <c r="N31" s="591"/>
      <c r="O31" s="84"/>
      <c r="P31" s="84"/>
      <c r="Q31" s="84"/>
      <c r="R31" s="30">
        <f>COUNTA(RCB[[#This Row],[G24 cp]],RCB[[#This Row],[G20 cp]],RCB[[#This Row],[G15 cp]],RCB[[#This Row],[G9 cp]],RCB[[#This Row],[G5 cp]])</f>
        <v>0</v>
      </c>
      <c r="S31" s="261">
        <f>MAX(RCB[[#This Row],[G27 cp]],RCB[[#This Row],[G24 cp]],RCB[[#This Row],[G20 cp]],RCB[[#This Row],[G15 cp]],RCB[[#This Row],[G9 cp]],RCB[[#This Row],[G9 cp]],RCB[[#This Row],[G5 cp]])</f>
        <v>0</v>
      </c>
      <c r="T31" s="261">
        <f t="shared" si="2"/>
        <v>0</v>
      </c>
      <c r="U31" s="29">
        <f>MIN(RCB[[#This Row],[G24 cp]],RCB[[#This Row],[G24 cp]],RCB[[#This Row],[G20 cp]],RCB[[#This Row],[G15 cp]],RCB[[#This Row],[G9 cp]],RCB[[#This Row],[G9 cp]],RCB[[#This Row],[G5 cp]])</f>
        <v>0</v>
      </c>
      <c r="V31" s="85">
        <f>RCB[[#This Row],[G27 cp]]</f>
        <v>0</v>
      </c>
      <c r="W31" s="84">
        <f>RCB[[#This Row],[G24 cp]]</f>
        <v>0</v>
      </c>
      <c r="X31" s="84">
        <f>RCB[[#This Row],[G20 cp]]</f>
        <v>0</v>
      </c>
      <c r="Y31" s="84">
        <f>RCB[[#This Row],[G15 cp]]</f>
        <v>0</v>
      </c>
      <c r="Z31" s="84">
        <f>RCB[[#This Row],[G9 cp]]</f>
        <v>0</v>
      </c>
      <c r="AA31" s="86">
        <f>RCB[[#This Row],[G5 cp]]</f>
        <v>0</v>
      </c>
      <c r="AB31" s="85">
        <f>COUNTA(RCB[[#This Row],[G27 cp]], RCB[[#This Row],[G20 cp]],RCB[[#This Row],[G15 cp]])</f>
        <v>0</v>
      </c>
      <c r="AC31" s="84">
        <f>MAX(RCB[[#This Row],[G27 cp]], RCB[[#This Row],[G20 cp]],RCB[[#This Row],[G15 cp]])</f>
        <v>0</v>
      </c>
      <c r="AD31" s="84">
        <f>( SUM(RCB[[#This Row],[G27 cp]],RCB[[#This Row],[G20 cp]],RCB[[#This Row],[G15 cp]]) - RCB[[#This Row],[Max B1]] ) / ( RCB[[#This Row],[Innings B1]] - 1)</f>
        <v>0</v>
      </c>
      <c r="AE31" s="86">
        <f>MIN(RCB[[#This Row],[G27 cp]],RCB[[#This Row],[G20 cp]],RCB[[#This Row],[G15 cp]])</f>
        <v>0</v>
      </c>
      <c r="AF31" s="84">
        <f>COUNTA(RCB[[#This Row],[G24 cp]],RCB[[#This Row],[G9 cp]],RCB[[#This Row],[G5 cp]])</f>
        <v>0</v>
      </c>
      <c r="AG31" s="84">
        <f>MAX(RCB[[#This Row],[G24 cp]],RCB[[#This Row],[G9 cp]],RCB[[#This Row],[G5 cp]])</f>
        <v>0</v>
      </c>
      <c r="AH31" s="261">
        <f>( SUM(RCB[[#This Row],[G24 cp]],RCB[[#This Row],[G9 cp]],RCB[[#This Row],[G5 cp]]) - RCB[[#This Row],[Max CHS]] ) / (RCB[[#This Row],[Innings CHS]] - 1)</f>
        <v>0</v>
      </c>
      <c r="AI31" s="84">
        <f>MIN(RCB[[#This Row],[G24 cp]],RCB[[#This Row],[G9 cp]],RCB[[#This Row],[G5 cp]])</f>
        <v>0</v>
      </c>
      <c r="AJ31" s="85"/>
      <c r="AK31" s="84"/>
      <c r="AL31" s="84"/>
      <c r="AM31" s="84"/>
      <c r="AN31" s="84"/>
      <c r="AO31" s="84"/>
      <c r="AP31" s="84"/>
      <c r="AQ31" s="84"/>
      <c r="AR31" s="86"/>
      <c r="AS31" s="85"/>
      <c r="AT31" s="84"/>
      <c r="AU31" s="84"/>
      <c r="AV31" s="84"/>
      <c r="AW31" s="84"/>
      <c r="AX31" s="86"/>
      <c r="AY31" s="84"/>
      <c r="AZ31" s="84"/>
      <c r="BA31" s="84"/>
      <c r="BB31" s="84"/>
      <c r="BC31" s="84"/>
      <c r="BD31" s="86"/>
      <c r="BE31" s="30"/>
      <c r="BF31" s="26"/>
      <c r="BG31" s="26"/>
      <c r="BH31" s="26"/>
      <c r="BI31" s="31"/>
      <c r="BJ31" s="99"/>
      <c r="BK31" s="26"/>
      <c r="BL31" s="26"/>
      <c r="BM31" s="26"/>
      <c r="BN31" s="26"/>
      <c r="BO31" s="26"/>
      <c r="BP31" s="26"/>
      <c r="BQ31" s="26"/>
      <c r="BR31" s="26"/>
      <c r="BS31" s="29"/>
    </row>
    <row r="32" spans="2:71" ht="15" thickBot="1">
      <c r="B32" s="713" t="s">
        <v>132</v>
      </c>
      <c r="C32" s="714" t="s">
        <v>653</v>
      </c>
      <c r="D32" s="714">
        <v>0.2</v>
      </c>
      <c r="E32" s="714"/>
      <c r="F32" s="714" t="s">
        <v>56</v>
      </c>
      <c r="G32" s="715" t="s">
        <v>56</v>
      </c>
      <c r="H32" s="784"/>
      <c r="I32" s="718"/>
      <c r="J32" s="719"/>
      <c r="K32" s="716"/>
      <c r="L32" s="716"/>
      <c r="M32" s="716"/>
      <c r="N32" s="720"/>
      <c r="O32" s="716"/>
      <c r="P32" s="716"/>
      <c r="Q32" s="716"/>
      <c r="R32" s="721">
        <f>COUNTA(RCB[[#This Row],[G24 cp]],RCB[[#This Row],[G20 cp]],RCB[[#This Row],[G15 cp]],RCB[[#This Row],[G9 cp]],RCB[[#This Row],[G5 cp]])</f>
        <v>0</v>
      </c>
      <c r="S32" s="724">
        <f>MAX(RCB[[#This Row],[G27 cp]],RCB[[#This Row],[G24 cp]],RCB[[#This Row],[G20 cp]],RCB[[#This Row],[G15 cp]],RCB[[#This Row],[G9 cp]],RCB[[#This Row],[G9 cp]],RCB[[#This Row],[G5 cp]])</f>
        <v>0</v>
      </c>
      <c r="T32" s="724">
        <f t="shared" si="2"/>
        <v>0</v>
      </c>
      <c r="U32" s="715">
        <f>MIN(RCB[[#This Row],[G24 cp]],RCB[[#This Row],[G24 cp]],RCB[[#This Row],[G20 cp]],RCB[[#This Row],[G15 cp]],RCB[[#This Row],[G9 cp]],RCB[[#This Row],[G9 cp]],RCB[[#This Row],[G5 cp]])</f>
        <v>0</v>
      </c>
      <c r="V32" s="115">
        <f>RCB[[#This Row],[G27 cp]]</f>
        <v>0</v>
      </c>
      <c r="W32" s="117">
        <f>RCB[[#This Row],[G24 cp]]</f>
        <v>0</v>
      </c>
      <c r="X32" s="117">
        <f>RCB[[#This Row],[G20 cp]]</f>
        <v>0</v>
      </c>
      <c r="Y32" s="117">
        <f>RCB[[#This Row],[G15 cp]]</f>
        <v>0</v>
      </c>
      <c r="Z32" s="117">
        <f>RCB[[#This Row],[G9 cp]]</f>
        <v>0</v>
      </c>
      <c r="AA32" s="116">
        <f>RCB[[#This Row],[G5 cp]]</f>
        <v>0</v>
      </c>
      <c r="AB32" s="115">
        <f>COUNTA(RCB[[#This Row],[G27 cp]], RCB[[#This Row],[G20 cp]],RCB[[#This Row],[G15 cp]])</f>
        <v>0</v>
      </c>
      <c r="AC32" s="117">
        <f>MAX(RCB[[#This Row],[G27 cp]], RCB[[#This Row],[G20 cp]],RCB[[#This Row],[G15 cp]])</f>
        <v>0</v>
      </c>
      <c r="AD32" s="117">
        <f>( SUM(RCB[[#This Row],[G27 cp]],RCB[[#This Row],[G20 cp]],RCB[[#This Row],[G15 cp]]) - RCB[[#This Row],[Max B1]] ) / ( RCB[[#This Row],[Innings B1]] - 1)</f>
        <v>0</v>
      </c>
      <c r="AE32" s="116">
        <f>MIN(RCB[[#This Row],[G27 cp]],RCB[[#This Row],[G20 cp]],RCB[[#This Row],[G15 cp]])</f>
        <v>0</v>
      </c>
      <c r="AF32" s="716">
        <f>COUNTA(RCB[[#This Row],[G24 cp]],RCB[[#This Row],[G9 cp]],RCB[[#This Row],[G5 cp]])</f>
        <v>0</v>
      </c>
      <c r="AG32" s="716">
        <f>MAX(RCB[[#This Row],[G24 cp]],RCB[[#This Row],[G9 cp]],RCB[[#This Row],[G5 cp]])</f>
        <v>0</v>
      </c>
      <c r="AH32" s="724">
        <f>( SUM(RCB[[#This Row],[G24 cp]],RCB[[#This Row],[G9 cp]],RCB[[#This Row],[G5 cp]]) - RCB[[#This Row],[Max CHS]] ) / (RCB[[#This Row],[Innings CHS]] - 1)</f>
        <v>0</v>
      </c>
      <c r="AI32" s="716">
        <f>MIN(RCB[[#This Row],[G24 cp]],RCB[[#This Row],[G9 cp]],RCB[[#This Row],[G5 cp]])</f>
        <v>0</v>
      </c>
      <c r="AJ32" s="115"/>
      <c r="AK32" s="117"/>
      <c r="AL32" s="117"/>
      <c r="AM32" s="117"/>
      <c r="AN32" s="117"/>
      <c r="AO32" s="117"/>
      <c r="AP32" s="117"/>
      <c r="AQ32" s="117"/>
      <c r="AR32" s="116"/>
      <c r="AS32" s="726"/>
      <c r="AT32" s="716"/>
      <c r="AU32" s="716"/>
      <c r="AV32" s="716"/>
      <c r="AW32" s="716"/>
      <c r="AX32" s="727"/>
      <c r="AY32" s="716"/>
      <c r="AZ32" s="716"/>
      <c r="BA32" s="716"/>
      <c r="BB32" s="716"/>
      <c r="BC32" s="716"/>
      <c r="BD32" s="727"/>
      <c r="BE32" s="721"/>
      <c r="BF32" s="714"/>
      <c r="BG32" s="714"/>
      <c r="BH32" s="714"/>
      <c r="BI32" s="728"/>
      <c r="BJ32" s="713"/>
      <c r="BK32" s="714"/>
      <c r="BL32" s="714"/>
      <c r="BM32" s="714"/>
      <c r="BN32" s="714"/>
      <c r="BO32" s="714"/>
      <c r="BP32" s="714"/>
      <c r="BQ32" s="714"/>
      <c r="BR32" s="714"/>
      <c r="BS32" s="715"/>
    </row>
  </sheetData>
  <sortState xmlns:xlrd2="http://schemas.microsoft.com/office/spreadsheetml/2017/richdata2" ref="B6:BS32">
    <sortCondition ref="AS6:AS32"/>
    <sortCondition ref="AY6:AY32"/>
    <sortCondition ref="BE6:BE32"/>
    <sortCondition ref="BJ6:BJ32"/>
    <sortCondition ref="BO6:BO32"/>
    <sortCondition descending="1" ref="D6:D32"/>
  </sortState>
  <phoneticPr fontId="26" type="noConversion"/>
  <conditionalFormatting sqref="S6:S32">
    <cfRule type="colorScale" priority="4">
      <colorScale>
        <cfvo type="min"/>
        <cfvo type="max"/>
        <color rgb="FFFCFCFF"/>
        <color rgb="FF63BE7B"/>
      </colorScale>
    </cfRule>
  </conditionalFormatting>
  <conditionalFormatting sqref="T6:T32">
    <cfRule type="colorScale" priority="3">
      <colorScale>
        <cfvo type="min"/>
        <cfvo type="max"/>
        <color rgb="FFFCFCFF"/>
        <color rgb="FF63BE7B"/>
      </colorScale>
    </cfRule>
  </conditionalFormatting>
  <conditionalFormatting sqref="U6:U32">
    <cfRule type="colorScale" priority="2">
      <colorScale>
        <cfvo type="min"/>
        <cfvo type="max"/>
        <color rgb="FFFCFCFF"/>
        <color rgb="FF63BE7B"/>
      </colorScale>
    </cfRule>
  </conditionalFormatting>
  <conditionalFormatting sqref="V6:W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X6:X32">
    <cfRule type="colorScale" priority="14">
      <colorScale>
        <cfvo type="min"/>
        <cfvo type="max"/>
        <color rgb="FFFCFCFF"/>
        <color rgb="FF63BE7B"/>
      </colorScale>
    </cfRule>
  </conditionalFormatting>
  <conditionalFormatting sqref="Y6:Y32">
    <cfRule type="colorScale" priority="13">
      <colorScale>
        <cfvo type="min"/>
        <cfvo type="max"/>
        <color rgb="FFFCFCFF"/>
        <color rgb="FF63BE7B"/>
      </colorScale>
    </cfRule>
  </conditionalFormatting>
  <conditionalFormatting sqref="Z6:Z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6:AA32 AC6:AE32 AG6:AI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2AC0-3C7D-4EDB-A55A-021C162E562E}">
  <dimension ref="B2:CN31"/>
  <sheetViews>
    <sheetView showGridLines="0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4" sqref="C4:C31"/>
    </sheetView>
  </sheetViews>
  <sheetFormatPr defaultRowHeight="14.4"/>
  <cols>
    <col min="1" max="1" width="3.77734375" customWidth="1"/>
    <col min="2" max="2" width="7.88671875" customWidth="1"/>
    <col min="3" max="3" width="25.6640625" customWidth="1"/>
    <col min="4" max="4" width="6.33203125" customWidth="1"/>
    <col min="5" max="5" width="12.33203125" bestFit="1" customWidth="1"/>
    <col min="6" max="6" width="10.88671875" customWidth="1"/>
    <col min="7" max="7" width="19.77734375" customWidth="1"/>
    <col min="8" max="8" width="11.5546875" bestFit="1" customWidth="1"/>
    <col min="9" max="9" width="12" customWidth="1"/>
    <col min="10" max="10" width="9.5546875" customWidth="1"/>
    <col min="11" max="11" width="8.6640625" customWidth="1"/>
    <col min="12" max="13" width="7.5546875" customWidth="1"/>
    <col min="14" max="14" width="6.5546875" customWidth="1"/>
    <col min="15" max="15" width="7.77734375" customWidth="1"/>
    <col min="16" max="16" width="6.109375" customWidth="1"/>
    <col min="17" max="17" width="11" customWidth="1"/>
    <col min="18" max="18" width="8.88671875" customWidth="1"/>
    <col min="19" max="20" width="11.21875" customWidth="1"/>
    <col min="21" max="26" width="9.33203125" customWidth="1"/>
    <col min="27" max="32" width="7.77734375" customWidth="1"/>
    <col min="33" max="33" width="6.77734375" customWidth="1"/>
    <col min="34" max="35" width="10.5546875" customWidth="1"/>
    <col min="36" max="40" width="8.21875" customWidth="1"/>
    <col min="41" max="45" width="8.33203125" customWidth="1"/>
    <col min="46" max="46" width="12" bestFit="1" customWidth="1"/>
    <col min="47" max="48" width="8.33203125" customWidth="1"/>
    <col min="49" max="49" width="8.21875" customWidth="1"/>
    <col min="50" max="50" width="9.88671875" customWidth="1"/>
    <col min="51" max="51" width="6.88671875" customWidth="1"/>
    <col min="52" max="52" width="7.77734375" customWidth="1"/>
    <col min="53" max="53" width="8" customWidth="1"/>
    <col min="54" max="54" width="9.88671875" customWidth="1"/>
    <col min="55" max="55" width="7.88671875" customWidth="1"/>
    <col min="56" max="56" width="8.21875" bestFit="1" customWidth="1"/>
    <col min="57" max="57" width="7.33203125" customWidth="1"/>
    <col min="58" max="58" width="8.44140625" customWidth="1"/>
    <col min="59" max="59" width="10.33203125" customWidth="1"/>
    <col min="60" max="60" width="10.109375" customWidth="1"/>
    <col min="61" max="61" width="7.88671875" customWidth="1"/>
    <col min="62" max="62" width="11.5546875" bestFit="1" customWidth="1"/>
    <col min="63" max="63" width="7.33203125" customWidth="1"/>
    <col min="64" max="64" width="8.44140625" customWidth="1"/>
    <col min="65" max="65" width="10.33203125" customWidth="1"/>
    <col min="66" max="66" width="10.109375" customWidth="1"/>
    <col min="67" max="67" width="7.109375" customWidth="1"/>
    <col min="68" max="68" width="8" bestFit="1" customWidth="1"/>
    <col min="69" max="69" width="6.6640625" customWidth="1"/>
    <col min="70" max="70" width="7.77734375" customWidth="1"/>
    <col min="71" max="71" width="9.5546875" customWidth="1"/>
    <col min="72" max="72" width="9.44140625" customWidth="1"/>
    <col min="73" max="73" width="6.77734375" customWidth="1"/>
    <col min="74" max="74" width="7.44140625" bestFit="1" customWidth="1"/>
    <col min="75" max="75" width="6.44140625" customWidth="1"/>
    <col min="76" max="76" width="7.33203125" customWidth="1"/>
    <col min="77" max="77" width="9.33203125" customWidth="1"/>
    <col min="78" max="78" width="9.21875" customWidth="1"/>
  </cols>
  <sheetData>
    <row r="2" spans="2:92">
      <c r="V2" s="283" t="s">
        <v>1132</v>
      </c>
      <c r="W2" s="283" t="s">
        <v>933</v>
      </c>
      <c r="X2" s="283" t="s">
        <v>933</v>
      </c>
      <c r="Y2" s="283" t="s">
        <v>993</v>
      </c>
      <c r="Z2" s="283" t="s">
        <v>933</v>
      </c>
      <c r="AA2" s="276" t="s">
        <v>993</v>
      </c>
      <c r="BB2" s="275" t="s">
        <v>1258</v>
      </c>
      <c r="BK2" s="275" t="s">
        <v>1259</v>
      </c>
      <c r="BQ2" s="275" t="s">
        <v>946</v>
      </c>
      <c r="BW2" s="275" t="s">
        <v>1261</v>
      </c>
      <c r="CC2" s="275" t="s">
        <v>947</v>
      </c>
      <c r="CI2" s="284" t="s">
        <v>948</v>
      </c>
    </row>
    <row r="3" spans="2:92">
      <c r="V3" s="283" t="s">
        <v>1112</v>
      </c>
      <c r="W3" s="283" t="s">
        <v>1112</v>
      </c>
      <c r="X3" s="283" t="s">
        <v>1110</v>
      </c>
      <c r="Y3" s="283" t="s">
        <v>1092</v>
      </c>
      <c r="Z3" s="283" t="s">
        <v>1110</v>
      </c>
      <c r="AA3" s="276" t="s">
        <v>1096</v>
      </c>
      <c r="BB3" s="275" t="s">
        <v>1257</v>
      </c>
      <c r="BK3" s="275" t="s">
        <v>1111</v>
      </c>
      <c r="BL3" s="275"/>
      <c r="BQ3" s="275" t="s">
        <v>1168</v>
      </c>
      <c r="BR3" s="275"/>
      <c r="BS3" s="275"/>
      <c r="BT3" s="275"/>
      <c r="BW3" s="275" t="s">
        <v>1260</v>
      </c>
      <c r="BX3" s="275"/>
      <c r="BY3" s="275"/>
      <c r="BZ3" s="275"/>
      <c r="CC3" s="275" t="s">
        <v>1168</v>
      </c>
      <c r="CD3" s="275"/>
      <c r="CE3" s="275"/>
      <c r="CF3" s="275"/>
      <c r="CI3" s="284" t="s">
        <v>1262</v>
      </c>
      <c r="CJ3" s="285"/>
      <c r="CK3" s="285"/>
      <c r="CL3" s="284"/>
    </row>
    <row r="4" spans="2:92" ht="39.6" customHeight="1" thickBot="1">
      <c r="B4" s="820" t="s">
        <v>93</v>
      </c>
      <c r="C4" s="821" t="s">
        <v>0</v>
      </c>
      <c r="D4" s="822" t="s">
        <v>863</v>
      </c>
      <c r="E4" s="821" t="s">
        <v>858</v>
      </c>
      <c r="F4" s="822" t="s">
        <v>1215</v>
      </c>
      <c r="G4" s="822" t="s">
        <v>159</v>
      </c>
      <c r="H4" s="692" t="s">
        <v>989</v>
      </c>
      <c r="I4" s="693" t="s">
        <v>990</v>
      </c>
      <c r="J4" s="694" t="s">
        <v>991</v>
      </c>
      <c r="K4" s="694" t="s">
        <v>1269</v>
      </c>
      <c r="L4" s="694" t="s">
        <v>1270</v>
      </c>
      <c r="M4" s="785" t="s">
        <v>1271</v>
      </c>
      <c r="N4" s="695" t="s">
        <v>993</v>
      </c>
      <c r="O4" s="695" t="s">
        <v>1216</v>
      </c>
      <c r="P4" s="695" t="s">
        <v>1217</v>
      </c>
      <c r="Q4" s="696" t="s">
        <v>1218</v>
      </c>
      <c r="R4" s="823" t="s">
        <v>1198</v>
      </c>
      <c r="S4" s="824" t="s">
        <v>479</v>
      </c>
      <c r="T4" s="824" t="s">
        <v>776</v>
      </c>
      <c r="U4" s="825" t="s">
        <v>972</v>
      </c>
      <c r="V4" s="699" t="s">
        <v>1263</v>
      </c>
      <c r="W4" s="700" t="s">
        <v>1264</v>
      </c>
      <c r="X4" s="700" t="s">
        <v>795</v>
      </c>
      <c r="Y4" s="700" t="s">
        <v>739</v>
      </c>
      <c r="Z4" s="700" t="s">
        <v>382</v>
      </c>
      <c r="AA4" s="701" t="s">
        <v>375</v>
      </c>
      <c r="AB4" s="693" t="s">
        <v>1119</v>
      </c>
      <c r="AC4" s="694" t="s">
        <v>1120</v>
      </c>
      <c r="AD4" s="694" t="s">
        <v>1317</v>
      </c>
      <c r="AE4" s="694" t="s">
        <v>1318</v>
      </c>
      <c r="AF4" s="694" t="s">
        <v>1319</v>
      </c>
      <c r="AG4" s="826" t="s">
        <v>1129</v>
      </c>
      <c r="AH4" s="696" t="s">
        <v>1315</v>
      </c>
      <c r="AI4" s="696" t="s">
        <v>1316</v>
      </c>
      <c r="AJ4" s="696" t="s">
        <v>1314</v>
      </c>
      <c r="AK4" s="827" t="s">
        <v>1274</v>
      </c>
      <c r="AL4" s="828" t="s">
        <v>1113</v>
      </c>
      <c r="AM4" s="828" t="s">
        <v>1114</v>
      </c>
      <c r="AN4" s="829" t="s">
        <v>1115</v>
      </c>
      <c r="AO4" s="693" t="s">
        <v>1126</v>
      </c>
      <c r="AP4" s="694" t="s">
        <v>1127</v>
      </c>
      <c r="AQ4" s="694" t="s">
        <v>1323</v>
      </c>
      <c r="AR4" s="694" t="s">
        <v>1324</v>
      </c>
      <c r="AS4" s="694" t="s">
        <v>1325</v>
      </c>
      <c r="AT4" s="695" t="s">
        <v>1128</v>
      </c>
      <c r="AU4" s="696" t="s">
        <v>1320</v>
      </c>
      <c r="AV4" s="696" t="s">
        <v>1321</v>
      </c>
      <c r="AW4" s="696" t="s">
        <v>1322</v>
      </c>
      <c r="AX4" s="830" t="s">
        <v>1275</v>
      </c>
      <c r="AY4" s="831" t="s">
        <v>1116</v>
      </c>
      <c r="AZ4" s="831" t="s">
        <v>1117</v>
      </c>
      <c r="BA4" s="832" t="s">
        <v>1118</v>
      </c>
      <c r="BB4" s="833" t="s">
        <v>1248</v>
      </c>
      <c r="BC4" s="834" t="s">
        <v>1249</v>
      </c>
      <c r="BD4" s="834" t="s">
        <v>1250</v>
      </c>
      <c r="BE4" s="834" t="s">
        <v>1251</v>
      </c>
      <c r="BF4" s="834" t="s">
        <v>1252</v>
      </c>
      <c r="BG4" s="834" t="s">
        <v>1253</v>
      </c>
      <c r="BH4" s="834" t="s">
        <v>1254</v>
      </c>
      <c r="BI4" s="834" t="s">
        <v>1255</v>
      </c>
      <c r="BJ4" s="835" t="s">
        <v>1256</v>
      </c>
      <c r="BK4" s="708" t="s">
        <v>1056</v>
      </c>
      <c r="BL4" s="708" t="s">
        <v>1057</v>
      </c>
      <c r="BM4" s="708" t="s">
        <v>1060</v>
      </c>
      <c r="BN4" s="709" t="s">
        <v>1061</v>
      </c>
      <c r="BO4" s="710" t="s">
        <v>1058</v>
      </c>
      <c r="BP4" s="836" t="s">
        <v>1225</v>
      </c>
      <c r="BQ4" s="837" t="s">
        <v>790</v>
      </c>
      <c r="BR4" s="822" t="s">
        <v>791</v>
      </c>
      <c r="BS4" s="821" t="s">
        <v>792</v>
      </c>
      <c r="BT4" s="821" t="s">
        <v>793</v>
      </c>
      <c r="BU4" s="822" t="s">
        <v>794</v>
      </c>
      <c r="BV4" s="822" t="s">
        <v>1265</v>
      </c>
      <c r="BW4" s="838" t="s">
        <v>735</v>
      </c>
      <c r="BX4" s="839" t="s">
        <v>736</v>
      </c>
      <c r="BY4" s="839" t="s">
        <v>860</v>
      </c>
      <c r="BZ4" s="839" t="s">
        <v>859</v>
      </c>
      <c r="CA4" s="839" t="s">
        <v>738</v>
      </c>
      <c r="CB4" s="839" t="s">
        <v>1266</v>
      </c>
      <c r="CC4" s="840" t="s">
        <v>379</v>
      </c>
      <c r="CD4" s="841" t="s">
        <v>380</v>
      </c>
      <c r="CE4" s="841" t="s">
        <v>861</v>
      </c>
      <c r="CF4" s="841" t="s">
        <v>862</v>
      </c>
      <c r="CG4" s="841" t="s">
        <v>381</v>
      </c>
      <c r="CH4" s="841" t="s">
        <v>1267</v>
      </c>
      <c r="CI4" s="842" t="s">
        <v>368</v>
      </c>
      <c r="CJ4" s="843" t="s">
        <v>370</v>
      </c>
      <c r="CK4" s="843" t="s">
        <v>864</v>
      </c>
      <c r="CL4" s="843" t="s">
        <v>865</v>
      </c>
      <c r="CM4" s="843" t="s">
        <v>369</v>
      </c>
      <c r="CN4" s="843" t="s">
        <v>1268</v>
      </c>
    </row>
    <row r="5" spans="2:92">
      <c r="B5" s="618" t="s">
        <v>141</v>
      </c>
      <c r="C5" s="290" t="s">
        <v>137</v>
      </c>
      <c r="D5" s="290">
        <v>6</v>
      </c>
      <c r="E5" s="290" t="s">
        <v>142</v>
      </c>
      <c r="F5" s="290" t="s">
        <v>54</v>
      </c>
      <c r="G5" s="290" t="s">
        <v>54</v>
      </c>
      <c r="H5" s="625" t="s">
        <v>1055</v>
      </c>
      <c r="I5" s="632"/>
      <c r="J5" s="639"/>
      <c r="K5" s="618"/>
      <c r="L5" s="618"/>
      <c r="M5" s="618"/>
      <c r="N5" s="646"/>
      <c r="O5" s="618"/>
      <c r="P5" s="618"/>
      <c r="Q5" s="618"/>
      <c r="R5" s="291">
        <f>COUNTA(CSK[[#This Row],[G29 cp]],CSK[[#This Row],[G24 cp]],CSK[[#This Row],[G16 cp]],CSK[[#This Row],[G12 cp]],CSK[[#This Row],[G6 cp]],CSK[[#This Row],[G1 cp]])</f>
        <v>6</v>
      </c>
      <c r="S5" s="292">
        <f>MAX(CSK[[#This Row],[G29 cp]],CSK[[#This Row],[G24 cp]],CSK[[#This Row],[G16 cp]],CSK[[#This Row],[G12 cp]],CSK[[#This Row],[G6 cp]],CSK[[#This Row],[G1 cp]])</f>
        <v>134</v>
      </c>
      <c r="T5" s="292">
        <f>( SUM(CSK[[#This Row],[G29 cp]],CSK[[#This Row],[G24 cp]],CSK[[#This Row],[G16 cp]],CSK[[#This Row],[G12 cp]],CSK[[#This Row],[G6 cp]],CSK[[#This Row],[G1 cp]]) - CSK[[#This Row],[Max]] ) /  ( CSK[[#This Row],[Innings]] - 1)</f>
        <v>45.6</v>
      </c>
      <c r="U5" s="611">
        <f>MIN(CSK[[#This Row],[G29 cp]],CSK[[#This Row],[G24 cp]],CSK[[#This Row],[G16 cp]],CSK[[#This Row],[G12 cp]],CSK[[#This Row],[G6 cp]],CSK[[#This Row],[G1 cp]])</f>
        <v>8</v>
      </c>
      <c r="V5" s="291">
        <f>CSK[[#This Row],[G29 cp]]</f>
        <v>57</v>
      </c>
      <c r="W5" s="292">
        <f>CSK[[#This Row],[G24 cp]]</f>
        <v>8</v>
      </c>
      <c r="X5" s="292">
        <f>CSK[[#This Row],[G16 cp]]</f>
        <v>13</v>
      </c>
      <c r="Y5" s="292">
        <f>CSK[[#This Row],[G12 cp]]</f>
        <v>60</v>
      </c>
      <c r="Z5" s="292">
        <f>CSK[[#This Row],[G6 cp]]</f>
        <v>90</v>
      </c>
      <c r="AA5" s="611">
        <f>CSK[[#This Row],[G1 cp]]</f>
        <v>134</v>
      </c>
      <c r="AB5" s="653"/>
      <c r="AC5" s="660"/>
      <c r="AD5" s="292"/>
      <c r="AE5" s="292"/>
      <c r="AF5" s="292"/>
      <c r="AG5" s="653"/>
      <c r="AH5" s="292"/>
      <c r="AI5" s="292"/>
      <c r="AJ5" s="292"/>
      <c r="AK5" s="291">
        <f>COUNTA(CSK[[#This Row],[G24 cp]],CSK[[#This Row],[G16 cp]],CSK[[#This Row],[G6 cp]])</f>
        <v>3</v>
      </c>
      <c r="AL5" s="292">
        <f>MAX(CSK[[#This Row],[G24 cp]],CSK[[#This Row],[G16 cp]],CSK[[#This Row],[G6 cp]])</f>
        <v>90</v>
      </c>
      <c r="AM5" s="292">
        <f>(SUM(CSK[[#This Row],[G24 cp]],CSK[[#This Row],[G16 cp]],CSK[[#This Row],[G6 cp]])-CSK[[#This Row],[B1 MAX]])/(CSK[[#This Row],[B1 Inn]]-1)</f>
        <v>10.5</v>
      </c>
      <c r="AN5" s="611">
        <f>MIN(CSK[[#This Row],[G24 cp]],CSK[[#This Row],[G16 cp]],CSK[[#This Row],[G6 cp]])</f>
        <v>8</v>
      </c>
      <c r="AO5" s="653"/>
      <c r="AP5" s="660"/>
      <c r="AQ5" s="292"/>
      <c r="AR5" s="292"/>
      <c r="AS5" s="292"/>
      <c r="AT5" s="668"/>
      <c r="AU5" s="292"/>
      <c r="AV5" s="292"/>
      <c r="AW5" s="292"/>
      <c r="AX5" s="291">
        <f xml:space="preserve"> COUNTA(CSK[[#This Row],[G29 cp]],CSK[[#This Row],[G12 cp]],CSK[[#This Row],[G1 cp]])</f>
        <v>3</v>
      </c>
      <c r="AY5" s="292">
        <f>MAX(CSK[[#This Row],[G29 cp]],CSK[[#This Row],[G12 cp]],CSK[[#This Row],[G1 cp]])</f>
        <v>134</v>
      </c>
      <c r="AZ5" s="292">
        <f>( SUM(CSK[[#This Row],[G29 cp]],CSK[[#This Row],[G12 cp]],CSK[[#This Row],[G1 cp]]) -CSK[[#This Row],[CH MAX]]) / ( CSK[[#This Row],[CHS Inn]] - 1 )</f>
        <v>58.5</v>
      </c>
      <c r="BA5" s="611">
        <f>MIN(CSK[[#This Row],[G29 cp]],CSK[[#This Row],[G12 cp]],CSK[[#This Row],[G1 cp]])</f>
        <v>57</v>
      </c>
      <c r="BB5" s="291">
        <v>1</v>
      </c>
      <c r="BC5" s="292"/>
      <c r="BD5" s="292" t="s">
        <v>799</v>
      </c>
      <c r="BE5" s="292">
        <v>35</v>
      </c>
      <c r="BF5" s="292">
        <v>30</v>
      </c>
      <c r="BG5" s="292"/>
      <c r="BH5" s="292"/>
      <c r="BI5" s="292"/>
      <c r="BJ5" s="611">
        <v>57</v>
      </c>
      <c r="BK5" s="292">
        <v>1</v>
      </c>
      <c r="BL5" s="292" t="s">
        <v>397</v>
      </c>
      <c r="BM5" s="292">
        <v>3</v>
      </c>
      <c r="BN5" s="292">
        <v>6</v>
      </c>
      <c r="BO5" s="292"/>
      <c r="BP5" s="292">
        <v>8</v>
      </c>
      <c r="BQ5" s="291">
        <v>1</v>
      </c>
      <c r="BR5" s="292" t="s">
        <v>517</v>
      </c>
      <c r="BS5" s="292">
        <v>50</v>
      </c>
      <c r="BT5" s="292">
        <v>38</v>
      </c>
      <c r="BU5" s="292"/>
      <c r="BV5" s="292">
        <v>13</v>
      </c>
      <c r="BW5" s="289">
        <v>2</v>
      </c>
      <c r="BX5" s="290" t="s">
        <v>327</v>
      </c>
      <c r="BY5" s="290">
        <v>40</v>
      </c>
      <c r="BZ5" s="290">
        <v>36</v>
      </c>
      <c r="CA5" s="290"/>
      <c r="CB5" s="290">
        <v>60</v>
      </c>
      <c r="CC5" s="289">
        <v>1</v>
      </c>
      <c r="CD5" s="290" t="s">
        <v>283</v>
      </c>
      <c r="CE5" s="290">
        <v>57</v>
      </c>
      <c r="CF5" s="290">
        <v>31</v>
      </c>
      <c r="CG5" s="290"/>
      <c r="CH5" s="290">
        <v>90</v>
      </c>
      <c r="CI5" s="289">
        <v>2</v>
      </c>
      <c r="CJ5" s="290" t="s">
        <v>336</v>
      </c>
      <c r="CK5" s="290">
        <v>92</v>
      </c>
      <c r="CL5" s="290">
        <v>50</v>
      </c>
      <c r="CM5" s="290"/>
      <c r="CN5" s="290">
        <v>134</v>
      </c>
    </row>
    <row r="6" spans="2:92">
      <c r="B6" s="619" t="s">
        <v>141</v>
      </c>
      <c r="C6" s="294" t="s">
        <v>136</v>
      </c>
      <c r="D6" s="294">
        <v>1</v>
      </c>
      <c r="E6" s="294" t="s">
        <v>634</v>
      </c>
      <c r="F6" s="294" t="s">
        <v>75</v>
      </c>
      <c r="G6" s="294" t="s">
        <v>75</v>
      </c>
      <c r="H6" s="626" t="s">
        <v>1006</v>
      </c>
      <c r="I6" s="633"/>
      <c r="J6" s="640"/>
      <c r="K6" s="619"/>
      <c r="L6" s="619"/>
      <c r="M6" s="619"/>
      <c r="N6" s="647"/>
      <c r="O6" s="619"/>
      <c r="P6" s="619"/>
      <c r="Q6" s="619"/>
      <c r="R6" s="295">
        <f>COUNTA(CSK[[#This Row],[G29 cp]],CSK[[#This Row],[G24 cp]],CSK[[#This Row],[G16 cp]],CSK[[#This Row],[G12 cp]],CSK[[#This Row],[G6 cp]],CSK[[#This Row],[G1 cp]])</f>
        <v>6</v>
      </c>
      <c r="S6" s="296">
        <f>MAX(CSK[[#This Row],[G29 cp]],CSK[[#This Row],[G24 cp]],CSK[[#This Row],[G16 cp]],CSK[[#This Row],[G12 cp]],CSK[[#This Row],[G6 cp]],CSK[[#This Row],[G1 cp]])</f>
        <v>120</v>
      </c>
      <c r="T6" s="296">
        <f>( SUM(CSK[[#This Row],[G29 cp]],CSK[[#This Row],[G24 cp]],CSK[[#This Row],[G16 cp]],CSK[[#This Row],[G12 cp]],CSK[[#This Row],[G6 cp]],CSK[[#This Row],[G1 cp]]) - CSK[[#This Row],[Max]] ) /  ( CSK[[#This Row],[Innings]] - 1)</f>
        <v>51.6</v>
      </c>
      <c r="U6" s="610">
        <f>MIN(CSK[[#This Row],[G29 cp]],CSK[[#This Row],[G24 cp]],CSK[[#This Row],[G16 cp]],CSK[[#This Row],[G12 cp]],CSK[[#This Row],[G6 cp]],CSK[[#This Row],[G1 cp]])</f>
        <v>-4</v>
      </c>
      <c r="V6" s="295">
        <f>CSK[[#This Row],[G29 cp]]</f>
        <v>103</v>
      </c>
      <c r="W6" s="296">
        <f>CSK[[#This Row],[G24 cp]]</f>
        <v>120</v>
      </c>
      <c r="X6" s="296">
        <f>CSK[[#This Row],[G16 cp]]</f>
        <v>84</v>
      </c>
      <c r="Y6" s="296">
        <f>CSK[[#This Row],[G12 cp]]</f>
        <v>-4</v>
      </c>
      <c r="Z6" s="296">
        <f>CSK[[#This Row],[G6 cp]]</f>
        <v>70</v>
      </c>
      <c r="AA6" s="610">
        <f>CSK[[#This Row],[G1 cp]]</f>
        <v>5</v>
      </c>
      <c r="AB6" s="654"/>
      <c r="AC6" s="661"/>
      <c r="AD6" s="296"/>
      <c r="AE6" s="296"/>
      <c r="AF6" s="296"/>
      <c r="AG6" s="654"/>
      <c r="AH6" s="296"/>
      <c r="AI6" s="296"/>
      <c r="AJ6" s="296"/>
      <c r="AK6" s="295">
        <f>COUNTA(CSK[[#This Row],[G24 cp]],CSK[[#This Row],[G16 cp]],CSK[[#This Row],[G6 cp]])</f>
        <v>3</v>
      </c>
      <c r="AL6" s="296">
        <f>MAX(CSK[[#This Row],[G24 cp]],CSK[[#This Row],[G16 cp]],CSK[[#This Row],[G6 cp]])</f>
        <v>120</v>
      </c>
      <c r="AM6" s="296">
        <f>(SUM(CSK[[#This Row],[G24 cp]],CSK[[#This Row],[G16 cp]],CSK[[#This Row],[G6 cp]])-CSK[[#This Row],[B1 MAX]])/(CSK[[#This Row],[B1 Inn]]-1)</f>
        <v>77</v>
      </c>
      <c r="AN6" s="610">
        <f>MIN(CSK[[#This Row],[G24 cp]],CSK[[#This Row],[G16 cp]],CSK[[#This Row],[G6 cp]])</f>
        <v>70</v>
      </c>
      <c r="AO6" s="654"/>
      <c r="AP6" s="661"/>
      <c r="AQ6" s="296"/>
      <c r="AR6" s="296"/>
      <c r="AS6" s="296"/>
      <c r="AT6" s="669"/>
      <c r="AU6" s="296"/>
      <c r="AV6" s="296"/>
      <c r="AW6" s="296"/>
      <c r="AX6" s="295">
        <f xml:space="preserve"> COUNTA(CSK[[#This Row],[G29 cp]],CSK[[#This Row],[G12 cp]],CSK[[#This Row],[G1 cp]])</f>
        <v>3</v>
      </c>
      <c r="AY6" s="296">
        <f>MAX(CSK[[#This Row],[G29 cp]],CSK[[#This Row],[G12 cp]],CSK[[#This Row],[G1 cp]])</f>
        <v>103</v>
      </c>
      <c r="AZ6" s="296">
        <f>( SUM(CSK[[#This Row],[G29 cp]],CSK[[#This Row],[G12 cp]],CSK[[#This Row],[G1 cp]]) -CSK[[#This Row],[CH MAX]]) / ( CSK[[#This Row],[CHS Inn]] - 1 )</f>
        <v>0.5</v>
      </c>
      <c r="BA6" s="610">
        <f>MIN(CSK[[#This Row],[G29 cp]],CSK[[#This Row],[G12 cp]],CSK[[#This Row],[G1 cp]])</f>
        <v>-4</v>
      </c>
      <c r="BB6" s="295">
        <v>2</v>
      </c>
      <c r="BC6" s="296"/>
      <c r="BD6" s="296" t="s">
        <v>876</v>
      </c>
      <c r="BE6" s="296">
        <v>77</v>
      </c>
      <c r="BF6" s="296">
        <v>57</v>
      </c>
      <c r="BG6" s="296"/>
      <c r="BH6" s="296"/>
      <c r="BI6" s="296"/>
      <c r="BJ6" s="610">
        <v>103</v>
      </c>
      <c r="BK6" s="296">
        <v>2</v>
      </c>
      <c r="BL6" s="296" t="s">
        <v>401</v>
      </c>
      <c r="BM6" s="296">
        <v>83</v>
      </c>
      <c r="BN6" s="296">
        <v>45</v>
      </c>
      <c r="BO6" s="296"/>
      <c r="BP6" s="296">
        <v>120</v>
      </c>
      <c r="BQ6" s="295">
        <v>2</v>
      </c>
      <c r="BR6" s="296" t="s">
        <v>495</v>
      </c>
      <c r="BS6" s="296">
        <v>8</v>
      </c>
      <c r="BT6" s="296">
        <v>10</v>
      </c>
      <c r="BU6" s="296"/>
      <c r="BV6" s="296">
        <v>84</v>
      </c>
      <c r="BW6" s="293">
        <v>1</v>
      </c>
      <c r="BX6" s="294" t="s">
        <v>767</v>
      </c>
      <c r="BY6" s="294">
        <v>0</v>
      </c>
      <c r="BZ6" s="294">
        <v>4</v>
      </c>
      <c r="CA6" s="294"/>
      <c r="CB6" s="294">
        <v>-4</v>
      </c>
      <c r="CC6" s="293">
        <v>2</v>
      </c>
      <c r="CD6" s="294" t="s">
        <v>320</v>
      </c>
      <c r="CE6" s="294">
        <v>47</v>
      </c>
      <c r="CF6" s="294">
        <v>29</v>
      </c>
      <c r="CG6" s="294"/>
      <c r="CH6" s="294">
        <v>70</v>
      </c>
      <c r="CI6" s="293">
        <v>1</v>
      </c>
      <c r="CJ6" s="294" t="s">
        <v>339</v>
      </c>
      <c r="CK6" s="294">
        <v>1</v>
      </c>
      <c r="CL6" s="294">
        <v>6</v>
      </c>
      <c r="CM6" s="294"/>
      <c r="CN6" s="294">
        <v>5</v>
      </c>
    </row>
    <row r="7" spans="2:92">
      <c r="B7" s="618" t="s">
        <v>141</v>
      </c>
      <c r="C7" s="290" t="s">
        <v>139</v>
      </c>
      <c r="D7" s="290">
        <v>0.5</v>
      </c>
      <c r="E7" s="290" t="s">
        <v>142</v>
      </c>
      <c r="F7" s="290" t="s">
        <v>54</v>
      </c>
      <c r="G7" s="290" t="s">
        <v>54</v>
      </c>
      <c r="H7" s="625"/>
      <c r="I7" s="632"/>
      <c r="J7" s="639"/>
      <c r="K7" s="618"/>
      <c r="L7" s="618"/>
      <c r="M7" s="618"/>
      <c r="N7" s="646"/>
      <c r="O7" s="618"/>
      <c r="P7" s="618"/>
      <c r="Q7" s="618"/>
      <c r="R7" s="291">
        <f>COUNTA(CSK[[#This Row],[G29 cp]],CSK[[#This Row],[G24 cp]],CSK[[#This Row],[G16 cp]],CSK[[#This Row],[G12 cp]],CSK[[#This Row],[G6 cp]],CSK[[#This Row],[G1 cp]])</f>
        <v>4</v>
      </c>
      <c r="S7" s="292">
        <f>MAX(CSK[[#This Row],[G29 cp]],CSK[[#This Row],[G24 cp]],CSK[[#This Row],[G16 cp]],CSK[[#This Row],[G12 cp]],CSK[[#This Row],[G6 cp]],CSK[[#This Row],[G1 cp]])</f>
        <v>80</v>
      </c>
      <c r="T7" s="292">
        <f>( SUM(CSK[[#This Row],[G29 cp]],CSK[[#This Row],[G24 cp]],CSK[[#This Row],[G16 cp]],CSK[[#This Row],[G12 cp]],CSK[[#This Row],[G6 cp]],CSK[[#This Row],[G1 cp]]) - CSK[[#This Row],[Max]] ) /  ( CSK[[#This Row],[Innings]] - 1)</f>
        <v>38.333333333333336</v>
      </c>
      <c r="U7" s="611">
        <f>MIN(CSK[[#This Row],[G29 cp]],CSK[[#This Row],[G24 cp]],CSK[[#This Row],[G16 cp]],CSK[[#This Row],[G12 cp]],CSK[[#This Row],[G6 cp]],CSK[[#This Row],[G1 cp]])</f>
        <v>21</v>
      </c>
      <c r="V7" s="291">
        <f>CSK[[#This Row],[G29 cp]]</f>
        <v>21</v>
      </c>
      <c r="W7" s="292">
        <f>CSK[[#This Row],[G24 cp]]</f>
        <v>55</v>
      </c>
      <c r="X7" s="292">
        <f>CSK[[#This Row],[G16 cp]]</f>
        <v>39</v>
      </c>
      <c r="Y7" s="292">
        <f>CSK[[#This Row],[G12 cp]]</f>
        <v>80</v>
      </c>
      <c r="Z7" s="292">
        <f>CSK[[#This Row],[G6 cp]]</f>
        <v>0</v>
      </c>
      <c r="AA7" s="611">
        <f>CSK[[#This Row],[G1 cp]]</f>
        <v>0</v>
      </c>
      <c r="AB7" s="653"/>
      <c r="AC7" s="660"/>
      <c r="AD7" s="292"/>
      <c r="AE7" s="292"/>
      <c r="AF7" s="292"/>
      <c r="AG7" s="653"/>
      <c r="AH7" s="292"/>
      <c r="AI7" s="292"/>
      <c r="AJ7" s="292"/>
      <c r="AK7" s="291">
        <f>COUNTA(CSK[[#This Row],[G24 cp]],CSK[[#This Row],[G16 cp]],CSK[[#This Row],[G6 cp]])</f>
        <v>2</v>
      </c>
      <c r="AL7" s="292">
        <f>MAX(CSK[[#This Row],[G24 cp]],CSK[[#This Row],[G16 cp]],CSK[[#This Row],[G6 cp]])</f>
        <v>55</v>
      </c>
      <c r="AM7" s="292">
        <f>(SUM(CSK[[#This Row],[G24 cp]],CSK[[#This Row],[G16 cp]],CSK[[#This Row],[G6 cp]])-CSK[[#This Row],[B1 MAX]])/(CSK[[#This Row],[B1 Inn]]-1)</f>
        <v>39</v>
      </c>
      <c r="AN7" s="611">
        <f>MIN(CSK[[#This Row],[G24 cp]],CSK[[#This Row],[G16 cp]],CSK[[#This Row],[G6 cp]])</f>
        <v>39</v>
      </c>
      <c r="AO7" s="653"/>
      <c r="AP7" s="660"/>
      <c r="AQ7" s="292"/>
      <c r="AR7" s="292"/>
      <c r="AS7" s="292"/>
      <c r="AT7" s="668"/>
      <c r="AU7" s="292"/>
      <c r="AV7" s="292"/>
      <c r="AW7" s="292"/>
      <c r="AX7" s="291">
        <f xml:space="preserve"> COUNTA(CSK[[#This Row],[G29 cp]],CSK[[#This Row],[G12 cp]],CSK[[#This Row],[G1 cp]])</f>
        <v>2</v>
      </c>
      <c r="AY7" s="292">
        <f>MAX(CSK[[#This Row],[G29 cp]],CSK[[#This Row],[G12 cp]],CSK[[#This Row],[G1 cp]])</f>
        <v>80</v>
      </c>
      <c r="AZ7" s="292">
        <f>( SUM(CSK[[#This Row],[G29 cp]],CSK[[#This Row],[G12 cp]],CSK[[#This Row],[G1 cp]]) -CSK[[#This Row],[CH MAX]]) / ( CSK[[#This Row],[CHS Inn]] - 1 )</f>
        <v>21</v>
      </c>
      <c r="BA7" s="611">
        <f>MIN(CSK[[#This Row],[G29 cp]],CSK[[#This Row],[G12 cp]],CSK[[#This Row],[G1 cp]])</f>
        <v>21</v>
      </c>
      <c r="BB7" s="291">
        <v>3</v>
      </c>
      <c r="BC7" s="292" t="s">
        <v>1273</v>
      </c>
      <c r="BD7" s="292" t="s">
        <v>544</v>
      </c>
      <c r="BE7" s="292">
        <v>9</v>
      </c>
      <c r="BF7" s="292">
        <v>10</v>
      </c>
      <c r="BG7" s="292"/>
      <c r="BH7" s="292"/>
      <c r="BI7" s="292"/>
      <c r="BJ7" s="611">
        <v>21</v>
      </c>
      <c r="BK7" s="292">
        <v>3</v>
      </c>
      <c r="BL7" s="292" t="s">
        <v>1102</v>
      </c>
      <c r="BM7" s="292">
        <v>37</v>
      </c>
      <c r="BN7" s="292">
        <v>20</v>
      </c>
      <c r="BO7" s="292"/>
      <c r="BP7" s="292">
        <v>55</v>
      </c>
      <c r="BQ7" s="291">
        <v>3</v>
      </c>
      <c r="BR7" s="292" t="s">
        <v>518</v>
      </c>
      <c r="BS7" s="292">
        <v>31</v>
      </c>
      <c r="BT7" s="292">
        <v>19</v>
      </c>
      <c r="BU7" s="292"/>
      <c r="BV7" s="292">
        <v>39</v>
      </c>
      <c r="BW7" s="289">
        <v>3</v>
      </c>
      <c r="BX7" s="290" t="s">
        <v>768</v>
      </c>
      <c r="BY7" s="290">
        <v>61</v>
      </c>
      <c r="BZ7" s="290">
        <v>27</v>
      </c>
      <c r="CA7" s="290"/>
      <c r="CB7" s="290">
        <v>80</v>
      </c>
      <c r="CC7" s="289"/>
      <c r="CD7" s="290"/>
      <c r="CE7" s="290"/>
      <c r="CF7" s="290"/>
      <c r="CG7" s="290"/>
      <c r="CH7" s="290"/>
      <c r="CI7" s="289"/>
      <c r="CJ7" s="290"/>
      <c r="CK7" s="290"/>
      <c r="CL7" s="290"/>
      <c r="CM7" s="290"/>
      <c r="CN7" s="290"/>
    </row>
    <row r="8" spans="2:92">
      <c r="B8" s="618" t="s">
        <v>141</v>
      </c>
      <c r="C8" s="290" t="s">
        <v>138</v>
      </c>
      <c r="D8" s="290">
        <v>6.75</v>
      </c>
      <c r="E8" s="290" t="s">
        <v>142</v>
      </c>
      <c r="F8" s="290" t="s">
        <v>54</v>
      </c>
      <c r="G8" s="290" t="s">
        <v>54</v>
      </c>
      <c r="H8" s="625" t="s">
        <v>1055</v>
      </c>
      <c r="I8" s="632"/>
      <c r="J8" s="639"/>
      <c r="K8" s="618"/>
      <c r="L8" s="618"/>
      <c r="M8" s="618"/>
      <c r="N8" s="646"/>
      <c r="O8" s="618"/>
      <c r="P8" s="618"/>
      <c r="Q8" s="618"/>
      <c r="R8" s="291">
        <f>COUNTA(CSK[[#This Row],[G29 cp]],CSK[[#This Row],[G24 cp]],CSK[[#This Row],[G16 cp]],CSK[[#This Row],[G12 cp]],CSK[[#This Row],[G6 cp]],CSK[[#This Row],[G1 cp]])</f>
        <v>6</v>
      </c>
      <c r="S8" s="292">
        <f>MAX(CSK[[#This Row],[G29 cp]],CSK[[#This Row],[G24 cp]],CSK[[#This Row],[G16 cp]],CSK[[#This Row],[G12 cp]],CSK[[#This Row],[G6 cp]],CSK[[#This Row],[G1 cp]])</f>
        <v>40</v>
      </c>
      <c r="T8" s="292">
        <f>( SUM(CSK[[#This Row],[G29 cp]],CSK[[#This Row],[G24 cp]],CSK[[#This Row],[G16 cp]],CSK[[#This Row],[G12 cp]],CSK[[#This Row],[G6 cp]],CSK[[#This Row],[G1 cp]]) - CSK[[#This Row],[Max]] ) /  ( CSK[[#This Row],[Innings]] - 1)</f>
        <v>17.2</v>
      </c>
      <c r="U8" s="611">
        <f>MIN(CSK[[#This Row],[G29 cp]],CSK[[#This Row],[G24 cp]],CSK[[#This Row],[G16 cp]],CSK[[#This Row],[G12 cp]],CSK[[#This Row],[G6 cp]],CSK[[#This Row],[G1 cp]])</f>
        <v>4</v>
      </c>
      <c r="V8" s="291">
        <f>CSK[[#This Row],[G29 cp]]</f>
        <v>13</v>
      </c>
      <c r="W8" s="292">
        <f>CSK[[#This Row],[G24 cp]]</f>
        <v>21</v>
      </c>
      <c r="X8" s="292">
        <f>CSK[[#This Row],[G16 cp]]</f>
        <v>4</v>
      </c>
      <c r="Y8" s="292">
        <f>CSK[[#This Row],[G12 cp]]</f>
        <v>30</v>
      </c>
      <c r="Z8" s="292">
        <f>CSK[[#This Row],[G6 cp]]</f>
        <v>40</v>
      </c>
      <c r="AA8" s="611">
        <f>CSK[[#This Row],[G1 cp]]</f>
        <v>18</v>
      </c>
      <c r="AB8" s="653"/>
      <c r="AC8" s="660"/>
      <c r="AD8" s="292"/>
      <c r="AE8" s="292"/>
      <c r="AF8" s="292"/>
      <c r="AG8" s="653"/>
      <c r="AH8" s="292"/>
      <c r="AI8" s="292"/>
      <c r="AJ8" s="292"/>
      <c r="AK8" s="291">
        <f>COUNTA(CSK[[#This Row],[G24 cp]],CSK[[#This Row],[G16 cp]],CSK[[#This Row],[G6 cp]])</f>
        <v>3</v>
      </c>
      <c r="AL8" s="292">
        <f>MAX(CSK[[#This Row],[G24 cp]],CSK[[#This Row],[G16 cp]],CSK[[#This Row],[G6 cp]])</f>
        <v>40</v>
      </c>
      <c r="AM8" s="292">
        <f>(SUM(CSK[[#This Row],[G24 cp]],CSK[[#This Row],[G16 cp]],CSK[[#This Row],[G6 cp]])-CSK[[#This Row],[B1 MAX]])/(CSK[[#This Row],[B1 Inn]]-1)</f>
        <v>12.5</v>
      </c>
      <c r="AN8" s="611">
        <f>MIN(CSK[[#This Row],[G24 cp]],CSK[[#This Row],[G16 cp]],CSK[[#This Row],[G6 cp]])</f>
        <v>4</v>
      </c>
      <c r="AO8" s="653"/>
      <c r="AP8" s="660"/>
      <c r="AQ8" s="292"/>
      <c r="AR8" s="292"/>
      <c r="AS8" s="292"/>
      <c r="AT8" s="668"/>
      <c r="AU8" s="292"/>
      <c r="AV8" s="292"/>
      <c r="AW8" s="292"/>
      <c r="AX8" s="291">
        <f xml:space="preserve"> COUNTA(CSK[[#This Row],[G29 cp]],CSK[[#This Row],[G12 cp]],CSK[[#This Row],[G1 cp]])</f>
        <v>3</v>
      </c>
      <c r="AY8" s="292">
        <f>MAX(CSK[[#This Row],[G29 cp]],CSK[[#This Row],[G12 cp]],CSK[[#This Row],[G1 cp]])</f>
        <v>30</v>
      </c>
      <c r="AZ8" s="292">
        <f>( SUM(CSK[[#This Row],[G29 cp]],CSK[[#This Row],[G12 cp]],CSK[[#This Row],[G1 cp]]) -CSK[[#This Row],[CH MAX]]) / ( CSK[[#This Row],[CHS Inn]] - 1 )</f>
        <v>15.5</v>
      </c>
      <c r="BA8" s="611">
        <f>MIN(CSK[[#This Row],[G29 cp]],CSK[[#This Row],[G12 cp]],CSK[[#This Row],[G1 cp]])</f>
        <v>13</v>
      </c>
      <c r="BB8" s="291">
        <v>4</v>
      </c>
      <c r="BC8" s="292" t="s">
        <v>1273</v>
      </c>
      <c r="BD8" s="292" t="s">
        <v>544</v>
      </c>
      <c r="BE8" s="292">
        <v>9</v>
      </c>
      <c r="BF8" s="292">
        <v>9</v>
      </c>
      <c r="BG8" s="292"/>
      <c r="BH8" s="292"/>
      <c r="BI8" s="292"/>
      <c r="BJ8" s="611">
        <v>13</v>
      </c>
      <c r="BK8" s="292">
        <v>5</v>
      </c>
      <c r="BL8" s="292" t="s">
        <v>1103</v>
      </c>
      <c r="BM8" s="292">
        <v>14</v>
      </c>
      <c r="BN8" s="292">
        <v>6</v>
      </c>
      <c r="BO8" s="292"/>
      <c r="BP8" s="292">
        <v>21</v>
      </c>
      <c r="BQ8" s="291">
        <v>6</v>
      </c>
      <c r="BR8" s="292" t="s">
        <v>517</v>
      </c>
      <c r="BS8" s="292">
        <v>1</v>
      </c>
      <c r="BT8" s="292">
        <v>2</v>
      </c>
      <c r="BU8" s="292"/>
      <c r="BV8" s="292">
        <v>4</v>
      </c>
      <c r="BW8" s="289">
        <v>5</v>
      </c>
      <c r="BX8" s="290" t="s">
        <v>327</v>
      </c>
      <c r="BY8" s="290">
        <v>20</v>
      </c>
      <c r="BZ8" s="290">
        <v>16</v>
      </c>
      <c r="CA8" s="290"/>
      <c r="CB8" s="290">
        <v>30</v>
      </c>
      <c r="CC8" s="289">
        <v>6</v>
      </c>
      <c r="CD8" s="290" t="s">
        <v>372</v>
      </c>
      <c r="CE8" s="290">
        <v>27</v>
      </c>
      <c r="CF8" s="290">
        <v>14</v>
      </c>
      <c r="CG8" s="290"/>
      <c r="CH8" s="290">
        <v>40</v>
      </c>
      <c r="CI8" s="289">
        <v>5</v>
      </c>
      <c r="CJ8" s="290" t="s">
        <v>371</v>
      </c>
      <c r="CK8" s="290">
        <v>12</v>
      </c>
      <c r="CL8" s="290">
        <v>22</v>
      </c>
      <c r="CM8" s="290"/>
      <c r="CN8" s="290">
        <v>18</v>
      </c>
    </row>
    <row r="9" spans="2:92">
      <c r="B9" s="621" t="s">
        <v>141</v>
      </c>
      <c r="C9" s="302" t="s">
        <v>824</v>
      </c>
      <c r="D9" s="302">
        <v>8</v>
      </c>
      <c r="E9" s="302" t="s">
        <v>615</v>
      </c>
      <c r="F9" s="302" t="s">
        <v>55</v>
      </c>
      <c r="G9" s="302" t="s">
        <v>55</v>
      </c>
      <c r="H9" s="628" t="s">
        <v>1007</v>
      </c>
      <c r="I9" s="635"/>
      <c r="J9" s="642"/>
      <c r="K9" s="621"/>
      <c r="L9" s="621"/>
      <c r="M9" s="621"/>
      <c r="N9" s="649"/>
      <c r="O9" s="621"/>
      <c r="P9" s="621"/>
      <c r="Q9" s="621"/>
      <c r="R9" s="303">
        <f>COUNTA(CSK[[#This Row],[G29 cp]],CSK[[#This Row],[G24 cp]],CSK[[#This Row],[G16 cp]],CSK[[#This Row],[G12 cp]],CSK[[#This Row],[G6 cp]],CSK[[#This Row],[G1 cp]])</f>
        <v>5</v>
      </c>
      <c r="S9" s="304">
        <f>MAX(CSK[[#This Row],[G29 cp]],CSK[[#This Row],[G24 cp]],CSK[[#This Row],[G16 cp]],CSK[[#This Row],[G12 cp]],CSK[[#This Row],[G6 cp]],CSK[[#This Row],[G1 cp]])</f>
        <v>140</v>
      </c>
      <c r="T9" s="304">
        <f>( SUM(CSK[[#This Row],[G29 cp]],CSK[[#This Row],[G24 cp]],CSK[[#This Row],[G16 cp]],CSK[[#This Row],[G12 cp]],CSK[[#This Row],[G6 cp]],CSK[[#This Row],[G1 cp]]) - CSK[[#This Row],[Max]] ) /  ( CSK[[#This Row],[Innings]] - 1)</f>
        <v>27</v>
      </c>
      <c r="U9" s="614">
        <f>MIN(CSK[[#This Row],[G29 cp]],CSK[[#This Row],[G24 cp]],CSK[[#This Row],[G16 cp]],CSK[[#This Row],[G12 cp]],CSK[[#This Row],[G6 cp]],CSK[[#This Row],[G1 cp]])</f>
        <v>11</v>
      </c>
      <c r="V9" s="303">
        <f>CSK[[#This Row],[G29 cp]]</f>
        <v>11</v>
      </c>
      <c r="W9" s="304">
        <f>CSK[[#This Row],[G24 cp]]</f>
        <v>30</v>
      </c>
      <c r="X9" s="304">
        <f>CSK[[#This Row],[G16 cp]]</f>
        <v>34</v>
      </c>
      <c r="Y9" s="304">
        <f>CSK[[#This Row],[G12 cp]]</f>
        <v>0</v>
      </c>
      <c r="Z9" s="304">
        <f>CSK[[#This Row],[G6 cp]]</f>
        <v>140</v>
      </c>
      <c r="AA9" s="614">
        <f>CSK[[#This Row],[G1 cp]]</f>
        <v>33</v>
      </c>
      <c r="AB9" s="656"/>
      <c r="AC9" s="663"/>
      <c r="AD9" s="304"/>
      <c r="AE9" s="304"/>
      <c r="AF9" s="304"/>
      <c r="AG9" s="656"/>
      <c r="AH9" s="304"/>
      <c r="AI9" s="304"/>
      <c r="AJ9" s="304"/>
      <c r="AK9" s="303">
        <f>COUNTA(CSK[[#This Row],[G24 cp]],CSK[[#This Row],[G16 cp]],CSK[[#This Row],[G6 cp]])</f>
        <v>3</v>
      </c>
      <c r="AL9" s="304">
        <f>MAX(CSK[[#This Row],[G24 cp]],CSK[[#This Row],[G16 cp]],CSK[[#This Row],[G6 cp]])</f>
        <v>140</v>
      </c>
      <c r="AM9" s="304">
        <f>(SUM(CSK[[#This Row],[G24 cp]],CSK[[#This Row],[G16 cp]],CSK[[#This Row],[G6 cp]])-CSK[[#This Row],[B1 MAX]])/(CSK[[#This Row],[B1 Inn]]-1)</f>
        <v>32</v>
      </c>
      <c r="AN9" s="614">
        <f>MIN(CSK[[#This Row],[G24 cp]],CSK[[#This Row],[G16 cp]],CSK[[#This Row],[G6 cp]])</f>
        <v>30</v>
      </c>
      <c r="AO9" s="656"/>
      <c r="AP9" s="663"/>
      <c r="AQ9" s="304"/>
      <c r="AR9" s="304"/>
      <c r="AS9" s="304"/>
      <c r="AT9" s="671"/>
      <c r="AU9" s="304"/>
      <c r="AV9" s="304"/>
      <c r="AW9" s="304"/>
      <c r="AX9" s="303">
        <f xml:space="preserve"> COUNTA(CSK[[#This Row],[G29 cp]],CSK[[#This Row],[G12 cp]],CSK[[#This Row],[G1 cp]])</f>
        <v>2</v>
      </c>
      <c r="AY9" s="304">
        <f>MAX(CSK[[#This Row],[G29 cp]],CSK[[#This Row],[G12 cp]],CSK[[#This Row],[G1 cp]])</f>
        <v>33</v>
      </c>
      <c r="AZ9" s="304">
        <f>( SUM(CSK[[#This Row],[G29 cp]],CSK[[#This Row],[G12 cp]],CSK[[#This Row],[G1 cp]]) -CSK[[#This Row],[CH MAX]]) / ( CSK[[#This Row],[CHS Inn]] - 1 )</f>
        <v>11</v>
      </c>
      <c r="BA9" s="614">
        <f>MIN(CSK[[#This Row],[G29 cp]],CSK[[#This Row],[G12 cp]],CSK[[#This Row],[G1 cp]])</f>
        <v>11</v>
      </c>
      <c r="BB9" s="303">
        <v>5</v>
      </c>
      <c r="BC9" s="304"/>
      <c r="BD9" s="304" t="s">
        <v>876</v>
      </c>
      <c r="BE9" s="304">
        <v>6</v>
      </c>
      <c r="BF9" s="304">
        <v>6</v>
      </c>
      <c r="BG9" s="304">
        <v>2</v>
      </c>
      <c r="BH9" s="304">
        <v>18</v>
      </c>
      <c r="BI9" s="304">
        <v>0</v>
      </c>
      <c r="BJ9" s="614">
        <v>11</v>
      </c>
      <c r="BK9" s="304">
        <v>6</v>
      </c>
      <c r="BL9" s="304" t="s">
        <v>876</v>
      </c>
      <c r="BM9" s="304">
        <v>19</v>
      </c>
      <c r="BN9" s="304">
        <v>9</v>
      </c>
      <c r="BO9" s="304" t="s">
        <v>1109</v>
      </c>
      <c r="BP9" s="304">
        <v>30</v>
      </c>
      <c r="BQ9" s="303">
        <v>5</v>
      </c>
      <c r="BR9" s="304" t="s">
        <v>875</v>
      </c>
      <c r="BS9" s="304">
        <v>7</v>
      </c>
      <c r="BT9" s="304">
        <v>10</v>
      </c>
      <c r="BU9" s="304" t="s">
        <v>71</v>
      </c>
      <c r="BV9" s="304">
        <v>34</v>
      </c>
      <c r="BW9" s="301">
        <v>24</v>
      </c>
      <c r="BX9" s="302"/>
      <c r="BY9" s="302"/>
      <c r="BZ9" s="302"/>
      <c r="CA9" s="302"/>
      <c r="CB9" s="302"/>
      <c r="CC9" s="301">
        <v>4</v>
      </c>
      <c r="CD9" s="302" t="s">
        <v>283</v>
      </c>
      <c r="CE9" s="302">
        <v>19</v>
      </c>
      <c r="CF9" s="302">
        <v>13</v>
      </c>
      <c r="CG9" s="302" t="s">
        <v>388</v>
      </c>
      <c r="CH9" s="302">
        <v>140</v>
      </c>
      <c r="CI9" s="301">
        <v>3</v>
      </c>
      <c r="CJ9" s="302" t="s">
        <v>341</v>
      </c>
      <c r="CK9" s="302">
        <v>23</v>
      </c>
      <c r="CL9" s="302">
        <v>17</v>
      </c>
      <c r="CM9" s="302"/>
      <c r="CN9" s="302">
        <v>33</v>
      </c>
    </row>
    <row r="10" spans="2:92">
      <c r="B10" s="620" t="s">
        <v>141</v>
      </c>
      <c r="C10" s="298" t="s">
        <v>817</v>
      </c>
      <c r="D10" s="298">
        <v>4</v>
      </c>
      <c r="E10" s="298" t="s">
        <v>818</v>
      </c>
      <c r="F10" s="290" t="s">
        <v>54</v>
      </c>
      <c r="G10" s="298" t="s">
        <v>55</v>
      </c>
      <c r="H10" s="627" t="s">
        <v>1121</v>
      </c>
      <c r="I10" s="634"/>
      <c r="J10" s="641"/>
      <c r="K10" s="620"/>
      <c r="L10" s="620"/>
      <c r="M10" s="620"/>
      <c r="N10" s="648"/>
      <c r="O10" s="620"/>
      <c r="P10" s="620"/>
      <c r="Q10" s="620"/>
      <c r="R10" s="299">
        <f>COUNTA(CSK[[#This Row],[G29 cp]],CSK[[#This Row],[G24 cp]],CSK[[#This Row],[G16 cp]],CSK[[#This Row],[G12 cp]],CSK[[#This Row],[G6 cp]],CSK[[#This Row],[G1 cp]])</f>
        <v>6</v>
      </c>
      <c r="S10" s="300">
        <f>MAX(CSK[[#This Row],[G29 cp]],CSK[[#This Row],[G24 cp]],CSK[[#This Row],[G16 cp]],CSK[[#This Row],[G12 cp]],CSK[[#This Row],[G6 cp]],CSK[[#This Row],[G1 cp]])</f>
        <v>78</v>
      </c>
      <c r="T10" s="300">
        <f>( SUM(CSK[[#This Row],[G29 cp]],CSK[[#This Row],[G24 cp]],CSK[[#This Row],[G16 cp]],CSK[[#This Row],[G12 cp]],CSK[[#This Row],[G6 cp]],CSK[[#This Row],[G1 cp]]) - CSK[[#This Row],[Max]] ) /  ( CSK[[#This Row],[Innings]] - 1)</f>
        <v>27.2</v>
      </c>
      <c r="U10" s="612">
        <f>MIN(CSK[[#This Row],[G29 cp]],CSK[[#This Row],[G24 cp]],CSK[[#This Row],[G16 cp]],CSK[[#This Row],[G12 cp]],CSK[[#This Row],[G6 cp]],CSK[[#This Row],[G1 cp]])</f>
        <v>4</v>
      </c>
      <c r="V10" s="299">
        <f>CSK[[#This Row],[G29 cp]]</f>
        <v>4</v>
      </c>
      <c r="W10" s="300">
        <f>CSK[[#This Row],[G24 cp]]</f>
        <v>78</v>
      </c>
      <c r="X10" s="300">
        <f>CSK[[#This Row],[G16 cp]]</f>
        <v>29</v>
      </c>
      <c r="Y10" s="300">
        <f>CSK[[#This Row],[G12 cp]]</f>
        <v>30</v>
      </c>
      <c r="Z10" s="300">
        <f>CSK[[#This Row],[G6 cp]]</f>
        <v>40</v>
      </c>
      <c r="AA10" s="612">
        <f>CSK[[#This Row],[G1 cp]]</f>
        <v>33</v>
      </c>
      <c r="AB10" s="655"/>
      <c r="AC10" s="662"/>
      <c r="AD10" s="300"/>
      <c r="AE10" s="300"/>
      <c r="AF10" s="300"/>
      <c r="AG10" s="655"/>
      <c r="AH10" s="300"/>
      <c r="AI10" s="300"/>
      <c r="AJ10" s="300"/>
      <c r="AK10" s="299">
        <f>COUNTA(CSK[[#This Row],[G24 cp]],CSK[[#This Row],[G16 cp]],CSK[[#This Row],[G6 cp]])</f>
        <v>3</v>
      </c>
      <c r="AL10" s="300">
        <f>MAX(CSK[[#This Row],[G24 cp]],CSK[[#This Row],[G16 cp]],CSK[[#This Row],[G6 cp]])</f>
        <v>78</v>
      </c>
      <c r="AM10" s="300">
        <f>(SUM(CSK[[#This Row],[G24 cp]],CSK[[#This Row],[G16 cp]],CSK[[#This Row],[G6 cp]])-CSK[[#This Row],[B1 MAX]])/(CSK[[#This Row],[B1 Inn]]-1)</f>
        <v>34.5</v>
      </c>
      <c r="AN10" s="612">
        <f>MIN(CSK[[#This Row],[G24 cp]],CSK[[#This Row],[G16 cp]],CSK[[#This Row],[G6 cp]])</f>
        <v>29</v>
      </c>
      <c r="AO10" s="655"/>
      <c r="AP10" s="662"/>
      <c r="AQ10" s="300"/>
      <c r="AR10" s="300"/>
      <c r="AS10" s="300"/>
      <c r="AT10" s="670"/>
      <c r="AU10" s="300"/>
      <c r="AV10" s="300"/>
      <c r="AW10" s="300"/>
      <c r="AX10" s="299">
        <f xml:space="preserve"> COUNTA(CSK[[#This Row],[G29 cp]],CSK[[#This Row],[G12 cp]],CSK[[#This Row],[G1 cp]])</f>
        <v>3</v>
      </c>
      <c r="AY10" s="300">
        <f>MAX(CSK[[#This Row],[G29 cp]],CSK[[#This Row],[G12 cp]],CSK[[#This Row],[G1 cp]])</f>
        <v>33</v>
      </c>
      <c r="AZ10" s="300">
        <f>( SUM(CSK[[#This Row],[G29 cp]],CSK[[#This Row],[G12 cp]],CSK[[#This Row],[G1 cp]]) -CSK[[#This Row],[CH MAX]]) / ( CSK[[#This Row],[CHS Inn]] - 1 )</f>
        <v>17</v>
      </c>
      <c r="BA10" s="612">
        <f>MIN(CSK[[#This Row],[G29 cp]],CSK[[#This Row],[G12 cp]],CSK[[#This Row],[G1 cp]])</f>
        <v>4</v>
      </c>
      <c r="BB10" s="299">
        <v>6</v>
      </c>
      <c r="BC10" s="300"/>
      <c r="BD10" s="300"/>
      <c r="BE10" s="300"/>
      <c r="BF10" s="300"/>
      <c r="BG10" s="300"/>
      <c r="BH10" s="300"/>
      <c r="BI10" s="300"/>
      <c r="BJ10" s="612">
        <v>4</v>
      </c>
      <c r="BK10" s="300">
        <v>4</v>
      </c>
      <c r="BL10" s="300" t="s">
        <v>693</v>
      </c>
      <c r="BM10" s="300">
        <v>52</v>
      </c>
      <c r="BN10" s="300">
        <v>27</v>
      </c>
      <c r="BO10" s="300"/>
      <c r="BP10" s="300">
        <v>78</v>
      </c>
      <c r="BQ10" s="299">
        <v>4</v>
      </c>
      <c r="BR10" s="300" t="s">
        <v>518</v>
      </c>
      <c r="BS10" s="300">
        <v>8</v>
      </c>
      <c r="BT10" s="300">
        <v>9</v>
      </c>
      <c r="BU10" s="300"/>
      <c r="BV10" s="300">
        <v>29</v>
      </c>
      <c r="BW10" s="297">
        <v>4</v>
      </c>
      <c r="BX10" s="298" t="s">
        <v>769</v>
      </c>
      <c r="BY10" s="298">
        <v>28</v>
      </c>
      <c r="BZ10" s="298">
        <v>26</v>
      </c>
      <c r="CA10" s="298"/>
      <c r="CB10" s="298">
        <v>30</v>
      </c>
      <c r="CC10" s="297">
        <v>3</v>
      </c>
      <c r="CD10" s="298" t="s">
        <v>283</v>
      </c>
      <c r="CE10" s="298">
        <v>27</v>
      </c>
      <c r="CF10" s="298">
        <v>16</v>
      </c>
      <c r="CG10" s="298"/>
      <c r="CH10" s="298">
        <v>40</v>
      </c>
      <c r="CI10" s="297">
        <v>6</v>
      </c>
      <c r="CJ10" s="298" t="s">
        <v>339</v>
      </c>
      <c r="CK10" s="298">
        <v>19</v>
      </c>
      <c r="CL10" s="298">
        <v>18</v>
      </c>
      <c r="CM10" s="298"/>
      <c r="CN10" s="298">
        <v>33</v>
      </c>
    </row>
    <row r="11" spans="2:92">
      <c r="B11" s="620" t="s">
        <v>141</v>
      </c>
      <c r="C11" s="298" t="s">
        <v>819</v>
      </c>
      <c r="D11" s="298">
        <v>16</v>
      </c>
      <c r="E11" s="298" t="s">
        <v>142</v>
      </c>
      <c r="F11" s="298" t="s">
        <v>55</v>
      </c>
      <c r="G11" s="298" t="s">
        <v>55</v>
      </c>
      <c r="H11" s="627" t="s">
        <v>1122</v>
      </c>
      <c r="I11" s="634"/>
      <c r="J11" s="641"/>
      <c r="K11" s="620"/>
      <c r="L11" s="620"/>
      <c r="M11" s="620"/>
      <c r="N11" s="648"/>
      <c r="O11" s="620"/>
      <c r="P11" s="620"/>
      <c r="Q11" s="620"/>
      <c r="R11" s="299">
        <f>COUNTA(CSK[[#This Row],[G29 cp]],CSK[[#This Row],[G24 cp]],CSK[[#This Row],[G16 cp]],CSK[[#This Row],[G12 cp]],CSK[[#This Row],[G6 cp]],CSK[[#This Row],[G1 cp]])</f>
        <v>6</v>
      </c>
      <c r="S11" s="300">
        <f>MAX(CSK[[#This Row],[G29 cp]],CSK[[#This Row],[G24 cp]],CSK[[#This Row],[G16 cp]],CSK[[#This Row],[G12 cp]],CSK[[#This Row],[G6 cp]],CSK[[#This Row],[G1 cp]])</f>
        <v>100</v>
      </c>
      <c r="T11" s="300">
        <f>( SUM(CSK[[#This Row],[G29 cp]],CSK[[#This Row],[G24 cp]],CSK[[#This Row],[G16 cp]],CSK[[#This Row],[G12 cp]],CSK[[#This Row],[G6 cp]],CSK[[#This Row],[G1 cp]]) - CSK[[#This Row],[Max]] ) /  ( CSK[[#This Row],[Innings]] - 1)</f>
        <v>42.6</v>
      </c>
      <c r="U11" s="612">
        <f>MIN(CSK[[#This Row],[G29 cp]],CSK[[#This Row],[G24 cp]],CSK[[#This Row],[G16 cp]],CSK[[#This Row],[G12 cp]],CSK[[#This Row],[G6 cp]],CSK[[#This Row],[G1 cp]])</f>
        <v>3</v>
      </c>
      <c r="V11" s="299">
        <f>CSK[[#This Row],[G29 cp]]</f>
        <v>81</v>
      </c>
      <c r="W11" s="300">
        <f>CSK[[#This Row],[G24 cp]]</f>
        <v>14</v>
      </c>
      <c r="X11" s="300">
        <f>CSK[[#This Row],[G16 cp]]</f>
        <v>85</v>
      </c>
      <c r="Y11" s="300">
        <f>CSK[[#This Row],[G12 cp]]</f>
        <v>100</v>
      </c>
      <c r="Z11" s="300">
        <f>CSK[[#This Row],[G6 cp]]</f>
        <v>3</v>
      </c>
      <c r="AA11" s="612">
        <f>CSK[[#This Row],[G1 cp]]</f>
        <v>30</v>
      </c>
      <c r="AB11" s="655"/>
      <c r="AC11" s="662"/>
      <c r="AD11" s="300"/>
      <c r="AE11" s="300"/>
      <c r="AF11" s="300"/>
      <c r="AG11" s="655"/>
      <c r="AH11" s="300"/>
      <c r="AI11" s="300"/>
      <c r="AJ11" s="300"/>
      <c r="AK11" s="299">
        <f>COUNTA(CSK[[#This Row],[G24 cp]],CSK[[#This Row],[G16 cp]],CSK[[#This Row],[G6 cp]])</f>
        <v>3</v>
      </c>
      <c r="AL11" s="300">
        <f>MAX(CSK[[#This Row],[G24 cp]],CSK[[#This Row],[G16 cp]],CSK[[#This Row],[G6 cp]])</f>
        <v>85</v>
      </c>
      <c r="AM11" s="300">
        <f>(SUM(CSK[[#This Row],[G24 cp]],CSK[[#This Row],[G16 cp]],CSK[[#This Row],[G6 cp]])-CSK[[#This Row],[B1 MAX]])/(CSK[[#This Row],[B1 Inn]]-1)</f>
        <v>8.5</v>
      </c>
      <c r="AN11" s="612">
        <f>MIN(CSK[[#This Row],[G24 cp]],CSK[[#This Row],[G16 cp]],CSK[[#This Row],[G6 cp]])</f>
        <v>3</v>
      </c>
      <c r="AO11" s="655"/>
      <c r="AP11" s="662"/>
      <c r="AQ11" s="300"/>
      <c r="AR11" s="300"/>
      <c r="AS11" s="300"/>
      <c r="AT11" s="670"/>
      <c r="AU11" s="300"/>
      <c r="AV11" s="300"/>
      <c r="AW11" s="300"/>
      <c r="AX11" s="299">
        <f xml:space="preserve"> COUNTA(CSK[[#This Row],[G29 cp]],CSK[[#This Row],[G12 cp]],CSK[[#This Row],[G1 cp]])</f>
        <v>3</v>
      </c>
      <c r="AY11" s="300">
        <f>MAX(CSK[[#This Row],[G29 cp]],CSK[[#This Row],[G12 cp]],CSK[[#This Row],[G1 cp]])</f>
        <v>100</v>
      </c>
      <c r="AZ11" s="300">
        <f>( SUM(CSK[[#This Row],[G29 cp]],CSK[[#This Row],[G12 cp]],CSK[[#This Row],[G1 cp]]) -CSK[[#This Row],[CH MAX]]) / ( CSK[[#This Row],[CHS Inn]] - 1 )</f>
        <v>55.5</v>
      </c>
      <c r="BA11" s="612">
        <f>MIN(CSK[[#This Row],[G29 cp]],CSK[[#This Row],[G12 cp]],CSK[[#This Row],[G1 cp]])</f>
        <v>30</v>
      </c>
      <c r="BB11" s="299">
        <v>7</v>
      </c>
      <c r="BC11" s="300"/>
      <c r="BD11" s="300"/>
      <c r="BE11" s="300"/>
      <c r="BF11" s="300"/>
      <c r="BG11" s="300">
        <v>4</v>
      </c>
      <c r="BH11" s="300">
        <v>22</v>
      </c>
      <c r="BI11" s="300">
        <v>3</v>
      </c>
      <c r="BJ11" s="612">
        <v>81</v>
      </c>
      <c r="BK11" s="300">
        <v>7</v>
      </c>
      <c r="BL11" s="300" t="s">
        <v>1104</v>
      </c>
      <c r="BM11" s="300">
        <v>10</v>
      </c>
      <c r="BN11" s="300">
        <v>8</v>
      </c>
      <c r="BO11" s="300" t="s">
        <v>1003</v>
      </c>
      <c r="BP11" s="300">
        <v>14</v>
      </c>
      <c r="BQ11" s="299">
        <v>7</v>
      </c>
      <c r="BR11" s="300" t="s">
        <v>876</v>
      </c>
      <c r="BS11" s="300">
        <v>25</v>
      </c>
      <c r="BT11" s="300">
        <v>15</v>
      </c>
      <c r="BU11" s="300" t="s">
        <v>208</v>
      </c>
      <c r="BV11" s="300">
        <v>85</v>
      </c>
      <c r="BW11" s="297">
        <v>6</v>
      </c>
      <c r="BX11" s="298"/>
      <c r="BY11" s="298"/>
      <c r="BZ11" s="298"/>
      <c r="CA11" s="298" t="s">
        <v>774</v>
      </c>
      <c r="CB11" s="298">
        <v>100</v>
      </c>
      <c r="CC11" s="297">
        <v>7</v>
      </c>
      <c r="CD11" s="298" t="s">
        <v>320</v>
      </c>
      <c r="CE11" s="298">
        <v>3</v>
      </c>
      <c r="CF11" s="298">
        <v>6</v>
      </c>
      <c r="CG11" s="298" t="s">
        <v>390</v>
      </c>
      <c r="CH11" s="298">
        <v>3</v>
      </c>
      <c r="CI11" s="297">
        <v>7</v>
      </c>
      <c r="CJ11" s="298" t="s">
        <v>336</v>
      </c>
      <c r="CK11" s="298">
        <v>1</v>
      </c>
      <c r="CL11" s="298">
        <v>2</v>
      </c>
      <c r="CM11" s="298" t="s">
        <v>90</v>
      </c>
      <c r="CN11" s="298">
        <v>30</v>
      </c>
    </row>
    <row r="12" spans="2:92">
      <c r="B12" s="622" t="s">
        <v>141</v>
      </c>
      <c r="C12" s="306" t="s">
        <v>135</v>
      </c>
      <c r="D12" s="306">
        <v>12</v>
      </c>
      <c r="E12" s="306" t="s">
        <v>142</v>
      </c>
      <c r="F12" s="306" t="s">
        <v>75</v>
      </c>
      <c r="G12" s="306" t="s">
        <v>75</v>
      </c>
      <c r="H12" s="629" t="s">
        <v>1123</v>
      </c>
      <c r="I12" s="636"/>
      <c r="J12" s="643"/>
      <c r="K12" s="622"/>
      <c r="L12" s="622"/>
      <c r="M12" s="622"/>
      <c r="N12" s="650"/>
      <c r="O12" s="622"/>
      <c r="P12" s="622"/>
      <c r="Q12" s="622"/>
      <c r="R12" s="307">
        <f>COUNTA(CSK[[#This Row],[G29 cp]],CSK[[#This Row],[G24 cp]],CSK[[#This Row],[G16 cp]],CSK[[#This Row],[G12 cp]],CSK[[#This Row],[G6 cp]],CSK[[#This Row],[G1 cp]])</f>
        <v>4</v>
      </c>
      <c r="S12" s="308">
        <f>MAX(CSK[[#This Row],[G29 cp]],CSK[[#This Row],[G24 cp]],CSK[[#This Row],[G16 cp]],CSK[[#This Row],[G12 cp]],CSK[[#This Row],[G6 cp]],CSK[[#This Row],[G1 cp]])</f>
        <v>48</v>
      </c>
      <c r="T12" s="308">
        <f>( SUM(CSK[[#This Row],[G29 cp]],CSK[[#This Row],[G24 cp]],CSK[[#This Row],[G16 cp]],CSK[[#This Row],[G12 cp]],CSK[[#This Row],[G6 cp]],CSK[[#This Row],[G1 cp]]) - CSK[[#This Row],[Max]] ) /  ( CSK[[#This Row],[Innings]] - 1)</f>
        <v>28.333333333333332</v>
      </c>
      <c r="U12" s="613">
        <f>MIN(CSK[[#This Row],[G29 cp]],CSK[[#This Row],[G24 cp]],CSK[[#This Row],[G16 cp]],CSK[[#This Row],[G12 cp]],CSK[[#This Row],[G6 cp]],CSK[[#This Row],[G1 cp]])</f>
        <v>20</v>
      </c>
      <c r="V12" s="307">
        <f>CSK[[#This Row],[G29 cp]]</f>
        <v>36</v>
      </c>
      <c r="W12" s="308">
        <f>CSK[[#This Row],[G24 cp]]</f>
        <v>0</v>
      </c>
      <c r="X12" s="308">
        <f>CSK[[#This Row],[G16 cp]]</f>
        <v>48</v>
      </c>
      <c r="Y12" s="308">
        <f>CSK[[#This Row],[G12 cp]]</f>
        <v>0</v>
      </c>
      <c r="Z12" s="308">
        <f>CSK[[#This Row],[G6 cp]]</f>
        <v>20</v>
      </c>
      <c r="AA12" s="613">
        <f>CSK[[#This Row],[G1 cp]]</f>
        <v>29</v>
      </c>
      <c r="AB12" s="657"/>
      <c r="AC12" s="664"/>
      <c r="AD12" s="308"/>
      <c r="AE12" s="308"/>
      <c r="AF12" s="308"/>
      <c r="AG12" s="657"/>
      <c r="AH12" s="308"/>
      <c r="AI12" s="308"/>
      <c r="AJ12" s="308"/>
      <c r="AK12" s="307">
        <f>COUNTA(CSK[[#This Row],[G24 cp]],CSK[[#This Row],[G16 cp]],CSK[[#This Row],[G6 cp]])</f>
        <v>2</v>
      </c>
      <c r="AL12" s="308">
        <f>MAX(CSK[[#This Row],[G24 cp]],CSK[[#This Row],[G16 cp]],CSK[[#This Row],[G6 cp]])</f>
        <v>48</v>
      </c>
      <c r="AM12" s="308">
        <f>(SUM(CSK[[#This Row],[G24 cp]],CSK[[#This Row],[G16 cp]],CSK[[#This Row],[G6 cp]])-CSK[[#This Row],[B1 MAX]])/(CSK[[#This Row],[B1 Inn]]-1)</f>
        <v>20</v>
      </c>
      <c r="AN12" s="613">
        <f>MIN(CSK[[#This Row],[G24 cp]],CSK[[#This Row],[G16 cp]],CSK[[#This Row],[G6 cp]])</f>
        <v>20</v>
      </c>
      <c r="AO12" s="657"/>
      <c r="AP12" s="664"/>
      <c r="AQ12" s="308"/>
      <c r="AR12" s="308"/>
      <c r="AS12" s="308"/>
      <c r="AT12" s="672"/>
      <c r="AU12" s="308"/>
      <c r="AV12" s="308"/>
      <c r="AW12" s="308"/>
      <c r="AX12" s="307">
        <f xml:space="preserve"> COUNTA(CSK[[#This Row],[G29 cp]],CSK[[#This Row],[G12 cp]],CSK[[#This Row],[G1 cp]])</f>
        <v>2</v>
      </c>
      <c r="AY12" s="308">
        <f>MAX(CSK[[#This Row],[G29 cp]],CSK[[#This Row],[G12 cp]],CSK[[#This Row],[G1 cp]])</f>
        <v>36</v>
      </c>
      <c r="AZ12" s="308">
        <f>( SUM(CSK[[#This Row],[G29 cp]],CSK[[#This Row],[G12 cp]],CSK[[#This Row],[G1 cp]]) -CSK[[#This Row],[CH MAX]]) / ( CSK[[#This Row],[CHS Inn]] - 1 )</f>
        <v>29</v>
      </c>
      <c r="BA12" s="613">
        <f>MIN(CSK[[#This Row],[G29 cp]],CSK[[#This Row],[G12 cp]],CSK[[#This Row],[G1 cp]])</f>
        <v>29</v>
      </c>
      <c r="BB12" s="307">
        <v>8</v>
      </c>
      <c r="BC12" s="308"/>
      <c r="BD12" s="308"/>
      <c r="BE12" s="308"/>
      <c r="BF12" s="308"/>
      <c r="BG12" s="308"/>
      <c r="BH12" s="308"/>
      <c r="BI12" s="308"/>
      <c r="BJ12" s="613">
        <v>36</v>
      </c>
      <c r="BK12" s="308">
        <v>8</v>
      </c>
      <c r="BL12" s="308" t="s">
        <v>876</v>
      </c>
      <c r="BM12" s="308">
        <v>1</v>
      </c>
      <c r="BN12" s="308">
        <v>1</v>
      </c>
      <c r="BO12" s="308"/>
      <c r="BP12" s="308"/>
      <c r="BQ12" s="307">
        <v>8</v>
      </c>
      <c r="BR12" s="308" t="s">
        <v>876</v>
      </c>
      <c r="BS12" s="308">
        <v>32</v>
      </c>
      <c r="BT12" s="308">
        <v>17</v>
      </c>
      <c r="BU12" s="308"/>
      <c r="BV12" s="308">
        <v>48</v>
      </c>
      <c r="BW12" s="305">
        <v>7</v>
      </c>
      <c r="BX12" s="306"/>
      <c r="BY12" s="306"/>
      <c r="BZ12" s="306"/>
      <c r="CA12" s="306"/>
      <c r="CB12" s="306"/>
      <c r="CC12" s="305">
        <v>8</v>
      </c>
      <c r="CD12" s="306" t="s">
        <v>320</v>
      </c>
      <c r="CE12" s="306">
        <v>12</v>
      </c>
      <c r="CF12" s="306">
        <v>3</v>
      </c>
      <c r="CG12" s="306"/>
      <c r="CH12" s="306">
        <v>20</v>
      </c>
      <c r="CI12" s="305">
        <v>8</v>
      </c>
      <c r="CJ12" s="306" t="s">
        <v>372</v>
      </c>
      <c r="CK12" s="306">
        <v>14</v>
      </c>
      <c r="CL12" s="306">
        <v>7</v>
      </c>
      <c r="CM12" s="306"/>
      <c r="CN12" s="306">
        <v>29</v>
      </c>
    </row>
    <row r="13" spans="2:92">
      <c r="B13" s="623" t="s">
        <v>141</v>
      </c>
      <c r="C13" s="213" t="s">
        <v>821</v>
      </c>
      <c r="D13" s="213">
        <v>0.2</v>
      </c>
      <c r="E13" s="213" t="s">
        <v>782</v>
      </c>
      <c r="F13" s="213" t="s">
        <v>56</v>
      </c>
      <c r="G13" s="213" t="s">
        <v>56</v>
      </c>
      <c r="H13" s="630"/>
      <c r="I13" s="637"/>
      <c r="J13" s="644"/>
      <c r="K13" s="623"/>
      <c r="L13" s="623"/>
      <c r="M13" s="623"/>
      <c r="N13" s="651"/>
      <c r="O13" s="623"/>
      <c r="P13" s="623"/>
      <c r="Q13" s="623"/>
      <c r="R13" s="288">
        <f>COUNTA(CSK[[#This Row],[G29 cp]],CSK[[#This Row],[G24 cp]],CSK[[#This Row],[G16 cp]],CSK[[#This Row],[G12 cp]],CSK[[#This Row],[G6 cp]],CSK[[#This Row],[G1 cp]])</f>
        <v>6</v>
      </c>
      <c r="S13" s="215">
        <f>MAX(CSK[[#This Row],[G29 cp]],CSK[[#This Row],[G24 cp]],CSK[[#This Row],[G16 cp]],CSK[[#This Row],[G12 cp]],CSK[[#This Row],[G6 cp]],CSK[[#This Row],[G1 cp]])</f>
        <v>80</v>
      </c>
      <c r="T13" s="215">
        <f>( SUM(CSK[[#This Row],[G29 cp]],CSK[[#This Row],[G24 cp]],CSK[[#This Row],[G16 cp]],CSK[[#This Row],[G12 cp]],CSK[[#This Row],[G6 cp]],CSK[[#This Row],[G1 cp]]) - CSK[[#This Row],[Max]] ) /  ( CSK[[#This Row],[Innings]] - 1)</f>
        <v>37.200000000000003</v>
      </c>
      <c r="U13" s="616">
        <f>MIN(CSK[[#This Row],[G29 cp]],CSK[[#This Row],[G24 cp]],CSK[[#This Row],[G16 cp]],CSK[[#This Row],[G12 cp]],CSK[[#This Row],[G6 cp]],CSK[[#This Row],[G1 cp]])</f>
        <v>4</v>
      </c>
      <c r="V13" s="288">
        <f>CSK[[#This Row],[G29 cp]]</f>
        <v>4</v>
      </c>
      <c r="W13" s="215">
        <f>CSK[[#This Row],[G24 cp]]</f>
        <v>80</v>
      </c>
      <c r="X13" s="215">
        <f>CSK[[#This Row],[G16 cp]]</f>
        <v>54</v>
      </c>
      <c r="Y13" s="215">
        <f>CSK[[#This Row],[G12 cp]]</f>
        <v>50</v>
      </c>
      <c r="Z13" s="215">
        <f>CSK[[#This Row],[G6 cp]]</f>
        <v>50</v>
      </c>
      <c r="AA13" s="616">
        <f>CSK[[#This Row],[G1 cp]]</f>
        <v>28</v>
      </c>
      <c r="AB13" s="658"/>
      <c r="AC13" s="665"/>
      <c r="AD13" s="215"/>
      <c r="AE13" s="215"/>
      <c r="AF13" s="215"/>
      <c r="AG13" s="658"/>
      <c r="AH13" s="215"/>
      <c r="AI13" s="215"/>
      <c r="AJ13" s="215"/>
      <c r="AK13" s="288">
        <f>COUNTA(CSK[[#This Row],[G24 cp]],CSK[[#This Row],[G16 cp]],CSK[[#This Row],[G6 cp]])</f>
        <v>3</v>
      </c>
      <c r="AL13" s="215">
        <f>MAX(CSK[[#This Row],[G24 cp]],CSK[[#This Row],[G16 cp]],CSK[[#This Row],[G6 cp]])</f>
        <v>80</v>
      </c>
      <c r="AM13" s="215">
        <f>(SUM(CSK[[#This Row],[G24 cp]],CSK[[#This Row],[G16 cp]],CSK[[#This Row],[G6 cp]])-CSK[[#This Row],[B1 MAX]])/(CSK[[#This Row],[B1 Inn]]-1)</f>
        <v>52</v>
      </c>
      <c r="AN13" s="616">
        <f>MIN(CSK[[#This Row],[G24 cp]],CSK[[#This Row],[G16 cp]],CSK[[#This Row],[G6 cp]])</f>
        <v>50</v>
      </c>
      <c r="AO13" s="658"/>
      <c r="AP13" s="665"/>
      <c r="AQ13" s="215"/>
      <c r="AR13" s="215"/>
      <c r="AS13" s="215"/>
      <c r="AT13" s="673"/>
      <c r="AU13" s="215"/>
      <c r="AV13" s="215"/>
      <c r="AW13" s="215"/>
      <c r="AX13" s="288">
        <f xml:space="preserve"> COUNTA(CSK[[#This Row],[G29 cp]],CSK[[#This Row],[G12 cp]],CSK[[#This Row],[G1 cp]])</f>
        <v>3</v>
      </c>
      <c r="AY13" s="215">
        <f>MAX(CSK[[#This Row],[G29 cp]],CSK[[#This Row],[G12 cp]],CSK[[#This Row],[G1 cp]])</f>
        <v>50</v>
      </c>
      <c r="AZ13" s="215">
        <f>( SUM(CSK[[#This Row],[G29 cp]],CSK[[#This Row],[G12 cp]],CSK[[#This Row],[G1 cp]]) -CSK[[#This Row],[CH MAX]]) / ( CSK[[#This Row],[CHS Inn]] - 1 )</f>
        <v>16</v>
      </c>
      <c r="BA13" s="616">
        <f>MIN(CSK[[#This Row],[G29 cp]],CSK[[#This Row],[G12 cp]],CSK[[#This Row],[G1 cp]])</f>
        <v>4</v>
      </c>
      <c r="BB13" s="288">
        <v>9</v>
      </c>
      <c r="BC13" s="215"/>
      <c r="BD13" s="215"/>
      <c r="BE13" s="215"/>
      <c r="BF13" s="215"/>
      <c r="BG13" s="215">
        <v>3</v>
      </c>
      <c r="BH13" s="215">
        <v>26</v>
      </c>
      <c r="BI13" s="215">
        <v>0</v>
      </c>
      <c r="BJ13" s="616">
        <v>4</v>
      </c>
      <c r="BK13" s="215">
        <v>9</v>
      </c>
      <c r="BL13" s="215"/>
      <c r="BM13" s="215"/>
      <c r="BN13" s="215"/>
      <c r="BO13" s="215" t="s">
        <v>1106</v>
      </c>
      <c r="BP13" s="215">
        <v>80</v>
      </c>
      <c r="BQ13" s="288">
        <v>9</v>
      </c>
      <c r="BR13" s="215"/>
      <c r="BS13" s="215"/>
      <c r="BT13" s="215"/>
      <c r="BU13" s="215" t="s">
        <v>878</v>
      </c>
      <c r="BV13" s="215">
        <v>54</v>
      </c>
      <c r="BW13" s="214">
        <v>11</v>
      </c>
      <c r="BX13" s="213"/>
      <c r="BY13" s="213"/>
      <c r="BZ13" s="213"/>
      <c r="CA13" s="213" t="s">
        <v>771</v>
      </c>
      <c r="CB13" s="213">
        <v>50</v>
      </c>
      <c r="CC13" s="214">
        <v>12</v>
      </c>
      <c r="CD13" s="213"/>
      <c r="CE13" s="213"/>
      <c r="CF13" s="213"/>
      <c r="CG13" s="213" t="s">
        <v>387</v>
      </c>
      <c r="CH13" s="213">
        <v>50</v>
      </c>
      <c r="CI13" s="214">
        <v>12</v>
      </c>
      <c r="CJ13" s="213"/>
      <c r="CK13" s="213"/>
      <c r="CL13" s="213"/>
      <c r="CM13" s="213" t="s">
        <v>376</v>
      </c>
      <c r="CN13" s="213">
        <v>28</v>
      </c>
    </row>
    <row r="14" spans="2:92">
      <c r="B14" s="624" t="s">
        <v>141</v>
      </c>
      <c r="C14" s="310" t="s">
        <v>886</v>
      </c>
      <c r="D14" s="310">
        <v>0.7</v>
      </c>
      <c r="E14" s="310" t="s">
        <v>1125</v>
      </c>
      <c r="F14" s="310" t="s">
        <v>56</v>
      </c>
      <c r="G14" s="310" t="s">
        <v>56</v>
      </c>
      <c r="H14" s="631" t="s">
        <v>1004</v>
      </c>
      <c r="I14" s="638"/>
      <c r="J14" s="645"/>
      <c r="K14" s="624"/>
      <c r="L14" s="624"/>
      <c r="M14" s="624"/>
      <c r="N14" s="652"/>
      <c r="O14" s="624"/>
      <c r="P14" s="624"/>
      <c r="Q14" s="624"/>
      <c r="R14" s="311">
        <f>COUNTA(CSK[[#This Row],[G29 cp]],CSK[[#This Row],[G24 cp]],CSK[[#This Row],[G16 cp]],CSK[[#This Row],[G12 cp]],CSK[[#This Row],[G6 cp]],CSK[[#This Row],[G1 cp]])</f>
        <v>3</v>
      </c>
      <c r="S14" s="312">
        <f>MAX(CSK[[#This Row],[G29 cp]],CSK[[#This Row],[G24 cp]],CSK[[#This Row],[G16 cp]],CSK[[#This Row],[G12 cp]],CSK[[#This Row],[G6 cp]],CSK[[#This Row],[G1 cp]])</f>
        <v>29</v>
      </c>
      <c r="T14" s="312">
        <f>( SUM(CSK[[#This Row],[G29 cp]],CSK[[#This Row],[G24 cp]],CSK[[#This Row],[G16 cp]],CSK[[#This Row],[G12 cp]],CSK[[#This Row],[G6 cp]],CSK[[#This Row],[G1 cp]]) - CSK[[#This Row],[Max]] ) /  ( CSK[[#This Row],[Innings]] - 1)</f>
        <v>19</v>
      </c>
      <c r="U14" s="615">
        <f>MIN(CSK[[#This Row],[G29 cp]],CSK[[#This Row],[G24 cp]],CSK[[#This Row],[G16 cp]],CSK[[#This Row],[G12 cp]],CSK[[#This Row],[G6 cp]],CSK[[#This Row],[G1 cp]])</f>
        <v>10</v>
      </c>
      <c r="V14" s="311">
        <f>CSK[[#This Row],[G29 cp]]</f>
        <v>29</v>
      </c>
      <c r="W14" s="312">
        <f>CSK[[#This Row],[G24 cp]]</f>
        <v>28</v>
      </c>
      <c r="X14" s="312">
        <f>CSK[[#This Row],[G16 cp]]</f>
        <v>10</v>
      </c>
      <c r="Y14" s="312">
        <f>CSK[[#This Row],[G12 cp]]</f>
        <v>0</v>
      </c>
      <c r="Z14" s="312">
        <f>CSK[[#This Row],[G6 cp]]</f>
        <v>0</v>
      </c>
      <c r="AA14" s="615">
        <f>CSK[[#This Row],[G1 cp]]</f>
        <v>0</v>
      </c>
      <c r="AB14" s="659"/>
      <c r="AC14" s="666"/>
      <c r="AD14" s="312"/>
      <c r="AE14" s="312"/>
      <c r="AF14" s="312"/>
      <c r="AG14" s="659"/>
      <c r="AH14" s="312"/>
      <c r="AI14" s="312"/>
      <c r="AJ14" s="312"/>
      <c r="AK14" s="311">
        <f>COUNTA(CSK[[#This Row],[G24 cp]],CSK[[#This Row],[G16 cp]],CSK[[#This Row],[G6 cp]])</f>
        <v>2</v>
      </c>
      <c r="AL14" s="312">
        <f>MAX(CSK[[#This Row],[G24 cp]],CSK[[#This Row],[G16 cp]],CSK[[#This Row],[G6 cp]])</f>
        <v>28</v>
      </c>
      <c r="AM14" s="312">
        <f>(SUM(CSK[[#This Row],[G24 cp]],CSK[[#This Row],[G16 cp]],CSK[[#This Row],[G6 cp]])-CSK[[#This Row],[B1 MAX]])/(CSK[[#This Row],[B1 Inn]]-1)</f>
        <v>10</v>
      </c>
      <c r="AN14" s="615">
        <f>MIN(CSK[[#This Row],[G24 cp]],CSK[[#This Row],[G16 cp]],CSK[[#This Row],[G6 cp]])</f>
        <v>10</v>
      </c>
      <c r="AO14" s="659"/>
      <c r="AP14" s="666"/>
      <c r="AQ14" s="312"/>
      <c r="AR14" s="312"/>
      <c r="AS14" s="312"/>
      <c r="AT14" s="674"/>
      <c r="AU14" s="312"/>
      <c r="AV14" s="312"/>
      <c r="AW14" s="312"/>
      <c r="AX14" s="311">
        <f xml:space="preserve"> COUNTA(CSK[[#This Row],[G29 cp]],CSK[[#This Row],[G12 cp]],CSK[[#This Row],[G1 cp]])</f>
        <v>1</v>
      </c>
      <c r="AY14" s="312">
        <f>MAX(CSK[[#This Row],[G29 cp]],CSK[[#This Row],[G12 cp]],CSK[[#This Row],[G1 cp]])</f>
        <v>29</v>
      </c>
      <c r="AZ14" s="312" t="e">
        <f>( SUM(CSK[[#This Row],[G29 cp]],CSK[[#This Row],[G12 cp]],CSK[[#This Row],[G1 cp]]) -CSK[[#This Row],[CH MAX]]) / ( CSK[[#This Row],[CHS Inn]] - 1 )</f>
        <v>#DIV/0!</v>
      </c>
      <c r="BA14" s="615">
        <f>MIN(CSK[[#This Row],[G29 cp]],CSK[[#This Row],[G12 cp]],CSK[[#This Row],[G1 cp]])</f>
        <v>29</v>
      </c>
      <c r="BB14" s="311">
        <v>10</v>
      </c>
      <c r="BC14" s="312"/>
      <c r="BD14" s="312"/>
      <c r="BE14" s="312"/>
      <c r="BF14" s="312"/>
      <c r="BG14" s="312">
        <v>4</v>
      </c>
      <c r="BH14" s="312">
        <v>27</v>
      </c>
      <c r="BI14" s="312">
        <v>1</v>
      </c>
      <c r="BJ14" s="615">
        <v>29</v>
      </c>
      <c r="BK14" s="312">
        <v>10</v>
      </c>
      <c r="BL14" s="312"/>
      <c r="BM14" s="312"/>
      <c r="BN14" s="312"/>
      <c r="BO14" s="312" t="s">
        <v>1107</v>
      </c>
      <c r="BP14" s="312">
        <v>28</v>
      </c>
      <c r="BQ14" s="311">
        <v>10</v>
      </c>
      <c r="BR14" s="312"/>
      <c r="BS14" s="312"/>
      <c r="BT14" s="312"/>
      <c r="BU14" s="312" t="s">
        <v>879</v>
      </c>
      <c r="BV14" s="312">
        <v>10</v>
      </c>
      <c r="BW14" s="309">
        <v>24</v>
      </c>
      <c r="BX14" s="310"/>
      <c r="BY14" s="310"/>
      <c r="BZ14" s="310"/>
      <c r="CA14" s="310"/>
      <c r="CB14" s="310"/>
      <c r="CC14" s="309"/>
      <c r="CD14" s="310"/>
      <c r="CE14" s="310"/>
      <c r="CF14" s="310"/>
      <c r="CG14" s="310"/>
      <c r="CH14" s="310"/>
      <c r="CI14" s="309"/>
      <c r="CJ14" s="310"/>
      <c r="CK14" s="310"/>
      <c r="CL14" s="310"/>
      <c r="CM14" s="310"/>
      <c r="CN14" s="310"/>
    </row>
    <row r="15" spans="2:92">
      <c r="B15" s="623" t="s">
        <v>141</v>
      </c>
      <c r="C15" s="213" t="s">
        <v>835</v>
      </c>
      <c r="D15" s="213">
        <v>0.2</v>
      </c>
      <c r="E15" s="213" t="s">
        <v>827</v>
      </c>
      <c r="F15" s="213" t="s">
        <v>56</v>
      </c>
      <c r="G15" s="213" t="s">
        <v>56</v>
      </c>
      <c r="H15" s="630"/>
      <c r="I15" s="637"/>
      <c r="J15" s="644"/>
      <c r="K15" s="623"/>
      <c r="L15" s="623"/>
      <c r="M15" s="623"/>
      <c r="N15" s="651"/>
      <c r="O15" s="623"/>
      <c r="P15" s="623"/>
      <c r="Q15" s="623"/>
      <c r="R15" s="288">
        <f>COUNTA(CSK[[#This Row],[G29 cp]],CSK[[#This Row],[G24 cp]],CSK[[#This Row],[G16 cp]],CSK[[#This Row],[G12 cp]],CSK[[#This Row],[G6 cp]],CSK[[#This Row],[G1 cp]])</f>
        <v>2</v>
      </c>
      <c r="S15" s="215">
        <f>MAX(CSK[[#This Row],[G29 cp]],CSK[[#This Row],[G24 cp]],CSK[[#This Row],[G16 cp]],CSK[[#This Row],[G12 cp]],CSK[[#This Row],[G6 cp]],CSK[[#This Row],[G1 cp]])</f>
        <v>54</v>
      </c>
      <c r="T15" s="215">
        <f>( SUM(CSK[[#This Row],[G29 cp]],CSK[[#This Row],[G24 cp]],CSK[[#This Row],[G16 cp]],CSK[[#This Row],[G12 cp]],CSK[[#This Row],[G6 cp]],CSK[[#This Row],[G1 cp]]) - CSK[[#This Row],[Max]] ) /  ( CSK[[#This Row],[Innings]] - 1)</f>
        <v>31</v>
      </c>
      <c r="U15" s="616">
        <f>MIN(CSK[[#This Row],[G29 cp]],CSK[[#This Row],[G24 cp]],CSK[[#This Row],[G16 cp]],CSK[[#This Row],[G12 cp]],CSK[[#This Row],[G6 cp]],CSK[[#This Row],[G1 cp]])</f>
        <v>31</v>
      </c>
      <c r="V15" s="288">
        <f>CSK[[#This Row],[G29 cp]]</f>
        <v>31</v>
      </c>
      <c r="W15" s="215">
        <f>CSK[[#This Row],[G24 cp]]</f>
        <v>54</v>
      </c>
      <c r="X15" s="215">
        <f>CSK[[#This Row],[G16 cp]]</f>
        <v>0</v>
      </c>
      <c r="Y15" s="215">
        <f>CSK[[#This Row],[G12 cp]]</f>
        <v>0</v>
      </c>
      <c r="Z15" s="215">
        <f>CSK[[#This Row],[G6 cp]]</f>
        <v>0</v>
      </c>
      <c r="AA15" s="616">
        <f>CSK[[#This Row],[G1 cp]]</f>
        <v>0</v>
      </c>
      <c r="AB15" s="658"/>
      <c r="AC15" s="665"/>
      <c r="AD15" s="215"/>
      <c r="AE15" s="215"/>
      <c r="AF15" s="215"/>
      <c r="AG15" s="658"/>
      <c r="AH15" s="215"/>
      <c r="AI15" s="215"/>
      <c r="AJ15" s="215"/>
      <c r="AK15" s="288">
        <f>COUNTA(CSK[[#This Row],[G24 cp]],CSK[[#This Row],[G16 cp]],CSK[[#This Row],[G6 cp]])</f>
        <v>1</v>
      </c>
      <c r="AL15" s="215">
        <f>MAX(CSK[[#This Row],[G24 cp]],CSK[[#This Row],[G16 cp]],CSK[[#This Row],[G6 cp]])</f>
        <v>54</v>
      </c>
      <c r="AM15" s="215" t="e">
        <f>(SUM(CSK[[#This Row],[G24 cp]],CSK[[#This Row],[G16 cp]],CSK[[#This Row],[G6 cp]])-CSK[[#This Row],[B1 MAX]])/(CSK[[#This Row],[B1 Inn]]-1)</f>
        <v>#DIV/0!</v>
      </c>
      <c r="AN15" s="616">
        <f>MIN(CSK[[#This Row],[G24 cp]],CSK[[#This Row],[G16 cp]],CSK[[#This Row],[G6 cp]])</f>
        <v>54</v>
      </c>
      <c r="AO15" s="658"/>
      <c r="AP15" s="665"/>
      <c r="AQ15" s="215"/>
      <c r="AR15" s="215"/>
      <c r="AS15" s="215"/>
      <c r="AT15" s="673"/>
      <c r="AU15" s="215"/>
      <c r="AV15" s="215"/>
      <c r="AW15" s="215"/>
      <c r="AX15" s="288">
        <f xml:space="preserve"> COUNTA(CSK[[#This Row],[G29 cp]],CSK[[#This Row],[G12 cp]],CSK[[#This Row],[G1 cp]])</f>
        <v>1</v>
      </c>
      <c r="AY15" s="215">
        <f>MAX(CSK[[#This Row],[G29 cp]],CSK[[#This Row],[G12 cp]],CSK[[#This Row],[G1 cp]])</f>
        <v>31</v>
      </c>
      <c r="AZ15" s="215" t="e">
        <f>( SUM(CSK[[#This Row],[G29 cp]],CSK[[#This Row],[G12 cp]],CSK[[#This Row],[G1 cp]]) -CSK[[#This Row],[CH MAX]]) / ( CSK[[#This Row],[CHS Inn]] - 1 )</f>
        <v>#DIV/0!</v>
      </c>
      <c r="BA15" s="616">
        <f>MIN(CSK[[#This Row],[G29 cp]],CSK[[#This Row],[G12 cp]],CSK[[#This Row],[G1 cp]])</f>
        <v>31</v>
      </c>
      <c r="BB15" s="288">
        <v>11</v>
      </c>
      <c r="BC15" s="215"/>
      <c r="BD15" s="215"/>
      <c r="BE15" s="215"/>
      <c r="BF15" s="215"/>
      <c r="BG15" s="215">
        <v>4</v>
      </c>
      <c r="BH15" s="215">
        <v>22</v>
      </c>
      <c r="BI15" s="215">
        <v>1</v>
      </c>
      <c r="BJ15" s="616">
        <v>31</v>
      </c>
      <c r="BK15" s="215">
        <v>11</v>
      </c>
      <c r="BL15" s="215"/>
      <c r="BM15" s="215"/>
      <c r="BN15" s="215"/>
      <c r="BO15" s="215" t="s">
        <v>1108</v>
      </c>
      <c r="BP15" s="215">
        <v>54</v>
      </c>
      <c r="BQ15" s="288"/>
      <c r="BR15" s="215"/>
      <c r="BS15" s="215"/>
      <c r="BT15" s="215"/>
      <c r="BU15" s="215"/>
      <c r="BV15" s="215"/>
      <c r="BW15" s="214"/>
      <c r="BX15" s="213"/>
      <c r="BY15" s="213"/>
      <c r="BZ15" s="213"/>
      <c r="CA15" s="213"/>
      <c r="CB15" s="213"/>
      <c r="CC15" s="214"/>
      <c r="CD15" s="213"/>
      <c r="CE15" s="213"/>
      <c r="CF15" s="213"/>
      <c r="CG15" s="213"/>
      <c r="CH15" s="213"/>
      <c r="CI15" s="214"/>
      <c r="CJ15" s="213"/>
      <c r="CK15" s="213"/>
      <c r="CL15" s="213"/>
      <c r="CM15" s="213"/>
      <c r="CN15" s="213"/>
    </row>
    <row r="16" spans="2:92">
      <c r="B16" s="623" t="s">
        <v>141</v>
      </c>
      <c r="C16" s="213" t="s">
        <v>834</v>
      </c>
      <c r="D16" s="213">
        <v>0.2</v>
      </c>
      <c r="E16" s="213" t="s">
        <v>631</v>
      </c>
      <c r="F16" s="213" t="s">
        <v>56</v>
      </c>
      <c r="G16" s="213" t="s">
        <v>56</v>
      </c>
      <c r="H16" s="630"/>
      <c r="I16" s="637"/>
      <c r="J16" s="644"/>
      <c r="K16" s="623"/>
      <c r="L16" s="623"/>
      <c r="M16" s="623"/>
      <c r="N16" s="651"/>
      <c r="O16" s="623"/>
      <c r="P16" s="623"/>
      <c r="Q16" s="623"/>
      <c r="R16" s="288">
        <f>COUNTA(CSK[[#This Row],[G29 cp]],CSK[[#This Row],[G24 cp]],CSK[[#This Row],[G16 cp]],CSK[[#This Row],[G12 cp]],CSK[[#This Row],[G6 cp]],CSK[[#This Row],[G1 cp]])</f>
        <v>3</v>
      </c>
      <c r="S16" s="215">
        <f>MAX(CSK[[#This Row],[G29 cp]],CSK[[#This Row],[G24 cp]],CSK[[#This Row],[G16 cp]],CSK[[#This Row],[G12 cp]],CSK[[#This Row],[G6 cp]],CSK[[#This Row],[G1 cp]])</f>
        <v>54</v>
      </c>
      <c r="T16" s="215">
        <f>( SUM(CSK[[#This Row],[G29 cp]],CSK[[#This Row],[G24 cp]],CSK[[#This Row],[G16 cp]],CSK[[#This Row],[G12 cp]],CSK[[#This Row],[G6 cp]],CSK[[#This Row],[G1 cp]]) - CSK[[#This Row],[Max]] ) /  ( CSK[[#This Row],[Innings]] - 1)</f>
        <v>34.5</v>
      </c>
      <c r="U16" s="616">
        <f>MIN(CSK[[#This Row],[G29 cp]],CSK[[#This Row],[G24 cp]],CSK[[#This Row],[G16 cp]],CSK[[#This Row],[G12 cp]],CSK[[#This Row],[G6 cp]],CSK[[#This Row],[G1 cp]])</f>
        <v>30</v>
      </c>
      <c r="V16" s="288">
        <f>CSK[[#This Row],[G29 cp]]</f>
        <v>39</v>
      </c>
      <c r="W16" s="215">
        <f>CSK[[#This Row],[G24 cp]]</f>
        <v>30</v>
      </c>
      <c r="X16" s="215">
        <f>CSK[[#This Row],[G16 cp]]</f>
        <v>54</v>
      </c>
      <c r="Y16" s="215">
        <f>CSK[[#This Row],[G12 cp]]</f>
        <v>0</v>
      </c>
      <c r="Z16" s="215">
        <f>CSK[[#This Row],[G6 cp]]</f>
        <v>0</v>
      </c>
      <c r="AA16" s="616">
        <f>CSK[[#This Row],[G1 cp]]</f>
        <v>0</v>
      </c>
      <c r="AB16" s="658"/>
      <c r="AC16" s="665"/>
      <c r="AD16" s="215"/>
      <c r="AE16" s="215"/>
      <c r="AF16" s="215"/>
      <c r="AG16" s="658"/>
      <c r="AH16" s="215"/>
      <c r="AI16" s="215"/>
      <c r="AJ16" s="215"/>
      <c r="AK16" s="288">
        <f>COUNTA(CSK[[#This Row],[G24 cp]],CSK[[#This Row],[G16 cp]],CSK[[#This Row],[G6 cp]])</f>
        <v>2</v>
      </c>
      <c r="AL16" s="215">
        <f>MAX(CSK[[#This Row],[G24 cp]],CSK[[#This Row],[G16 cp]],CSK[[#This Row],[G6 cp]])</f>
        <v>54</v>
      </c>
      <c r="AM16" s="215">
        <f>(SUM(CSK[[#This Row],[G24 cp]],CSK[[#This Row],[G16 cp]],CSK[[#This Row],[G6 cp]])-CSK[[#This Row],[B1 MAX]])/(CSK[[#This Row],[B1 Inn]]-1)</f>
        <v>30</v>
      </c>
      <c r="AN16" s="616">
        <f>MIN(CSK[[#This Row],[G24 cp]],CSK[[#This Row],[G16 cp]],CSK[[#This Row],[G6 cp]])</f>
        <v>30</v>
      </c>
      <c r="AO16" s="658"/>
      <c r="AP16" s="665"/>
      <c r="AQ16" s="215"/>
      <c r="AR16" s="215"/>
      <c r="AS16" s="215"/>
      <c r="AT16" s="673"/>
      <c r="AU16" s="215"/>
      <c r="AV16" s="215"/>
      <c r="AW16" s="215"/>
      <c r="AX16" s="288">
        <f xml:space="preserve"> COUNTA(CSK[[#This Row],[G29 cp]],CSK[[#This Row],[G12 cp]],CSK[[#This Row],[G1 cp]])</f>
        <v>1</v>
      </c>
      <c r="AY16" s="215">
        <f>MAX(CSK[[#This Row],[G29 cp]],CSK[[#This Row],[G12 cp]],CSK[[#This Row],[G1 cp]])</f>
        <v>39</v>
      </c>
      <c r="AZ16" s="215" t="e">
        <f>( SUM(CSK[[#This Row],[G29 cp]],CSK[[#This Row],[G12 cp]],CSK[[#This Row],[G1 cp]]) -CSK[[#This Row],[CH MAX]]) / ( CSK[[#This Row],[CHS Inn]] - 1 )</f>
        <v>#DIV/0!</v>
      </c>
      <c r="BA16" s="616">
        <f>MIN(CSK[[#This Row],[G29 cp]],CSK[[#This Row],[G12 cp]],CSK[[#This Row],[G1 cp]])</f>
        <v>39</v>
      </c>
      <c r="BB16" s="288">
        <v>12</v>
      </c>
      <c r="BC16" s="215"/>
      <c r="BD16" s="215"/>
      <c r="BE16" s="215"/>
      <c r="BF16" s="215"/>
      <c r="BG16" s="215">
        <v>3</v>
      </c>
      <c r="BH16" s="215">
        <v>17</v>
      </c>
      <c r="BI16" s="215">
        <v>1</v>
      </c>
      <c r="BJ16" s="616">
        <v>39</v>
      </c>
      <c r="BK16" s="215">
        <v>12</v>
      </c>
      <c r="BL16" s="215"/>
      <c r="BM16" s="215"/>
      <c r="BN16" s="215"/>
      <c r="BO16" s="215" t="s">
        <v>1105</v>
      </c>
      <c r="BP16" s="215">
        <v>30</v>
      </c>
      <c r="BQ16" s="288">
        <v>11</v>
      </c>
      <c r="BR16" s="215"/>
      <c r="BS16" s="215"/>
      <c r="BT16" s="215"/>
      <c r="BU16" s="215" t="s">
        <v>877</v>
      </c>
      <c r="BV16" s="215">
        <v>54</v>
      </c>
      <c r="BW16" s="214"/>
      <c r="BX16" s="213"/>
      <c r="BY16" s="213"/>
      <c r="BZ16" s="213"/>
      <c r="CA16" s="213"/>
      <c r="CB16" s="213"/>
      <c r="CC16" s="214"/>
      <c r="CD16" s="213"/>
      <c r="CE16" s="213"/>
      <c r="CF16" s="213"/>
      <c r="CG16" s="213"/>
      <c r="CH16" s="213"/>
      <c r="CI16" s="214"/>
      <c r="CJ16" s="213"/>
      <c r="CK16" s="213"/>
      <c r="CL16" s="213"/>
      <c r="CM16" s="213"/>
      <c r="CN16" s="213"/>
    </row>
    <row r="17" spans="2:92">
      <c r="B17" s="624" t="s">
        <v>141</v>
      </c>
      <c r="C17" s="310" t="s">
        <v>822</v>
      </c>
      <c r="D17" s="310">
        <v>0.5</v>
      </c>
      <c r="E17" s="310" t="s">
        <v>616</v>
      </c>
      <c r="F17" s="310" t="s">
        <v>56</v>
      </c>
      <c r="G17" s="310" t="s">
        <v>56</v>
      </c>
      <c r="H17" s="631" t="s">
        <v>1004</v>
      </c>
      <c r="I17" s="638"/>
      <c r="J17" s="645"/>
      <c r="K17" s="624"/>
      <c r="L17" s="624"/>
      <c r="M17" s="624"/>
      <c r="N17" s="652"/>
      <c r="O17" s="624"/>
      <c r="P17" s="624"/>
      <c r="Q17" s="624"/>
      <c r="R17" s="311">
        <f>COUNTA(CSK[[#This Row],[G29 cp]],CSK[[#This Row],[G24 cp]],CSK[[#This Row],[G16 cp]],CSK[[#This Row],[G12 cp]],CSK[[#This Row],[G6 cp]],CSK[[#This Row],[G1 cp]])</f>
        <v>2</v>
      </c>
      <c r="S17" s="312">
        <f>MAX(CSK[[#This Row],[G29 cp]],CSK[[#This Row],[G24 cp]],CSK[[#This Row],[G16 cp]],CSK[[#This Row],[G12 cp]],CSK[[#This Row],[G6 cp]],CSK[[#This Row],[G1 cp]])</f>
        <v>25</v>
      </c>
      <c r="T17" s="312">
        <f>( SUM(CSK[[#This Row],[G29 cp]],CSK[[#This Row],[G24 cp]],CSK[[#This Row],[G16 cp]],CSK[[#This Row],[G12 cp]],CSK[[#This Row],[G6 cp]],CSK[[#This Row],[G1 cp]]) - CSK[[#This Row],[Max]] ) /  ( CSK[[#This Row],[Innings]] - 1)</f>
        <v>12</v>
      </c>
      <c r="U17" s="615">
        <f>MIN(CSK[[#This Row],[G29 cp]],CSK[[#This Row],[G24 cp]],CSK[[#This Row],[G16 cp]],CSK[[#This Row],[G12 cp]],CSK[[#This Row],[G6 cp]],CSK[[#This Row],[G1 cp]])</f>
        <v>12</v>
      </c>
      <c r="V17" s="311">
        <f>CSK[[#This Row],[G29 cp]]</f>
        <v>0</v>
      </c>
      <c r="W17" s="312">
        <f>CSK[[#This Row],[G24 cp]]</f>
        <v>0</v>
      </c>
      <c r="X17" s="312">
        <f>CSK[[#This Row],[G16 cp]]</f>
        <v>12</v>
      </c>
      <c r="Y17" s="312">
        <f>CSK[[#This Row],[G12 cp]]</f>
        <v>25</v>
      </c>
      <c r="Z17" s="312">
        <f>CSK[[#This Row],[G6 cp]]</f>
        <v>0</v>
      </c>
      <c r="AA17" s="615">
        <f>CSK[[#This Row],[G1 cp]]</f>
        <v>0</v>
      </c>
      <c r="AB17" s="659"/>
      <c r="AC17" s="666"/>
      <c r="AD17" s="312"/>
      <c r="AE17" s="312"/>
      <c r="AF17" s="312"/>
      <c r="AG17" s="659"/>
      <c r="AH17" s="312"/>
      <c r="AI17" s="312"/>
      <c r="AJ17" s="312"/>
      <c r="AK17" s="311">
        <f>COUNTA(CSK[[#This Row],[G24 cp]],CSK[[#This Row],[G16 cp]],CSK[[#This Row],[G6 cp]])</f>
        <v>1</v>
      </c>
      <c r="AL17" s="312">
        <f>MAX(CSK[[#This Row],[G24 cp]],CSK[[#This Row],[G16 cp]],CSK[[#This Row],[G6 cp]])</f>
        <v>12</v>
      </c>
      <c r="AM17" s="312" t="e">
        <f>(SUM(CSK[[#This Row],[G24 cp]],CSK[[#This Row],[G16 cp]],CSK[[#This Row],[G6 cp]])-CSK[[#This Row],[B1 MAX]])/(CSK[[#This Row],[B1 Inn]]-1)</f>
        <v>#DIV/0!</v>
      </c>
      <c r="AN17" s="615">
        <f>MIN(CSK[[#This Row],[G24 cp]],CSK[[#This Row],[G16 cp]],CSK[[#This Row],[G6 cp]])</f>
        <v>12</v>
      </c>
      <c r="AO17" s="659"/>
      <c r="AP17" s="666"/>
      <c r="AQ17" s="312"/>
      <c r="AR17" s="312"/>
      <c r="AS17" s="312"/>
      <c r="AT17" s="674"/>
      <c r="AU17" s="312"/>
      <c r="AV17" s="312"/>
      <c r="AW17" s="312"/>
      <c r="AX17" s="311">
        <f xml:space="preserve"> COUNTA(CSK[[#This Row],[G29 cp]],CSK[[#This Row],[G12 cp]],CSK[[#This Row],[G1 cp]])</f>
        <v>1</v>
      </c>
      <c r="AY17" s="312">
        <f>MAX(CSK[[#This Row],[G29 cp]],CSK[[#This Row],[G12 cp]],CSK[[#This Row],[G1 cp]])</f>
        <v>25</v>
      </c>
      <c r="AZ17" s="312" t="e">
        <f>( SUM(CSK[[#This Row],[G29 cp]],CSK[[#This Row],[G12 cp]],CSK[[#This Row],[G1 cp]]) -CSK[[#This Row],[CH MAX]]) / ( CSK[[#This Row],[CHS Inn]] - 1 )</f>
        <v>#DIV/0!</v>
      </c>
      <c r="BA17" s="615">
        <f>MIN(CSK[[#This Row],[G29 cp]],CSK[[#This Row],[G12 cp]],CSK[[#This Row],[G1 cp]])</f>
        <v>25</v>
      </c>
      <c r="BB17" s="311"/>
      <c r="BC17" s="312"/>
      <c r="BD17" s="312"/>
      <c r="BE17" s="312"/>
      <c r="BF17" s="312"/>
      <c r="BG17" s="312"/>
      <c r="BH17" s="312"/>
      <c r="BI17" s="312"/>
      <c r="BJ17" s="615"/>
      <c r="BK17" s="312"/>
      <c r="BL17" s="312"/>
      <c r="BM17" s="312"/>
      <c r="BN17" s="312"/>
      <c r="BO17" s="312"/>
      <c r="BP17" s="312"/>
      <c r="BQ17" s="311">
        <v>12</v>
      </c>
      <c r="BR17" s="312"/>
      <c r="BS17" s="312"/>
      <c r="BT17" s="312"/>
      <c r="BU17" s="312" t="s">
        <v>880</v>
      </c>
      <c r="BV17" s="312">
        <v>12</v>
      </c>
      <c r="BW17" s="309">
        <v>10</v>
      </c>
      <c r="BX17" s="310"/>
      <c r="BY17" s="310"/>
      <c r="BZ17" s="310"/>
      <c r="CA17" s="310" t="s">
        <v>772</v>
      </c>
      <c r="CB17" s="310">
        <v>25</v>
      </c>
      <c r="CC17" s="309"/>
      <c r="CD17" s="310"/>
      <c r="CE17" s="310"/>
      <c r="CF17" s="310"/>
      <c r="CG17" s="310"/>
      <c r="CH17" s="310"/>
      <c r="CI17" s="309"/>
      <c r="CJ17" s="310"/>
      <c r="CK17" s="310"/>
      <c r="CL17" s="310"/>
      <c r="CM17" s="310"/>
      <c r="CN17" s="310"/>
    </row>
    <row r="18" spans="2:92">
      <c r="B18" s="621" t="s">
        <v>141</v>
      </c>
      <c r="C18" s="302" t="s">
        <v>823</v>
      </c>
      <c r="D18" s="302">
        <v>1.9</v>
      </c>
      <c r="E18" s="302" t="s">
        <v>634</v>
      </c>
      <c r="F18" s="302" t="s">
        <v>55</v>
      </c>
      <c r="G18" s="302" t="s">
        <v>55</v>
      </c>
      <c r="H18" s="628" t="s">
        <v>1006</v>
      </c>
      <c r="I18" s="635"/>
      <c r="J18" s="642"/>
      <c r="K18" s="621"/>
      <c r="L18" s="621"/>
      <c r="M18" s="621"/>
      <c r="N18" s="649"/>
      <c r="O18" s="621"/>
      <c r="P18" s="621"/>
      <c r="Q18" s="621"/>
      <c r="R18" s="303">
        <f>COUNTA(CSK[[#This Row],[G29 cp]],CSK[[#This Row],[G24 cp]],CSK[[#This Row],[G16 cp]],CSK[[#This Row],[G12 cp]],CSK[[#This Row],[G6 cp]],CSK[[#This Row],[G1 cp]])</f>
        <v>3</v>
      </c>
      <c r="S18" s="304">
        <f>MAX(CSK[[#This Row],[G29 cp]],CSK[[#This Row],[G24 cp]],CSK[[#This Row],[G16 cp]],CSK[[#This Row],[G12 cp]],CSK[[#This Row],[G6 cp]],CSK[[#This Row],[G1 cp]])</f>
        <v>60</v>
      </c>
      <c r="T18" s="304">
        <f>( SUM(CSK[[#This Row],[G29 cp]],CSK[[#This Row],[G24 cp]],CSK[[#This Row],[G16 cp]],CSK[[#This Row],[G12 cp]],CSK[[#This Row],[G6 cp]],CSK[[#This Row],[G1 cp]]) - CSK[[#This Row],[Max]] ) /  ( CSK[[#This Row],[Innings]] - 1)</f>
        <v>26.5</v>
      </c>
      <c r="U18" s="614">
        <f>MIN(CSK[[#This Row],[G29 cp]],CSK[[#This Row],[G24 cp]],CSK[[#This Row],[G16 cp]],CSK[[#This Row],[G12 cp]],CSK[[#This Row],[G6 cp]],CSK[[#This Row],[G1 cp]])</f>
        <v>13</v>
      </c>
      <c r="V18" s="303">
        <f>CSK[[#This Row],[G29 cp]]</f>
        <v>0</v>
      </c>
      <c r="W18" s="304">
        <f>CSK[[#This Row],[G24 cp]]</f>
        <v>0</v>
      </c>
      <c r="X18" s="304">
        <f>CSK[[#This Row],[G16 cp]]</f>
        <v>0</v>
      </c>
      <c r="Y18" s="304">
        <f>CSK[[#This Row],[G12 cp]]</f>
        <v>60</v>
      </c>
      <c r="Z18" s="304">
        <f>CSK[[#This Row],[G6 cp]]</f>
        <v>40</v>
      </c>
      <c r="AA18" s="614">
        <f>CSK[[#This Row],[G1 cp]]</f>
        <v>13</v>
      </c>
      <c r="AB18" s="656"/>
      <c r="AC18" s="663"/>
      <c r="AD18" s="304"/>
      <c r="AE18" s="304"/>
      <c r="AF18" s="304"/>
      <c r="AG18" s="656"/>
      <c r="AH18" s="304"/>
      <c r="AI18" s="304"/>
      <c r="AJ18" s="304"/>
      <c r="AK18" s="303">
        <f>COUNTA(CSK[[#This Row],[G24 cp]],CSK[[#This Row],[G16 cp]],CSK[[#This Row],[G6 cp]])</f>
        <v>1</v>
      </c>
      <c r="AL18" s="304">
        <f>MAX(CSK[[#This Row],[G24 cp]],CSK[[#This Row],[G16 cp]],CSK[[#This Row],[G6 cp]])</f>
        <v>40</v>
      </c>
      <c r="AM18" s="304" t="e">
        <f>(SUM(CSK[[#This Row],[G24 cp]],CSK[[#This Row],[G16 cp]],CSK[[#This Row],[G6 cp]])-CSK[[#This Row],[B1 MAX]])/(CSK[[#This Row],[B1 Inn]]-1)</f>
        <v>#DIV/0!</v>
      </c>
      <c r="AN18" s="614">
        <f>MIN(CSK[[#This Row],[G24 cp]],CSK[[#This Row],[G16 cp]],CSK[[#This Row],[G6 cp]])</f>
        <v>40</v>
      </c>
      <c r="AO18" s="656"/>
      <c r="AP18" s="663"/>
      <c r="AQ18" s="304"/>
      <c r="AR18" s="304"/>
      <c r="AS18" s="304"/>
      <c r="AT18" s="671"/>
      <c r="AU18" s="304"/>
      <c r="AV18" s="304"/>
      <c r="AW18" s="304"/>
      <c r="AX18" s="303">
        <f xml:space="preserve"> COUNTA(CSK[[#This Row],[G29 cp]],CSK[[#This Row],[G12 cp]],CSK[[#This Row],[G1 cp]])</f>
        <v>2</v>
      </c>
      <c r="AY18" s="304">
        <f>MAX(CSK[[#This Row],[G29 cp]],CSK[[#This Row],[G12 cp]],CSK[[#This Row],[G1 cp]])</f>
        <v>60</v>
      </c>
      <c r="AZ18" s="304">
        <f>( SUM(CSK[[#This Row],[G29 cp]],CSK[[#This Row],[G12 cp]],CSK[[#This Row],[G1 cp]]) -CSK[[#This Row],[CH MAX]]) / ( CSK[[#This Row],[CHS Inn]] - 1 )</f>
        <v>13</v>
      </c>
      <c r="BA18" s="614">
        <f>MIN(CSK[[#This Row],[G29 cp]],CSK[[#This Row],[G12 cp]],CSK[[#This Row],[G1 cp]])</f>
        <v>13</v>
      </c>
      <c r="BB18" s="303"/>
      <c r="BC18" s="304"/>
      <c r="BD18" s="304"/>
      <c r="BE18" s="304"/>
      <c r="BF18" s="304"/>
      <c r="BG18" s="304"/>
      <c r="BH18" s="304"/>
      <c r="BI18" s="304"/>
      <c r="BJ18" s="614"/>
      <c r="BK18" s="304"/>
      <c r="BL18" s="304"/>
      <c r="BM18" s="304"/>
      <c r="BN18" s="304"/>
      <c r="BO18" s="304"/>
      <c r="BP18" s="304"/>
      <c r="BQ18" s="303">
        <v>15</v>
      </c>
      <c r="BR18" s="304"/>
      <c r="BS18" s="304"/>
      <c r="BT18" s="304"/>
      <c r="BU18" s="304"/>
      <c r="BV18" s="304"/>
      <c r="BW18" s="301">
        <v>9</v>
      </c>
      <c r="BX18" s="302"/>
      <c r="BY18" s="302"/>
      <c r="BZ18" s="302"/>
      <c r="CA18" s="302" t="s">
        <v>773</v>
      </c>
      <c r="CB18" s="302">
        <v>60</v>
      </c>
      <c r="CC18" s="301">
        <v>9</v>
      </c>
      <c r="CD18" s="302" t="s">
        <v>372</v>
      </c>
      <c r="CE18" s="302">
        <v>1</v>
      </c>
      <c r="CF18" s="302">
        <v>1</v>
      </c>
      <c r="CG18" s="302" t="s">
        <v>71</v>
      </c>
      <c r="CH18" s="302">
        <v>40</v>
      </c>
      <c r="CI18" s="301">
        <v>9</v>
      </c>
      <c r="CJ18" s="302" t="s">
        <v>372</v>
      </c>
      <c r="CK18" s="302">
        <v>1</v>
      </c>
      <c r="CL18" s="302">
        <v>3</v>
      </c>
      <c r="CM18" s="302" t="s">
        <v>378</v>
      </c>
      <c r="CN18" s="302">
        <v>13</v>
      </c>
    </row>
    <row r="19" spans="2:92">
      <c r="B19" s="623" t="s">
        <v>141</v>
      </c>
      <c r="C19" s="213" t="s">
        <v>829</v>
      </c>
      <c r="D19" s="213">
        <v>1.5</v>
      </c>
      <c r="E19" s="213" t="s">
        <v>827</v>
      </c>
      <c r="F19" s="213" t="s">
        <v>56</v>
      </c>
      <c r="G19" s="213" t="s">
        <v>56</v>
      </c>
      <c r="H19" s="630" t="s">
        <v>1121</v>
      </c>
      <c r="I19" s="637"/>
      <c r="J19" s="644"/>
      <c r="K19" s="623"/>
      <c r="L19" s="623"/>
      <c r="M19" s="623"/>
      <c r="N19" s="651"/>
      <c r="O19" s="623"/>
      <c r="P19" s="623"/>
      <c r="Q19" s="623"/>
      <c r="R19" s="288">
        <f>COUNTA(CSK[[#This Row],[G29 cp]],CSK[[#This Row],[G24 cp]],CSK[[#This Row],[G16 cp]],CSK[[#This Row],[G12 cp]],CSK[[#This Row],[G6 cp]],CSK[[#This Row],[G1 cp]])</f>
        <v>2</v>
      </c>
      <c r="S19" s="215">
        <f>MAX(CSK[[#This Row],[G29 cp]],CSK[[#This Row],[G24 cp]],CSK[[#This Row],[G16 cp]],CSK[[#This Row],[G12 cp]],CSK[[#This Row],[G6 cp]],CSK[[#This Row],[G1 cp]])</f>
        <v>79</v>
      </c>
      <c r="T19" s="215">
        <f>( SUM(CSK[[#This Row],[G29 cp]],CSK[[#This Row],[G24 cp]],CSK[[#This Row],[G16 cp]],CSK[[#This Row],[G12 cp]],CSK[[#This Row],[G6 cp]],CSK[[#This Row],[G1 cp]]) - CSK[[#This Row],[Max]] ) /  ( CSK[[#This Row],[Innings]] - 1)</f>
        <v>2</v>
      </c>
      <c r="U19" s="616">
        <f>MIN(CSK[[#This Row],[G29 cp]],CSK[[#This Row],[G24 cp]],CSK[[#This Row],[G16 cp]],CSK[[#This Row],[G12 cp]],CSK[[#This Row],[G6 cp]],CSK[[#This Row],[G1 cp]])</f>
        <v>2</v>
      </c>
      <c r="V19" s="288">
        <f>CSK[[#This Row],[G29 cp]]</f>
        <v>0</v>
      </c>
      <c r="W19" s="215">
        <f>CSK[[#This Row],[G24 cp]]</f>
        <v>0</v>
      </c>
      <c r="X19" s="215">
        <f>CSK[[#This Row],[G16 cp]]</f>
        <v>0</v>
      </c>
      <c r="Y19" s="215">
        <f>CSK[[#This Row],[G12 cp]]</f>
        <v>0</v>
      </c>
      <c r="Z19" s="215">
        <f>CSK[[#This Row],[G6 cp]]</f>
        <v>2</v>
      </c>
      <c r="AA19" s="616">
        <f>CSK[[#This Row],[G1 cp]]</f>
        <v>79</v>
      </c>
      <c r="AB19" s="658"/>
      <c r="AC19" s="665"/>
      <c r="AD19" s="215"/>
      <c r="AE19" s="215"/>
      <c r="AF19" s="215"/>
      <c r="AG19" s="658"/>
      <c r="AH19" s="215"/>
      <c r="AI19" s="215"/>
      <c r="AJ19" s="215"/>
      <c r="AK19" s="288">
        <f>COUNTA(CSK[[#This Row],[G24 cp]],CSK[[#This Row],[G16 cp]],CSK[[#This Row],[G6 cp]])</f>
        <v>1</v>
      </c>
      <c r="AL19" s="215">
        <f>MAX(CSK[[#This Row],[G24 cp]],CSK[[#This Row],[G16 cp]],CSK[[#This Row],[G6 cp]])</f>
        <v>2</v>
      </c>
      <c r="AM19" s="215" t="e">
        <f>(SUM(CSK[[#This Row],[G24 cp]],CSK[[#This Row],[G16 cp]],CSK[[#This Row],[G6 cp]])-CSK[[#This Row],[B1 MAX]])/(CSK[[#This Row],[B1 Inn]]-1)</f>
        <v>#DIV/0!</v>
      </c>
      <c r="AN19" s="616">
        <f>MIN(CSK[[#This Row],[G24 cp]],CSK[[#This Row],[G16 cp]],CSK[[#This Row],[G6 cp]])</f>
        <v>2</v>
      </c>
      <c r="AO19" s="658"/>
      <c r="AP19" s="665"/>
      <c r="AQ19" s="215"/>
      <c r="AR19" s="215"/>
      <c r="AS19" s="215"/>
      <c r="AT19" s="673"/>
      <c r="AU19" s="215"/>
      <c r="AV19" s="215"/>
      <c r="AW19" s="215"/>
      <c r="AX19" s="288">
        <f xml:space="preserve"> COUNTA(CSK[[#This Row],[G29 cp]],CSK[[#This Row],[G12 cp]],CSK[[#This Row],[G1 cp]])</f>
        <v>1</v>
      </c>
      <c r="AY19" s="215">
        <f>MAX(CSK[[#This Row],[G29 cp]],CSK[[#This Row],[G12 cp]],CSK[[#This Row],[G1 cp]])</f>
        <v>79</v>
      </c>
      <c r="AZ19" s="215" t="e">
        <f>( SUM(CSK[[#This Row],[G29 cp]],CSK[[#This Row],[G12 cp]],CSK[[#This Row],[G1 cp]]) -CSK[[#This Row],[CH MAX]]) / ( CSK[[#This Row],[CHS Inn]] - 1 )</f>
        <v>#DIV/0!</v>
      </c>
      <c r="BA19" s="616">
        <f>MIN(CSK[[#This Row],[G29 cp]],CSK[[#This Row],[G12 cp]],CSK[[#This Row],[G1 cp]])</f>
        <v>79</v>
      </c>
      <c r="BB19" s="288"/>
      <c r="BC19" s="215"/>
      <c r="BD19" s="215"/>
      <c r="BE19" s="215"/>
      <c r="BF19" s="215"/>
      <c r="BG19" s="215"/>
      <c r="BH19" s="215"/>
      <c r="BI19" s="215"/>
      <c r="BJ19" s="616"/>
      <c r="BK19" s="215"/>
      <c r="BL19" s="215"/>
      <c r="BM19" s="215"/>
      <c r="BN19" s="215"/>
      <c r="BO19" s="215"/>
      <c r="BP19" s="215"/>
      <c r="BQ19" s="288">
        <v>15</v>
      </c>
      <c r="BR19" s="215"/>
      <c r="BS19" s="215"/>
      <c r="BT19" s="215"/>
      <c r="BU19" s="215"/>
      <c r="BV19" s="215"/>
      <c r="BW19" s="214"/>
      <c r="BX19" s="213"/>
      <c r="BY19" s="213"/>
      <c r="BZ19" s="213"/>
      <c r="CA19" s="213"/>
      <c r="CB19" s="213"/>
      <c r="CC19" s="214">
        <v>11</v>
      </c>
      <c r="CD19" s="213"/>
      <c r="CE19" s="213"/>
      <c r="CF19" s="213"/>
      <c r="CG19" s="213" t="s">
        <v>389</v>
      </c>
      <c r="CH19" s="213">
        <v>2</v>
      </c>
      <c r="CI19" s="214">
        <v>11</v>
      </c>
      <c r="CJ19" s="213"/>
      <c r="CK19" s="213"/>
      <c r="CL19" s="213"/>
      <c r="CM19" s="213" t="s">
        <v>377</v>
      </c>
      <c r="CN19" s="213">
        <v>79</v>
      </c>
    </row>
    <row r="20" spans="2:92">
      <c r="B20" s="618" t="s">
        <v>141</v>
      </c>
      <c r="C20" s="290" t="s">
        <v>833</v>
      </c>
      <c r="D20" s="290">
        <v>0.2</v>
      </c>
      <c r="E20" s="290" t="s">
        <v>349</v>
      </c>
      <c r="F20" s="290" t="s">
        <v>54</v>
      </c>
      <c r="G20" s="290" t="s">
        <v>54</v>
      </c>
      <c r="H20" s="625"/>
      <c r="I20" s="632"/>
      <c r="J20" s="639"/>
      <c r="K20" s="618"/>
      <c r="L20" s="618"/>
      <c r="M20" s="618"/>
      <c r="N20" s="646"/>
      <c r="O20" s="618"/>
      <c r="P20" s="618"/>
      <c r="Q20" s="618"/>
      <c r="R20" s="291">
        <f>COUNTA(CSK[[#This Row],[G29 cp]],CSK[[#This Row],[G24 cp]],CSK[[#This Row],[G16 cp]],CSK[[#This Row],[G12 cp]],CSK[[#This Row],[G6 cp]],CSK[[#This Row],[G1 cp]])</f>
        <v>0</v>
      </c>
      <c r="S20" s="292">
        <f>MAX(CSK[[#This Row],[G29 cp]],CSK[[#This Row],[G24 cp]],CSK[[#This Row],[G16 cp]],CSK[[#This Row],[G12 cp]],CSK[[#This Row],[G6 cp]],CSK[[#This Row],[G1 cp]])</f>
        <v>0</v>
      </c>
      <c r="T20" s="292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0" s="611">
        <f>MIN(CSK[[#This Row],[G29 cp]],CSK[[#This Row],[G24 cp]],CSK[[#This Row],[G16 cp]],CSK[[#This Row],[G12 cp]],CSK[[#This Row],[G6 cp]],CSK[[#This Row],[G1 cp]])</f>
        <v>0</v>
      </c>
      <c r="V20" s="291">
        <f>CSK[[#This Row],[G29 cp]]</f>
        <v>0</v>
      </c>
      <c r="W20" s="292">
        <f>CSK[[#This Row],[G24 cp]]</f>
        <v>0</v>
      </c>
      <c r="X20" s="292">
        <f>CSK[[#This Row],[G16 cp]]</f>
        <v>0</v>
      </c>
      <c r="Y20" s="292">
        <f>CSK[[#This Row],[G12 cp]]</f>
        <v>0</v>
      </c>
      <c r="Z20" s="292">
        <f>CSK[[#This Row],[G6 cp]]</f>
        <v>0</v>
      </c>
      <c r="AA20" s="611">
        <f>CSK[[#This Row],[G1 cp]]</f>
        <v>0</v>
      </c>
      <c r="AB20" s="653"/>
      <c r="AC20" s="660"/>
      <c r="AD20" s="292"/>
      <c r="AE20" s="292"/>
      <c r="AF20" s="292"/>
      <c r="AG20" s="653"/>
      <c r="AH20" s="292"/>
      <c r="AI20" s="292"/>
      <c r="AJ20" s="292"/>
      <c r="AK20" s="291">
        <f>COUNTA(CSK[[#This Row],[G24 cp]],CSK[[#This Row],[G16 cp]],CSK[[#This Row],[G6 cp]])</f>
        <v>0</v>
      </c>
      <c r="AL20" s="292">
        <f>MAX(CSK[[#This Row],[G24 cp]],CSK[[#This Row],[G16 cp]],CSK[[#This Row],[G6 cp]])</f>
        <v>0</v>
      </c>
      <c r="AM20" s="292">
        <f>(SUM(CSK[[#This Row],[G24 cp]],CSK[[#This Row],[G16 cp]],CSK[[#This Row],[G6 cp]])-CSK[[#This Row],[B1 MAX]])/(CSK[[#This Row],[B1 Inn]]-1)</f>
        <v>0</v>
      </c>
      <c r="AN20" s="611">
        <f>MIN(CSK[[#This Row],[G24 cp]],CSK[[#This Row],[G16 cp]],CSK[[#This Row],[G6 cp]])</f>
        <v>0</v>
      </c>
      <c r="AO20" s="653"/>
      <c r="AP20" s="660"/>
      <c r="AQ20" s="292"/>
      <c r="AR20" s="292"/>
      <c r="AS20" s="292"/>
      <c r="AT20" s="668"/>
      <c r="AU20" s="292"/>
      <c r="AV20" s="292"/>
      <c r="AW20" s="292"/>
      <c r="AX20" s="291">
        <f xml:space="preserve"> COUNTA(CSK[[#This Row],[G29 cp]],CSK[[#This Row],[G12 cp]],CSK[[#This Row],[G1 cp]])</f>
        <v>0</v>
      </c>
      <c r="AY20" s="292">
        <f>MAX(CSK[[#This Row],[G29 cp]],CSK[[#This Row],[G12 cp]],CSK[[#This Row],[G1 cp]])</f>
        <v>0</v>
      </c>
      <c r="AZ20" s="292">
        <f>( SUM(CSK[[#This Row],[G29 cp]],CSK[[#This Row],[G12 cp]],CSK[[#This Row],[G1 cp]]) -CSK[[#This Row],[CH MAX]]) / ( CSK[[#This Row],[CHS Inn]] - 1 )</f>
        <v>0</v>
      </c>
      <c r="BA20" s="611">
        <f>MIN(CSK[[#This Row],[G29 cp]],CSK[[#This Row],[G12 cp]],CSK[[#This Row],[G1 cp]])</f>
        <v>0</v>
      </c>
      <c r="BB20" s="291"/>
      <c r="BC20" s="292"/>
      <c r="BD20" s="292"/>
      <c r="BE20" s="292"/>
      <c r="BF20" s="292"/>
      <c r="BG20" s="292"/>
      <c r="BH20" s="292"/>
      <c r="BI20" s="292"/>
      <c r="BJ20" s="611"/>
      <c r="BK20" s="292"/>
      <c r="BL20" s="292"/>
      <c r="BM20" s="292"/>
      <c r="BN20" s="292"/>
      <c r="BO20" s="292"/>
      <c r="BP20" s="292"/>
      <c r="BQ20" s="291">
        <v>15</v>
      </c>
      <c r="BR20" s="292"/>
      <c r="BS20" s="292"/>
      <c r="BT20" s="292"/>
      <c r="BU20" s="292"/>
      <c r="BV20" s="292"/>
      <c r="BW20" s="289"/>
      <c r="BX20" s="290"/>
      <c r="BY20" s="290"/>
      <c r="BZ20" s="290"/>
      <c r="CA20" s="290"/>
      <c r="CB20" s="290"/>
      <c r="CC20" s="289"/>
      <c r="CD20" s="290"/>
      <c r="CE20" s="290"/>
      <c r="CF20" s="290"/>
      <c r="CG20" s="290"/>
      <c r="CH20" s="290"/>
      <c r="CI20" s="289"/>
      <c r="CJ20" s="290"/>
      <c r="CK20" s="290"/>
      <c r="CL20" s="290"/>
      <c r="CM20" s="290"/>
      <c r="CN20" s="290"/>
    </row>
    <row r="21" spans="2:92">
      <c r="B21" s="618" t="s">
        <v>141</v>
      </c>
      <c r="C21" s="290" t="s">
        <v>140</v>
      </c>
      <c r="D21" s="290">
        <v>0.2</v>
      </c>
      <c r="E21" s="290" t="s">
        <v>349</v>
      </c>
      <c r="F21" s="290" t="s">
        <v>54</v>
      </c>
      <c r="G21" s="290" t="s">
        <v>54</v>
      </c>
      <c r="H21" s="625"/>
      <c r="I21" s="632"/>
      <c r="J21" s="639"/>
      <c r="K21" s="618"/>
      <c r="L21" s="618"/>
      <c r="M21" s="618"/>
      <c r="N21" s="646"/>
      <c r="O21" s="618"/>
      <c r="P21" s="618"/>
      <c r="Q21" s="618"/>
      <c r="R21" s="291">
        <f>COUNTA(CSK[[#This Row],[G29 cp]],CSK[[#This Row],[G24 cp]],CSK[[#This Row],[G16 cp]],CSK[[#This Row],[G12 cp]],CSK[[#This Row],[G6 cp]],CSK[[#This Row],[G1 cp]])</f>
        <v>0</v>
      </c>
      <c r="S21" s="292">
        <f>MAX(CSK[[#This Row],[G29 cp]],CSK[[#This Row],[G24 cp]],CSK[[#This Row],[G16 cp]],CSK[[#This Row],[G12 cp]],CSK[[#This Row],[G6 cp]],CSK[[#This Row],[G1 cp]])</f>
        <v>0</v>
      </c>
      <c r="T21" s="292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1" s="611">
        <f>MIN(CSK[[#This Row],[G29 cp]],CSK[[#This Row],[G24 cp]],CSK[[#This Row],[G16 cp]],CSK[[#This Row],[G12 cp]],CSK[[#This Row],[G6 cp]],CSK[[#This Row],[G1 cp]])</f>
        <v>0</v>
      </c>
      <c r="V21" s="291">
        <f>CSK[[#This Row],[G29 cp]]</f>
        <v>0</v>
      </c>
      <c r="W21" s="292">
        <f>CSK[[#This Row],[G24 cp]]</f>
        <v>0</v>
      </c>
      <c r="X21" s="292">
        <f>CSK[[#This Row],[G16 cp]]</f>
        <v>0</v>
      </c>
      <c r="Y21" s="292">
        <f>CSK[[#This Row],[G12 cp]]</f>
        <v>0</v>
      </c>
      <c r="Z21" s="292">
        <f>CSK[[#This Row],[G6 cp]]</f>
        <v>0</v>
      </c>
      <c r="AA21" s="611">
        <f>CSK[[#This Row],[G1 cp]]</f>
        <v>0</v>
      </c>
      <c r="AB21" s="653"/>
      <c r="AC21" s="660"/>
      <c r="AD21" s="292"/>
      <c r="AE21" s="292"/>
      <c r="AF21" s="292"/>
      <c r="AG21" s="653"/>
      <c r="AH21" s="292"/>
      <c r="AI21" s="292"/>
      <c r="AJ21" s="292"/>
      <c r="AK21" s="291">
        <f>COUNTA(CSK[[#This Row],[G24 cp]],CSK[[#This Row],[G16 cp]],CSK[[#This Row],[G6 cp]])</f>
        <v>0</v>
      </c>
      <c r="AL21" s="292">
        <f>MAX(CSK[[#This Row],[G24 cp]],CSK[[#This Row],[G16 cp]],CSK[[#This Row],[G6 cp]])</f>
        <v>0</v>
      </c>
      <c r="AM21" s="292">
        <f>(SUM(CSK[[#This Row],[G24 cp]],CSK[[#This Row],[G16 cp]],CSK[[#This Row],[G6 cp]])-CSK[[#This Row],[B1 MAX]])/(CSK[[#This Row],[B1 Inn]]-1)</f>
        <v>0</v>
      </c>
      <c r="AN21" s="611">
        <f>MIN(CSK[[#This Row],[G24 cp]],CSK[[#This Row],[G16 cp]],CSK[[#This Row],[G6 cp]])</f>
        <v>0</v>
      </c>
      <c r="AO21" s="653"/>
      <c r="AP21" s="660"/>
      <c r="AQ21" s="292"/>
      <c r="AR21" s="292"/>
      <c r="AS21" s="292"/>
      <c r="AT21" s="668"/>
      <c r="AU21" s="292"/>
      <c r="AV21" s="292"/>
      <c r="AW21" s="292"/>
      <c r="AX21" s="291">
        <f xml:space="preserve"> COUNTA(CSK[[#This Row],[G29 cp]],CSK[[#This Row],[G12 cp]],CSK[[#This Row],[G1 cp]])</f>
        <v>0</v>
      </c>
      <c r="AY21" s="292">
        <f>MAX(CSK[[#This Row],[G29 cp]],CSK[[#This Row],[G12 cp]],CSK[[#This Row],[G1 cp]])</f>
        <v>0</v>
      </c>
      <c r="AZ21" s="292">
        <f>( SUM(CSK[[#This Row],[G29 cp]],CSK[[#This Row],[G12 cp]],CSK[[#This Row],[G1 cp]]) -CSK[[#This Row],[CH MAX]]) / ( CSK[[#This Row],[CHS Inn]] - 1 )</f>
        <v>0</v>
      </c>
      <c r="BA21" s="611">
        <f>MIN(CSK[[#This Row],[G29 cp]],CSK[[#This Row],[G12 cp]],CSK[[#This Row],[G1 cp]])</f>
        <v>0</v>
      </c>
      <c r="BB21" s="291"/>
      <c r="BC21" s="292"/>
      <c r="BD21" s="292"/>
      <c r="BE21" s="292"/>
      <c r="BF21" s="292"/>
      <c r="BG21" s="292"/>
      <c r="BH21" s="292"/>
      <c r="BI21" s="292"/>
      <c r="BJ21" s="611"/>
      <c r="BK21" s="292"/>
      <c r="BL21" s="292"/>
      <c r="BM21" s="292"/>
      <c r="BN21" s="292"/>
      <c r="BO21" s="292"/>
      <c r="BP21" s="292"/>
      <c r="BQ21" s="291">
        <v>15</v>
      </c>
      <c r="BR21" s="292"/>
      <c r="BS21" s="292"/>
      <c r="BT21" s="292"/>
      <c r="BU21" s="292"/>
      <c r="BV21" s="292"/>
      <c r="BW21" s="289"/>
      <c r="BX21" s="290"/>
      <c r="BY21" s="290"/>
      <c r="BZ21" s="290"/>
      <c r="CA21" s="290"/>
      <c r="CB21" s="290"/>
      <c r="CC21" s="289"/>
      <c r="CD21" s="290"/>
      <c r="CE21" s="290"/>
      <c r="CF21" s="290"/>
      <c r="CG21" s="290"/>
      <c r="CH21" s="290"/>
      <c r="CI21" s="289"/>
      <c r="CJ21" s="290"/>
      <c r="CK21" s="290"/>
      <c r="CL21" s="290"/>
      <c r="CM21" s="290"/>
      <c r="CN21" s="290"/>
    </row>
    <row r="22" spans="2:92">
      <c r="B22" s="621" t="s">
        <v>141</v>
      </c>
      <c r="C22" s="302" t="s">
        <v>820</v>
      </c>
      <c r="D22" s="302">
        <v>0.5</v>
      </c>
      <c r="E22" s="302" t="s">
        <v>616</v>
      </c>
      <c r="F22" s="302" t="s">
        <v>55</v>
      </c>
      <c r="G22" s="302" t="s">
        <v>55</v>
      </c>
      <c r="H22" s="628" t="s">
        <v>1004</v>
      </c>
      <c r="I22" s="635"/>
      <c r="J22" s="642"/>
      <c r="K22" s="621"/>
      <c r="L22" s="621"/>
      <c r="M22" s="621"/>
      <c r="N22" s="649"/>
      <c r="O22" s="621"/>
      <c r="P22" s="621"/>
      <c r="Q22" s="621"/>
      <c r="R22" s="303">
        <f>COUNTA(CSK[[#This Row],[G29 cp]],CSK[[#This Row],[G24 cp]],CSK[[#This Row],[G16 cp]],CSK[[#This Row],[G12 cp]],CSK[[#This Row],[G6 cp]],CSK[[#This Row],[G1 cp]])</f>
        <v>1</v>
      </c>
      <c r="S22" s="304">
        <f>MAX(CSK[[#This Row],[G29 cp]],CSK[[#This Row],[G24 cp]],CSK[[#This Row],[G16 cp]],CSK[[#This Row],[G12 cp]],CSK[[#This Row],[G6 cp]],CSK[[#This Row],[G1 cp]])</f>
        <v>12</v>
      </c>
      <c r="T22" s="304" t="e">
        <f>( SUM(CSK[[#This Row],[G29 cp]],CSK[[#This Row],[G24 cp]],CSK[[#This Row],[G16 cp]],CSK[[#This Row],[G12 cp]],CSK[[#This Row],[G6 cp]],CSK[[#This Row],[G1 cp]]) - CSK[[#This Row],[Max]] ) /  ( CSK[[#This Row],[Innings]] - 1)</f>
        <v>#DIV/0!</v>
      </c>
      <c r="U22" s="614">
        <f>MIN(CSK[[#This Row],[G29 cp]],CSK[[#This Row],[G24 cp]],CSK[[#This Row],[G16 cp]],CSK[[#This Row],[G12 cp]],CSK[[#This Row],[G6 cp]],CSK[[#This Row],[G1 cp]])</f>
        <v>12</v>
      </c>
      <c r="V22" s="303">
        <f>CSK[[#This Row],[G29 cp]]</f>
        <v>0</v>
      </c>
      <c r="W22" s="304">
        <f>CSK[[#This Row],[G24 cp]]</f>
        <v>0</v>
      </c>
      <c r="X22" s="304">
        <f>CSK[[#This Row],[G16 cp]]</f>
        <v>0</v>
      </c>
      <c r="Y22" s="304">
        <f>CSK[[#This Row],[G12 cp]]</f>
        <v>12</v>
      </c>
      <c r="Z22" s="304">
        <f>CSK[[#This Row],[G6 cp]]</f>
        <v>0</v>
      </c>
      <c r="AA22" s="614">
        <f>CSK[[#This Row],[G1 cp]]</f>
        <v>0</v>
      </c>
      <c r="AB22" s="656"/>
      <c r="AC22" s="663"/>
      <c r="AD22" s="304"/>
      <c r="AE22" s="304"/>
      <c r="AF22" s="304"/>
      <c r="AG22" s="656"/>
      <c r="AH22" s="304"/>
      <c r="AI22" s="304"/>
      <c r="AJ22" s="304"/>
      <c r="AK22" s="303">
        <f>COUNTA(CSK[[#This Row],[G24 cp]],CSK[[#This Row],[G16 cp]],CSK[[#This Row],[G6 cp]])</f>
        <v>0</v>
      </c>
      <c r="AL22" s="304">
        <f>MAX(CSK[[#This Row],[G24 cp]],CSK[[#This Row],[G16 cp]],CSK[[#This Row],[G6 cp]])</f>
        <v>0</v>
      </c>
      <c r="AM22" s="304">
        <f>(SUM(CSK[[#This Row],[G24 cp]],CSK[[#This Row],[G16 cp]],CSK[[#This Row],[G6 cp]])-CSK[[#This Row],[B1 MAX]])/(CSK[[#This Row],[B1 Inn]]-1)</f>
        <v>0</v>
      </c>
      <c r="AN22" s="614">
        <f>MIN(CSK[[#This Row],[G24 cp]],CSK[[#This Row],[G16 cp]],CSK[[#This Row],[G6 cp]])</f>
        <v>0</v>
      </c>
      <c r="AO22" s="656"/>
      <c r="AP22" s="663"/>
      <c r="AQ22" s="304"/>
      <c r="AR22" s="304"/>
      <c r="AS22" s="304"/>
      <c r="AT22" s="671"/>
      <c r="AU22" s="304"/>
      <c r="AV22" s="304"/>
      <c r="AW22" s="304"/>
      <c r="AX22" s="303">
        <f xml:space="preserve"> COUNTA(CSK[[#This Row],[G29 cp]],CSK[[#This Row],[G12 cp]],CSK[[#This Row],[G1 cp]])</f>
        <v>1</v>
      </c>
      <c r="AY22" s="304">
        <f>MAX(CSK[[#This Row],[G29 cp]],CSK[[#This Row],[G12 cp]],CSK[[#This Row],[G1 cp]])</f>
        <v>12</v>
      </c>
      <c r="AZ22" s="304" t="e">
        <f>( SUM(CSK[[#This Row],[G29 cp]],CSK[[#This Row],[G12 cp]],CSK[[#This Row],[G1 cp]]) -CSK[[#This Row],[CH MAX]]) / ( CSK[[#This Row],[CHS Inn]] - 1 )</f>
        <v>#DIV/0!</v>
      </c>
      <c r="BA22" s="614">
        <f>MIN(CSK[[#This Row],[G29 cp]],CSK[[#This Row],[G12 cp]],CSK[[#This Row],[G1 cp]])</f>
        <v>12</v>
      </c>
      <c r="BB22" s="303"/>
      <c r="BC22" s="304"/>
      <c r="BD22" s="304"/>
      <c r="BE22" s="304"/>
      <c r="BF22" s="304"/>
      <c r="BG22" s="304"/>
      <c r="BH22" s="304"/>
      <c r="BI22" s="304"/>
      <c r="BJ22" s="614"/>
      <c r="BK22" s="304"/>
      <c r="BL22" s="304"/>
      <c r="BM22" s="304"/>
      <c r="BN22" s="304"/>
      <c r="BO22" s="304"/>
      <c r="BP22" s="304"/>
      <c r="BQ22" s="303"/>
      <c r="BR22" s="304"/>
      <c r="BS22" s="304"/>
      <c r="BT22" s="304"/>
      <c r="BU22" s="304"/>
      <c r="BV22" s="304"/>
      <c r="BW22" s="301">
        <v>8</v>
      </c>
      <c r="BX22" s="302"/>
      <c r="BY22" s="302"/>
      <c r="BZ22" s="302"/>
      <c r="CA22" s="302" t="s">
        <v>775</v>
      </c>
      <c r="CB22" s="302">
        <v>12</v>
      </c>
      <c r="CC22" s="301"/>
      <c r="CD22" s="302"/>
      <c r="CE22" s="302"/>
      <c r="CF22" s="302"/>
      <c r="CG22" s="302"/>
      <c r="CH22" s="302"/>
      <c r="CI22" s="301"/>
      <c r="CJ22" s="302"/>
      <c r="CK22" s="302"/>
      <c r="CL22" s="302"/>
      <c r="CM22" s="302"/>
      <c r="CN22" s="302"/>
    </row>
    <row r="23" spans="2:92">
      <c r="B23" s="623" t="s">
        <v>141</v>
      </c>
      <c r="C23" s="213" t="s">
        <v>825</v>
      </c>
      <c r="D23" s="213">
        <v>14</v>
      </c>
      <c r="E23" s="213" t="s">
        <v>142</v>
      </c>
      <c r="F23" s="213" t="s">
        <v>56</v>
      </c>
      <c r="G23" s="213" t="s">
        <v>56</v>
      </c>
      <c r="H23" s="630" t="s">
        <v>1122</v>
      </c>
      <c r="I23" s="637"/>
      <c r="J23" s="644"/>
      <c r="K23" s="623"/>
      <c r="L23" s="623"/>
      <c r="M23" s="623"/>
      <c r="N23" s="651"/>
      <c r="O23" s="623"/>
      <c r="P23" s="623"/>
      <c r="Q23" s="623"/>
      <c r="R23" s="288">
        <f>COUNTA(CSK[[#This Row],[G29 cp]],CSK[[#This Row],[G24 cp]],CSK[[#This Row],[G16 cp]],CSK[[#This Row],[G12 cp]],CSK[[#This Row],[G6 cp]],CSK[[#This Row],[G1 cp]])</f>
        <v>3</v>
      </c>
      <c r="S23" s="215">
        <f>MAX(CSK[[#This Row],[G29 cp]],CSK[[#This Row],[G24 cp]],CSK[[#This Row],[G16 cp]],CSK[[#This Row],[G12 cp]],CSK[[#This Row],[G6 cp]],CSK[[#This Row],[G1 cp]])</f>
        <v>4</v>
      </c>
      <c r="T23" s="215">
        <f>( SUM(CSK[[#This Row],[G29 cp]],CSK[[#This Row],[G24 cp]],CSK[[#This Row],[G16 cp]],CSK[[#This Row],[G12 cp]],CSK[[#This Row],[G6 cp]],CSK[[#This Row],[G1 cp]]) - CSK[[#This Row],[Max]] ) /  ( CSK[[#This Row],[Innings]] - 1)</f>
        <v>3</v>
      </c>
      <c r="U23" s="616">
        <f>MIN(CSK[[#This Row],[G29 cp]],CSK[[#This Row],[G24 cp]],CSK[[#This Row],[G16 cp]],CSK[[#This Row],[G12 cp]],CSK[[#This Row],[G6 cp]],CSK[[#This Row],[G1 cp]])</f>
        <v>2</v>
      </c>
      <c r="V23" s="288">
        <f>CSK[[#This Row],[G29 cp]]</f>
        <v>0</v>
      </c>
      <c r="W23" s="215">
        <f>CSK[[#This Row],[G24 cp]]</f>
        <v>0</v>
      </c>
      <c r="X23" s="215">
        <f>CSK[[#This Row],[G16 cp]]</f>
        <v>0</v>
      </c>
      <c r="Y23" s="215">
        <f>CSK[[#This Row],[G12 cp]]</f>
        <v>4</v>
      </c>
      <c r="Z23" s="215">
        <f>CSK[[#This Row],[G6 cp]]</f>
        <v>2</v>
      </c>
      <c r="AA23" s="616">
        <f>CSK[[#This Row],[G1 cp]]</f>
        <v>4</v>
      </c>
      <c r="AB23" s="658"/>
      <c r="AC23" s="665"/>
      <c r="AD23" s="215"/>
      <c r="AE23" s="215"/>
      <c r="AF23" s="215"/>
      <c r="AG23" s="658"/>
      <c r="AH23" s="215"/>
      <c r="AI23" s="215"/>
      <c r="AJ23" s="215"/>
      <c r="AK23" s="288">
        <f>COUNTA(CSK[[#This Row],[G24 cp]],CSK[[#This Row],[G16 cp]],CSK[[#This Row],[G6 cp]])</f>
        <v>1</v>
      </c>
      <c r="AL23" s="215">
        <f>MAX(CSK[[#This Row],[G24 cp]],CSK[[#This Row],[G16 cp]],CSK[[#This Row],[G6 cp]])</f>
        <v>2</v>
      </c>
      <c r="AM23" s="215" t="e">
        <f>(SUM(CSK[[#This Row],[G24 cp]],CSK[[#This Row],[G16 cp]],CSK[[#This Row],[G6 cp]])-CSK[[#This Row],[B1 MAX]])/(CSK[[#This Row],[B1 Inn]]-1)</f>
        <v>#DIV/0!</v>
      </c>
      <c r="AN23" s="616">
        <f>MIN(CSK[[#This Row],[G24 cp]],CSK[[#This Row],[G16 cp]],CSK[[#This Row],[G6 cp]])</f>
        <v>2</v>
      </c>
      <c r="AO23" s="658"/>
      <c r="AP23" s="665"/>
      <c r="AQ23" s="215"/>
      <c r="AR23" s="215"/>
      <c r="AS23" s="215"/>
      <c r="AT23" s="673"/>
      <c r="AU23" s="215"/>
      <c r="AV23" s="215"/>
      <c r="AW23" s="215"/>
      <c r="AX23" s="288">
        <f xml:space="preserve"> COUNTA(CSK[[#This Row],[G29 cp]],CSK[[#This Row],[G12 cp]],CSK[[#This Row],[G1 cp]])</f>
        <v>2</v>
      </c>
      <c r="AY23" s="215">
        <f>MAX(CSK[[#This Row],[G29 cp]],CSK[[#This Row],[G12 cp]],CSK[[#This Row],[G1 cp]])</f>
        <v>4</v>
      </c>
      <c r="AZ23" s="215">
        <f>( SUM(CSK[[#This Row],[G29 cp]],CSK[[#This Row],[G12 cp]],CSK[[#This Row],[G1 cp]]) -CSK[[#This Row],[CH MAX]]) / ( CSK[[#This Row],[CHS Inn]] - 1 )</f>
        <v>4</v>
      </c>
      <c r="BA23" s="616">
        <f>MIN(CSK[[#This Row],[G29 cp]],CSK[[#This Row],[G12 cp]],CSK[[#This Row],[G1 cp]])</f>
        <v>4</v>
      </c>
      <c r="BB23" s="288"/>
      <c r="BC23" s="215"/>
      <c r="BD23" s="215"/>
      <c r="BE23" s="215"/>
      <c r="BF23" s="215"/>
      <c r="BG23" s="215"/>
      <c r="BH23" s="215"/>
      <c r="BI23" s="215"/>
      <c r="BJ23" s="616"/>
      <c r="BK23" s="215"/>
      <c r="BL23" s="215"/>
      <c r="BM23" s="215"/>
      <c r="BN23" s="215"/>
      <c r="BO23" s="215"/>
      <c r="BP23" s="215"/>
      <c r="BQ23" s="288"/>
      <c r="BR23" s="215"/>
      <c r="BS23" s="215"/>
      <c r="BT23" s="215"/>
      <c r="BU23" s="215"/>
      <c r="BV23" s="215"/>
      <c r="BW23" s="214">
        <v>12</v>
      </c>
      <c r="BX23" s="213"/>
      <c r="BY23" s="213"/>
      <c r="BZ23" s="213"/>
      <c r="CA23" s="213" t="s">
        <v>770</v>
      </c>
      <c r="CB23" s="213">
        <v>4</v>
      </c>
      <c r="CC23" s="214">
        <v>10</v>
      </c>
      <c r="CD23" s="213"/>
      <c r="CE23" s="213"/>
      <c r="CF23" s="213"/>
      <c r="CG23" s="213" t="s">
        <v>385</v>
      </c>
      <c r="CH23" s="213">
        <v>2</v>
      </c>
      <c r="CI23" s="214">
        <v>10</v>
      </c>
      <c r="CJ23" s="213"/>
      <c r="CK23" s="213"/>
      <c r="CL23" s="213"/>
      <c r="CM23" s="213" t="s">
        <v>270</v>
      </c>
      <c r="CN23" s="213">
        <v>4</v>
      </c>
    </row>
    <row r="24" spans="2:92">
      <c r="B24" s="621" t="s">
        <v>141</v>
      </c>
      <c r="C24" s="302" t="s">
        <v>826</v>
      </c>
      <c r="D24" s="302">
        <v>16.25</v>
      </c>
      <c r="E24" s="302" t="s">
        <v>615</v>
      </c>
      <c r="F24" s="302" t="s">
        <v>55</v>
      </c>
      <c r="G24" s="302" t="s">
        <v>55</v>
      </c>
      <c r="H24" s="628" t="s">
        <v>1124</v>
      </c>
      <c r="I24" s="635"/>
      <c r="J24" s="642"/>
      <c r="K24" s="621"/>
      <c r="L24" s="621"/>
      <c r="M24" s="621"/>
      <c r="N24" s="649"/>
      <c r="O24" s="621"/>
      <c r="P24" s="621"/>
      <c r="Q24" s="621"/>
      <c r="R24" s="303">
        <f>COUNTA(CSK[[#This Row],[G29 cp]],CSK[[#This Row],[G24 cp]],CSK[[#This Row],[G16 cp]],CSK[[#This Row],[G12 cp]],CSK[[#This Row],[G6 cp]],CSK[[#This Row],[G1 cp]])</f>
        <v>2</v>
      </c>
      <c r="S24" s="304">
        <f>MAX(CSK[[#This Row],[G29 cp]],CSK[[#This Row],[G24 cp]],CSK[[#This Row],[G16 cp]],CSK[[#This Row],[G12 cp]],CSK[[#This Row],[G6 cp]],CSK[[#This Row],[G1 cp]])</f>
        <v>12</v>
      </c>
      <c r="T24" s="304">
        <f>( SUM(CSK[[#This Row],[G29 cp]],CSK[[#This Row],[G24 cp]],CSK[[#This Row],[G16 cp]],CSK[[#This Row],[G12 cp]],CSK[[#This Row],[G6 cp]],CSK[[#This Row],[G1 cp]]) - CSK[[#This Row],[Max]] ) /  ( CSK[[#This Row],[Innings]] - 1)</f>
        <v>10</v>
      </c>
      <c r="U24" s="614">
        <f>MIN(CSK[[#This Row],[G29 cp]],CSK[[#This Row],[G24 cp]],CSK[[#This Row],[G16 cp]],CSK[[#This Row],[G12 cp]],CSK[[#This Row],[G6 cp]],CSK[[#This Row],[G1 cp]])</f>
        <v>10</v>
      </c>
      <c r="V24" s="303">
        <f>CSK[[#This Row],[G29 cp]]</f>
        <v>0</v>
      </c>
      <c r="W24" s="304">
        <f>CSK[[#This Row],[G24 cp]]</f>
        <v>0</v>
      </c>
      <c r="X24" s="304">
        <f>CSK[[#This Row],[G16 cp]]</f>
        <v>0</v>
      </c>
      <c r="Y24" s="304">
        <f>CSK[[#This Row],[G12 cp]]</f>
        <v>0</v>
      </c>
      <c r="Z24" s="304">
        <f>CSK[[#This Row],[G6 cp]]</f>
        <v>10</v>
      </c>
      <c r="AA24" s="614">
        <f>CSK[[#This Row],[G1 cp]]</f>
        <v>12</v>
      </c>
      <c r="AB24" s="656"/>
      <c r="AC24" s="663"/>
      <c r="AD24" s="304"/>
      <c r="AE24" s="304"/>
      <c r="AF24" s="304"/>
      <c r="AG24" s="656"/>
      <c r="AH24" s="304"/>
      <c r="AI24" s="304"/>
      <c r="AJ24" s="304"/>
      <c r="AK24" s="303">
        <f>COUNTA(CSK[[#This Row],[G24 cp]],CSK[[#This Row],[G16 cp]],CSK[[#This Row],[G6 cp]])</f>
        <v>1</v>
      </c>
      <c r="AL24" s="304">
        <f>MAX(CSK[[#This Row],[G24 cp]],CSK[[#This Row],[G16 cp]],CSK[[#This Row],[G6 cp]])</f>
        <v>10</v>
      </c>
      <c r="AM24" s="304" t="e">
        <f>(SUM(CSK[[#This Row],[G24 cp]],CSK[[#This Row],[G16 cp]],CSK[[#This Row],[G6 cp]])-CSK[[#This Row],[B1 MAX]])/(CSK[[#This Row],[B1 Inn]]-1)</f>
        <v>#DIV/0!</v>
      </c>
      <c r="AN24" s="614">
        <f>MIN(CSK[[#This Row],[G24 cp]],CSK[[#This Row],[G16 cp]],CSK[[#This Row],[G6 cp]])</f>
        <v>10</v>
      </c>
      <c r="AO24" s="656"/>
      <c r="AP24" s="663"/>
      <c r="AQ24" s="304"/>
      <c r="AR24" s="304"/>
      <c r="AS24" s="304"/>
      <c r="AT24" s="671"/>
      <c r="AU24" s="304"/>
      <c r="AV24" s="304"/>
      <c r="AW24" s="304"/>
      <c r="AX24" s="303">
        <f xml:space="preserve"> COUNTA(CSK[[#This Row],[G29 cp]],CSK[[#This Row],[G12 cp]],CSK[[#This Row],[G1 cp]])</f>
        <v>1</v>
      </c>
      <c r="AY24" s="304">
        <f>MAX(CSK[[#This Row],[G29 cp]],CSK[[#This Row],[G12 cp]],CSK[[#This Row],[G1 cp]])</f>
        <v>12</v>
      </c>
      <c r="AZ24" s="304" t="e">
        <f>( SUM(CSK[[#This Row],[G29 cp]],CSK[[#This Row],[G12 cp]],CSK[[#This Row],[G1 cp]]) -CSK[[#This Row],[CH MAX]]) / ( CSK[[#This Row],[CHS Inn]] - 1 )</f>
        <v>#DIV/0!</v>
      </c>
      <c r="BA24" s="614">
        <f>MIN(CSK[[#This Row],[G29 cp]],CSK[[#This Row],[G12 cp]],CSK[[#This Row],[G1 cp]])</f>
        <v>12</v>
      </c>
      <c r="BB24" s="303"/>
      <c r="BC24" s="304"/>
      <c r="BD24" s="304"/>
      <c r="BE24" s="304"/>
      <c r="BF24" s="304"/>
      <c r="BG24" s="304"/>
      <c r="BH24" s="304"/>
      <c r="BI24" s="304"/>
      <c r="BJ24" s="614"/>
      <c r="BK24" s="304"/>
      <c r="BL24" s="304"/>
      <c r="BM24" s="304"/>
      <c r="BN24" s="304"/>
      <c r="BO24" s="304"/>
      <c r="BP24" s="304"/>
      <c r="BQ24" s="303"/>
      <c r="BR24" s="304"/>
      <c r="BS24" s="304"/>
      <c r="BT24" s="304"/>
      <c r="BU24" s="304"/>
      <c r="BV24" s="304"/>
      <c r="BW24" s="301">
        <v>24</v>
      </c>
      <c r="BX24" s="302"/>
      <c r="BY24" s="302"/>
      <c r="BZ24" s="302"/>
      <c r="CA24" s="302"/>
      <c r="CB24" s="302"/>
      <c r="CC24" s="301">
        <v>5</v>
      </c>
      <c r="CD24" s="302" t="s">
        <v>321</v>
      </c>
      <c r="CE24" s="302">
        <v>8</v>
      </c>
      <c r="CF24" s="302">
        <v>8</v>
      </c>
      <c r="CG24" s="302" t="s">
        <v>386</v>
      </c>
      <c r="CH24" s="302">
        <v>10</v>
      </c>
      <c r="CI24" s="301">
        <v>4</v>
      </c>
      <c r="CJ24" s="302" t="s">
        <v>341</v>
      </c>
      <c r="CK24" s="302">
        <v>7</v>
      </c>
      <c r="CL24" s="302">
        <v>6</v>
      </c>
      <c r="CM24" s="302"/>
      <c r="CN24" s="302">
        <v>12</v>
      </c>
    </row>
    <row r="25" spans="2:92">
      <c r="B25" s="623" t="s">
        <v>141</v>
      </c>
      <c r="C25" s="213" t="s">
        <v>828</v>
      </c>
      <c r="D25" s="213">
        <v>1.2</v>
      </c>
      <c r="E25" s="213" t="s">
        <v>619</v>
      </c>
      <c r="F25" s="213" t="s">
        <v>56</v>
      </c>
      <c r="G25" s="213" t="s">
        <v>56</v>
      </c>
      <c r="H25" s="630" t="s">
        <v>1121</v>
      </c>
      <c r="I25" s="637"/>
      <c r="J25" s="644"/>
      <c r="K25" s="623"/>
      <c r="L25" s="623"/>
      <c r="M25" s="623"/>
      <c r="N25" s="651"/>
      <c r="O25" s="623"/>
      <c r="P25" s="623"/>
      <c r="Q25" s="623"/>
      <c r="R25" s="288">
        <f>COUNTA(CSK[[#This Row],[G29 cp]],CSK[[#This Row],[G24 cp]],CSK[[#This Row],[G16 cp]],CSK[[#This Row],[G12 cp]],CSK[[#This Row],[G6 cp]],CSK[[#This Row],[G1 cp]])</f>
        <v>0</v>
      </c>
      <c r="S25" s="215">
        <f>MAX(CSK[[#This Row],[G29 cp]],CSK[[#This Row],[G24 cp]],CSK[[#This Row],[G16 cp]],CSK[[#This Row],[G12 cp]],CSK[[#This Row],[G6 cp]],CSK[[#This Row],[G1 cp]])</f>
        <v>0</v>
      </c>
      <c r="T25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5" s="616">
        <f>MIN(CSK[[#This Row],[G29 cp]],CSK[[#This Row],[G24 cp]],CSK[[#This Row],[G16 cp]],CSK[[#This Row],[G12 cp]],CSK[[#This Row],[G6 cp]],CSK[[#This Row],[G1 cp]])</f>
        <v>0</v>
      </c>
      <c r="V25" s="288">
        <f>CSK[[#This Row],[G29 cp]]</f>
        <v>0</v>
      </c>
      <c r="W25" s="215">
        <f>CSK[[#This Row],[G24 cp]]</f>
        <v>0</v>
      </c>
      <c r="X25" s="215">
        <f>CSK[[#This Row],[G16 cp]]</f>
        <v>0</v>
      </c>
      <c r="Y25" s="215">
        <f>CSK[[#This Row],[G12 cp]]</f>
        <v>0</v>
      </c>
      <c r="Z25" s="215">
        <f>CSK[[#This Row],[G6 cp]]</f>
        <v>0</v>
      </c>
      <c r="AA25" s="616">
        <f>CSK[[#This Row],[G1 cp]]</f>
        <v>0</v>
      </c>
      <c r="AB25" s="658"/>
      <c r="AC25" s="665"/>
      <c r="AD25" s="215"/>
      <c r="AE25" s="215"/>
      <c r="AF25" s="215"/>
      <c r="AG25" s="658"/>
      <c r="AH25" s="215"/>
      <c r="AI25" s="215"/>
      <c r="AJ25" s="215"/>
      <c r="AK25" s="288">
        <f>COUNTA(CSK[[#This Row],[G24 cp]],CSK[[#This Row],[G16 cp]],CSK[[#This Row],[G6 cp]])</f>
        <v>0</v>
      </c>
      <c r="AL25" s="215">
        <f>MAX(CSK[[#This Row],[G24 cp]],CSK[[#This Row],[G16 cp]],CSK[[#This Row],[G6 cp]])</f>
        <v>0</v>
      </c>
      <c r="AM25" s="215">
        <f>(SUM(CSK[[#This Row],[G24 cp]],CSK[[#This Row],[G16 cp]],CSK[[#This Row],[G6 cp]])-CSK[[#This Row],[B1 MAX]])/(CSK[[#This Row],[B1 Inn]]-1)</f>
        <v>0</v>
      </c>
      <c r="AN25" s="616">
        <f>MIN(CSK[[#This Row],[G24 cp]],CSK[[#This Row],[G16 cp]],CSK[[#This Row],[G6 cp]])</f>
        <v>0</v>
      </c>
      <c r="AO25" s="658"/>
      <c r="AP25" s="665"/>
      <c r="AQ25" s="215"/>
      <c r="AR25" s="215"/>
      <c r="AS25" s="215"/>
      <c r="AT25" s="673"/>
      <c r="AU25" s="215"/>
      <c r="AV25" s="215"/>
      <c r="AW25" s="215"/>
      <c r="AX25" s="288">
        <f xml:space="preserve"> COUNTA(CSK[[#This Row],[G29 cp]],CSK[[#This Row],[G12 cp]],CSK[[#This Row],[G1 cp]])</f>
        <v>0</v>
      </c>
      <c r="AY25" s="215">
        <f>MAX(CSK[[#This Row],[G29 cp]],CSK[[#This Row],[G12 cp]],CSK[[#This Row],[G1 cp]])</f>
        <v>0</v>
      </c>
      <c r="AZ25" s="215">
        <f>( SUM(CSK[[#This Row],[G29 cp]],CSK[[#This Row],[G12 cp]],CSK[[#This Row],[G1 cp]]) -CSK[[#This Row],[CH MAX]]) / ( CSK[[#This Row],[CHS Inn]] - 1 )</f>
        <v>0</v>
      </c>
      <c r="BA25" s="616">
        <f>MIN(CSK[[#This Row],[G29 cp]],CSK[[#This Row],[G12 cp]],CSK[[#This Row],[G1 cp]])</f>
        <v>0</v>
      </c>
      <c r="BB25" s="288"/>
      <c r="BC25" s="215"/>
      <c r="BD25" s="215"/>
      <c r="BE25" s="215"/>
      <c r="BF25" s="215"/>
      <c r="BG25" s="215"/>
      <c r="BH25" s="215"/>
      <c r="BI25" s="215"/>
      <c r="BJ25" s="616"/>
      <c r="BK25" s="215"/>
      <c r="BL25" s="215"/>
      <c r="BM25" s="215"/>
      <c r="BN25" s="215"/>
      <c r="BO25" s="215"/>
      <c r="BP25" s="215"/>
      <c r="BQ25" s="288"/>
      <c r="BR25" s="215"/>
      <c r="BS25" s="215"/>
      <c r="BT25" s="215"/>
      <c r="BU25" s="215"/>
      <c r="BV25" s="215"/>
      <c r="BW25" s="214"/>
      <c r="BX25" s="213"/>
      <c r="BY25" s="213"/>
      <c r="BZ25" s="213"/>
      <c r="CA25" s="213"/>
      <c r="CB25" s="213"/>
      <c r="CC25" s="214"/>
      <c r="CD25" s="213"/>
      <c r="CE25" s="213"/>
      <c r="CF25" s="213"/>
      <c r="CG25" s="213"/>
      <c r="CH25" s="213"/>
      <c r="CI25" s="214"/>
      <c r="CJ25" s="213"/>
      <c r="CK25" s="213"/>
      <c r="CL25" s="213"/>
      <c r="CM25" s="213"/>
      <c r="CN25" s="213"/>
    </row>
    <row r="26" spans="2:92">
      <c r="B26" s="620" t="s">
        <v>141</v>
      </c>
      <c r="C26" s="298" t="s">
        <v>831</v>
      </c>
      <c r="D26" s="298">
        <v>0.6</v>
      </c>
      <c r="E26" s="298" t="s">
        <v>349</v>
      </c>
      <c r="F26" s="290" t="s">
        <v>54</v>
      </c>
      <c r="G26" s="298" t="s">
        <v>55</v>
      </c>
      <c r="H26" s="627"/>
      <c r="I26" s="634"/>
      <c r="J26" s="641"/>
      <c r="K26" s="620"/>
      <c r="L26" s="620"/>
      <c r="M26" s="620"/>
      <c r="N26" s="648"/>
      <c r="O26" s="620"/>
      <c r="P26" s="620"/>
      <c r="Q26" s="620"/>
      <c r="R26" s="299">
        <f>COUNTA(CSK[[#This Row],[G29 cp]],CSK[[#This Row],[G24 cp]],CSK[[#This Row],[G16 cp]],CSK[[#This Row],[G12 cp]],CSK[[#This Row],[G6 cp]],CSK[[#This Row],[G1 cp]])</f>
        <v>0</v>
      </c>
      <c r="S26" s="300">
        <f>MAX(CSK[[#This Row],[G29 cp]],CSK[[#This Row],[G24 cp]],CSK[[#This Row],[G16 cp]],CSK[[#This Row],[G12 cp]],CSK[[#This Row],[G6 cp]],CSK[[#This Row],[G1 cp]])</f>
        <v>0</v>
      </c>
      <c r="T26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6" s="612">
        <f>MIN(CSK[[#This Row],[G29 cp]],CSK[[#This Row],[G24 cp]],CSK[[#This Row],[G16 cp]],CSK[[#This Row],[G12 cp]],CSK[[#This Row],[G6 cp]],CSK[[#This Row],[G1 cp]])</f>
        <v>0</v>
      </c>
      <c r="V26" s="299">
        <f>CSK[[#This Row],[G29 cp]]</f>
        <v>0</v>
      </c>
      <c r="W26" s="300">
        <f>CSK[[#This Row],[G24 cp]]</f>
        <v>0</v>
      </c>
      <c r="X26" s="300">
        <f>CSK[[#This Row],[G16 cp]]</f>
        <v>0</v>
      </c>
      <c r="Y26" s="300">
        <f>CSK[[#This Row],[G12 cp]]</f>
        <v>0</v>
      </c>
      <c r="Z26" s="300">
        <f>CSK[[#This Row],[G6 cp]]</f>
        <v>0</v>
      </c>
      <c r="AA26" s="612">
        <f>CSK[[#This Row],[G1 cp]]</f>
        <v>0</v>
      </c>
      <c r="AB26" s="655"/>
      <c r="AC26" s="662"/>
      <c r="AD26" s="300"/>
      <c r="AE26" s="300"/>
      <c r="AF26" s="300"/>
      <c r="AG26" s="655"/>
      <c r="AH26" s="300"/>
      <c r="AI26" s="300"/>
      <c r="AJ26" s="300"/>
      <c r="AK26" s="299">
        <f>COUNTA(CSK[[#This Row],[G24 cp]],CSK[[#This Row],[G16 cp]],CSK[[#This Row],[G6 cp]])</f>
        <v>0</v>
      </c>
      <c r="AL26" s="300">
        <f>MAX(CSK[[#This Row],[G24 cp]],CSK[[#This Row],[G16 cp]],CSK[[#This Row],[G6 cp]])</f>
        <v>0</v>
      </c>
      <c r="AM26" s="300">
        <f>(SUM(CSK[[#This Row],[G24 cp]],CSK[[#This Row],[G16 cp]],CSK[[#This Row],[G6 cp]])-CSK[[#This Row],[B1 MAX]])/(CSK[[#This Row],[B1 Inn]]-1)</f>
        <v>0</v>
      </c>
      <c r="AN26" s="612">
        <f>MIN(CSK[[#This Row],[G24 cp]],CSK[[#This Row],[G16 cp]],CSK[[#This Row],[G6 cp]])</f>
        <v>0</v>
      </c>
      <c r="AO26" s="655"/>
      <c r="AP26" s="662"/>
      <c r="AQ26" s="300"/>
      <c r="AR26" s="300"/>
      <c r="AS26" s="300"/>
      <c r="AT26" s="670"/>
      <c r="AU26" s="300"/>
      <c r="AV26" s="300"/>
      <c r="AW26" s="300"/>
      <c r="AX26" s="299">
        <f xml:space="preserve"> COUNTA(CSK[[#This Row],[G29 cp]],CSK[[#This Row],[G12 cp]],CSK[[#This Row],[G1 cp]])</f>
        <v>0</v>
      </c>
      <c r="AY26" s="300">
        <f>MAX(CSK[[#This Row],[G29 cp]],CSK[[#This Row],[G12 cp]],CSK[[#This Row],[G1 cp]])</f>
        <v>0</v>
      </c>
      <c r="AZ26" s="300">
        <f>( SUM(CSK[[#This Row],[G29 cp]],CSK[[#This Row],[G12 cp]],CSK[[#This Row],[G1 cp]]) -CSK[[#This Row],[CH MAX]]) / ( CSK[[#This Row],[CHS Inn]] - 1 )</f>
        <v>0</v>
      </c>
      <c r="BA26" s="612">
        <f>MIN(CSK[[#This Row],[G29 cp]],CSK[[#This Row],[G12 cp]],CSK[[#This Row],[G1 cp]])</f>
        <v>0</v>
      </c>
      <c r="BB26" s="299"/>
      <c r="BC26" s="300"/>
      <c r="BD26" s="300"/>
      <c r="BE26" s="300"/>
      <c r="BF26" s="300"/>
      <c r="BG26" s="300"/>
      <c r="BH26" s="300"/>
      <c r="BI26" s="300"/>
      <c r="BJ26" s="612"/>
      <c r="BK26" s="300"/>
      <c r="BL26" s="300"/>
      <c r="BM26" s="300"/>
      <c r="BN26" s="300"/>
      <c r="BO26" s="300"/>
      <c r="BP26" s="300"/>
      <c r="BQ26" s="299"/>
      <c r="BR26" s="300"/>
      <c r="BS26" s="300"/>
      <c r="BT26" s="300"/>
      <c r="BU26" s="300"/>
      <c r="BV26" s="300"/>
      <c r="BW26" s="297"/>
      <c r="BX26" s="298"/>
      <c r="BY26" s="298"/>
      <c r="BZ26" s="298"/>
      <c r="CA26" s="298"/>
      <c r="CB26" s="298"/>
      <c r="CC26" s="297"/>
      <c r="CD26" s="298"/>
      <c r="CE26" s="298"/>
      <c r="CF26" s="298"/>
      <c r="CG26" s="298"/>
      <c r="CH26" s="298"/>
      <c r="CI26" s="297"/>
      <c r="CJ26" s="298"/>
      <c r="CK26" s="298"/>
      <c r="CL26" s="298"/>
      <c r="CM26" s="298"/>
      <c r="CN26" s="298"/>
    </row>
    <row r="27" spans="2:92">
      <c r="B27" s="620" t="s">
        <v>141</v>
      </c>
      <c r="C27" s="298" t="s">
        <v>830</v>
      </c>
      <c r="D27" s="298">
        <v>0.2</v>
      </c>
      <c r="E27" s="298" t="s">
        <v>349</v>
      </c>
      <c r="F27" s="213" t="s">
        <v>56</v>
      </c>
      <c r="G27" s="298" t="s">
        <v>55</v>
      </c>
      <c r="H27" s="627"/>
      <c r="I27" s="634"/>
      <c r="J27" s="641"/>
      <c r="K27" s="620"/>
      <c r="L27" s="620"/>
      <c r="M27" s="620"/>
      <c r="N27" s="648"/>
      <c r="O27" s="620"/>
      <c r="P27" s="620"/>
      <c r="Q27" s="620"/>
      <c r="R27" s="299">
        <f>COUNTA(CSK[[#This Row],[G29 cp]],CSK[[#This Row],[G24 cp]],CSK[[#This Row],[G16 cp]],CSK[[#This Row],[G12 cp]],CSK[[#This Row],[G6 cp]],CSK[[#This Row],[G1 cp]])</f>
        <v>0</v>
      </c>
      <c r="S27" s="300">
        <f>MAX(CSK[[#This Row],[G29 cp]],CSK[[#This Row],[G24 cp]],CSK[[#This Row],[G16 cp]],CSK[[#This Row],[G12 cp]],CSK[[#This Row],[G6 cp]],CSK[[#This Row],[G1 cp]])</f>
        <v>0</v>
      </c>
      <c r="T27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7" s="612">
        <f>MIN(CSK[[#This Row],[G29 cp]],CSK[[#This Row],[G24 cp]],CSK[[#This Row],[G16 cp]],CSK[[#This Row],[G12 cp]],CSK[[#This Row],[G6 cp]],CSK[[#This Row],[G1 cp]])</f>
        <v>0</v>
      </c>
      <c r="V27" s="299">
        <f>CSK[[#This Row],[G29 cp]]</f>
        <v>0</v>
      </c>
      <c r="W27" s="300">
        <f>CSK[[#This Row],[G24 cp]]</f>
        <v>0</v>
      </c>
      <c r="X27" s="300">
        <f>CSK[[#This Row],[G16 cp]]</f>
        <v>0</v>
      </c>
      <c r="Y27" s="300">
        <f>CSK[[#This Row],[G12 cp]]</f>
        <v>0</v>
      </c>
      <c r="Z27" s="300">
        <f>CSK[[#This Row],[G6 cp]]</f>
        <v>0</v>
      </c>
      <c r="AA27" s="612">
        <f>CSK[[#This Row],[G1 cp]]</f>
        <v>0</v>
      </c>
      <c r="AB27" s="655"/>
      <c r="AC27" s="662"/>
      <c r="AD27" s="300"/>
      <c r="AE27" s="300"/>
      <c r="AF27" s="300"/>
      <c r="AG27" s="655"/>
      <c r="AH27" s="300"/>
      <c r="AI27" s="300"/>
      <c r="AJ27" s="300"/>
      <c r="AK27" s="299">
        <f>COUNTA(CSK[[#This Row],[G24 cp]],CSK[[#This Row],[G16 cp]],CSK[[#This Row],[G6 cp]])</f>
        <v>0</v>
      </c>
      <c r="AL27" s="300">
        <f>MAX(CSK[[#This Row],[G24 cp]],CSK[[#This Row],[G16 cp]],CSK[[#This Row],[G6 cp]])</f>
        <v>0</v>
      </c>
      <c r="AM27" s="300">
        <f>(SUM(CSK[[#This Row],[G24 cp]],CSK[[#This Row],[G16 cp]],CSK[[#This Row],[G6 cp]])-CSK[[#This Row],[B1 MAX]])/(CSK[[#This Row],[B1 Inn]]-1)</f>
        <v>0</v>
      </c>
      <c r="AN27" s="612">
        <f>MIN(CSK[[#This Row],[G24 cp]],CSK[[#This Row],[G16 cp]],CSK[[#This Row],[G6 cp]])</f>
        <v>0</v>
      </c>
      <c r="AO27" s="655"/>
      <c r="AP27" s="662"/>
      <c r="AQ27" s="300"/>
      <c r="AR27" s="300"/>
      <c r="AS27" s="300"/>
      <c r="AT27" s="670"/>
      <c r="AU27" s="300"/>
      <c r="AV27" s="300"/>
      <c r="AW27" s="300"/>
      <c r="AX27" s="299">
        <f xml:space="preserve"> COUNTA(CSK[[#This Row],[G29 cp]],CSK[[#This Row],[G12 cp]],CSK[[#This Row],[G1 cp]])</f>
        <v>0</v>
      </c>
      <c r="AY27" s="300">
        <f>MAX(CSK[[#This Row],[G29 cp]],CSK[[#This Row],[G12 cp]],CSK[[#This Row],[G1 cp]])</f>
        <v>0</v>
      </c>
      <c r="AZ27" s="300">
        <f>( SUM(CSK[[#This Row],[G29 cp]],CSK[[#This Row],[G12 cp]],CSK[[#This Row],[G1 cp]]) -CSK[[#This Row],[CH MAX]]) / ( CSK[[#This Row],[CHS Inn]] - 1 )</f>
        <v>0</v>
      </c>
      <c r="BA27" s="612">
        <f>MIN(CSK[[#This Row],[G29 cp]],CSK[[#This Row],[G12 cp]],CSK[[#This Row],[G1 cp]])</f>
        <v>0</v>
      </c>
      <c r="BB27" s="299"/>
      <c r="BC27" s="300"/>
      <c r="BD27" s="300"/>
      <c r="BE27" s="300"/>
      <c r="BF27" s="300"/>
      <c r="BG27" s="300"/>
      <c r="BH27" s="300"/>
      <c r="BI27" s="300"/>
      <c r="BJ27" s="612"/>
      <c r="BK27" s="300"/>
      <c r="BL27" s="300"/>
      <c r="BM27" s="300"/>
      <c r="BN27" s="300"/>
      <c r="BO27" s="300"/>
      <c r="BP27" s="300"/>
      <c r="BQ27" s="299"/>
      <c r="BR27" s="300"/>
      <c r="BS27" s="300"/>
      <c r="BT27" s="300"/>
      <c r="BU27" s="300"/>
      <c r="BV27" s="300"/>
      <c r="BW27" s="297"/>
      <c r="BX27" s="298"/>
      <c r="BY27" s="298"/>
      <c r="BZ27" s="298"/>
      <c r="CA27" s="298"/>
      <c r="CB27" s="298"/>
      <c r="CC27" s="297"/>
      <c r="CD27" s="298"/>
      <c r="CE27" s="298"/>
      <c r="CF27" s="298"/>
      <c r="CG27" s="298"/>
      <c r="CH27" s="298"/>
      <c r="CI27" s="297"/>
      <c r="CJ27" s="298"/>
      <c r="CK27" s="298"/>
      <c r="CL27" s="298"/>
      <c r="CM27" s="298"/>
      <c r="CN27" s="298"/>
    </row>
    <row r="28" spans="2:92">
      <c r="B28" s="620" t="s">
        <v>141</v>
      </c>
      <c r="C28" s="298" t="s">
        <v>832</v>
      </c>
      <c r="D28" s="298">
        <v>0.2</v>
      </c>
      <c r="E28" s="298" t="s">
        <v>349</v>
      </c>
      <c r="F28" s="298" t="s">
        <v>55</v>
      </c>
      <c r="G28" s="298" t="s">
        <v>55</v>
      </c>
      <c r="H28" s="627"/>
      <c r="I28" s="634"/>
      <c r="J28" s="641"/>
      <c r="K28" s="620"/>
      <c r="L28" s="620"/>
      <c r="M28" s="620"/>
      <c r="N28" s="648"/>
      <c r="O28" s="620"/>
      <c r="P28" s="620"/>
      <c r="Q28" s="620"/>
      <c r="R28" s="299">
        <f>COUNTA(CSK[[#This Row],[G29 cp]],CSK[[#This Row],[G24 cp]],CSK[[#This Row],[G16 cp]],CSK[[#This Row],[G12 cp]],CSK[[#This Row],[G6 cp]],CSK[[#This Row],[G1 cp]])</f>
        <v>0</v>
      </c>
      <c r="S28" s="300">
        <f>MAX(CSK[[#This Row],[G29 cp]],CSK[[#This Row],[G24 cp]],CSK[[#This Row],[G16 cp]],CSK[[#This Row],[G12 cp]],CSK[[#This Row],[G6 cp]],CSK[[#This Row],[G1 cp]])</f>
        <v>0</v>
      </c>
      <c r="T28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8" s="612">
        <f>MIN(CSK[[#This Row],[G29 cp]],CSK[[#This Row],[G24 cp]],CSK[[#This Row],[G16 cp]],CSK[[#This Row],[G12 cp]],CSK[[#This Row],[G6 cp]],CSK[[#This Row],[G1 cp]])</f>
        <v>0</v>
      </c>
      <c r="V28" s="299">
        <f>CSK[[#This Row],[G29 cp]]</f>
        <v>0</v>
      </c>
      <c r="W28" s="300">
        <f>CSK[[#This Row],[G24 cp]]</f>
        <v>0</v>
      </c>
      <c r="X28" s="300">
        <f>CSK[[#This Row],[G16 cp]]</f>
        <v>0</v>
      </c>
      <c r="Y28" s="300">
        <f>CSK[[#This Row],[G12 cp]]</f>
        <v>0</v>
      </c>
      <c r="Z28" s="300">
        <f>CSK[[#This Row],[G6 cp]]</f>
        <v>0</v>
      </c>
      <c r="AA28" s="612">
        <f>CSK[[#This Row],[G1 cp]]</f>
        <v>0</v>
      </c>
      <c r="AB28" s="655"/>
      <c r="AC28" s="662"/>
      <c r="AD28" s="300"/>
      <c r="AE28" s="300"/>
      <c r="AF28" s="300"/>
      <c r="AG28" s="655"/>
      <c r="AH28" s="300"/>
      <c r="AI28" s="300"/>
      <c r="AJ28" s="300"/>
      <c r="AK28" s="299">
        <f>COUNTA(CSK[[#This Row],[G24 cp]],CSK[[#This Row],[G16 cp]],CSK[[#This Row],[G6 cp]])</f>
        <v>0</v>
      </c>
      <c r="AL28" s="300">
        <f>MAX(CSK[[#This Row],[G24 cp]],CSK[[#This Row],[G16 cp]],CSK[[#This Row],[G6 cp]])</f>
        <v>0</v>
      </c>
      <c r="AM28" s="300">
        <f>(SUM(CSK[[#This Row],[G24 cp]],CSK[[#This Row],[G16 cp]],CSK[[#This Row],[G6 cp]])-CSK[[#This Row],[B1 MAX]])/(CSK[[#This Row],[B1 Inn]]-1)</f>
        <v>0</v>
      </c>
      <c r="AN28" s="612">
        <f>MIN(CSK[[#This Row],[G24 cp]],CSK[[#This Row],[G16 cp]],CSK[[#This Row],[G6 cp]])</f>
        <v>0</v>
      </c>
      <c r="AO28" s="655"/>
      <c r="AP28" s="662"/>
      <c r="AQ28" s="300"/>
      <c r="AR28" s="300"/>
      <c r="AS28" s="300"/>
      <c r="AT28" s="670"/>
      <c r="AU28" s="300"/>
      <c r="AV28" s="300"/>
      <c r="AW28" s="300"/>
      <c r="AX28" s="299">
        <f xml:space="preserve"> COUNTA(CSK[[#This Row],[G29 cp]],CSK[[#This Row],[G12 cp]],CSK[[#This Row],[G1 cp]])</f>
        <v>0</v>
      </c>
      <c r="AY28" s="300">
        <f>MAX(CSK[[#This Row],[G29 cp]],CSK[[#This Row],[G12 cp]],CSK[[#This Row],[G1 cp]])</f>
        <v>0</v>
      </c>
      <c r="AZ28" s="300">
        <f>( SUM(CSK[[#This Row],[G29 cp]],CSK[[#This Row],[G12 cp]],CSK[[#This Row],[G1 cp]]) -CSK[[#This Row],[CH MAX]]) / ( CSK[[#This Row],[CHS Inn]] - 1 )</f>
        <v>0</v>
      </c>
      <c r="BA28" s="612">
        <f>MIN(CSK[[#This Row],[G29 cp]],CSK[[#This Row],[G12 cp]],CSK[[#This Row],[G1 cp]])</f>
        <v>0</v>
      </c>
      <c r="BB28" s="299"/>
      <c r="BC28" s="300"/>
      <c r="BD28" s="300"/>
      <c r="BE28" s="300"/>
      <c r="BF28" s="300"/>
      <c r="BG28" s="300"/>
      <c r="BH28" s="300"/>
      <c r="BI28" s="300"/>
      <c r="BJ28" s="612"/>
      <c r="BK28" s="300"/>
      <c r="BL28" s="300"/>
      <c r="BM28" s="300"/>
      <c r="BN28" s="300"/>
      <c r="BO28" s="300"/>
      <c r="BP28" s="300"/>
      <c r="BQ28" s="299"/>
      <c r="BR28" s="300"/>
      <c r="BS28" s="300"/>
      <c r="BT28" s="300"/>
      <c r="BU28" s="300"/>
      <c r="BV28" s="300"/>
      <c r="BW28" s="297"/>
      <c r="BX28" s="298"/>
      <c r="BY28" s="298"/>
      <c r="BZ28" s="298"/>
      <c r="CA28" s="298"/>
      <c r="CB28" s="298"/>
      <c r="CC28" s="297"/>
      <c r="CD28" s="298"/>
      <c r="CE28" s="298"/>
      <c r="CF28" s="298"/>
      <c r="CG28" s="298"/>
      <c r="CH28" s="298"/>
      <c r="CI28" s="297"/>
      <c r="CJ28" s="298"/>
      <c r="CK28" s="298"/>
      <c r="CL28" s="298"/>
      <c r="CM28" s="298"/>
      <c r="CN28" s="298"/>
    </row>
    <row r="29" spans="2:92">
      <c r="B29" s="623" t="s">
        <v>141</v>
      </c>
      <c r="C29" s="213" t="s">
        <v>836</v>
      </c>
      <c r="D29" s="213">
        <v>0.2</v>
      </c>
      <c r="E29" s="213" t="s">
        <v>618</v>
      </c>
      <c r="F29" s="213" t="s">
        <v>56</v>
      </c>
      <c r="G29" s="213" t="s">
        <v>56</v>
      </c>
      <c r="H29" s="630"/>
      <c r="I29" s="637"/>
      <c r="J29" s="644"/>
      <c r="K29" s="623"/>
      <c r="L29" s="623"/>
      <c r="M29" s="623"/>
      <c r="N29" s="651"/>
      <c r="O29" s="623"/>
      <c r="P29" s="623"/>
      <c r="Q29" s="623"/>
      <c r="R29" s="288">
        <f>COUNTA(CSK[[#This Row],[G29 cp]],CSK[[#This Row],[G24 cp]],CSK[[#This Row],[G16 cp]],CSK[[#This Row],[G12 cp]],CSK[[#This Row],[G6 cp]],CSK[[#This Row],[G1 cp]])</f>
        <v>0</v>
      </c>
      <c r="S29" s="215">
        <f>MAX(CSK[[#This Row],[G29 cp]],CSK[[#This Row],[G24 cp]],CSK[[#This Row],[G16 cp]],CSK[[#This Row],[G12 cp]],CSK[[#This Row],[G6 cp]],CSK[[#This Row],[G1 cp]])</f>
        <v>0</v>
      </c>
      <c r="T29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9" s="616">
        <f>MIN(CSK[[#This Row],[G29 cp]],CSK[[#This Row],[G24 cp]],CSK[[#This Row],[G16 cp]],CSK[[#This Row],[G12 cp]],CSK[[#This Row],[G6 cp]],CSK[[#This Row],[G1 cp]])</f>
        <v>0</v>
      </c>
      <c r="V29" s="288">
        <f>CSK[[#This Row],[G29 cp]]</f>
        <v>0</v>
      </c>
      <c r="W29" s="215">
        <f>CSK[[#This Row],[G24 cp]]</f>
        <v>0</v>
      </c>
      <c r="X29" s="215">
        <f>CSK[[#This Row],[G16 cp]]</f>
        <v>0</v>
      </c>
      <c r="Y29" s="215">
        <f>CSK[[#This Row],[G12 cp]]</f>
        <v>0</v>
      </c>
      <c r="Z29" s="215">
        <f>CSK[[#This Row],[G6 cp]]</f>
        <v>0</v>
      </c>
      <c r="AA29" s="616">
        <f>CSK[[#This Row],[G1 cp]]</f>
        <v>0</v>
      </c>
      <c r="AB29" s="658"/>
      <c r="AC29" s="665"/>
      <c r="AD29" s="215"/>
      <c r="AE29" s="215"/>
      <c r="AF29" s="215"/>
      <c r="AG29" s="658"/>
      <c r="AH29" s="215"/>
      <c r="AI29" s="215"/>
      <c r="AJ29" s="215"/>
      <c r="AK29" s="288">
        <f>COUNTA(CSK[[#This Row],[G24 cp]],CSK[[#This Row],[G16 cp]],CSK[[#This Row],[G6 cp]])</f>
        <v>0</v>
      </c>
      <c r="AL29" s="215">
        <f>MAX(CSK[[#This Row],[G24 cp]],CSK[[#This Row],[G16 cp]],CSK[[#This Row],[G6 cp]])</f>
        <v>0</v>
      </c>
      <c r="AM29" s="215">
        <f>(SUM(CSK[[#This Row],[G24 cp]],CSK[[#This Row],[G16 cp]],CSK[[#This Row],[G6 cp]])-CSK[[#This Row],[B1 MAX]])/(CSK[[#This Row],[B1 Inn]]-1)</f>
        <v>0</v>
      </c>
      <c r="AN29" s="616">
        <f>MIN(CSK[[#This Row],[G24 cp]],CSK[[#This Row],[G16 cp]],CSK[[#This Row],[G6 cp]])</f>
        <v>0</v>
      </c>
      <c r="AO29" s="658"/>
      <c r="AP29" s="665"/>
      <c r="AQ29" s="215"/>
      <c r="AR29" s="215"/>
      <c r="AS29" s="215"/>
      <c r="AT29" s="673"/>
      <c r="AU29" s="215"/>
      <c r="AV29" s="215"/>
      <c r="AW29" s="215"/>
      <c r="AX29" s="288">
        <f xml:space="preserve"> COUNTA(CSK[[#This Row],[G29 cp]],CSK[[#This Row],[G12 cp]],CSK[[#This Row],[G1 cp]])</f>
        <v>0</v>
      </c>
      <c r="AY29" s="215">
        <f>MAX(CSK[[#This Row],[G29 cp]],CSK[[#This Row],[G12 cp]],CSK[[#This Row],[G1 cp]])</f>
        <v>0</v>
      </c>
      <c r="AZ29" s="215">
        <f>( SUM(CSK[[#This Row],[G29 cp]],CSK[[#This Row],[G12 cp]],CSK[[#This Row],[G1 cp]]) -CSK[[#This Row],[CH MAX]]) / ( CSK[[#This Row],[CHS Inn]] - 1 )</f>
        <v>0</v>
      </c>
      <c r="BA29" s="616">
        <f>MIN(CSK[[#This Row],[G29 cp]],CSK[[#This Row],[G12 cp]],CSK[[#This Row],[G1 cp]])</f>
        <v>0</v>
      </c>
      <c r="BB29" s="288"/>
      <c r="BC29" s="215"/>
      <c r="BD29" s="215"/>
      <c r="BE29" s="215"/>
      <c r="BF29" s="215"/>
      <c r="BG29" s="215"/>
      <c r="BH29" s="215"/>
      <c r="BI29" s="215"/>
      <c r="BJ29" s="616"/>
      <c r="BK29" s="215"/>
      <c r="BL29" s="215"/>
      <c r="BM29" s="215"/>
      <c r="BN29" s="215"/>
      <c r="BO29" s="215"/>
      <c r="BP29" s="215"/>
      <c r="BQ29" s="288"/>
      <c r="BR29" s="215"/>
      <c r="BS29" s="215"/>
      <c r="BT29" s="215"/>
      <c r="BU29" s="215"/>
      <c r="BV29" s="215"/>
      <c r="BW29" s="214"/>
      <c r="BX29" s="213"/>
      <c r="BY29" s="213"/>
      <c r="BZ29" s="213"/>
      <c r="CA29" s="213"/>
      <c r="CB29" s="213"/>
      <c r="CC29" s="214"/>
      <c r="CD29" s="213"/>
      <c r="CE29" s="213"/>
      <c r="CF29" s="213"/>
      <c r="CG29" s="213"/>
      <c r="CH29" s="213"/>
      <c r="CI29" s="214"/>
      <c r="CJ29" s="213"/>
      <c r="CK29" s="213"/>
      <c r="CL29" s="213"/>
      <c r="CM29" s="213"/>
      <c r="CN29" s="213"/>
    </row>
    <row r="30" spans="2:92">
      <c r="B30" s="623" t="s">
        <v>141</v>
      </c>
      <c r="C30" s="213" t="s">
        <v>874</v>
      </c>
      <c r="D30" s="213"/>
      <c r="E30" s="213" t="s">
        <v>634</v>
      </c>
      <c r="F30" s="213" t="s">
        <v>56</v>
      </c>
      <c r="G30" s="213" t="s">
        <v>56</v>
      </c>
      <c r="H30" s="630"/>
      <c r="I30" s="637"/>
      <c r="J30" s="644"/>
      <c r="K30" s="623"/>
      <c r="L30" s="623"/>
      <c r="M30" s="623"/>
      <c r="N30" s="651"/>
      <c r="O30" s="623"/>
      <c r="P30" s="623"/>
      <c r="Q30" s="623"/>
      <c r="R30" s="288">
        <f>COUNTA(CSK[[#This Row],[G29 cp]],CSK[[#This Row],[G24 cp]],CSK[[#This Row],[G16 cp]],CSK[[#This Row],[G12 cp]],CSK[[#This Row],[G6 cp]],CSK[[#This Row],[G1 cp]])</f>
        <v>0</v>
      </c>
      <c r="S30" s="215">
        <f>MAX(CSK[[#This Row],[G29 cp]],CSK[[#This Row],[G24 cp]],CSK[[#This Row],[G16 cp]],CSK[[#This Row],[G12 cp]],CSK[[#This Row],[G6 cp]],CSK[[#This Row],[G1 cp]])</f>
        <v>0</v>
      </c>
      <c r="T30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30" s="616">
        <f>MIN(CSK[[#This Row],[G29 cp]],CSK[[#This Row],[G24 cp]],CSK[[#This Row],[G16 cp]],CSK[[#This Row],[G12 cp]],CSK[[#This Row],[G6 cp]],CSK[[#This Row],[G1 cp]])</f>
        <v>0</v>
      </c>
      <c r="V30" s="288">
        <f>CSK[[#This Row],[G29 cp]]</f>
        <v>0</v>
      </c>
      <c r="W30" s="215">
        <f>CSK[[#This Row],[G24 cp]]</f>
        <v>0</v>
      </c>
      <c r="X30" s="215">
        <f>CSK[[#This Row],[G16 cp]]</f>
        <v>0</v>
      </c>
      <c r="Y30" s="215">
        <f>CSK[[#This Row],[G12 cp]]</f>
        <v>0</v>
      </c>
      <c r="Z30" s="215">
        <f>CSK[[#This Row],[G6 cp]]</f>
        <v>0</v>
      </c>
      <c r="AA30" s="616">
        <f>CSK[[#This Row],[G1 cp]]</f>
        <v>0</v>
      </c>
      <c r="AB30" s="658"/>
      <c r="AC30" s="665"/>
      <c r="AD30" s="215"/>
      <c r="AE30" s="215"/>
      <c r="AF30" s="215"/>
      <c r="AG30" s="658"/>
      <c r="AH30" s="215"/>
      <c r="AI30" s="215"/>
      <c r="AJ30" s="215"/>
      <c r="AK30" s="288">
        <f>COUNTA(CSK[[#This Row],[G24 cp]],CSK[[#This Row],[G16 cp]],CSK[[#This Row],[G6 cp]])</f>
        <v>0</v>
      </c>
      <c r="AL30" s="215">
        <f>MAX(CSK[[#This Row],[G24 cp]],CSK[[#This Row],[G16 cp]],CSK[[#This Row],[G6 cp]])</f>
        <v>0</v>
      </c>
      <c r="AM30" s="215">
        <f>(SUM(CSK[[#This Row],[G24 cp]],CSK[[#This Row],[G16 cp]],CSK[[#This Row],[G6 cp]])-CSK[[#This Row],[B1 MAX]])/(CSK[[#This Row],[B1 Inn]]-1)</f>
        <v>0</v>
      </c>
      <c r="AN30" s="616">
        <f>MIN(CSK[[#This Row],[G24 cp]],CSK[[#This Row],[G16 cp]],CSK[[#This Row],[G6 cp]])</f>
        <v>0</v>
      </c>
      <c r="AO30" s="658"/>
      <c r="AP30" s="665"/>
      <c r="AQ30" s="215"/>
      <c r="AR30" s="215"/>
      <c r="AS30" s="215"/>
      <c r="AT30" s="673"/>
      <c r="AU30" s="215"/>
      <c r="AV30" s="215"/>
      <c r="AW30" s="215"/>
      <c r="AX30" s="288">
        <f xml:space="preserve"> COUNTA(CSK[[#This Row],[G29 cp]],CSK[[#This Row],[G12 cp]],CSK[[#This Row],[G1 cp]])</f>
        <v>0</v>
      </c>
      <c r="AY30" s="215">
        <f>MAX(CSK[[#This Row],[G29 cp]],CSK[[#This Row],[G12 cp]],CSK[[#This Row],[G1 cp]])</f>
        <v>0</v>
      </c>
      <c r="AZ30" s="215">
        <f>( SUM(CSK[[#This Row],[G29 cp]],CSK[[#This Row],[G12 cp]],CSK[[#This Row],[G1 cp]]) -CSK[[#This Row],[CH MAX]]) / ( CSK[[#This Row],[CHS Inn]] - 1 )</f>
        <v>0</v>
      </c>
      <c r="BA30" s="616">
        <f>MIN(CSK[[#This Row],[G29 cp]],CSK[[#This Row],[G12 cp]],CSK[[#This Row],[G1 cp]])</f>
        <v>0</v>
      </c>
      <c r="BB30" s="288"/>
      <c r="BC30" s="215"/>
      <c r="BD30" s="215"/>
      <c r="BE30" s="215"/>
      <c r="BF30" s="215"/>
      <c r="BG30" s="215"/>
      <c r="BH30" s="215"/>
      <c r="BI30" s="215"/>
      <c r="BJ30" s="616"/>
      <c r="BK30" s="215"/>
      <c r="BL30" s="215"/>
      <c r="BM30" s="215"/>
      <c r="BN30" s="215"/>
      <c r="BO30" s="215"/>
      <c r="BP30" s="215"/>
      <c r="BQ30" s="288"/>
      <c r="BR30" s="215"/>
      <c r="BS30" s="215"/>
      <c r="BT30" s="215"/>
      <c r="BU30" s="215"/>
      <c r="BV30" s="215"/>
      <c r="BW30" s="214"/>
      <c r="BX30" s="213"/>
      <c r="BY30" s="213"/>
      <c r="BZ30" s="213"/>
      <c r="CA30" s="213"/>
      <c r="CB30" s="213"/>
      <c r="CC30" s="214"/>
      <c r="CD30" s="213"/>
      <c r="CE30" s="213"/>
      <c r="CF30" s="213"/>
      <c r="CG30" s="213"/>
      <c r="CH30" s="213"/>
      <c r="CI30" s="214"/>
      <c r="CJ30" s="213"/>
      <c r="CK30" s="213"/>
      <c r="CL30" s="213"/>
      <c r="CM30" s="213"/>
      <c r="CN30" s="213"/>
    </row>
    <row r="31" spans="2:92">
      <c r="B31" s="623" t="s">
        <v>141</v>
      </c>
      <c r="C31" s="213" t="s">
        <v>873</v>
      </c>
      <c r="D31" s="213"/>
      <c r="E31" s="213"/>
      <c r="F31" s="213" t="s">
        <v>56</v>
      </c>
      <c r="G31" s="213" t="s">
        <v>56</v>
      </c>
      <c r="H31" s="630"/>
      <c r="I31" s="637"/>
      <c r="J31" s="644"/>
      <c r="K31" s="623"/>
      <c r="L31" s="623"/>
      <c r="M31" s="623"/>
      <c r="N31" s="651"/>
      <c r="O31" s="623"/>
      <c r="P31" s="623"/>
      <c r="Q31" s="623"/>
      <c r="R31" s="288">
        <f>COUNTA(CSK[[#This Row],[G29 cp]],CSK[[#This Row],[G24 cp]],CSK[[#This Row],[G16 cp]],CSK[[#This Row],[G12 cp]],CSK[[#This Row],[G6 cp]],CSK[[#This Row],[G1 cp]])</f>
        <v>0</v>
      </c>
      <c r="S31" s="215">
        <f>MAX(CSK[[#This Row],[G29 cp]],CSK[[#This Row],[G24 cp]],CSK[[#This Row],[G16 cp]],CSK[[#This Row],[G12 cp]],CSK[[#This Row],[G6 cp]],CSK[[#This Row],[G1 cp]])</f>
        <v>0</v>
      </c>
      <c r="T31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31" s="616">
        <f>MIN(CSK[[#This Row],[G29 cp]],CSK[[#This Row],[G24 cp]],CSK[[#This Row],[G16 cp]],CSK[[#This Row],[G12 cp]],CSK[[#This Row],[G6 cp]],CSK[[#This Row],[G1 cp]])</f>
        <v>0</v>
      </c>
      <c r="V31" s="288">
        <f>CSK[[#This Row],[G29 cp]]</f>
        <v>0</v>
      </c>
      <c r="W31" s="215">
        <f>CSK[[#This Row],[G24 cp]]</f>
        <v>0</v>
      </c>
      <c r="X31" s="215">
        <f>CSK[[#This Row],[G16 cp]]</f>
        <v>0</v>
      </c>
      <c r="Y31" s="215">
        <f>CSK[[#This Row],[G12 cp]]</f>
        <v>0</v>
      </c>
      <c r="Z31" s="215">
        <f>CSK[[#This Row],[G6 cp]]</f>
        <v>0</v>
      </c>
      <c r="AA31" s="616">
        <f>CSK[[#This Row],[G1 cp]]</f>
        <v>0</v>
      </c>
      <c r="AB31" s="658"/>
      <c r="AC31" s="665"/>
      <c r="AD31" s="215"/>
      <c r="AE31" s="215"/>
      <c r="AF31" s="215"/>
      <c r="AG31" s="658"/>
      <c r="AH31" s="215"/>
      <c r="AI31" s="215"/>
      <c r="AJ31" s="215"/>
      <c r="AK31" s="288">
        <f>COUNTA(CSK[[#This Row],[G24 cp]],CSK[[#This Row],[G16 cp]],CSK[[#This Row],[G6 cp]])</f>
        <v>0</v>
      </c>
      <c r="AL31" s="215">
        <f>MAX(CSK[[#This Row],[G24 cp]],CSK[[#This Row],[G16 cp]],CSK[[#This Row],[G6 cp]])</f>
        <v>0</v>
      </c>
      <c r="AM31" s="215">
        <f>(SUM(CSK[[#This Row],[G24 cp]],CSK[[#This Row],[G16 cp]],CSK[[#This Row],[G6 cp]])-CSK[[#This Row],[B1 MAX]])/(CSK[[#This Row],[B1 Inn]]-1)</f>
        <v>0</v>
      </c>
      <c r="AN31" s="616">
        <f>MIN(CSK[[#This Row],[G24 cp]],CSK[[#This Row],[G16 cp]],CSK[[#This Row],[G6 cp]])</f>
        <v>0</v>
      </c>
      <c r="AO31" s="658"/>
      <c r="AP31" s="665"/>
      <c r="AQ31" s="215"/>
      <c r="AR31" s="215"/>
      <c r="AS31" s="215"/>
      <c r="AT31" s="673"/>
      <c r="AU31" s="215"/>
      <c r="AV31" s="215"/>
      <c r="AW31" s="215"/>
      <c r="AX31" s="288">
        <f xml:space="preserve"> COUNTA(CSK[[#This Row],[G29 cp]],CSK[[#This Row],[G12 cp]],CSK[[#This Row],[G1 cp]])</f>
        <v>0</v>
      </c>
      <c r="AY31" s="215">
        <f>MAX(CSK[[#This Row],[G29 cp]],CSK[[#This Row],[G12 cp]],CSK[[#This Row],[G1 cp]])</f>
        <v>0</v>
      </c>
      <c r="AZ31" s="215">
        <f>( SUM(CSK[[#This Row],[G29 cp]],CSK[[#This Row],[G12 cp]],CSK[[#This Row],[G1 cp]]) -CSK[[#This Row],[CH MAX]]) / ( CSK[[#This Row],[CHS Inn]] - 1 )</f>
        <v>0</v>
      </c>
      <c r="BA31" s="616">
        <f>MIN(CSK[[#This Row],[G29 cp]],CSK[[#This Row],[G12 cp]],CSK[[#This Row],[G1 cp]])</f>
        <v>0</v>
      </c>
      <c r="BB31" s="288"/>
      <c r="BC31" s="215"/>
      <c r="BD31" s="215"/>
      <c r="BE31" s="215"/>
      <c r="BF31" s="215"/>
      <c r="BG31" s="215"/>
      <c r="BH31" s="215"/>
      <c r="BI31" s="215"/>
      <c r="BJ31" s="616"/>
      <c r="BK31" s="215"/>
      <c r="BL31" s="215"/>
      <c r="BM31" s="215"/>
      <c r="BN31" s="215"/>
      <c r="BO31" s="215"/>
      <c r="BP31" s="215"/>
      <c r="BQ31" s="288"/>
      <c r="BR31" s="215"/>
      <c r="BS31" s="215"/>
      <c r="BT31" s="215"/>
      <c r="BU31" s="215"/>
      <c r="BV31" s="215"/>
      <c r="BW31" s="214"/>
      <c r="BX31" s="213"/>
      <c r="BY31" s="213"/>
      <c r="BZ31" s="213"/>
      <c r="CA31" s="213"/>
      <c r="CB31" s="213"/>
      <c r="CC31" s="214"/>
      <c r="CD31" s="213"/>
      <c r="CE31" s="213"/>
      <c r="CF31" s="213"/>
      <c r="CG31" s="213"/>
      <c r="CH31" s="213"/>
      <c r="CI31" s="214"/>
      <c r="CJ31" s="213"/>
      <c r="CK31" s="213"/>
      <c r="CL31" s="213"/>
      <c r="CM31" s="213"/>
      <c r="CN31" s="213"/>
    </row>
  </sheetData>
  <sortState xmlns:xlrd2="http://schemas.microsoft.com/office/spreadsheetml/2017/richdata2" ref="B5:CN31">
    <sortCondition ref="BK5:BK31"/>
    <sortCondition ref="BW5:BW31"/>
    <sortCondition ref="CC5:CC31"/>
    <sortCondition ref="CI5:CI31"/>
    <sortCondition descending="1" ref="D5:D31"/>
  </sortState>
  <phoneticPr fontId="26" type="noConversion"/>
  <conditionalFormatting sqref="S5:S31">
    <cfRule type="colorScale" priority="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T5:T31">
    <cfRule type="colorScale" priority="15">
      <colorScale>
        <cfvo type="min"/>
        <cfvo type="max"/>
        <color rgb="FFFCFCFF"/>
        <color rgb="FF63BE7B"/>
      </colorScale>
    </cfRule>
  </conditionalFormatting>
  <conditionalFormatting sqref="U5:U31 AB5:AJ31">
    <cfRule type="colorScale" priority="81">
      <colorScale>
        <cfvo type="min"/>
        <cfvo type="max"/>
        <color rgb="FFFCFCFF"/>
        <color rgb="FF63BE7B"/>
      </colorScale>
    </cfRule>
  </conditionalFormatting>
  <conditionalFormatting sqref="V5:W31">
    <cfRule type="colorScale" priority="21">
      <colorScale>
        <cfvo type="min"/>
        <cfvo type="max"/>
        <color rgb="FFFCFCFF"/>
        <color rgb="FF63BE7B"/>
      </colorScale>
    </cfRule>
  </conditionalFormatting>
  <conditionalFormatting sqref="X5:X31">
    <cfRule type="colorScale" priority="28">
      <colorScale>
        <cfvo type="min"/>
        <cfvo type="max"/>
        <color rgb="FFFCFCFF"/>
        <color rgb="FF63BE7B"/>
      </colorScale>
    </cfRule>
  </conditionalFormatting>
  <conditionalFormatting sqref="Y5:Y31">
    <cfRule type="colorScale" priority="27">
      <colorScale>
        <cfvo type="min"/>
        <cfvo type="max"/>
        <color rgb="FFFCFCFF"/>
        <color rgb="FF63BE7B"/>
      </colorScale>
    </cfRule>
  </conditionalFormatting>
  <conditionalFormatting sqref="Z5:Z3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A5:AA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L5:AL31">
    <cfRule type="colorScale" priority="3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AM5:AM31">
    <cfRule type="colorScale" priority="7">
      <colorScale>
        <cfvo type="min"/>
        <cfvo type="max"/>
        <color rgb="FFFCFCFF"/>
        <color rgb="FF63BE7B"/>
      </colorScale>
    </cfRule>
  </conditionalFormatting>
  <conditionalFormatting sqref="AN5:AN31">
    <cfRule type="colorScale" priority="8">
      <colorScale>
        <cfvo type="min"/>
        <cfvo type="max"/>
        <color rgb="FFFCFCFF"/>
        <color rgb="FF63BE7B"/>
      </colorScale>
    </cfRule>
  </conditionalFormatting>
  <conditionalFormatting sqref="AO5:AW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AY5:AY31">
    <cfRule type="colorScale" priority="1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AY5:BA31 AL5:AL31 U5:U31 AO5:AW31 AB5:AJ3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Z5:AZ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A5:BA31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3D-9367-45DC-BD58-314AD879CC20}">
  <dimension ref="B2:CK28"/>
  <sheetViews>
    <sheetView showGridLines="0" workbookViewId="0">
      <pane xSplit="3" ySplit="5" topLeftCell="BV6" activePane="bottomRight" state="frozen"/>
      <selection pane="topRight" activeCell="D1" sqref="D1"/>
      <selection pane="bottomLeft" activeCell="A5" sqref="A5"/>
      <selection pane="bottomRight" activeCell="B14" sqref="B14"/>
    </sheetView>
  </sheetViews>
  <sheetFormatPr defaultRowHeight="14.4"/>
  <cols>
    <col min="2" max="2" width="7.21875" customWidth="1"/>
    <col min="3" max="3" width="21" bestFit="1" customWidth="1"/>
    <col min="4" max="4" width="11.6640625" customWidth="1"/>
    <col min="5" max="5" width="12.33203125" bestFit="1" customWidth="1"/>
    <col min="6" max="6" width="9.33203125" customWidth="1"/>
    <col min="7" max="7" width="12.33203125" customWidth="1"/>
    <col min="8" max="8" width="8.21875" customWidth="1"/>
    <col min="9" max="9" width="10.88671875" customWidth="1"/>
    <col min="10" max="10" width="8.6640625" customWidth="1"/>
    <col min="11" max="11" width="8.88671875" customWidth="1"/>
    <col min="12" max="13" width="8.21875" customWidth="1"/>
    <col min="14" max="14" width="9.21875" customWidth="1"/>
    <col min="15" max="15" width="9.33203125" customWidth="1"/>
    <col min="16" max="16" width="7.33203125" customWidth="1"/>
    <col min="17" max="18" width="9.88671875" customWidth="1"/>
    <col min="19" max="19" width="9.44140625" customWidth="1"/>
    <col min="20" max="21" width="9" customWidth="1"/>
    <col min="22" max="22" width="7.33203125" customWidth="1"/>
    <col min="23" max="23" width="9.6640625" bestFit="1" customWidth="1"/>
    <col min="24" max="32" width="9.6640625" customWidth="1"/>
    <col min="33" max="33" width="7.33203125" customWidth="1"/>
    <col min="34" max="34" width="7.77734375" customWidth="1"/>
    <col min="35" max="35" width="9.44140625" customWidth="1"/>
    <col min="36" max="36" width="9" customWidth="1"/>
    <col min="37" max="37" width="7.33203125" customWidth="1"/>
    <col min="38" max="38" width="8.5546875" customWidth="1"/>
    <col min="39" max="39" width="6.77734375" customWidth="1"/>
    <col min="40" max="40" width="7.77734375" customWidth="1"/>
    <col min="41" max="41" width="9.44140625" customWidth="1"/>
    <col min="42" max="42" width="9" customWidth="1"/>
    <col min="43" max="43" width="8.21875" customWidth="1"/>
    <col min="44" max="44" width="9" customWidth="1"/>
    <col min="45" max="45" width="8.5546875" bestFit="1" customWidth="1"/>
    <col min="46" max="46" width="9.44140625" customWidth="1"/>
    <col min="47" max="47" width="8.6640625" customWidth="1"/>
    <col min="48" max="48" width="8.21875" customWidth="1"/>
    <col min="49" max="49" width="10.77734375" bestFit="1" customWidth="1"/>
    <col min="50" max="50" width="8.21875" customWidth="1"/>
    <col min="51" max="51" width="8.6640625" customWidth="1"/>
    <col min="52" max="52" width="8.21875" customWidth="1"/>
    <col min="53" max="53" width="6.77734375" bestFit="1" customWidth="1"/>
    <col min="54" max="54" width="8.77734375" bestFit="1" customWidth="1"/>
    <col min="55" max="55" width="6.77734375" bestFit="1" customWidth="1"/>
    <col min="56" max="56" width="8.6640625" customWidth="1"/>
  </cols>
  <sheetData>
    <row r="2" spans="2:89">
      <c r="V2" s="276" t="s">
        <v>1308</v>
      </c>
      <c r="W2" s="276" t="s">
        <v>1289</v>
      </c>
      <c r="X2" s="276" t="s">
        <v>1293</v>
      </c>
      <c r="Y2" s="283" t="s">
        <v>1290</v>
      </c>
      <c r="Z2" s="283" t="s">
        <v>1291</v>
      </c>
      <c r="AA2" s="276" t="s">
        <v>1292</v>
      </c>
      <c r="AB2" s="276"/>
      <c r="AC2" s="276"/>
      <c r="AD2" s="276"/>
      <c r="AE2" s="276"/>
      <c r="AF2" s="276"/>
      <c r="AG2" s="276"/>
      <c r="AH2" s="276"/>
      <c r="AI2" s="276"/>
      <c r="AJ2" s="276"/>
    </row>
    <row r="3" spans="2:89">
      <c r="V3" s="276" t="s">
        <v>933</v>
      </c>
      <c r="W3" s="276" t="s">
        <v>933</v>
      </c>
      <c r="X3" s="276" t="s">
        <v>1132</v>
      </c>
      <c r="Y3" s="283" t="s">
        <v>1132</v>
      </c>
      <c r="Z3" s="283" t="s">
        <v>933</v>
      </c>
      <c r="AA3" s="276" t="s">
        <v>1132</v>
      </c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 t="s">
        <v>1309</v>
      </c>
      <c r="BC3" s="276"/>
      <c r="BD3" s="276"/>
      <c r="BE3" s="276"/>
      <c r="BF3" s="276"/>
      <c r="BG3" s="276"/>
      <c r="BH3" s="276"/>
      <c r="BI3" s="276"/>
      <c r="BJ3" s="276"/>
      <c r="BK3" s="276" t="s">
        <v>1091</v>
      </c>
      <c r="BQ3" s="276" t="s">
        <v>1093</v>
      </c>
      <c r="BW3" s="283" t="s">
        <v>1095</v>
      </c>
      <c r="CB3" s="283" t="s">
        <v>1288</v>
      </c>
      <c r="CG3" s="276" t="s">
        <v>1287</v>
      </c>
    </row>
    <row r="4" spans="2:89" ht="15" thickBot="1">
      <c r="V4" s="276" t="s">
        <v>1157</v>
      </c>
      <c r="W4" s="276" t="s">
        <v>1092</v>
      </c>
      <c r="X4" s="276" t="s">
        <v>1094</v>
      </c>
      <c r="Y4" s="283" t="s">
        <v>1096</v>
      </c>
      <c r="Z4" s="283" t="s">
        <v>1094</v>
      </c>
      <c r="AA4" s="276" t="s">
        <v>1097</v>
      </c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 t="s">
        <v>1307</v>
      </c>
      <c r="BC4" s="276"/>
      <c r="BD4" s="276"/>
      <c r="BE4" s="276"/>
      <c r="BF4" s="276"/>
      <c r="BG4" s="276"/>
      <c r="BH4" s="276"/>
      <c r="BI4" s="276"/>
      <c r="BJ4" s="276"/>
      <c r="BK4" s="276" t="s">
        <v>1283</v>
      </c>
      <c r="BL4" s="276"/>
      <c r="BM4" s="276"/>
      <c r="BQ4" s="276" t="s">
        <v>1284</v>
      </c>
      <c r="BS4" s="276"/>
      <c r="BW4" s="283" t="s">
        <v>1170</v>
      </c>
      <c r="BX4" s="283"/>
      <c r="BY4" s="283"/>
      <c r="CB4" s="283" t="s">
        <v>1285</v>
      </c>
      <c r="CC4" s="283"/>
      <c r="CD4" s="283"/>
      <c r="CG4" s="276" t="s">
        <v>1286</v>
      </c>
      <c r="CH4" s="276"/>
      <c r="CI4" s="276"/>
    </row>
    <row r="5" spans="2:89" ht="21" thickBot="1">
      <c r="B5" s="165" t="s">
        <v>93</v>
      </c>
      <c r="C5" s="166" t="s">
        <v>0</v>
      </c>
      <c r="D5" s="166" t="s">
        <v>180</v>
      </c>
      <c r="E5" s="166" t="s">
        <v>719</v>
      </c>
      <c r="F5" s="166" t="s">
        <v>1215</v>
      </c>
      <c r="G5" s="167" t="s">
        <v>252</v>
      </c>
      <c r="H5" s="876" t="s">
        <v>989</v>
      </c>
      <c r="I5" s="877" t="s">
        <v>990</v>
      </c>
      <c r="J5" s="349" t="s">
        <v>991</v>
      </c>
      <c r="K5" s="349" t="s">
        <v>1330</v>
      </c>
      <c r="L5" s="349" t="s">
        <v>1331</v>
      </c>
      <c r="M5" s="349" t="s">
        <v>1332</v>
      </c>
      <c r="N5" s="878" t="s">
        <v>993</v>
      </c>
      <c r="O5" s="878" t="s">
        <v>1216</v>
      </c>
      <c r="P5" s="878" t="s">
        <v>1217</v>
      </c>
      <c r="Q5" s="878" t="s">
        <v>1218</v>
      </c>
      <c r="R5" s="879" t="s">
        <v>1198</v>
      </c>
      <c r="S5" s="879" t="s">
        <v>479</v>
      </c>
      <c r="T5" s="879" t="s">
        <v>776</v>
      </c>
      <c r="U5" s="879" t="s">
        <v>777</v>
      </c>
      <c r="V5" s="880" t="s">
        <v>1302</v>
      </c>
      <c r="W5" s="880" t="s">
        <v>1278</v>
      </c>
      <c r="X5" s="880" t="s">
        <v>1279</v>
      </c>
      <c r="Y5" s="880" t="s">
        <v>1280</v>
      </c>
      <c r="Z5" s="880" t="s">
        <v>1281</v>
      </c>
      <c r="AA5" s="913" t="s">
        <v>1282</v>
      </c>
      <c r="AB5" s="678" t="s">
        <v>1119</v>
      </c>
      <c r="AC5" s="349" t="s">
        <v>1120</v>
      </c>
      <c r="AD5" s="349" t="s">
        <v>1317</v>
      </c>
      <c r="AE5" s="349" t="s">
        <v>1318</v>
      </c>
      <c r="AF5" s="885" t="s">
        <v>1319</v>
      </c>
      <c r="AG5" s="914" t="s">
        <v>1129</v>
      </c>
      <c r="AH5" s="915" t="s">
        <v>1315</v>
      </c>
      <c r="AI5" s="915" t="s">
        <v>1316</v>
      </c>
      <c r="AJ5" s="916" t="s">
        <v>1314</v>
      </c>
      <c r="AK5" s="180" t="s">
        <v>1274</v>
      </c>
      <c r="AL5" s="181" t="s">
        <v>1113</v>
      </c>
      <c r="AM5" s="181" t="s">
        <v>1114</v>
      </c>
      <c r="AN5" s="182" t="s">
        <v>1115</v>
      </c>
      <c r="AO5" s="348" t="s">
        <v>1126</v>
      </c>
      <c r="AP5" s="349" t="s">
        <v>1127</v>
      </c>
      <c r="AQ5" s="349" t="s">
        <v>1323</v>
      </c>
      <c r="AR5" s="349" t="s">
        <v>1324</v>
      </c>
      <c r="AS5" s="349" t="s">
        <v>1325</v>
      </c>
      <c r="AT5" s="878" t="s">
        <v>1128</v>
      </c>
      <c r="AU5" s="878" t="s">
        <v>1320</v>
      </c>
      <c r="AV5" s="878" t="s">
        <v>1321</v>
      </c>
      <c r="AW5" s="878" t="s">
        <v>1322</v>
      </c>
      <c r="AX5" s="181" t="s">
        <v>1326</v>
      </c>
      <c r="AY5" s="181" t="s">
        <v>1327</v>
      </c>
      <c r="AZ5" s="181" t="s">
        <v>1328</v>
      </c>
      <c r="BA5" s="181" t="s">
        <v>1329</v>
      </c>
      <c r="BB5" s="881" t="s">
        <v>1294</v>
      </c>
      <c r="BC5" s="881" t="s">
        <v>1295</v>
      </c>
      <c r="BD5" s="881" t="s">
        <v>1296</v>
      </c>
      <c r="BE5" s="881" t="s">
        <v>1298</v>
      </c>
      <c r="BF5" s="881" t="s">
        <v>1297</v>
      </c>
      <c r="BG5" s="881" t="s">
        <v>1299</v>
      </c>
      <c r="BH5" s="881" t="s">
        <v>1300</v>
      </c>
      <c r="BI5" s="881" t="s">
        <v>1301</v>
      </c>
      <c r="BJ5" s="881" t="s">
        <v>1303</v>
      </c>
      <c r="BK5" s="166" t="s">
        <v>973</v>
      </c>
      <c r="BL5" s="166" t="s">
        <v>974</v>
      </c>
      <c r="BM5" s="166" t="s">
        <v>975</v>
      </c>
      <c r="BN5" s="166" t="s">
        <v>976</v>
      </c>
      <c r="BO5" s="166" t="s">
        <v>977</v>
      </c>
      <c r="BP5" s="166" t="s">
        <v>1310</v>
      </c>
      <c r="BQ5" s="882" t="s">
        <v>920</v>
      </c>
      <c r="BR5" s="882" t="s">
        <v>921</v>
      </c>
      <c r="BS5" s="882" t="s">
        <v>923</v>
      </c>
      <c r="BT5" s="882" t="s">
        <v>924</v>
      </c>
      <c r="BU5" s="882" t="s">
        <v>922</v>
      </c>
      <c r="BV5" s="882" t="s">
        <v>1304</v>
      </c>
      <c r="BW5" s="883" t="s">
        <v>561</v>
      </c>
      <c r="BX5" s="883" t="s">
        <v>564</v>
      </c>
      <c r="BY5" s="883" t="s">
        <v>562</v>
      </c>
      <c r="BZ5" s="883" t="s">
        <v>563</v>
      </c>
      <c r="CA5" s="883" t="s">
        <v>1305</v>
      </c>
      <c r="CB5" s="882" t="s">
        <v>462</v>
      </c>
      <c r="CC5" s="882" t="s">
        <v>463</v>
      </c>
      <c r="CD5" s="882" t="s">
        <v>461</v>
      </c>
      <c r="CE5" s="882" t="s">
        <v>464</v>
      </c>
      <c r="CF5" s="882" t="s">
        <v>1228</v>
      </c>
      <c r="CG5" s="883" t="s">
        <v>446</v>
      </c>
      <c r="CH5" s="883" t="s">
        <v>447</v>
      </c>
      <c r="CI5" s="883" t="s">
        <v>449</v>
      </c>
      <c r="CJ5" s="883" t="s">
        <v>448</v>
      </c>
      <c r="CK5" s="884" t="s">
        <v>1306</v>
      </c>
    </row>
    <row r="6" spans="2:89" s="1" customFormat="1">
      <c r="B6" s="102" t="s">
        <v>231</v>
      </c>
      <c r="C6" s="102" t="s">
        <v>253</v>
      </c>
      <c r="D6" s="102"/>
      <c r="E6" s="102"/>
      <c r="F6" s="104"/>
      <c r="G6" s="104" t="s">
        <v>54</v>
      </c>
      <c r="H6" s="869"/>
      <c r="I6" s="581"/>
      <c r="J6" s="585"/>
      <c r="K6" s="87"/>
      <c r="L6" s="87"/>
      <c r="M6" s="87"/>
      <c r="N6" s="589"/>
      <c r="O6" s="87"/>
      <c r="P6" s="87"/>
      <c r="Q6" s="87"/>
      <c r="R6" s="101">
        <f>COUNTA(KKR[[#This Row],[G28 cp]],KKR[[#This Row],[G22 cp]],KKR[[#This Row],[G19 cp]],KKR[[#This Row],[G13 cp]],KKR[[#This Row],[G9 cp]],KKR[[#This Row],[G2 cp]])</f>
        <v>1</v>
      </c>
      <c r="S6" s="870">
        <f>MAX(KKR[[#This Row],[G28 cp]],KKR[[#This Row],[G22 cp]],KKR[[#This Row],[G19 cp]],KKR[[#This Row],[G13 cp]],KKR[[#This Row],[G9 cp]],KKR[[#This Row],[G2 cp]])</f>
        <v>54</v>
      </c>
      <c r="T6" s="870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6" s="103">
        <f>MIN(KKR[[#This Row],[G28 cp]],KKR[[#This Row],[G22 cp]],KKR[[#This Row],[G19 cp]],KKR[[#This Row],[G13 cp]],KKR[[#This Row],[G9 cp]],KKR[[#This Row],[G2 cp]])</f>
        <v>54</v>
      </c>
      <c r="V6" s="316">
        <f>KKR[[#This Row],[G28 cp]]</f>
        <v>54</v>
      </c>
      <c r="W6" s="87">
        <f t="shared" ref="W6:W28" si="0">BP6</f>
        <v>0</v>
      </c>
      <c r="X6" s="87">
        <f t="shared" ref="X6:X28" si="1">BV6</f>
        <v>0</v>
      </c>
      <c r="Y6" s="87">
        <f t="shared" ref="Y6:Y28" si="2">CA6</f>
        <v>0</v>
      </c>
      <c r="Z6" s="87">
        <f t="shared" ref="Z6:Z28" si="3">CF6</f>
        <v>0</v>
      </c>
      <c r="AA6" s="87">
        <f t="shared" ref="AA6:AA28" si="4">CK6</f>
        <v>0</v>
      </c>
      <c r="AB6" s="917"/>
      <c r="AC6" s="872"/>
      <c r="AD6" s="873"/>
      <c r="AE6" s="873"/>
      <c r="AF6" s="873"/>
      <c r="AG6" s="871"/>
      <c r="AH6" s="873"/>
      <c r="AI6" s="873"/>
      <c r="AJ6" s="875"/>
      <c r="AK6" s="874">
        <f>COUNTA(KKR[[#This Row],[G28 cp]],KKR[[#This Row],[G22 cp]],KKR[[#This Row],[G19 cp]],KKR[[#This Row],[G13 cp]],KKR[[#This Row],[G9 cp]],KKR[[#This Row],[G2 cp]])</f>
        <v>1</v>
      </c>
      <c r="AL6" s="873">
        <f>MAX(KKR[[#This Row],[G28 cp]],KKR[[#This Row],[G22 cp]],KKR[[#This Row],[G9 cp]])</f>
        <v>54</v>
      </c>
      <c r="AM6" s="873" t="e">
        <f>( SUM(KKR[[#This Row],[G28 cp]],KKR[[#This Row],[G22 cp]],KKR[[#This Row],[G9 cp]]) - KKR[[#This Row],[B1 Inn]]) / (KKR[[#This Row],[B1 Inn]]-1)</f>
        <v>#DIV/0!</v>
      </c>
      <c r="AN6" s="875">
        <f>MIN(KKR[[#This Row],[G28 cp]],KKR[[#This Row],[G22 cp]],KKR[[#This Row],[G9 cp]])</f>
        <v>54</v>
      </c>
      <c r="AO6" s="871"/>
      <c r="AP6" s="872"/>
      <c r="AQ6" s="873"/>
      <c r="AR6" s="873"/>
      <c r="AS6" s="873"/>
      <c r="AT6" s="928"/>
      <c r="AU6" s="873"/>
      <c r="AV6" s="873"/>
      <c r="AW6" s="873"/>
      <c r="AX6" s="874">
        <f>COUNTA(KKR[[#This Row],[G19 cp]],KKR[[#This Row],[G13 cp]],KKR[[#This Row],[G2 cp]])</f>
        <v>0</v>
      </c>
      <c r="AY6" s="873">
        <f>MAX(KKR[[#This Row],[G19 cp]],KKR[[#This Row],[G13 cp]],KKR[[#This Row],[G2 cp]])</f>
        <v>0</v>
      </c>
      <c r="AZ6" s="873">
        <f>( SUM(KKR[[#This Row],[G19 cp]],KKR[[#This Row],[G13 cp]],KKR[[#This Row],[G2 cp]]) - KKR[[#This Row],[CHS Inn2]]) / (KKR[[#This Row],[CHS Inn2]] -1)</f>
        <v>0</v>
      </c>
      <c r="BA6" s="875">
        <f>MIN(KKR[[#This Row],[G19 cp]],KKR[[#This Row],[G13 cp]],KKR[[#This Row],[G2 cp]])</f>
        <v>0</v>
      </c>
      <c r="BB6" s="88">
        <v>1</v>
      </c>
      <c r="BC6" s="87" t="s">
        <v>1311</v>
      </c>
      <c r="BD6" s="87" t="s">
        <v>605</v>
      </c>
      <c r="BE6" s="87">
        <v>43</v>
      </c>
      <c r="BF6" s="87">
        <v>39</v>
      </c>
      <c r="BG6" s="87"/>
      <c r="BH6" s="87"/>
      <c r="BI6" s="87"/>
      <c r="BJ6" s="89">
        <v>54</v>
      </c>
      <c r="BK6" s="88"/>
      <c r="BL6" s="87"/>
      <c r="BM6" s="87"/>
      <c r="BN6" s="87"/>
      <c r="BO6" s="87"/>
      <c r="BP6" s="89"/>
      <c r="BQ6" s="101"/>
      <c r="BR6" s="102"/>
      <c r="BS6" s="102"/>
      <c r="BT6" s="102"/>
      <c r="BU6" s="102"/>
      <c r="BV6" s="103"/>
      <c r="BW6" s="105"/>
      <c r="BX6" s="102"/>
      <c r="BY6" s="102"/>
      <c r="BZ6" s="102"/>
      <c r="CA6" s="103"/>
      <c r="CB6" s="105"/>
      <c r="CC6" s="102"/>
      <c r="CD6" s="102"/>
      <c r="CE6" s="102"/>
      <c r="CF6" s="102"/>
      <c r="CG6" s="102"/>
      <c r="CH6" s="102"/>
      <c r="CI6" s="102"/>
      <c r="CJ6" s="102"/>
      <c r="CK6" s="104"/>
    </row>
    <row r="7" spans="2:89">
      <c r="B7" s="2" t="s">
        <v>231</v>
      </c>
      <c r="C7" s="2" t="s">
        <v>228</v>
      </c>
      <c r="D7" s="2">
        <v>0.5</v>
      </c>
      <c r="E7" s="2"/>
      <c r="F7" s="3"/>
      <c r="G7" s="3" t="s">
        <v>75</v>
      </c>
      <c r="H7" s="569"/>
      <c r="I7" s="572"/>
      <c r="J7" s="575"/>
      <c r="K7" s="78"/>
      <c r="L7" s="78"/>
      <c r="M7" s="78"/>
      <c r="N7" s="578"/>
      <c r="O7" s="78"/>
      <c r="P7" s="78"/>
      <c r="Q7" s="78"/>
      <c r="R7" s="4">
        <f>COUNTA(KKR[[#This Row],[G28 cp]],KKR[[#This Row],[G22 cp]],KKR[[#This Row],[G19 cp]],KKR[[#This Row],[G13 cp]],KKR[[#This Row],[G9 cp]],KKR[[#This Row],[G2 cp]])</f>
        <v>1</v>
      </c>
      <c r="S7" s="246">
        <f>MAX(KKR[[#This Row],[G28 cp]],KKR[[#This Row],[G22 cp]],KKR[[#This Row],[G19 cp]],KKR[[#This Row],[G13 cp]],KKR[[#This Row],[G9 cp]],KKR[[#This Row],[G2 cp]])</f>
        <v>9</v>
      </c>
      <c r="T7" s="246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7" s="5">
        <f>MIN(KKR[[#This Row],[G28 cp]],KKR[[#This Row],[G22 cp]],KKR[[#This Row],[G19 cp]],KKR[[#This Row],[G13 cp]],KKR[[#This Row],[G9 cp]],KKR[[#This Row],[G2 cp]])</f>
        <v>9</v>
      </c>
      <c r="V7" s="317">
        <f>KKR[[#This Row],[G28 cp]]</f>
        <v>9</v>
      </c>
      <c r="W7" s="78">
        <f t="shared" si="0"/>
        <v>0</v>
      </c>
      <c r="X7" s="78">
        <f t="shared" si="1"/>
        <v>0</v>
      </c>
      <c r="Y7" s="78">
        <f t="shared" si="2"/>
        <v>0</v>
      </c>
      <c r="Z7" s="78">
        <f t="shared" si="3"/>
        <v>0</v>
      </c>
      <c r="AA7" s="78">
        <f t="shared" si="4"/>
        <v>0</v>
      </c>
      <c r="AB7" s="918"/>
      <c r="AC7" s="661"/>
      <c r="AD7" s="296"/>
      <c r="AE7" s="296"/>
      <c r="AF7" s="296"/>
      <c r="AG7" s="886"/>
      <c r="AH7" s="887"/>
      <c r="AI7" s="887"/>
      <c r="AJ7" s="899"/>
      <c r="AK7" s="898">
        <f>COUNTA(KKR[[#This Row],[G28 cp]],KKR[[#This Row],[G22 cp]],KKR[[#This Row],[G19 cp]],KKR[[#This Row],[G13 cp]],KKR[[#This Row],[G9 cp]],KKR[[#This Row],[G2 cp]])</f>
        <v>1</v>
      </c>
      <c r="AL7" s="887">
        <f>MAX(KKR[[#This Row],[G28 cp]],KKR[[#This Row],[G22 cp]],KKR[[#This Row],[G9 cp]])</f>
        <v>9</v>
      </c>
      <c r="AM7" s="887" t="e">
        <f>( SUM(KKR[[#This Row],[G28 cp]],KKR[[#This Row],[G22 cp]],KKR[[#This Row],[G9 cp]]) - KKR[[#This Row],[B1 Inn]]) / (KKR[[#This Row],[B1 Inn]]-1)</f>
        <v>#DIV/0!</v>
      </c>
      <c r="AN7" s="899">
        <f>MIN(KKR[[#This Row],[G28 cp]],KKR[[#This Row],[G22 cp]],KKR[[#This Row],[G9 cp]])</f>
        <v>9</v>
      </c>
      <c r="AO7" s="654"/>
      <c r="AP7" s="661"/>
      <c r="AQ7" s="296"/>
      <c r="AR7" s="296"/>
      <c r="AS7" s="296"/>
      <c r="AT7" s="669"/>
      <c r="AU7" s="296"/>
      <c r="AV7" s="296"/>
      <c r="AW7" s="296"/>
      <c r="AX7" s="295">
        <f>COUNTA(KKR[[#This Row],[G19 cp]],KKR[[#This Row],[G13 cp]],KKR[[#This Row],[G2 cp]])</f>
        <v>0</v>
      </c>
      <c r="AY7" s="296">
        <f>MAX(KKR[[#This Row],[G19 cp]],KKR[[#This Row],[G13 cp]],KKR[[#This Row],[G2 cp]])</f>
        <v>0</v>
      </c>
      <c r="AZ7" s="296">
        <f>( SUM(KKR[[#This Row],[G19 cp]],KKR[[#This Row],[G13 cp]],KKR[[#This Row],[G2 cp]]) - KKR[[#This Row],[CHS Inn2]]) / (KKR[[#This Row],[CHS Inn2]] -1)</f>
        <v>0</v>
      </c>
      <c r="BA7" s="610">
        <f>MIN(KKR[[#This Row],[G19 cp]],KKR[[#This Row],[G13 cp]],KKR[[#This Row],[G2 cp]])</f>
        <v>0</v>
      </c>
      <c r="BB7" s="81">
        <v>2</v>
      </c>
      <c r="BC7" s="78" t="s">
        <v>1312</v>
      </c>
      <c r="BD7" s="78" t="s">
        <v>718</v>
      </c>
      <c r="BE7" s="78">
        <v>4</v>
      </c>
      <c r="BF7" s="78">
        <v>4</v>
      </c>
      <c r="BG7" s="78"/>
      <c r="BH7" s="78"/>
      <c r="BI7" s="78"/>
      <c r="BJ7" s="82">
        <v>9</v>
      </c>
      <c r="BK7" s="81"/>
      <c r="BL7" s="78"/>
      <c r="BM7" s="78"/>
      <c r="BN7" s="78"/>
      <c r="BO7" s="78"/>
      <c r="BP7" s="82"/>
      <c r="BQ7" s="4"/>
      <c r="BR7" s="2"/>
      <c r="BS7" s="2"/>
      <c r="BT7" s="2"/>
      <c r="BU7" s="2"/>
      <c r="BV7" s="5"/>
      <c r="BW7" s="100"/>
      <c r="BX7" s="2"/>
      <c r="BY7" s="2"/>
      <c r="BZ7" s="2"/>
      <c r="CA7" s="5"/>
      <c r="CB7" s="100"/>
      <c r="CC7" s="2"/>
      <c r="CD7" s="2"/>
      <c r="CE7" s="2"/>
      <c r="CF7" s="2"/>
      <c r="CG7" s="2"/>
      <c r="CH7" s="2"/>
      <c r="CI7" s="2"/>
      <c r="CJ7" s="2"/>
      <c r="CK7" s="3"/>
    </row>
    <row r="8" spans="2:89">
      <c r="B8" s="6" t="s">
        <v>231</v>
      </c>
      <c r="C8" s="6" t="s">
        <v>219</v>
      </c>
      <c r="D8" s="6">
        <v>8</v>
      </c>
      <c r="E8" s="6"/>
      <c r="F8" s="7"/>
      <c r="G8" s="7" t="s">
        <v>55</v>
      </c>
      <c r="H8" s="355"/>
      <c r="I8" s="364"/>
      <c r="J8" s="373"/>
      <c r="K8" s="71"/>
      <c r="L8" s="71"/>
      <c r="M8" s="71"/>
      <c r="N8" s="382"/>
      <c r="O8" s="71"/>
      <c r="P8" s="71"/>
      <c r="Q8" s="71"/>
      <c r="R8" s="8">
        <f>COUNTA(KKR[[#This Row],[G28 cp]],KKR[[#This Row],[G22 cp]],KKR[[#This Row],[G19 cp]],KKR[[#This Row],[G13 cp]],KKR[[#This Row],[G9 cp]],KKR[[#This Row],[G2 cp]])</f>
        <v>6</v>
      </c>
      <c r="S8" s="251">
        <f>MAX(KKR[[#This Row],[G28 cp]],KKR[[#This Row],[G22 cp]],KKR[[#This Row],[G19 cp]],KKR[[#This Row],[G13 cp]],KKR[[#This Row],[G9 cp]],KKR[[#This Row],[G2 cp]])</f>
        <v>148</v>
      </c>
      <c r="T8" s="251">
        <f>( SUM(KKR[[#This Row],[G28 cp]],KKR[[#This Row],[G22 cp]],KKR[[#This Row],[G19 cp]],KKR[[#This Row],[G13 cp]],KKR[[#This Row],[G9 cp]],KKR[[#This Row],[G2 cp]])- KKR[[#This Row],[Max]] ) / ( KKR[[#This Row],[Innings]] - 1)</f>
        <v>37</v>
      </c>
      <c r="U8" s="9">
        <f>MIN(KKR[[#This Row],[G28 cp]],KKR[[#This Row],[G22 cp]],KKR[[#This Row],[G19 cp]],KKR[[#This Row],[G13 cp]],KKR[[#This Row],[G9 cp]],KKR[[#This Row],[G2 cp]])</f>
        <v>2</v>
      </c>
      <c r="V8" s="260">
        <f>KKR[[#This Row],[G28 cp]]</f>
        <v>2</v>
      </c>
      <c r="W8" s="71">
        <f t="shared" si="0"/>
        <v>148</v>
      </c>
      <c r="X8" s="71">
        <f t="shared" si="1"/>
        <v>15</v>
      </c>
      <c r="Y8" s="71">
        <f t="shared" si="2"/>
        <v>119</v>
      </c>
      <c r="Z8" s="71">
        <f t="shared" si="3"/>
        <v>7</v>
      </c>
      <c r="AA8" s="71">
        <f t="shared" si="4"/>
        <v>42</v>
      </c>
      <c r="AB8" s="919"/>
      <c r="AC8" s="660"/>
      <c r="AD8" s="292"/>
      <c r="AE8" s="292"/>
      <c r="AF8" s="292"/>
      <c r="AG8" s="871"/>
      <c r="AH8" s="873"/>
      <c r="AI8" s="873"/>
      <c r="AJ8" s="875"/>
      <c r="AK8" s="874">
        <f>COUNTA(KKR[[#This Row],[G28 cp]],KKR[[#This Row],[G22 cp]],KKR[[#This Row],[G19 cp]],KKR[[#This Row],[G13 cp]],KKR[[#This Row],[G9 cp]],KKR[[#This Row],[G2 cp]])</f>
        <v>6</v>
      </c>
      <c r="AL8" s="873">
        <f>MAX(KKR[[#This Row],[G28 cp]],KKR[[#This Row],[G22 cp]],KKR[[#This Row],[G9 cp]])</f>
        <v>148</v>
      </c>
      <c r="AM8" s="873">
        <f>( SUM(KKR[[#This Row],[G28 cp]],KKR[[#This Row],[G22 cp]],KKR[[#This Row],[G9 cp]]) - KKR[[#This Row],[B1 Inn]]) / (KKR[[#This Row],[B1 Inn]]-1)</f>
        <v>30.2</v>
      </c>
      <c r="AN8" s="875">
        <f>MIN(KKR[[#This Row],[G28 cp]],KKR[[#This Row],[G22 cp]],KKR[[#This Row],[G9 cp]])</f>
        <v>2</v>
      </c>
      <c r="AO8" s="653"/>
      <c r="AP8" s="660"/>
      <c r="AQ8" s="292"/>
      <c r="AR8" s="292"/>
      <c r="AS8" s="292"/>
      <c r="AT8" s="668"/>
      <c r="AU8" s="292"/>
      <c r="AV8" s="292"/>
      <c r="AW8" s="292"/>
      <c r="AX8" s="291">
        <f>COUNTA(KKR[[#This Row],[G19 cp]],KKR[[#This Row],[G13 cp]],KKR[[#This Row],[G2 cp]])</f>
        <v>3</v>
      </c>
      <c r="AY8" s="292">
        <f>MAX(KKR[[#This Row],[G19 cp]],KKR[[#This Row],[G13 cp]],KKR[[#This Row],[G2 cp]])</f>
        <v>119</v>
      </c>
      <c r="AZ8" s="292">
        <f>( SUM(KKR[[#This Row],[G19 cp]],KKR[[#This Row],[G13 cp]],KKR[[#This Row],[G2 cp]]) - KKR[[#This Row],[CHS Inn2]]) / (KKR[[#This Row],[CHS Inn2]] -1)</f>
        <v>86.5</v>
      </c>
      <c r="BA8" s="611">
        <f>MIN(KKR[[#This Row],[G19 cp]],KKR[[#This Row],[G13 cp]],KKR[[#This Row],[G2 cp]])</f>
        <v>15</v>
      </c>
      <c r="BB8" s="58">
        <v>3</v>
      </c>
      <c r="BC8" s="71" t="s">
        <v>1272</v>
      </c>
      <c r="BD8" s="71" t="s">
        <v>438</v>
      </c>
      <c r="BE8" s="71">
        <v>0</v>
      </c>
      <c r="BF8" s="71">
        <v>2</v>
      </c>
      <c r="BG8" s="71"/>
      <c r="BH8" s="71"/>
      <c r="BI8" s="71"/>
      <c r="BJ8" s="80">
        <v>2</v>
      </c>
      <c r="BK8" s="58">
        <v>3</v>
      </c>
      <c r="BL8" s="71" t="s">
        <v>798</v>
      </c>
      <c r="BM8" s="71">
        <v>104</v>
      </c>
      <c r="BN8" s="71">
        <v>51</v>
      </c>
      <c r="BO8" s="71"/>
      <c r="BP8" s="80">
        <v>148</v>
      </c>
      <c r="BQ8" s="265">
        <v>3</v>
      </c>
      <c r="BR8" s="251" t="s">
        <v>542</v>
      </c>
      <c r="BS8" s="251">
        <v>10</v>
      </c>
      <c r="BT8" s="251">
        <v>11</v>
      </c>
      <c r="BU8" s="251"/>
      <c r="BV8" s="258">
        <v>15</v>
      </c>
      <c r="BW8" s="61" t="s">
        <v>580</v>
      </c>
      <c r="BX8" s="6" t="s">
        <v>581</v>
      </c>
      <c r="BY8" s="6" t="s">
        <v>336</v>
      </c>
      <c r="BZ8" s="6"/>
      <c r="CA8" s="9">
        <v>119</v>
      </c>
      <c r="CB8" s="61">
        <v>2</v>
      </c>
      <c r="CC8" s="6" t="s">
        <v>466</v>
      </c>
      <c r="CD8" s="6" t="s">
        <v>467</v>
      </c>
      <c r="CE8" s="6"/>
      <c r="CF8" s="6">
        <v>7</v>
      </c>
      <c r="CG8" s="6">
        <v>12</v>
      </c>
      <c r="CH8" s="6" t="s">
        <v>460</v>
      </c>
      <c r="CI8" s="6" t="s">
        <v>355</v>
      </c>
      <c r="CJ8" s="6"/>
      <c r="CK8" s="7">
        <v>42</v>
      </c>
    </row>
    <row r="9" spans="2:89" s="1" customFormat="1">
      <c r="B9" s="26" t="s">
        <v>231</v>
      </c>
      <c r="C9" s="26" t="s">
        <v>218</v>
      </c>
      <c r="D9" s="26">
        <v>8</v>
      </c>
      <c r="E9" s="26"/>
      <c r="F9" s="29"/>
      <c r="G9" s="29" t="s">
        <v>54</v>
      </c>
      <c r="H9" s="604"/>
      <c r="I9" s="583"/>
      <c r="J9" s="587"/>
      <c r="K9" s="84"/>
      <c r="L9" s="84"/>
      <c r="M9" s="84"/>
      <c r="N9" s="591"/>
      <c r="O9" s="84"/>
      <c r="P9" s="84"/>
      <c r="Q9" s="84"/>
      <c r="R9" s="30">
        <f>COUNTA(KKR[[#This Row],[G28 cp]],KKR[[#This Row],[G22 cp]],KKR[[#This Row],[G19 cp]],KKR[[#This Row],[G13 cp]],KKR[[#This Row],[G9 cp]],KKR[[#This Row],[G2 cp]])</f>
        <v>6</v>
      </c>
      <c r="S9" s="263">
        <f>MAX(KKR[[#This Row],[G28 cp]],KKR[[#This Row],[G22 cp]],KKR[[#This Row],[G19 cp]],KKR[[#This Row],[G13 cp]],KKR[[#This Row],[G9 cp]],KKR[[#This Row],[G2 cp]])</f>
        <v>104</v>
      </c>
      <c r="T9" s="263">
        <f>( SUM(KKR[[#This Row],[G28 cp]],KKR[[#This Row],[G22 cp]],KKR[[#This Row],[G19 cp]],KKR[[#This Row],[G13 cp]],KKR[[#This Row],[G9 cp]],KKR[[#This Row],[G2 cp]])- KKR[[#This Row],[Max]] ) / ( KKR[[#This Row],[Innings]] - 1)</f>
        <v>37.200000000000003</v>
      </c>
      <c r="U9" s="31">
        <f>MIN(KKR[[#This Row],[G28 cp]],KKR[[#This Row],[G22 cp]],KKR[[#This Row],[G19 cp]],KKR[[#This Row],[G13 cp]],KKR[[#This Row],[G9 cp]],KKR[[#This Row],[G2 cp]])</f>
        <v>5</v>
      </c>
      <c r="V9" s="261">
        <f>KKR[[#This Row],[G28 cp]]</f>
        <v>63</v>
      </c>
      <c r="W9" s="84">
        <f t="shared" si="0"/>
        <v>5</v>
      </c>
      <c r="X9" s="84">
        <f t="shared" si="1"/>
        <v>104</v>
      </c>
      <c r="Y9" s="84">
        <f t="shared" si="2"/>
        <v>67</v>
      </c>
      <c r="Z9" s="84">
        <f t="shared" si="3"/>
        <v>10</v>
      </c>
      <c r="AA9" s="84">
        <f t="shared" si="4"/>
        <v>41</v>
      </c>
      <c r="AB9" s="919"/>
      <c r="AC9" s="660"/>
      <c r="AD9" s="292"/>
      <c r="AE9" s="292"/>
      <c r="AF9" s="292"/>
      <c r="AG9" s="871"/>
      <c r="AH9" s="873"/>
      <c r="AI9" s="873"/>
      <c r="AJ9" s="875"/>
      <c r="AK9" s="874">
        <f>COUNTA(KKR[[#This Row],[G28 cp]],KKR[[#This Row],[G22 cp]],KKR[[#This Row],[G19 cp]],KKR[[#This Row],[G13 cp]],KKR[[#This Row],[G9 cp]],KKR[[#This Row],[G2 cp]])</f>
        <v>6</v>
      </c>
      <c r="AL9" s="873">
        <f>MAX(KKR[[#This Row],[G28 cp]],KKR[[#This Row],[G22 cp]],KKR[[#This Row],[G9 cp]])</f>
        <v>63</v>
      </c>
      <c r="AM9" s="873">
        <f>( SUM(KKR[[#This Row],[G28 cp]],KKR[[#This Row],[G22 cp]],KKR[[#This Row],[G9 cp]]) - KKR[[#This Row],[B1 Inn]]) / (KKR[[#This Row],[B1 Inn]]-1)</f>
        <v>14.4</v>
      </c>
      <c r="AN9" s="875">
        <f>MIN(KKR[[#This Row],[G28 cp]],KKR[[#This Row],[G22 cp]],KKR[[#This Row],[G9 cp]])</f>
        <v>5</v>
      </c>
      <c r="AO9" s="653"/>
      <c r="AP9" s="660"/>
      <c r="AQ9" s="292"/>
      <c r="AR9" s="292"/>
      <c r="AS9" s="292"/>
      <c r="AT9" s="668"/>
      <c r="AU9" s="292"/>
      <c r="AV9" s="292"/>
      <c r="AW9" s="292"/>
      <c r="AX9" s="291">
        <f>COUNTA(KKR[[#This Row],[G19 cp]],KKR[[#This Row],[G13 cp]],KKR[[#This Row],[G2 cp]])</f>
        <v>3</v>
      </c>
      <c r="AY9" s="292">
        <f>MAX(KKR[[#This Row],[G19 cp]],KKR[[#This Row],[G13 cp]],KKR[[#This Row],[G2 cp]])</f>
        <v>104</v>
      </c>
      <c r="AZ9" s="292">
        <f>( SUM(KKR[[#This Row],[G19 cp]],KKR[[#This Row],[G13 cp]],KKR[[#This Row],[G2 cp]]) - KKR[[#This Row],[CHS Inn2]]) / (KKR[[#This Row],[CHS Inn2]] -1)</f>
        <v>104.5</v>
      </c>
      <c r="BA9" s="611">
        <f>MIN(KKR[[#This Row],[G19 cp]],KKR[[#This Row],[G13 cp]],KKR[[#This Row],[G2 cp]])</f>
        <v>41</v>
      </c>
      <c r="BB9" s="85">
        <v>4</v>
      </c>
      <c r="BC9" s="84" t="s">
        <v>645</v>
      </c>
      <c r="BD9" s="84" t="s">
        <v>1313</v>
      </c>
      <c r="BE9" s="84">
        <v>4</v>
      </c>
      <c r="BF9" s="84">
        <v>7</v>
      </c>
      <c r="BG9" s="84">
        <v>4</v>
      </c>
      <c r="BH9" s="84">
        <v>17</v>
      </c>
      <c r="BI9" s="84">
        <v>2</v>
      </c>
      <c r="BJ9" s="86">
        <v>63</v>
      </c>
      <c r="BK9" s="85">
        <v>4</v>
      </c>
      <c r="BL9" s="84" t="s">
        <v>797</v>
      </c>
      <c r="BM9" s="84">
        <v>5</v>
      </c>
      <c r="BN9" s="84">
        <v>10</v>
      </c>
      <c r="BO9" s="84"/>
      <c r="BP9" s="86">
        <v>5</v>
      </c>
      <c r="BQ9" s="266">
        <v>5</v>
      </c>
      <c r="BR9" s="263" t="s">
        <v>925</v>
      </c>
      <c r="BS9" s="263">
        <v>75</v>
      </c>
      <c r="BT9" s="263">
        <v>41</v>
      </c>
      <c r="BU9" s="263"/>
      <c r="BV9" s="267">
        <v>104</v>
      </c>
      <c r="BW9" s="99">
        <v>4</v>
      </c>
      <c r="BX9" s="26" t="s">
        <v>582</v>
      </c>
      <c r="BY9" s="26" t="s">
        <v>336</v>
      </c>
      <c r="BZ9" s="26"/>
      <c r="CA9" s="31">
        <v>67</v>
      </c>
      <c r="CB9" s="99">
        <v>4</v>
      </c>
      <c r="CC9" s="26" t="s">
        <v>469</v>
      </c>
      <c r="CD9" s="26" t="s">
        <v>399</v>
      </c>
      <c r="CE9" s="26"/>
      <c r="CF9" s="26">
        <v>10</v>
      </c>
      <c r="CG9" s="26">
        <v>5</v>
      </c>
      <c r="CH9" s="26" t="s">
        <v>452</v>
      </c>
      <c r="CI9" s="26" t="s">
        <v>451</v>
      </c>
      <c r="CJ9" s="26"/>
      <c r="CK9" s="29">
        <v>41</v>
      </c>
    </row>
    <row r="10" spans="2:89">
      <c r="B10" s="26" t="s">
        <v>231</v>
      </c>
      <c r="C10" s="26" t="s">
        <v>229</v>
      </c>
      <c r="D10" s="26">
        <v>0.5</v>
      </c>
      <c r="E10" s="26"/>
      <c r="F10" s="29"/>
      <c r="G10" s="29" t="s">
        <v>54</v>
      </c>
      <c r="H10" s="604"/>
      <c r="I10" s="583"/>
      <c r="J10" s="587"/>
      <c r="K10" s="84"/>
      <c r="L10" s="84"/>
      <c r="M10" s="84"/>
      <c r="N10" s="591"/>
      <c r="O10" s="84"/>
      <c r="P10" s="84"/>
      <c r="Q10" s="84"/>
      <c r="R10" s="30">
        <f>COUNTA(KKR[[#This Row],[G28 cp]],KKR[[#This Row],[G22 cp]],KKR[[#This Row],[G19 cp]],KKR[[#This Row],[G13 cp]],KKR[[#This Row],[G9 cp]],KKR[[#This Row],[G2 cp]])</f>
        <v>3</v>
      </c>
      <c r="S10" s="263">
        <f>MAX(KKR[[#This Row],[G28 cp]],KKR[[#This Row],[G22 cp]],KKR[[#This Row],[G19 cp]],KKR[[#This Row],[G13 cp]],KKR[[#This Row],[G9 cp]],KKR[[#This Row],[G2 cp]])</f>
        <v>18</v>
      </c>
      <c r="T10" s="263">
        <f>( SUM(KKR[[#This Row],[G28 cp]],KKR[[#This Row],[G22 cp]],KKR[[#This Row],[G19 cp]],KKR[[#This Row],[G13 cp]],KKR[[#This Row],[G9 cp]],KKR[[#This Row],[G2 cp]])- KKR[[#This Row],[Max]] ) / ( KKR[[#This Row],[Innings]] - 1)</f>
        <v>4</v>
      </c>
      <c r="U10" s="31">
        <f>MIN(KKR[[#This Row],[G28 cp]],KKR[[#This Row],[G22 cp]],KKR[[#This Row],[G19 cp]],KKR[[#This Row],[G13 cp]],KKR[[#This Row],[G9 cp]],KKR[[#This Row],[G2 cp]])</f>
        <v>2</v>
      </c>
      <c r="V10" s="261">
        <f>KKR[[#This Row],[G28 cp]]</f>
        <v>18</v>
      </c>
      <c r="W10" s="84">
        <f t="shared" si="0"/>
        <v>0</v>
      </c>
      <c r="X10" s="84">
        <f t="shared" si="1"/>
        <v>0</v>
      </c>
      <c r="Y10" s="84">
        <f t="shared" si="2"/>
        <v>0</v>
      </c>
      <c r="Z10" s="84">
        <f t="shared" si="3"/>
        <v>2</v>
      </c>
      <c r="AA10" s="84">
        <f t="shared" si="4"/>
        <v>6</v>
      </c>
      <c r="AB10" s="920"/>
      <c r="AC10" s="663"/>
      <c r="AD10" s="304"/>
      <c r="AE10" s="304"/>
      <c r="AF10" s="304"/>
      <c r="AG10" s="888"/>
      <c r="AH10" s="889"/>
      <c r="AI10" s="889"/>
      <c r="AJ10" s="901"/>
      <c r="AK10" s="900">
        <f>COUNTA(KKR[[#This Row],[G28 cp]],KKR[[#This Row],[G22 cp]],KKR[[#This Row],[G19 cp]],KKR[[#This Row],[G13 cp]],KKR[[#This Row],[G9 cp]],KKR[[#This Row],[G2 cp]])</f>
        <v>3</v>
      </c>
      <c r="AL10" s="889">
        <f>MAX(KKR[[#This Row],[G28 cp]],KKR[[#This Row],[G22 cp]],KKR[[#This Row],[G9 cp]])</f>
        <v>18</v>
      </c>
      <c r="AM10" s="889">
        <f>( SUM(KKR[[#This Row],[G28 cp]],KKR[[#This Row],[G22 cp]],KKR[[#This Row],[G9 cp]]) - KKR[[#This Row],[B1 Inn]]) / (KKR[[#This Row],[B1 Inn]]-1)</f>
        <v>8.5</v>
      </c>
      <c r="AN10" s="901">
        <f>MIN(KKR[[#This Row],[G28 cp]],KKR[[#This Row],[G22 cp]],KKR[[#This Row],[G9 cp]])</f>
        <v>2</v>
      </c>
      <c r="AO10" s="656"/>
      <c r="AP10" s="663"/>
      <c r="AQ10" s="304"/>
      <c r="AR10" s="304"/>
      <c r="AS10" s="304"/>
      <c r="AT10" s="671"/>
      <c r="AU10" s="304"/>
      <c r="AV10" s="304"/>
      <c r="AW10" s="304"/>
      <c r="AX10" s="303">
        <f>COUNTA(KKR[[#This Row],[G19 cp]],KKR[[#This Row],[G13 cp]],KKR[[#This Row],[G2 cp]])</f>
        <v>1</v>
      </c>
      <c r="AY10" s="304">
        <f>MAX(KKR[[#This Row],[G19 cp]],KKR[[#This Row],[G13 cp]],KKR[[#This Row],[G2 cp]])</f>
        <v>6</v>
      </c>
      <c r="AZ10" s="304" t="e">
        <f>( SUM(KKR[[#This Row],[G19 cp]],KKR[[#This Row],[G13 cp]],KKR[[#This Row],[G2 cp]]) - KKR[[#This Row],[CHS Inn2]]) / (KKR[[#This Row],[CHS Inn2]] -1)</f>
        <v>#DIV/0!</v>
      </c>
      <c r="BA10" s="614">
        <f>MIN(KKR[[#This Row],[G19 cp]],KKR[[#This Row],[G13 cp]],KKR[[#This Row],[G2 cp]])</f>
        <v>6</v>
      </c>
      <c r="BB10" s="85">
        <v>5</v>
      </c>
      <c r="BC10" s="84" t="s">
        <v>1243</v>
      </c>
      <c r="BD10" s="84" t="s">
        <v>601</v>
      </c>
      <c r="BE10" s="84">
        <v>12</v>
      </c>
      <c r="BF10" s="84">
        <v>11</v>
      </c>
      <c r="BG10" s="84"/>
      <c r="BH10" s="84"/>
      <c r="BI10" s="84"/>
      <c r="BJ10" s="86">
        <v>18</v>
      </c>
      <c r="BK10" s="85"/>
      <c r="BL10" s="84"/>
      <c r="BM10" s="84"/>
      <c r="BN10" s="84"/>
      <c r="BO10" s="84"/>
      <c r="BP10" s="86"/>
      <c r="BQ10" s="266">
        <v>15</v>
      </c>
      <c r="BR10" s="263"/>
      <c r="BS10" s="263"/>
      <c r="BT10" s="263"/>
      <c r="BU10" s="263"/>
      <c r="BV10" s="267"/>
      <c r="BW10" s="99"/>
      <c r="BX10" s="26"/>
      <c r="BY10" s="26"/>
      <c r="BZ10" s="26"/>
      <c r="CA10" s="31"/>
      <c r="CB10" s="99">
        <v>3</v>
      </c>
      <c r="CC10" s="26" t="s">
        <v>280</v>
      </c>
      <c r="CD10" s="26" t="s">
        <v>467</v>
      </c>
      <c r="CE10" s="26"/>
      <c r="CF10" s="26">
        <v>2</v>
      </c>
      <c r="CG10" s="26">
        <v>1</v>
      </c>
      <c r="CH10" s="26" t="s">
        <v>445</v>
      </c>
      <c r="CI10" s="26" t="s">
        <v>355</v>
      </c>
      <c r="CJ10" s="26"/>
      <c r="CK10" s="29">
        <v>6</v>
      </c>
    </row>
    <row r="11" spans="2:89" s="1" customFormat="1">
      <c r="B11" s="26" t="s">
        <v>231</v>
      </c>
      <c r="C11" s="26" t="s">
        <v>222</v>
      </c>
      <c r="D11" s="26">
        <v>0.55000000000000004</v>
      </c>
      <c r="E11" s="26"/>
      <c r="F11" s="29"/>
      <c r="G11" s="29" t="s">
        <v>54</v>
      </c>
      <c r="H11" s="604"/>
      <c r="I11" s="583"/>
      <c r="J11" s="587"/>
      <c r="K11" s="84"/>
      <c r="L11" s="84"/>
      <c r="M11" s="84"/>
      <c r="N11" s="591"/>
      <c r="O11" s="84"/>
      <c r="P11" s="84"/>
      <c r="Q11" s="84"/>
      <c r="R11" s="30">
        <f>COUNTA(KKR[[#This Row],[G28 cp]],KKR[[#This Row],[G22 cp]],KKR[[#This Row],[G19 cp]],KKR[[#This Row],[G13 cp]],KKR[[#This Row],[G9 cp]],KKR[[#This Row],[G2 cp]])</f>
        <v>6</v>
      </c>
      <c r="S11" s="263">
        <f>MAX(KKR[[#This Row],[G28 cp]],KKR[[#This Row],[G22 cp]],KKR[[#This Row],[G19 cp]],KKR[[#This Row],[G13 cp]],KKR[[#This Row],[G9 cp]],KKR[[#This Row],[G2 cp]])</f>
        <v>75</v>
      </c>
      <c r="T11" s="263">
        <f>( SUM(KKR[[#This Row],[G28 cp]],KKR[[#This Row],[G22 cp]],KKR[[#This Row],[G19 cp]],KKR[[#This Row],[G13 cp]],KKR[[#This Row],[G9 cp]],KKR[[#This Row],[G2 cp]])- KKR[[#This Row],[Max]] ) / ( KKR[[#This Row],[Innings]] - 1)</f>
        <v>32.6</v>
      </c>
      <c r="U11" s="31">
        <f>MIN(KKR[[#This Row],[G28 cp]],KKR[[#This Row],[G22 cp]],KKR[[#This Row],[G19 cp]],KKR[[#This Row],[G13 cp]],KKR[[#This Row],[G9 cp]],KKR[[#This Row],[G2 cp]])</f>
        <v>16</v>
      </c>
      <c r="V11" s="261">
        <f>KKR[[#This Row],[G28 cp]]</f>
        <v>19</v>
      </c>
      <c r="W11" s="84">
        <f t="shared" si="0"/>
        <v>24</v>
      </c>
      <c r="X11" s="84">
        <f t="shared" si="1"/>
        <v>46</v>
      </c>
      <c r="Y11" s="84">
        <f t="shared" si="2"/>
        <v>75</v>
      </c>
      <c r="Z11" s="84">
        <f t="shared" si="3"/>
        <v>58</v>
      </c>
      <c r="AA11" s="84">
        <f t="shared" si="4"/>
        <v>16</v>
      </c>
      <c r="AB11" s="921"/>
      <c r="AC11" s="662"/>
      <c r="AD11" s="300"/>
      <c r="AE11" s="300"/>
      <c r="AF11" s="300"/>
      <c r="AG11" s="890"/>
      <c r="AH11" s="891"/>
      <c r="AI11" s="891"/>
      <c r="AJ11" s="903"/>
      <c r="AK11" s="902">
        <f>COUNTA(KKR[[#This Row],[G28 cp]],KKR[[#This Row],[G22 cp]],KKR[[#This Row],[G19 cp]],KKR[[#This Row],[G13 cp]],KKR[[#This Row],[G9 cp]],KKR[[#This Row],[G2 cp]])</f>
        <v>6</v>
      </c>
      <c r="AL11" s="891">
        <f>MAX(KKR[[#This Row],[G28 cp]],KKR[[#This Row],[G22 cp]],KKR[[#This Row],[G9 cp]])</f>
        <v>58</v>
      </c>
      <c r="AM11" s="891">
        <f>( SUM(KKR[[#This Row],[G28 cp]],KKR[[#This Row],[G22 cp]],KKR[[#This Row],[G9 cp]]) - KKR[[#This Row],[B1 Inn]]) / (KKR[[#This Row],[B1 Inn]]-1)</f>
        <v>19</v>
      </c>
      <c r="AN11" s="903">
        <f>MIN(KKR[[#This Row],[G28 cp]],KKR[[#This Row],[G22 cp]],KKR[[#This Row],[G9 cp]])</f>
        <v>19</v>
      </c>
      <c r="AO11" s="655"/>
      <c r="AP11" s="662"/>
      <c r="AQ11" s="300"/>
      <c r="AR11" s="300"/>
      <c r="AS11" s="300"/>
      <c r="AT11" s="670"/>
      <c r="AU11" s="300"/>
      <c r="AV11" s="300"/>
      <c r="AW11" s="300"/>
      <c r="AX11" s="299">
        <f>COUNTA(KKR[[#This Row],[G19 cp]],KKR[[#This Row],[G13 cp]],KKR[[#This Row],[G2 cp]])</f>
        <v>3</v>
      </c>
      <c r="AY11" s="300">
        <f>MAX(KKR[[#This Row],[G19 cp]],KKR[[#This Row],[G13 cp]],KKR[[#This Row],[G2 cp]])</f>
        <v>75</v>
      </c>
      <c r="AZ11" s="300">
        <f>( SUM(KKR[[#This Row],[G19 cp]],KKR[[#This Row],[G13 cp]],KKR[[#This Row],[G2 cp]]) - KKR[[#This Row],[CHS Inn2]]) / (KKR[[#This Row],[CHS Inn2]] -1)</f>
        <v>67</v>
      </c>
      <c r="BA11" s="612">
        <f>MIN(KKR[[#This Row],[G19 cp]],KKR[[#This Row],[G13 cp]],KKR[[#This Row],[G2 cp]])</f>
        <v>16</v>
      </c>
      <c r="BB11" s="85">
        <v>6</v>
      </c>
      <c r="BC11" s="84" t="s">
        <v>1243</v>
      </c>
      <c r="BD11" s="84" t="s">
        <v>601</v>
      </c>
      <c r="BE11" s="84">
        <v>6</v>
      </c>
      <c r="BF11" s="84">
        <v>8</v>
      </c>
      <c r="BG11" s="84"/>
      <c r="BH11" s="84"/>
      <c r="BI11" s="84"/>
      <c r="BJ11" s="86">
        <v>19</v>
      </c>
      <c r="BK11" s="85">
        <v>6</v>
      </c>
      <c r="BL11" s="84" t="s">
        <v>876</v>
      </c>
      <c r="BM11" s="84">
        <v>2</v>
      </c>
      <c r="BN11" s="84">
        <v>2</v>
      </c>
      <c r="BO11" s="84"/>
      <c r="BP11" s="86">
        <v>24</v>
      </c>
      <c r="BQ11" s="266">
        <v>7</v>
      </c>
      <c r="BR11" s="263"/>
      <c r="BS11" s="263">
        <v>58</v>
      </c>
      <c r="BT11" s="263">
        <v>31</v>
      </c>
      <c r="BU11" s="263"/>
      <c r="BV11" s="267">
        <v>46</v>
      </c>
      <c r="BW11" s="99">
        <v>5</v>
      </c>
      <c r="BX11" s="26" t="s">
        <v>583</v>
      </c>
      <c r="BY11" s="26" t="s">
        <v>327</v>
      </c>
      <c r="BZ11" s="26"/>
      <c r="CA11" s="31">
        <v>75</v>
      </c>
      <c r="CB11" s="99">
        <v>5</v>
      </c>
      <c r="CC11" s="26" t="s">
        <v>470</v>
      </c>
      <c r="CD11" s="26" t="s">
        <v>401</v>
      </c>
      <c r="CE11" s="26"/>
      <c r="CF11" s="26">
        <v>58</v>
      </c>
      <c r="CG11" s="26">
        <v>6</v>
      </c>
      <c r="CH11" s="26" t="s">
        <v>328</v>
      </c>
      <c r="CI11" s="26" t="s">
        <v>453</v>
      </c>
      <c r="CJ11" s="26"/>
      <c r="CK11" s="29">
        <v>16</v>
      </c>
    </row>
    <row r="12" spans="2:89">
      <c r="B12" s="148" t="s">
        <v>231</v>
      </c>
      <c r="C12" s="148" t="s">
        <v>593</v>
      </c>
      <c r="D12" s="148">
        <v>6</v>
      </c>
      <c r="E12" s="148" t="s">
        <v>613</v>
      </c>
      <c r="F12" s="151"/>
      <c r="G12" s="151" t="s">
        <v>55</v>
      </c>
      <c r="H12" s="357"/>
      <c r="I12" s="366"/>
      <c r="J12" s="375"/>
      <c r="K12" s="150"/>
      <c r="L12" s="150"/>
      <c r="M12" s="150"/>
      <c r="N12" s="384"/>
      <c r="O12" s="150"/>
      <c r="P12" s="150"/>
      <c r="Q12" s="150"/>
      <c r="R12" s="147">
        <f>COUNTA(KKR[[#This Row],[G28 cp]],KKR[[#This Row],[G22 cp]],KKR[[#This Row],[G19 cp]],KKR[[#This Row],[G13 cp]],KKR[[#This Row],[G9 cp]],KKR[[#This Row],[G2 cp]])</f>
        <v>5</v>
      </c>
      <c r="S12" s="248">
        <f>MAX(KKR[[#This Row],[G28 cp]],KKR[[#This Row],[G22 cp]],KKR[[#This Row],[G19 cp]],KKR[[#This Row],[G13 cp]],KKR[[#This Row],[G9 cp]],KKR[[#This Row],[G2 cp]])</f>
        <v>81</v>
      </c>
      <c r="T12" s="248">
        <f>( SUM(KKR[[#This Row],[G28 cp]],KKR[[#This Row],[G22 cp]],KKR[[#This Row],[G19 cp]],KKR[[#This Row],[G13 cp]],KKR[[#This Row],[G9 cp]],KKR[[#This Row],[G2 cp]])- KKR[[#This Row],[Max]] ) / ( KKR[[#This Row],[Innings]] - 1)</f>
        <v>29.75</v>
      </c>
      <c r="U12" s="149">
        <f>MIN(KKR[[#This Row],[G28 cp]],KKR[[#This Row],[G22 cp]],KKR[[#This Row],[G19 cp]],KKR[[#This Row],[G13 cp]],KKR[[#This Row],[G9 cp]],KKR[[#This Row],[G2 cp]])</f>
        <v>6</v>
      </c>
      <c r="V12" s="272">
        <f>KKR[[#This Row],[G28 cp]]</f>
        <v>9</v>
      </c>
      <c r="W12" s="150">
        <f t="shared" si="0"/>
        <v>6</v>
      </c>
      <c r="X12" s="150">
        <f t="shared" si="1"/>
        <v>0</v>
      </c>
      <c r="Y12" s="150">
        <f t="shared" si="2"/>
        <v>81</v>
      </c>
      <c r="Z12" s="150">
        <f t="shared" si="3"/>
        <v>66</v>
      </c>
      <c r="AA12" s="150">
        <f t="shared" si="4"/>
        <v>38</v>
      </c>
      <c r="AB12" s="921"/>
      <c r="AC12" s="662"/>
      <c r="AD12" s="300"/>
      <c r="AE12" s="300"/>
      <c r="AF12" s="300"/>
      <c r="AG12" s="890"/>
      <c r="AH12" s="891"/>
      <c r="AI12" s="891"/>
      <c r="AJ12" s="903"/>
      <c r="AK12" s="902">
        <f>COUNTA(KKR[[#This Row],[G28 cp]],KKR[[#This Row],[G22 cp]],KKR[[#This Row],[G19 cp]],KKR[[#This Row],[G13 cp]],KKR[[#This Row],[G9 cp]],KKR[[#This Row],[G2 cp]])</f>
        <v>5</v>
      </c>
      <c r="AL12" s="891">
        <f>MAX(KKR[[#This Row],[G28 cp]],KKR[[#This Row],[G22 cp]],KKR[[#This Row],[G9 cp]])</f>
        <v>66</v>
      </c>
      <c r="AM12" s="891">
        <f>( SUM(KKR[[#This Row],[G28 cp]],KKR[[#This Row],[G22 cp]],KKR[[#This Row],[G9 cp]]) - KKR[[#This Row],[B1 Inn]]) / (KKR[[#This Row],[B1 Inn]]-1)</f>
        <v>19</v>
      </c>
      <c r="AN12" s="903">
        <f>MIN(KKR[[#This Row],[G28 cp]],KKR[[#This Row],[G22 cp]],KKR[[#This Row],[G9 cp]])</f>
        <v>6</v>
      </c>
      <c r="AO12" s="655"/>
      <c r="AP12" s="662"/>
      <c r="AQ12" s="300"/>
      <c r="AR12" s="300"/>
      <c r="AS12" s="300"/>
      <c r="AT12" s="670"/>
      <c r="AU12" s="300"/>
      <c r="AV12" s="300"/>
      <c r="AW12" s="300"/>
      <c r="AX12" s="299">
        <f>COUNTA(KKR[[#This Row],[G19 cp]],KKR[[#This Row],[G13 cp]],KKR[[#This Row],[G2 cp]])</f>
        <v>2</v>
      </c>
      <c r="AY12" s="300">
        <f>MAX(KKR[[#This Row],[G19 cp]],KKR[[#This Row],[G13 cp]],KKR[[#This Row],[G2 cp]])</f>
        <v>81</v>
      </c>
      <c r="AZ12" s="300">
        <f>( SUM(KKR[[#This Row],[G19 cp]],KKR[[#This Row],[G13 cp]],KKR[[#This Row],[G2 cp]]) - KKR[[#This Row],[CHS Inn2]]) / (KKR[[#This Row],[CHS Inn2]] -1)</f>
        <v>117</v>
      </c>
      <c r="BA12" s="612">
        <f>MIN(KKR[[#This Row],[G19 cp]],KKR[[#This Row],[G13 cp]],KKR[[#This Row],[G2 cp]])</f>
        <v>38</v>
      </c>
      <c r="BB12" s="207">
        <v>7</v>
      </c>
      <c r="BC12" s="150" t="s">
        <v>645</v>
      </c>
      <c r="BD12" s="150" t="s">
        <v>1313</v>
      </c>
      <c r="BE12" s="150">
        <v>4</v>
      </c>
      <c r="BF12" s="150">
        <v>6</v>
      </c>
      <c r="BG12" s="150">
        <v>4</v>
      </c>
      <c r="BH12" s="150">
        <v>36</v>
      </c>
      <c r="BI12" s="150">
        <v>0</v>
      </c>
      <c r="BJ12" s="208">
        <v>9</v>
      </c>
      <c r="BK12" s="207">
        <v>8</v>
      </c>
      <c r="BL12" s="150" t="s">
        <v>1098</v>
      </c>
      <c r="BM12" s="150">
        <v>18</v>
      </c>
      <c r="BN12" s="150">
        <v>18</v>
      </c>
      <c r="BO12" s="150" t="s">
        <v>1085</v>
      </c>
      <c r="BP12" s="208">
        <v>6</v>
      </c>
      <c r="BQ12" s="269">
        <v>4</v>
      </c>
      <c r="BR12" s="248" t="s">
        <v>542</v>
      </c>
      <c r="BS12" s="248">
        <v>0</v>
      </c>
      <c r="BT12" s="248">
        <v>1</v>
      </c>
      <c r="BU12" s="248" t="s">
        <v>775</v>
      </c>
      <c r="BV12" s="255"/>
      <c r="BW12" s="152">
        <v>7</v>
      </c>
      <c r="BX12" s="148" t="s">
        <v>280</v>
      </c>
      <c r="BY12" s="148" t="s">
        <v>341</v>
      </c>
      <c r="BZ12" s="148" t="s">
        <v>576</v>
      </c>
      <c r="CA12" s="149">
        <v>81</v>
      </c>
      <c r="CB12" s="152">
        <v>8</v>
      </c>
      <c r="CC12" s="148" t="s">
        <v>280</v>
      </c>
      <c r="CD12" s="148" t="s">
        <v>327</v>
      </c>
      <c r="CE12" s="148" t="s">
        <v>476</v>
      </c>
      <c r="CF12" s="148">
        <v>66</v>
      </c>
      <c r="CG12" s="148">
        <v>9</v>
      </c>
      <c r="CH12" s="148" t="s">
        <v>459</v>
      </c>
      <c r="CI12" s="148" t="s">
        <v>327</v>
      </c>
      <c r="CJ12" s="148" t="s">
        <v>458</v>
      </c>
      <c r="CK12" s="151">
        <v>38</v>
      </c>
    </row>
    <row r="13" spans="2:89">
      <c r="B13" s="148" t="s">
        <v>231</v>
      </c>
      <c r="C13" s="148" t="s">
        <v>594</v>
      </c>
      <c r="D13" s="148">
        <v>12</v>
      </c>
      <c r="E13" s="148" t="s">
        <v>613</v>
      </c>
      <c r="F13" s="151"/>
      <c r="G13" s="151" t="s">
        <v>55</v>
      </c>
      <c r="H13" s="357"/>
      <c r="I13" s="366"/>
      <c r="J13" s="375"/>
      <c r="K13" s="150"/>
      <c r="L13" s="150"/>
      <c r="M13" s="150"/>
      <c r="N13" s="384"/>
      <c r="O13" s="150"/>
      <c r="P13" s="150"/>
      <c r="Q13" s="150"/>
      <c r="R13" s="147">
        <f>COUNTA(KKR[[#This Row],[G28 cp]],KKR[[#This Row],[G22 cp]],KKR[[#This Row],[G19 cp]],KKR[[#This Row],[G13 cp]],KKR[[#This Row],[G9 cp]],KKR[[#This Row],[G2 cp]])</f>
        <v>6</v>
      </c>
      <c r="S13" s="248">
        <f>MAX(KKR[[#This Row],[G28 cp]],KKR[[#This Row],[G22 cp]],KKR[[#This Row],[G19 cp]],KKR[[#This Row],[G13 cp]],KKR[[#This Row],[G9 cp]],KKR[[#This Row],[G2 cp]])</f>
        <v>90</v>
      </c>
      <c r="T13" s="248">
        <f>( SUM(KKR[[#This Row],[G28 cp]],KKR[[#This Row],[G22 cp]],KKR[[#This Row],[G19 cp]],KKR[[#This Row],[G13 cp]],KKR[[#This Row],[G9 cp]],KKR[[#This Row],[G2 cp]])- KKR[[#This Row],[Max]] ) / ( KKR[[#This Row],[Innings]] - 1)</f>
        <v>26.8</v>
      </c>
      <c r="U13" s="149">
        <f>MIN(KKR[[#This Row],[G28 cp]],KKR[[#This Row],[G22 cp]],KKR[[#This Row],[G19 cp]],KKR[[#This Row],[G13 cp]],KKR[[#This Row],[G9 cp]],KKR[[#This Row],[G2 cp]])</f>
        <v>2</v>
      </c>
      <c r="V13" s="272">
        <f>KKR[[#This Row],[G28 cp]]</f>
        <v>51</v>
      </c>
      <c r="W13" s="150">
        <f t="shared" si="0"/>
        <v>30</v>
      </c>
      <c r="X13" s="150">
        <f t="shared" si="1"/>
        <v>90</v>
      </c>
      <c r="Y13" s="150">
        <f t="shared" si="2"/>
        <v>5</v>
      </c>
      <c r="Z13" s="150">
        <f t="shared" si="3"/>
        <v>2</v>
      </c>
      <c r="AA13" s="150">
        <f t="shared" si="4"/>
        <v>46</v>
      </c>
      <c r="AB13" s="922"/>
      <c r="AC13" s="664"/>
      <c r="AD13" s="308"/>
      <c r="AE13" s="308"/>
      <c r="AF13" s="308"/>
      <c r="AG13" s="892"/>
      <c r="AH13" s="893"/>
      <c r="AI13" s="893"/>
      <c r="AJ13" s="905"/>
      <c r="AK13" s="904">
        <f>COUNTA(KKR[[#This Row],[G28 cp]],KKR[[#This Row],[G22 cp]],KKR[[#This Row],[G19 cp]],KKR[[#This Row],[G13 cp]],KKR[[#This Row],[G9 cp]],KKR[[#This Row],[G2 cp]])</f>
        <v>6</v>
      </c>
      <c r="AL13" s="893">
        <f>MAX(KKR[[#This Row],[G28 cp]],KKR[[#This Row],[G22 cp]],KKR[[#This Row],[G9 cp]])</f>
        <v>51</v>
      </c>
      <c r="AM13" s="893">
        <f>( SUM(KKR[[#This Row],[G28 cp]],KKR[[#This Row],[G22 cp]],KKR[[#This Row],[G9 cp]]) - KKR[[#This Row],[B1 Inn]]) / (KKR[[#This Row],[B1 Inn]]-1)</f>
        <v>15.4</v>
      </c>
      <c r="AN13" s="905">
        <f>MIN(KKR[[#This Row],[G28 cp]],KKR[[#This Row],[G22 cp]],KKR[[#This Row],[G9 cp]])</f>
        <v>2</v>
      </c>
      <c r="AO13" s="657"/>
      <c r="AP13" s="664"/>
      <c r="AQ13" s="308"/>
      <c r="AR13" s="308"/>
      <c r="AS13" s="308"/>
      <c r="AT13" s="672"/>
      <c r="AU13" s="308"/>
      <c r="AV13" s="308"/>
      <c r="AW13" s="308"/>
      <c r="AX13" s="307">
        <f>COUNTA(KKR[[#This Row],[G19 cp]],KKR[[#This Row],[G13 cp]],KKR[[#This Row],[G2 cp]])</f>
        <v>3</v>
      </c>
      <c r="AY13" s="308">
        <f>MAX(KKR[[#This Row],[G19 cp]],KKR[[#This Row],[G13 cp]],KKR[[#This Row],[G2 cp]])</f>
        <v>90</v>
      </c>
      <c r="AZ13" s="308">
        <f>( SUM(KKR[[#This Row],[G19 cp]],KKR[[#This Row],[G13 cp]],KKR[[#This Row],[G2 cp]]) - KKR[[#This Row],[CHS Inn2]]) / (KKR[[#This Row],[CHS Inn2]] -1)</f>
        <v>69</v>
      </c>
      <c r="BA13" s="613">
        <f>MIN(KKR[[#This Row],[G19 cp]],KKR[[#This Row],[G13 cp]],KKR[[#This Row],[G2 cp]])</f>
        <v>5</v>
      </c>
      <c r="BB13" s="207">
        <v>8</v>
      </c>
      <c r="BC13" s="150"/>
      <c r="BD13" s="150" t="s">
        <v>876</v>
      </c>
      <c r="BE13" s="150">
        <v>38</v>
      </c>
      <c r="BF13" s="150">
        <v>31</v>
      </c>
      <c r="BG13" s="71">
        <v>1</v>
      </c>
      <c r="BH13" s="71">
        <v>12</v>
      </c>
      <c r="BI13" s="71">
        <v>0</v>
      </c>
      <c r="BJ13" s="208">
        <v>51</v>
      </c>
      <c r="BK13" s="207">
        <v>7</v>
      </c>
      <c r="BL13" s="150" t="s">
        <v>876</v>
      </c>
      <c r="BM13" s="150">
        <v>21</v>
      </c>
      <c r="BN13" s="150">
        <v>11</v>
      </c>
      <c r="BO13" s="150" t="s">
        <v>1101</v>
      </c>
      <c r="BP13" s="208">
        <v>30</v>
      </c>
      <c r="BQ13" s="269">
        <v>6</v>
      </c>
      <c r="BR13" s="248" t="s">
        <v>544</v>
      </c>
      <c r="BS13" s="248">
        <v>3</v>
      </c>
      <c r="BT13" s="248">
        <v>6</v>
      </c>
      <c r="BU13" s="248" t="s">
        <v>929</v>
      </c>
      <c r="BV13" s="255">
        <v>90</v>
      </c>
      <c r="BW13" s="152">
        <v>6</v>
      </c>
      <c r="BX13" s="148" t="s">
        <v>366</v>
      </c>
      <c r="BY13" s="148" t="s">
        <v>341</v>
      </c>
      <c r="BZ13" s="148"/>
      <c r="CA13" s="149">
        <v>5</v>
      </c>
      <c r="CB13" s="152">
        <v>6</v>
      </c>
      <c r="CC13" s="148" t="s">
        <v>280</v>
      </c>
      <c r="CD13" s="148" t="s">
        <v>400</v>
      </c>
      <c r="CE13" s="148"/>
      <c r="CF13" s="148">
        <v>2</v>
      </c>
      <c r="CG13" s="148">
        <v>7</v>
      </c>
      <c r="CH13" s="148" t="s">
        <v>454</v>
      </c>
      <c r="CI13" s="148" t="s">
        <v>455</v>
      </c>
      <c r="CJ13" s="148"/>
      <c r="CK13" s="151">
        <v>46</v>
      </c>
    </row>
    <row r="14" spans="2:89">
      <c r="B14" s="6" t="s">
        <v>231</v>
      </c>
      <c r="C14" s="6" t="s">
        <v>221</v>
      </c>
      <c r="D14" s="6">
        <v>0.2</v>
      </c>
      <c r="E14" s="6"/>
      <c r="F14" s="7"/>
      <c r="G14" s="7" t="s">
        <v>55</v>
      </c>
      <c r="H14" s="355"/>
      <c r="I14" s="364"/>
      <c r="J14" s="373"/>
      <c r="K14" s="71"/>
      <c r="L14" s="71"/>
      <c r="M14" s="71"/>
      <c r="N14" s="382"/>
      <c r="O14" s="71"/>
      <c r="P14" s="71"/>
      <c r="Q14" s="71"/>
      <c r="R14" s="8">
        <f>COUNTA(KKR[[#This Row],[G28 cp]],KKR[[#This Row],[G22 cp]],KKR[[#This Row],[G19 cp]],KKR[[#This Row],[G13 cp]],KKR[[#This Row],[G9 cp]],KKR[[#This Row],[G2 cp]])</f>
        <v>2</v>
      </c>
      <c r="S14" s="251">
        <f>MAX(KKR[[#This Row],[G28 cp]],KKR[[#This Row],[G22 cp]],KKR[[#This Row],[G19 cp]],KKR[[#This Row],[G13 cp]],KKR[[#This Row],[G9 cp]],KKR[[#This Row],[G2 cp]])</f>
        <v>63</v>
      </c>
      <c r="T14" s="251">
        <f>( SUM(KKR[[#This Row],[G28 cp]],KKR[[#This Row],[G22 cp]],KKR[[#This Row],[G19 cp]],KKR[[#This Row],[G13 cp]],KKR[[#This Row],[G9 cp]],KKR[[#This Row],[G2 cp]])- KKR[[#This Row],[Max]] ) / ( KKR[[#This Row],[Innings]] - 1)</f>
        <v>9</v>
      </c>
      <c r="U14" s="9">
        <f>MIN(KKR[[#This Row],[G28 cp]],KKR[[#This Row],[G22 cp]],KKR[[#This Row],[G19 cp]],KKR[[#This Row],[G13 cp]],KKR[[#This Row],[G9 cp]],KKR[[#This Row],[G2 cp]])</f>
        <v>9</v>
      </c>
      <c r="V14" s="260">
        <f>KKR[[#This Row],[G28 cp]]</f>
        <v>63</v>
      </c>
      <c r="W14" s="71">
        <f t="shared" si="0"/>
        <v>0</v>
      </c>
      <c r="X14" s="71">
        <f t="shared" si="1"/>
        <v>0</v>
      </c>
      <c r="Y14" s="71">
        <f t="shared" si="2"/>
        <v>0</v>
      </c>
      <c r="Z14" s="71">
        <f t="shared" si="3"/>
        <v>0</v>
      </c>
      <c r="AA14" s="71">
        <f t="shared" si="4"/>
        <v>9</v>
      </c>
      <c r="AB14" s="923"/>
      <c r="AC14" s="665"/>
      <c r="AD14" s="215"/>
      <c r="AE14" s="215"/>
      <c r="AF14" s="215"/>
      <c r="AG14" s="894"/>
      <c r="AH14" s="895"/>
      <c r="AI14" s="895"/>
      <c r="AJ14" s="907"/>
      <c r="AK14" s="906">
        <f>COUNTA(KKR[[#This Row],[G28 cp]],KKR[[#This Row],[G22 cp]],KKR[[#This Row],[G19 cp]],KKR[[#This Row],[G13 cp]],KKR[[#This Row],[G9 cp]],KKR[[#This Row],[G2 cp]])</f>
        <v>2</v>
      </c>
      <c r="AL14" s="895">
        <f>MAX(KKR[[#This Row],[G28 cp]],KKR[[#This Row],[G22 cp]],KKR[[#This Row],[G9 cp]])</f>
        <v>63</v>
      </c>
      <c r="AM14" s="895">
        <f>( SUM(KKR[[#This Row],[G28 cp]],KKR[[#This Row],[G22 cp]],KKR[[#This Row],[G9 cp]]) - KKR[[#This Row],[B1 Inn]]) / (KKR[[#This Row],[B1 Inn]]-1)</f>
        <v>61</v>
      </c>
      <c r="AN14" s="907">
        <f>MIN(KKR[[#This Row],[G28 cp]],KKR[[#This Row],[G22 cp]],KKR[[#This Row],[G9 cp]])</f>
        <v>63</v>
      </c>
      <c r="AO14" s="658"/>
      <c r="AP14" s="665"/>
      <c r="AQ14" s="215"/>
      <c r="AR14" s="215"/>
      <c r="AS14" s="215"/>
      <c r="AT14" s="673"/>
      <c r="AU14" s="215"/>
      <c r="AV14" s="215"/>
      <c r="AW14" s="215"/>
      <c r="AX14" s="288">
        <f>COUNTA(KKR[[#This Row],[G19 cp]],KKR[[#This Row],[G13 cp]],KKR[[#This Row],[G2 cp]])</f>
        <v>1</v>
      </c>
      <c r="AY14" s="215">
        <f>MAX(KKR[[#This Row],[G19 cp]],KKR[[#This Row],[G13 cp]],KKR[[#This Row],[G2 cp]])</f>
        <v>9</v>
      </c>
      <c r="AZ14" s="215" t="e">
        <f>( SUM(KKR[[#This Row],[G19 cp]],KKR[[#This Row],[G13 cp]],KKR[[#This Row],[G2 cp]]) - KKR[[#This Row],[CHS Inn2]]) / (KKR[[#This Row],[CHS Inn2]] -1)</f>
        <v>#DIV/0!</v>
      </c>
      <c r="BA14" s="616">
        <f>MIN(KKR[[#This Row],[G19 cp]],KKR[[#This Row],[G13 cp]],KKR[[#This Row],[G2 cp]])</f>
        <v>9</v>
      </c>
      <c r="BB14" s="58">
        <v>9</v>
      </c>
      <c r="BC14" s="71" t="s">
        <v>1311</v>
      </c>
      <c r="BD14" s="71" t="s">
        <v>605</v>
      </c>
      <c r="BE14" s="71">
        <v>0</v>
      </c>
      <c r="BF14" s="71">
        <v>1</v>
      </c>
      <c r="BG14" s="71">
        <v>4</v>
      </c>
      <c r="BH14" s="71">
        <v>19</v>
      </c>
      <c r="BI14" s="71">
        <v>2</v>
      </c>
      <c r="BJ14" s="80">
        <v>63</v>
      </c>
      <c r="BK14" s="58"/>
      <c r="BL14" s="71"/>
      <c r="BM14" s="71"/>
      <c r="BN14" s="71"/>
      <c r="BO14" s="71"/>
      <c r="BP14" s="80"/>
      <c r="BQ14" s="265">
        <v>15</v>
      </c>
      <c r="BR14" s="251"/>
      <c r="BS14" s="251"/>
      <c r="BT14" s="251"/>
      <c r="BU14" s="251"/>
      <c r="BV14" s="258"/>
      <c r="BW14" s="61"/>
      <c r="BX14" s="6"/>
      <c r="BY14" s="6"/>
      <c r="BZ14" s="6"/>
      <c r="CA14" s="9"/>
      <c r="CB14" s="61"/>
      <c r="CC14" s="6"/>
      <c r="CD14" s="6"/>
      <c r="CE14" s="6"/>
      <c r="CF14" s="6"/>
      <c r="CG14" s="6">
        <v>3</v>
      </c>
      <c r="CH14" s="6" t="s">
        <v>324</v>
      </c>
      <c r="CI14" s="6" t="s">
        <v>355</v>
      </c>
      <c r="CJ14" s="6"/>
      <c r="CK14" s="7">
        <v>9</v>
      </c>
    </row>
    <row r="15" spans="2:89" s="1" customFormat="1">
      <c r="B15" s="12" t="s">
        <v>231</v>
      </c>
      <c r="C15" s="12" t="s">
        <v>597</v>
      </c>
      <c r="D15" s="12">
        <v>2</v>
      </c>
      <c r="E15" s="12"/>
      <c r="F15" s="13"/>
      <c r="G15" s="1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14">
        <f>COUNTA(KKR[[#This Row],[G28 cp]],KKR[[#This Row],[G22 cp]],KKR[[#This Row],[G19 cp]],KKR[[#This Row],[G13 cp]],KKR[[#This Row],[G9 cp]],KKR[[#This Row],[G2 cp]])</f>
        <v>6</v>
      </c>
      <c r="S15" s="250">
        <f>MAX(KKR[[#This Row],[G28 cp]],KKR[[#This Row],[G22 cp]],KKR[[#This Row],[G19 cp]],KKR[[#This Row],[G13 cp]],KKR[[#This Row],[G9 cp]],KKR[[#This Row],[G2 cp]])</f>
        <v>37</v>
      </c>
      <c r="T15" s="250">
        <f>( SUM(KKR[[#This Row],[G28 cp]],KKR[[#This Row],[G22 cp]],KKR[[#This Row],[G19 cp]],KKR[[#This Row],[G13 cp]],KKR[[#This Row],[G9 cp]],KKR[[#This Row],[G2 cp]])- KKR[[#This Row],[Max]] ) / ( KKR[[#This Row],[Innings]] - 1)</f>
        <v>10.199999999999999</v>
      </c>
      <c r="U15" s="15">
        <f>MIN(KKR[[#This Row],[G28 cp]],KKR[[#This Row],[G22 cp]],KKR[[#This Row],[G19 cp]],KKR[[#This Row],[G13 cp]],KKR[[#This Row],[G9 cp]],KKR[[#This Row],[G2 cp]])</f>
        <v>4</v>
      </c>
      <c r="V15" s="262">
        <f>KKR[[#This Row],[G28 cp]]</f>
        <v>7</v>
      </c>
      <c r="W15" s="72">
        <f t="shared" si="0"/>
        <v>12</v>
      </c>
      <c r="X15" s="72">
        <f t="shared" si="1"/>
        <v>4</v>
      </c>
      <c r="Y15" s="72">
        <f t="shared" si="2"/>
        <v>17</v>
      </c>
      <c r="Z15" s="72">
        <f t="shared" si="3"/>
        <v>11</v>
      </c>
      <c r="AA15" s="72">
        <f t="shared" si="4"/>
        <v>37</v>
      </c>
      <c r="AB15" s="924"/>
      <c r="AC15" s="666"/>
      <c r="AD15" s="312"/>
      <c r="AE15" s="312"/>
      <c r="AF15" s="312"/>
      <c r="AG15" s="896"/>
      <c r="AH15" s="897"/>
      <c r="AI15" s="897"/>
      <c r="AJ15" s="909"/>
      <c r="AK15" s="908">
        <f>COUNTA(KKR[[#This Row],[G28 cp]],KKR[[#This Row],[G22 cp]],KKR[[#This Row],[G19 cp]],KKR[[#This Row],[G13 cp]],KKR[[#This Row],[G9 cp]],KKR[[#This Row],[G2 cp]])</f>
        <v>6</v>
      </c>
      <c r="AL15" s="897">
        <f>MAX(KKR[[#This Row],[G28 cp]],KKR[[#This Row],[G22 cp]],KKR[[#This Row],[G9 cp]])</f>
        <v>12</v>
      </c>
      <c r="AM15" s="897">
        <f>( SUM(KKR[[#This Row],[G28 cp]],KKR[[#This Row],[G22 cp]],KKR[[#This Row],[G9 cp]]) - KKR[[#This Row],[B1 Inn]]) / (KKR[[#This Row],[B1 Inn]]-1)</f>
        <v>4.8</v>
      </c>
      <c r="AN15" s="909">
        <f>MIN(KKR[[#This Row],[G28 cp]],KKR[[#This Row],[G22 cp]],KKR[[#This Row],[G9 cp]])</f>
        <v>7</v>
      </c>
      <c r="AO15" s="659"/>
      <c r="AP15" s="666"/>
      <c r="AQ15" s="312"/>
      <c r="AR15" s="312"/>
      <c r="AS15" s="312"/>
      <c r="AT15" s="674"/>
      <c r="AU15" s="312"/>
      <c r="AV15" s="312"/>
      <c r="AW15" s="312"/>
      <c r="AX15" s="311">
        <f>COUNTA(KKR[[#This Row],[G19 cp]],KKR[[#This Row],[G13 cp]],KKR[[#This Row],[G2 cp]])</f>
        <v>3</v>
      </c>
      <c r="AY15" s="312">
        <f>MAX(KKR[[#This Row],[G19 cp]],KKR[[#This Row],[G13 cp]],KKR[[#This Row],[G2 cp]])</f>
        <v>37</v>
      </c>
      <c r="AZ15" s="312">
        <f>( SUM(KKR[[#This Row],[G19 cp]],KKR[[#This Row],[G13 cp]],KKR[[#This Row],[G2 cp]]) - KKR[[#This Row],[CHS Inn2]]) / (KKR[[#This Row],[CHS Inn2]] -1)</f>
        <v>27.5</v>
      </c>
      <c r="BA15" s="615">
        <f>MIN(KKR[[#This Row],[G19 cp]],KKR[[#This Row],[G13 cp]],KKR[[#This Row],[G2 cp]])</f>
        <v>4</v>
      </c>
      <c r="BB15" s="60">
        <v>10</v>
      </c>
      <c r="BC15" s="72" t="s">
        <v>1272</v>
      </c>
      <c r="BD15" s="72" t="s">
        <v>438</v>
      </c>
      <c r="BE15" s="72">
        <v>3</v>
      </c>
      <c r="BF15" s="72">
        <v>5</v>
      </c>
      <c r="BG15" s="72">
        <v>1</v>
      </c>
      <c r="BH15" s="72">
        <v>6</v>
      </c>
      <c r="BI15" s="72">
        <v>0</v>
      </c>
      <c r="BJ15" s="83">
        <v>7</v>
      </c>
      <c r="BK15" s="60">
        <v>9</v>
      </c>
      <c r="BL15" s="72"/>
      <c r="BM15" s="72"/>
      <c r="BN15" s="72"/>
      <c r="BO15" s="72" t="s">
        <v>1099</v>
      </c>
      <c r="BP15" s="83">
        <v>12</v>
      </c>
      <c r="BQ15" s="268">
        <v>9</v>
      </c>
      <c r="BR15" s="250" t="s">
        <v>876</v>
      </c>
      <c r="BS15" s="250">
        <v>1</v>
      </c>
      <c r="BT15" s="250">
        <v>1</v>
      </c>
      <c r="BU15" s="250" t="s">
        <v>927</v>
      </c>
      <c r="BV15" s="257">
        <v>4</v>
      </c>
      <c r="BW15" s="63">
        <v>9</v>
      </c>
      <c r="BX15" s="12" t="s">
        <v>545</v>
      </c>
      <c r="BY15" s="12" t="s">
        <v>327</v>
      </c>
      <c r="BZ15" s="12" t="s">
        <v>574</v>
      </c>
      <c r="CA15" s="15">
        <v>17</v>
      </c>
      <c r="CB15" s="63">
        <v>9</v>
      </c>
      <c r="CC15" s="12" t="s">
        <v>473</v>
      </c>
      <c r="CD15" s="12" t="s">
        <v>327</v>
      </c>
      <c r="CE15" s="12" t="s">
        <v>474</v>
      </c>
      <c r="CF15" s="12">
        <v>11</v>
      </c>
      <c r="CG15" s="12">
        <v>11</v>
      </c>
      <c r="CH15" s="12"/>
      <c r="CI15" s="12"/>
      <c r="CJ15" s="12" t="s">
        <v>232</v>
      </c>
      <c r="CK15" s="13">
        <v>37</v>
      </c>
    </row>
    <row r="16" spans="2:89">
      <c r="B16" s="12" t="s">
        <v>231</v>
      </c>
      <c r="C16" s="12" t="s">
        <v>599</v>
      </c>
      <c r="D16" s="12">
        <v>8</v>
      </c>
      <c r="E16" s="12"/>
      <c r="F16" s="13"/>
      <c r="G16" s="13" t="s">
        <v>56</v>
      </c>
      <c r="H16" s="358"/>
      <c r="I16" s="367"/>
      <c r="J16" s="376"/>
      <c r="K16" s="72"/>
      <c r="L16" s="72"/>
      <c r="M16" s="72"/>
      <c r="N16" s="385"/>
      <c r="O16" s="72"/>
      <c r="P16" s="72"/>
      <c r="Q16" s="72"/>
      <c r="R16" s="14">
        <f>COUNTA(KKR[[#This Row],[G28 cp]],KKR[[#This Row],[G22 cp]],KKR[[#This Row],[G19 cp]],KKR[[#This Row],[G13 cp]],KKR[[#This Row],[G9 cp]],KKR[[#This Row],[G2 cp]])</f>
        <v>6</v>
      </c>
      <c r="S16" s="250">
        <f>MAX(KKR[[#This Row],[G28 cp]],KKR[[#This Row],[G22 cp]],KKR[[#This Row],[G19 cp]],KKR[[#This Row],[G13 cp]],KKR[[#This Row],[G9 cp]],KKR[[#This Row],[G2 cp]])</f>
        <v>91</v>
      </c>
      <c r="T16" s="250">
        <f>( SUM(KKR[[#This Row],[G28 cp]],KKR[[#This Row],[G22 cp]],KKR[[#This Row],[G19 cp]],KKR[[#This Row],[G13 cp]],KKR[[#This Row],[G9 cp]],KKR[[#This Row],[G2 cp]])- KKR[[#This Row],[Max]] ) / ( KKR[[#This Row],[Innings]] - 1)</f>
        <v>32</v>
      </c>
      <c r="U16" s="15">
        <f>MIN(KKR[[#This Row],[G28 cp]],KKR[[#This Row],[G22 cp]],KKR[[#This Row],[G19 cp]],KKR[[#This Row],[G13 cp]],KKR[[#This Row],[G9 cp]],KKR[[#This Row],[G2 cp]])</f>
        <v>-2</v>
      </c>
      <c r="V16" s="262">
        <f>KKR[[#This Row],[G28 cp]]</f>
        <v>67</v>
      </c>
      <c r="W16" s="72">
        <f t="shared" si="0"/>
        <v>29</v>
      </c>
      <c r="X16" s="72">
        <f t="shared" si="1"/>
        <v>37</v>
      </c>
      <c r="Y16" s="72">
        <f t="shared" si="2"/>
        <v>-2</v>
      </c>
      <c r="Z16" s="72">
        <f t="shared" si="3"/>
        <v>91</v>
      </c>
      <c r="AA16" s="72">
        <f t="shared" si="4"/>
        <v>29</v>
      </c>
      <c r="AB16" s="923"/>
      <c r="AC16" s="665"/>
      <c r="AD16" s="215"/>
      <c r="AE16" s="215"/>
      <c r="AF16" s="215"/>
      <c r="AG16" s="894"/>
      <c r="AH16" s="895"/>
      <c r="AI16" s="895"/>
      <c r="AJ16" s="907"/>
      <c r="AK16" s="906">
        <f>COUNTA(KKR[[#This Row],[G28 cp]],KKR[[#This Row],[G22 cp]],KKR[[#This Row],[G19 cp]],KKR[[#This Row],[G13 cp]],KKR[[#This Row],[G9 cp]],KKR[[#This Row],[G2 cp]])</f>
        <v>6</v>
      </c>
      <c r="AL16" s="895">
        <f>MAX(KKR[[#This Row],[G28 cp]],KKR[[#This Row],[G22 cp]],KKR[[#This Row],[G9 cp]])</f>
        <v>91</v>
      </c>
      <c r="AM16" s="895">
        <f>( SUM(KKR[[#This Row],[G28 cp]],KKR[[#This Row],[G22 cp]],KKR[[#This Row],[G9 cp]]) - KKR[[#This Row],[B1 Inn]]) / (KKR[[#This Row],[B1 Inn]]-1)</f>
        <v>36.200000000000003</v>
      </c>
      <c r="AN16" s="907">
        <f>MIN(KKR[[#This Row],[G28 cp]],KKR[[#This Row],[G22 cp]],KKR[[#This Row],[G9 cp]])</f>
        <v>29</v>
      </c>
      <c r="AO16" s="658"/>
      <c r="AP16" s="665"/>
      <c r="AQ16" s="215"/>
      <c r="AR16" s="215"/>
      <c r="AS16" s="215"/>
      <c r="AT16" s="673"/>
      <c r="AU16" s="215"/>
      <c r="AV16" s="215"/>
      <c r="AW16" s="215"/>
      <c r="AX16" s="288">
        <f>COUNTA(KKR[[#This Row],[G19 cp]],KKR[[#This Row],[G13 cp]],KKR[[#This Row],[G2 cp]])</f>
        <v>3</v>
      </c>
      <c r="AY16" s="215">
        <f>MAX(KKR[[#This Row],[G19 cp]],KKR[[#This Row],[G13 cp]],KKR[[#This Row],[G2 cp]])</f>
        <v>37</v>
      </c>
      <c r="AZ16" s="215">
        <f>( SUM(KKR[[#This Row],[G19 cp]],KKR[[#This Row],[G13 cp]],KKR[[#This Row],[G2 cp]]) - KKR[[#This Row],[CHS Inn2]]) / (KKR[[#This Row],[CHS Inn2]] -1)</f>
        <v>30.5</v>
      </c>
      <c r="BA16" s="616">
        <f>MIN(KKR[[#This Row],[G19 cp]],KKR[[#This Row],[G13 cp]],KKR[[#This Row],[G2 cp]])</f>
        <v>-2</v>
      </c>
      <c r="BB16" s="60">
        <v>11</v>
      </c>
      <c r="BC16" s="72"/>
      <c r="BD16" s="72" t="s">
        <v>799</v>
      </c>
      <c r="BE16" s="72">
        <v>1</v>
      </c>
      <c r="BF16" s="72">
        <v>6</v>
      </c>
      <c r="BG16" s="72">
        <v>4</v>
      </c>
      <c r="BH16" s="72">
        <v>16</v>
      </c>
      <c r="BI16" s="72">
        <v>2</v>
      </c>
      <c r="BJ16" s="83">
        <v>67</v>
      </c>
      <c r="BK16" s="60">
        <v>11</v>
      </c>
      <c r="BL16" s="72"/>
      <c r="BM16" s="72"/>
      <c r="BN16" s="72"/>
      <c r="BO16" s="72" t="s">
        <v>801</v>
      </c>
      <c r="BP16" s="83">
        <v>29</v>
      </c>
      <c r="BQ16" s="268">
        <v>11</v>
      </c>
      <c r="BR16" s="250"/>
      <c r="BS16" s="250"/>
      <c r="BT16" s="250"/>
      <c r="BU16" s="250" t="s">
        <v>930</v>
      </c>
      <c r="BV16" s="257">
        <v>37</v>
      </c>
      <c r="BW16" s="63">
        <v>11</v>
      </c>
      <c r="BX16" s="12"/>
      <c r="BY16" s="12"/>
      <c r="BZ16" s="12" t="s">
        <v>577</v>
      </c>
      <c r="CA16" s="15">
        <v>-2</v>
      </c>
      <c r="CB16" s="63">
        <v>11</v>
      </c>
      <c r="CC16" s="12"/>
      <c r="CD16" s="12"/>
      <c r="CE16" s="12" t="s">
        <v>477</v>
      </c>
      <c r="CF16" s="12">
        <v>91</v>
      </c>
      <c r="CG16" s="12">
        <v>4</v>
      </c>
      <c r="CH16" s="12"/>
      <c r="CI16" s="12"/>
      <c r="CJ16" s="12" t="s">
        <v>234</v>
      </c>
      <c r="CK16" s="13">
        <v>29</v>
      </c>
    </row>
    <row r="17" spans="2:89">
      <c r="B17" s="2" t="s">
        <v>231</v>
      </c>
      <c r="C17" s="2" t="s">
        <v>227</v>
      </c>
      <c r="D17" s="2">
        <v>0.2</v>
      </c>
      <c r="E17" s="2"/>
      <c r="F17" s="3"/>
      <c r="G17" s="3"/>
      <c r="H17" s="569"/>
      <c r="I17" s="572"/>
      <c r="J17" s="575"/>
      <c r="K17" s="78"/>
      <c r="L17" s="78"/>
      <c r="M17" s="78"/>
      <c r="N17" s="578"/>
      <c r="O17" s="78"/>
      <c r="P17" s="78"/>
      <c r="Q17" s="78"/>
      <c r="R17" s="4">
        <f>COUNTA(KKR[[#This Row],[G28 cp]],KKR[[#This Row],[G22 cp]],KKR[[#This Row],[G19 cp]],KKR[[#This Row],[G13 cp]],KKR[[#This Row],[G9 cp]],KKR[[#This Row],[G2 cp]])</f>
        <v>1</v>
      </c>
      <c r="S17" s="246">
        <f>MAX(KKR[[#This Row],[G28 cp]],KKR[[#This Row],[G22 cp]],KKR[[#This Row],[G19 cp]],KKR[[#This Row],[G13 cp]],KKR[[#This Row],[G9 cp]],KKR[[#This Row],[G2 cp]])</f>
        <v>4</v>
      </c>
      <c r="T17" s="246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17" s="5">
        <f>MIN(KKR[[#This Row],[G28 cp]],KKR[[#This Row],[G22 cp]],KKR[[#This Row],[G19 cp]],KKR[[#This Row],[G13 cp]],KKR[[#This Row],[G9 cp]],KKR[[#This Row],[G2 cp]])</f>
        <v>4</v>
      </c>
      <c r="V17" s="317">
        <f>KKR[[#This Row],[G28 cp]]</f>
        <v>4</v>
      </c>
      <c r="W17" s="78">
        <f t="shared" si="0"/>
        <v>0</v>
      </c>
      <c r="X17" s="78">
        <f t="shared" si="1"/>
        <v>0</v>
      </c>
      <c r="Y17" s="78">
        <f t="shared" si="2"/>
        <v>0</v>
      </c>
      <c r="Z17" s="78">
        <f t="shared" si="3"/>
        <v>0</v>
      </c>
      <c r="AA17" s="78">
        <f t="shared" si="4"/>
        <v>0</v>
      </c>
      <c r="AB17" s="923"/>
      <c r="AC17" s="665"/>
      <c r="AD17" s="215"/>
      <c r="AE17" s="215"/>
      <c r="AF17" s="215"/>
      <c r="AG17" s="894"/>
      <c r="AH17" s="895"/>
      <c r="AI17" s="895"/>
      <c r="AJ17" s="907"/>
      <c r="AK17" s="906">
        <f>COUNTA(KKR[[#This Row],[G28 cp]],KKR[[#This Row],[G22 cp]],KKR[[#This Row],[G19 cp]],KKR[[#This Row],[G13 cp]],KKR[[#This Row],[G9 cp]],KKR[[#This Row],[G2 cp]])</f>
        <v>1</v>
      </c>
      <c r="AL17" s="895">
        <f>MAX(KKR[[#This Row],[G28 cp]],KKR[[#This Row],[G22 cp]],KKR[[#This Row],[G9 cp]])</f>
        <v>4</v>
      </c>
      <c r="AM17" s="895" t="e">
        <f>( SUM(KKR[[#This Row],[G28 cp]],KKR[[#This Row],[G22 cp]],KKR[[#This Row],[G9 cp]]) - KKR[[#This Row],[B1 Inn]]) / (KKR[[#This Row],[B1 Inn]]-1)</f>
        <v>#DIV/0!</v>
      </c>
      <c r="AN17" s="907">
        <f>MIN(KKR[[#This Row],[G28 cp]],KKR[[#This Row],[G22 cp]],KKR[[#This Row],[G9 cp]])</f>
        <v>4</v>
      </c>
      <c r="AO17" s="658"/>
      <c r="AP17" s="665"/>
      <c r="AQ17" s="215"/>
      <c r="AR17" s="215"/>
      <c r="AS17" s="215"/>
      <c r="AT17" s="673"/>
      <c r="AU17" s="215"/>
      <c r="AV17" s="215"/>
      <c r="AW17" s="215"/>
      <c r="AX17" s="288">
        <f>COUNTA(KKR[[#This Row],[G19 cp]],KKR[[#This Row],[G13 cp]],KKR[[#This Row],[G2 cp]])</f>
        <v>0</v>
      </c>
      <c r="AY17" s="215">
        <f>MAX(KKR[[#This Row],[G19 cp]],KKR[[#This Row],[G13 cp]],KKR[[#This Row],[G2 cp]])</f>
        <v>0</v>
      </c>
      <c r="AZ17" s="215">
        <f>( SUM(KKR[[#This Row],[G19 cp]],KKR[[#This Row],[G13 cp]],KKR[[#This Row],[G2 cp]]) - KKR[[#This Row],[CHS Inn2]]) / (KKR[[#This Row],[CHS Inn2]] -1)</f>
        <v>0</v>
      </c>
      <c r="BA17" s="616">
        <f>MIN(KKR[[#This Row],[G19 cp]],KKR[[#This Row],[G13 cp]],KKR[[#This Row],[G2 cp]])</f>
        <v>0</v>
      </c>
      <c r="BB17" s="81">
        <v>12</v>
      </c>
      <c r="BC17" s="78"/>
      <c r="BD17" s="78"/>
      <c r="BE17" s="78"/>
      <c r="BF17" s="78"/>
      <c r="BG17" s="78">
        <v>1</v>
      </c>
      <c r="BH17" s="78">
        <v>20</v>
      </c>
      <c r="BI17" s="78">
        <v>0</v>
      </c>
      <c r="BJ17" s="82">
        <v>4</v>
      </c>
      <c r="BK17" s="81"/>
      <c r="BL17" s="78"/>
      <c r="BM17" s="78"/>
      <c r="BN17" s="78"/>
      <c r="BO17" s="78"/>
      <c r="BP17" s="82"/>
      <c r="BQ17" s="4">
        <v>15</v>
      </c>
      <c r="BR17" s="2"/>
      <c r="BS17" s="2"/>
      <c r="BT17" s="2"/>
      <c r="BU17" s="2"/>
      <c r="BV17" s="5"/>
      <c r="BW17" s="100"/>
      <c r="BX17" s="2"/>
      <c r="BY17" s="2"/>
      <c r="BZ17" s="2"/>
      <c r="CA17" s="5"/>
      <c r="CB17" s="100"/>
      <c r="CC17" s="2"/>
      <c r="CD17" s="2"/>
      <c r="CE17" s="2"/>
      <c r="CF17" s="2"/>
      <c r="CG17" s="2"/>
      <c r="CH17" s="2"/>
      <c r="CI17" s="2"/>
      <c r="CJ17" s="2"/>
      <c r="CK17" s="3"/>
    </row>
    <row r="18" spans="2:89">
      <c r="B18" s="198" t="s">
        <v>231</v>
      </c>
      <c r="C18" s="198" t="s">
        <v>223</v>
      </c>
      <c r="D18" s="198">
        <v>0.5</v>
      </c>
      <c r="E18" s="198" t="s">
        <v>617</v>
      </c>
      <c r="F18" s="198"/>
      <c r="G18" s="212" t="s">
        <v>75</v>
      </c>
      <c r="H18" s="570"/>
      <c r="I18" s="573"/>
      <c r="J18" s="576"/>
      <c r="K18" s="200"/>
      <c r="L18" s="200"/>
      <c r="M18" s="200"/>
      <c r="N18" s="579"/>
      <c r="O18" s="200"/>
      <c r="P18" s="200"/>
      <c r="Q18" s="200"/>
      <c r="R18" s="271">
        <f>COUNTA(KKR[[#This Row],[G28 cp]],KKR[[#This Row],[G22 cp]],KKR[[#This Row],[G19 cp]],KKR[[#This Row],[G13 cp]],KKR[[#This Row],[G9 cp]],KKR[[#This Row],[G2 cp]])</f>
        <v>5</v>
      </c>
      <c r="S18" s="249">
        <f>MAX(KKR[[#This Row],[G28 cp]],KKR[[#This Row],[G22 cp]],KKR[[#This Row],[G19 cp]],KKR[[#This Row],[G13 cp]],KKR[[#This Row],[G9 cp]],KKR[[#This Row],[G2 cp]])</f>
        <v>81</v>
      </c>
      <c r="T18" s="249">
        <f>( SUM(KKR[[#This Row],[G28 cp]],KKR[[#This Row],[G22 cp]],KKR[[#This Row],[G19 cp]],KKR[[#This Row],[G13 cp]],KKR[[#This Row],[G9 cp]],KKR[[#This Row],[G2 cp]])- KKR[[#This Row],[Max]] ) / ( KKR[[#This Row],[Innings]] - 1)</f>
        <v>20.25</v>
      </c>
      <c r="U18" s="256">
        <f>MIN(KKR[[#This Row],[G28 cp]],KKR[[#This Row],[G22 cp]],KKR[[#This Row],[G19 cp]],KKR[[#This Row],[G13 cp]],KKR[[#This Row],[G9 cp]],KKR[[#This Row],[G2 cp]])</f>
        <v>10</v>
      </c>
      <c r="V18" s="558">
        <f>KKR[[#This Row],[G28 cp]]</f>
        <v>0</v>
      </c>
      <c r="W18" s="558">
        <f t="shared" si="0"/>
        <v>10</v>
      </c>
      <c r="X18" s="558">
        <f t="shared" si="1"/>
        <v>10</v>
      </c>
      <c r="Y18" s="558">
        <f t="shared" si="2"/>
        <v>22</v>
      </c>
      <c r="Z18" s="558">
        <f t="shared" si="3"/>
        <v>81</v>
      </c>
      <c r="AA18" s="558">
        <f t="shared" si="4"/>
        <v>39</v>
      </c>
      <c r="AB18" s="924"/>
      <c r="AC18" s="666"/>
      <c r="AD18" s="312"/>
      <c r="AE18" s="312"/>
      <c r="AF18" s="312"/>
      <c r="AG18" s="896"/>
      <c r="AH18" s="897"/>
      <c r="AI18" s="897"/>
      <c r="AJ18" s="909"/>
      <c r="AK18" s="908">
        <f>COUNTA(KKR[[#This Row],[G28 cp]],KKR[[#This Row],[G22 cp]],KKR[[#This Row],[G19 cp]],KKR[[#This Row],[G13 cp]],KKR[[#This Row],[G9 cp]],KKR[[#This Row],[G2 cp]])</f>
        <v>5</v>
      </c>
      <c r="AL18" s="897">
        <f>MAX(KKR[[#This Row],[G28 cp]],KKR[[#This Row],[G22 cp]],KKR[[#This Row],[G9 cp]])</f>
        <v>81</v>
      </c>
      <c r="AM18" s="897">
        <f>( SUM(KKR[[#This Row],[G28 cp]],KKR[[#This Row],[G22 cp]],KKR[[#This Row],[G9 cp]]) - KKR[[#This Row],[B1 Inn]]) / (KKR[[#This Row],[B1 Inn]]-1)</f>
        <v>21.5</v>
      </c>
      <c r="AN18" s="909">
        <f>MIN(KKR[[#This Row],[G28 cp]],KKR[[#This Row],[G22 cp]],KKR[[#This Row],[G9 cp]])</f>
        <v>10</v>
      </c>
      <c r="AO18" s="659"/>
      <c r="AP18" s="666"/>
      <c r="AQ18" s="312"/>
      <c r="AR18" s="312"/>
      <c r="AS18" s="312"/>
      <c r="AT18" s="674"/>
      <c r="AU18" s="312"/>
      <c r="AV18" s="312"/>
      <c r="AW18" s="312"/>
      <c r="AX18" s="311">
        <f>COUNTA(KKR[[#This Row],[G19 cp]],KKR[[#This Row],[G13 cp]],KKR[[#This Row],[G2 cp]])</f>
        <v>3</v>
      </c>
      <c r="AY18" s="312">
        <f>MAX(KKR[[#This Row],[G19 cp]],KKR[[#This Row],[G13 cp]],KKR[[#This Row],[G2 cp]])</f>
        <v>39</v>
      </c>
      <c r="AZ18" s="312">
        <f>( SUM(KKR[[#This Row],[G19 cp]],KKR[[#This Row],[G13 cp]],KKR[[#This Row],[G2 cp]]) - KKR[[#This Row],[CHS Inn2]]) / (KKR[[#This Row],[CHS Inn2]] -1)</f>
        <v>34</v>
      </c>
      <c r="BA18" s="615">
        <f>MIN(KKR[[#This Row],[G19 cp]],KKR[[#This Row],[G13 cp]],KKR[[#This Row],[G2 cp]])</f>
        <v>10</v>
      </c>
      <c r="BB18" s="562"/>
      <c r="BC18" s="558"/>
      <c r="BD18" s="558"/>
      <c r="BE18" s="558"/>
      <c r="BF18" s="558"/>
      <c r="BG18" s="558"/>
      <c r="BH18" s="558"/>
      <c r="BI18" s="558"/>
      <c r="BJ18" s="563"/>
      <c r="BK18" s="562">
        <v>1</v>
      </c>
      <c r="BL18" s="558" t="s">
        <v>768</v>
      </c>
      <c r="BM18" s="558">
        <v>8</v>
      </c>
      <c r="BN18" s="558">
        <v>12</v>
      </c>
      <c r="BO18" s="558"/>
      <c r="BP18" s="563">
        <v>10</v>
      </c>
      <c r="BQ18" s="271">
        <v>1</v>
      </c>
      <c r="BR18" s="249" t="s">
        <v>303</v>
      </c>
      <c r="BS18" s="249">
        <v>0</v>
      </c>
      <c r="BT18" s="249">
        <v>3</v>
      </c>
      <c r="BU18" s="249"/>
      <c r="BV18" s="256">
        <v>10</v>
      </c>
      <c r="BW18" s="216">
        <v>1</v>
      </c>
      <c r="BX18" s="198" t="s">
        <v>578</v>
      </c>
      <c r="BY18" s="198" t="s">
        <v>339</v>
      </c>
      <c r="BZ18" s="198"/>
      <c r="CA18" s="199">
        <v>22</v>
      </c>
      <c r="CB18" s="216">
        <v>1</v>
      </c>
      <c r="CC18" s="198" t="s">
        <v>465</v>
      </c>
      <c r="CD18" s="198" t="s">
        <v>400</v>
      </c>
      <c r="CE18" s="198"/>
      <c r="CF18" s="198">
        <v>81</v>
      </c>
      <c r="CG18" s="198">
        <v>2</v>
      </c>
      <c r="CH18" s="198" t="s">
        <v>450</v>
      </c>
      <c r="CI18" s="198" t="s">
        <v>356</v>
      </c>
      <c r="CJ18" s="198"/>
      <c r="CK18" s="212">
        <v>39</v>
      </c>
    </row>
    <row r="19" spans="2:89" s="1" customFormat="1">
      <c r="B19" s="2" t="s">
        <v>231</v>
      </c>
      <c r="C19" s="2" t="s">
        <v>224</v>
      </c>
      <c r="D19" s="2">
        <v>0.9</v>
      </c>
      <c r="E19" s="2"/>
      <c r="F19" s="2"/>
      <c r="G19" s="3" t="s">
        <v>75</v>
      </c>
      <c r="H19" s="569"/>
      <c r="I19" s="572"/>
      <c r="J19" s="575"/>
      <c r="K19" s="78"/>
      <c r="L19" s="78"/>
      <c r="M19" s="78"/>
      <c r="N19" s="578"/>
      <c r="O19" s="78"/>
      <c r="P19" s="78"/>
      <c r="Q19" s="78"/>
      <c r="R19" s="4">
        <f>COUNTA(KKR[[#This Row],[G28 cp]],KKR[[#This Row],[G22 cp]],KKR[[#This Row],[G19 cp]],KKR[[#This Row],[G13 cp]],KKR[[#This Row],[G9 cp]],KKR[[#This Row],[G2 cp]])</f>
        <v>3</v>
      </c>
      <c r="S19" s="246">
        <f>MAX(KKR[[#This Row],[G28 cp]],KKR[[#This Row],[G22 cp]],KKR[[#This Row],[G19 cp]],KKR[[#This Row],[G13 cp]],KKR[[#This Row],[G9 cp]],KKR[[#This Row],[G2 cp]])</f>
        <v>47</v>
      </c>
      <c r="T19" s="246">
        <f>( SUM(KKR[[#This Row],[G28 cp]],KKR[[#This Row],[G22 cp]],KKR[[#This Row],[G19 cp]],KKR[[#This Row],[G13 cp]],KKR[[#This Row],[G9 cp]],KKR[[#This Row],[G2 cp]])- KKR[[#This Row],[Max]] ) / ( KKR[[#This Row],[Innings]] - 1)</f>
        <v>10.5</v>
      </c>
      <c r="U19" s="5">
        <f>MIN(KKR[[#This Row],[G28 cp]],KKR[[#This Row],[G22 cp]],KKR[[#This Row],[G19 cp]],KKR[[#This Row],[G13 cp]],KKR[[#This Row],[G9 cp]],KKR[[#This Row],[G2 cp]])</f>
        <v>2</v>
      </c>
      <c r="V19" s="317">
        <f>KKR[[#This Row],[G28 cp]]</f>
        <v>0</v>
      </c>
      <c r="W19" s="78">
        <f t="shared" si="0"/>
        <v>2</v>
      </c>
      <c r="X19" s="78">
        <f t="shared" si="1"/>
        <v>47</v>
      </c>
      <c r="Y19" s="78">
        <f t="shared" si="2"/>
        <v>19</v>
      </c>
      <c r="Z19" s="78">
        <f t="shared" si="3"/>
        <v>0</v>
      </c>
      <c r="AA19" s="78">
        <f t="shared" si="4"/>
        <v>0</v>
      </c>
      <c r="AB19" s="920"/>
      <c r="AC19" s="663"/>
      <c r="AD19" s="304"/>
      <c r="AE19" s="304"/>
      <c r="AF19" s="304"/>
      <c r="AG19" s="888"/>
      <c r="AH19" s="889"/>
      <c r="AI19" s="889"/>
      <c r="AJ19" s="901"/>
      <c r="AK19" s="900">
        <f>COUNTA(KKR[[#This Row],[G28 cp]],KKR[[#This Row],[G22 cp]],KKR[[#This Row],[G19 cp]],KKR[[#This Row],[G13 cp]],KKR[[#This Row],[G9 cp]],KKR[[#This Row],[G2 cp]])</f>
        <v>3</v>
      </c>
      <c r="AL19" s="889">
        <f>MAX(KKR[[#This Row],[G28 cp]],KKR[[#This Row],[G22 cp]],KKR[[#This Row],[G9 cp]])</f>
        <v>2</v>
      </c>
      <c r="AM19" s="889">
        <f>( SUM(KKR[[#This Row],[G28 cp]],KKR[[#This Row],[G22 cp]],KKR[[#This Row],[G9 cp]]) - KKR[[#This Row],[B1 Inn]]) / (KKR[[#This Row],[B1 Inn]]-1)</f>
        <v>-0.5</v>
      </c>
      <c r="AN19" s="901">
        <f>MIN(KKR[[#This Row],[G28 cp]],KKR[[#This Row],[G22 cp]],KKR[[#This Row],[G9 cp]])</f>
        <v>2</v>
      </c>
      <c r="AO19" s="656"/>
      <c r="AP19" s="663"/>
      <c r="AQ19" s="304"/>
      <c r="AR19" s="304"/>
      <c r="AS19" s="304"/>
      <c r="AT19" s="671"/>
      <c r="AU19" s="304"/>
      <c r="AV19" s="304"/>
      <c r="AW19" s="304"/>
      <c r="AX19" s="303">
        <f>COUNTA(KKR[[#This Row],[G19 cp]],KKR[[#This Row],[G13 cp]],KKR[[#This Row],[G2 cp]])</f>
        <v>2</v>
      </c>
      <c r="AY19" s="304">
        <f>MAX(KKR[[#This Row],[G19 cp]],KKR[[#This Row],[G13 cp]],KKR[[#This Row],[G2 cp]])</f>
        <v>47</v>
      </c>
      <c r="AZ19" s="304">
        <f>( SUM(KKR[[#This Row],[G19 cp]],KKR[[#This Row],[G13 cp]],KKR[[#This Row],[G2 cp]]) - KKR[[#This Row],[CHS Inn2]]) / (KKR[[#This Row],[CHS Inn2]] -1)</f>
        <v>64</v>
      </c>
      <c r="BA19" s="614">
        <f>MIN(KKR[[#This Row],[G19 cp]],KKR[[#This Row],[G13 cp]],KKR[[#This Row],[G2 cp]])</f>
        <v>19</v>
      </c>
      <c r="BB19" s="81"/>
      <c r="BC19" s="78"/>
      <c r="BD19" s="78"/>
      <c r="BE19" s="78"/>
      <c r="BF19" s="78"/>
      <c r="BG19" s="78"/>
      <c r="BH19" s="78"/>
      <c r="BI19" s="78"/>
      <c r="BJ19" s="82"/>
      <c r="BK19" s="81">
        <v>2</v>
      </c>
      <c r="BL19" s="78" t="s">
        <v>486</v>
      </c>
      <c r="BM19" s="78">
        <v>0</v>
      </c>
      <c r="BN19" s="78">
        <v>5</v>
      </c>
      <c r="BO19" s="78"/>
      <c r="BP19" s="82">
        <v>2</v>
      </c>
      <c r="BQ19" s="264">
        <v>2</v>
      </c>
      <c r="BR19" s="246" t="s">
        <v>544</v>
      </c>
      <c r="BS19" s="246">
        <v>36</v>
      </c>
      <c r="BT19" s="246">
        <v>21</v>
      </c>
      <c r="BU19" s="246"/>
      <c r="BV19" s="253">
        <v>47</v>
      </c>
      <c r="BW19" s="100">
        <v>2</v>
      </c>
      <c r="BX19" s="2" t="s">
        <v>579</v>
      </c>
      <c r="BY19" s="2" t="s">
        <v>371</v>
      </c>
      <c r="BZ19" s="2"/>
      <c r="CA19" s="5">
        <v>19</v>
      </c>
      <c r="CB19" s="100"/>
      <c r="CC19" s="2"/>
      <c r="CD19" s="2"/>
      <c r="CE19" s="2"/>
      <c r="CF19" s="2"/>
      <c r="CG19" s="2">
        <v>16</v>
      </c>
      <c r="CH19" s="2"/>
      <c r="CI19" s="2"/>
      <c r="CJ19" s="2"/>
      <c r="CK19" s="3"/>
    </row>
    <row r="20" spans="2:89">
      <c r="B20" s="6" t="s">
        <v>231</v>
      </c>
      <c r="C20" s="6" t="s">
        <v>595</v>
      </c>
      <c r="D20" s="6">
        <v>10.75</v>
      </c>
      <c r="E20" s="6"/>
      <c r="F20" s="6"/>
      <c r="G20" s="7" t="s">
        <v>55</v>
      </c>
      <c r="H20" s="355"/>
      <c r="I20" s="364"/>
      <c r="J20" s="373"/>
      <c r="K20" s="71"/>
      <c r="L20" s="71"/>
      <c r="M20" s="71"/>
      <c r="N20" s="382"/>
      <c r="O20" s="71"/>
      <c r="P20" s="71"/>
      <c r="Q20" s="71"/>
      <c r="R20" s="8">
        <f>COUNTA(KKR[[#This Row],[G28 cp]],KKR[[#This Row],[G22 cp]],KKR[[#This Row],[G19 cp]],KKR[[#This Row],[G13 cp]],KKR[[#This Row],[G9 cp]],KKR[[#This Row],[G2 cp]])</f>
        <v>5</v>
      </c>
      <c r="S20" s="251">
        <f>MAX(KKR[[#This Row],[G28 cp]],KKR[[#This Row],[G22 cp]],KKR[[#This Row],[G19 cp]],KKR[[#This Row],[G13 cp]],KKR[[#This Row],[G9 cp]],KKR[[#This Row],[G2 cp]])</f>
        <v>128</v>
      </c>
      <c r="T20" s="251">
        <f>( SUM(KKR[[#This Row],[G28 cp]],KKR[[#This Row],[G22 cp]],KKR[[#This Row],[G19 cp]],KKR[[#This Row],[G13 cp]],KKR[[#This Row],[G9 cp]],KKR[[#This Row],[G2 cp]])- KKR[[#This Row],[Max]] ) / ( KKR[[#This Row],[Innings]] - 1)</f>
        <v>13.5</v>
      </c>
      <c r="U20" s="9">
        <f>MIN(KKR[[#This Row],[G28 cp]],KKR[[#This Row],[G22 cp]],KKR[[#This Row],[G19 cp]],KKR[[#This Row],[G13 cp]],KKR[[#This Row],[G9 cp]],KKR[[#This Row],[G2 cp]])</f>
        <v>-4</v>
      </c>
      <c r="V20" s="260">
        <f>KKR[[#This Row],[G28 cp]]</f>
        <v>0</v>
      </c>
      <c r="W20" s="71">
        <f t="shared" si="0"/>
        <v>18</v>
      </c>
      <c r="X20" s="71">
        <f t="shared" si="1"/>
        <v>26</v>
      </c>
      <c r="Y20" s="71">
        <f t="shared" si="2"/>
        <v>-4</v>
      </c>
      <c r="Z20" s="71">
        <f t="shared" si="3"/>
        <v>128</v>
      </c>
      <c r="AA20" s="71">
        <f t="shared" si="4"/>
        <v>14</v>
      </c>
      <c r="AB20" s="923"/>
      <c r="AC20" s="665"/>
      <c r="AD20" s="215"/>
      <c r="AE20" s="215"/>
      <c r="AF20" s="215"/>
      <c r="AG20" s="894"/>
      <c r="AH20" s="895"/>
      <c r="AI20" s="895"/>
      <c r="AJ20" s="907"/>
      <c r="AK20" s="906">
        <f>COUNTA(KKR[[#This Row],[G28 cp]],KKR[[#This Row],[G22 cp]],KKR[[#This Row],[G19 cp]],KKR[[#This Row],[G13 cp]],KKR[[#This Row],[G9 cp]],KKR[[#This Row],[G2 cp]])</f>
        <v>5</v>
      </c>
      <c r="AL20" s="895">
        <f>MAX(KKR[[#This Row],[G28 cp]],KKR[[#This Row],[G22 cp]],KKR[[#This Row],[G9 cp]])</f>
        <v>128</v>
      </c>
      <c r="AM20" s="895">
        <f>( SUM(KKR[[#This Row],[G28 cp]],KKR[[#This Row],[G22 cp]],KKR[[#This Row],[G9 cp]]) - KKR[[#This Row],[B1 Inn]]) / (KKR[[#This Row],[B1 Inn]]-1)</f>
        <v>35.25</v>
      </c>
      <c r="AN20" s="907">
        <f>MIN(KKR[[#This Row],[G28 cp]],KKR[[#This Row],[G22 cp]],KKR[[#This Row],[G9 cp]])</f>
        <v>18</v>
      </c>
      <c r="AO20" s="658"/>
      <c r="AP20" s="665"/>
      <c r="AQ20" s="215"/>
      <c r="AR20" s="215"/>
      <c r="AS20" s="215"/>
      <c r="AT20" s="673"/>
      <c r="AU20" s="215"/>
      <c r="AV20" s="215"/>
      <c r="AW20" s="215"/>
      <c r="AX20" s="288">
        <f>COUNTA(KKR[[#This Row],[G19 cp]],KKR[[#This Row],[G13 cp]],KKR[[#This Row],[G2 cp]])</f>
        <v>3</v>
      </c>
      <c r="AY20" s="215">
        <f>MAX(KKR[[#This Row],[G19 cp]],KKR[[#This Row],[G13 cp]],KKR[[#This Row],[G2 cp]])</f>
        <v>26</v>
      </c>
      <c r="AZ20" s="215">
        <f>( SUM(KKR[[#This Row],[G19 cp]],KKR[[#This Row],[G13 cp]],KKR[[#This Row],[G2 cp]]) - KKR[[#This Row],[CHS Inn2]]) / (KKR[[#This Row],[CHS Inn2]] -1)</f>
        <v>16.5</v>
      </c>
      <c r="BA20" s="616">
        <f>MIN(KKR[[#This Row],[G19 cp]],KKR[[#This Row],[G13 cp]],KKR[[#This Row],[G2 cp]])</f>
        <v>-4</v>
      </c>
      <c r="BB20" s="58"/>
      <c r="BC20" s="71"/>
      <c r="BD20" s="71"/>
      <c r="BE20" s="71"/>
      <c r="BF20" s="71"/>
      <c r="BG20" s="71"/>
      <c r="BH20" s="71"/>
      <c r="BI20" s="71"/>
      <c r="BJ20" s="80"/>
      <c r="BK20" s="58">
        <v>5</v>
      </c>
      <c r="BL20" s="71" t="s">
        <v>797</v>
      </c>
      <c r="BM20" s="71">
        <v>13</v>
      </c>
      <c r="BN20" s="71">
        <v>11</v>
      </c>
      <c r="BO20" s="71" t="s">
        <v>1100</v>
      </c>
      <c r="BP20" s="80">
        <v>18</v>
      </c>
      <c r="BQ20" s="265">
        <v>8</v>
      </c>
      <c r="BR20" s="251" t="s">
        <v>305</v>
      </c>
      <c r="BS20" s="251">
        <v>12</v>
      </c>
      <c r="BT20" s="251">
        <v>7</v>
      </c>
      <c r="BU20" s="251" t="s">
        <v>932</v>
      </c>
      <c r="BV20" s="258">
        <v>26</v>
      </c>
      <c r="BW20" s="61">
        <v>8</v>
      </c>
      <c r="BX20" s="6" t="s">
        <v>280</v>
      </c>
      <c r="BY20" s="6" t="s">
        <v>341</v>
      </c>
      <c r="BZ20" s="6" t="s">
        <v>575</v>
      </c>
      <c r="CA20" s="9">
        <v>-4</v>
      </c>
      <c r="CB20" s="61">
        <v>7</v>
      </c>
      <c r="CC20" s="6" t="s">
        <v>472</v>
      </c>
      <c r="CD20" s="6" t="s">
        <v>397</v>
      </c>
      <c r="CE20" s="6"/>
      <c r="CF20" s="6">
        <v>128</v>
      </c>
      <c r="CG20" s="6">
        <v>8</v>
      </c>
      <c r="CH20" s="6" t="s">
        <v>457</v>
      </c>
      <c r="CI20" s="6" t="s">
        <v>327</v>
      </c>
      <c r="CJ20" s="6" t="s">
        <v>456</v>
      </c>
      <c r="CK20" s="7">
        <v>14</v>
      </c>
    </row>
    <row r="21" spans="2:89" s="1" customFormat="1">
      <c r="B21" s="159" t="s">
        <v>231</v>
      </c>
      <c r="C21" s="159" t="s">
        <v>596</v>
      </c>
      <c r="D21" s="159">
        <v>10</v>
      </c>
      <c r="E21" s="159" t="s">
        <v>634</v>
      </c>
      <c r="F21" s="159"/>
      <c r="G21" s="162" t="s">
        <v>56</v>
      </c>
      <c r="H21" s="359"/>
      <c r="I21" s="368"/>
      <c r="J21" s="377"/>
      <c r="K21" s="161"/>
      <c r="L21" s="161"/>
      <c r="M21" s="161"/>
      <c r="N21" s="386"/>
      <c r="O21" s="161"/>
      <c r="P21" s="161"/>
      <c r="Q21" s="161"/>
      <c r="R21" s="158">
        <f>COUNTA(KKR[[#This Row],[G28 cp]],KKR[[#This Row],[G22 cp]],KKR[[#This Row],[G19 cp]],KKR[[#This Row],[G13 cp]],KKR[[#This Row],[G9 cp]],KKR[[#This Row],[G2 cp]])</f>
        <v>3</v>
      </c>
      <c r="S21" s="252">
        <f>MAX(KKR[[#This Row],[G28 cp]],KKR[[#This Row],[G22 cp]],KKR[[#This Row],[G19 cp]],KKR[[#This Row],[G13 cp]],KKR[[#This Row],[G9 cp]],KKR[[#This Row],[G2 cp]])</f>
        <v>4</v>
      </c>
      <c r="T21" s="252">
        <f>( SUM(KKR[[#This Row],[G28 cp]],KKR[[#This Row],[G22 cp]],KKR[[#This Row],[G19 cp]],KKR[[#This Row],[G13 cp]],KKR[[#This Row],[G9 cp]],KKR[[#This Row],[G2 cp]])- KKR[[#This Row],[Max]] ) / ( KKR[[#This Row],[Innings]] - 1)</f>
        <v>3</v>
      </c>
      <c r="U21" s="160">
        <f>MIN(KKR[[#This Row],[G28 cp]],KKR[[#This Row],[G22 cp]],KKR[[#This Row],[G19 cp]],KKR[[#This Row],[G13 cp]],KKR[[#This Row],[G9 cp]],KKR[[#This Row],[G2 cp]])</f>
        <v>2</v>
      </c>
      <c r="V21" s="273">
        <f>KKR[[#This Row],[G28 cp]]</f>
        <v>0</v>
      </c>
      <c r="W21" s="161">
        <f t="shared" si="0"/>
        <v>4</v>
      </c>
      <c r="X21" s="161">
        <f t="shared" si="1"/>
        <v>4</v>
      </c>
      <c r="Y21" s="161">
        <f t="shared" si="2"/>
        <v>2</v>
      </c>
      <c r="Z21" s="161">
        <f t="shared" si="3"/>
        <v>0</v>
      </c>
      <c r="AA21" s="161">
        <f t="shared" si="4"/>
        <v>0</v>
      </c>
      <c r="AB21" s="919"/>
      <c r="AC21" s="660"/>
      <c r="AD21" s="292"/>
      <c r="AE21" s="292"/>
      <c r="AF21" s="292"/>
      <c r="AG21" s="871"/>
      <c r="AH21" s="873"/>
      <c r="AI21" s="873"/>
      <c r="AJ21" s="875"/>
      <c r="AK21" s="874">
        <f>COUNTA(KKR[[#This Row],[G28 cp]],KKR[[#This Row],[G22 cp]],KKR[[#This Row],[G19 cp]],KKR[[#This Row],[G13 cp]],KKR[[#This Row],[G9 cp]],KKR[[#This Row],[G2 cp]])</f>
        <v>3</v>
      </c>
      <c r="AL21" s="873">
        <f>MAX(KKR[[#This Row],[G28 cp]],KKR[[#This Row],[G22 cp]],KKR[[#This Row],[G9 cp]])</f>
        <v>4</v>
      </c>
      <c r="AM21" s="873">
        <f>( SUM(KKR[[#This Row],[G28 cp]],KKR[[#This Row],[G22 cp]],KKR[[#This Row],[G9 cp]]) - KKR[[#This Row],[B1 Inn]]) / (KKR[[#This Row],[B1 Inn]]-1)</f>
        <v>0.5</v>
      </c>
      <c r="AN21" s="875">
        <f>MIN(KKR[[#This Row],[G28 cp]],KKR[[#This Row],[G22 cp]],KKR[[#This Row],[G9 cp]])</f>
        <v>4</v>
      </c>
      <c r="AO21" s="653"/>
      <c r="AP21" s="660"/>
      <c r="AQ21" s="292"/>
      <c r="AR21" s="292"/>
      <c r="AS21" s="292"/>
      <c r="AT21" s="668"/>
      <c r="AU21" s="292"/>
      <c r="AV21" s="292"/>
      <c r="AW21" s="292"/>
      <c r="AX21" s="291">
        <f>COUNTA(KKR[[#This Row],[G19 cp]],KKR[[#This Row],[G13 cp]],KKR[[#This Row],[G2 cp]])</f>
        <v>2</v>
      </c>
      <c r="AY21" s="292">
        <f>MAX(KKR[[#This Row],[G19 cp]],KKR[[#This Row],[G13 cp]],KKR[[#This Row],[G2 cp]])</f>
        <v>4</v>
      </c>
      <c r="AZ21" s="292">
        <f>( SUM(KKR[[#This Row],[G19 cp]],KKR[[#This Row],[G13 cp]],KKR[[#This Row],[G2 cp]]) - KKR[[#This Row],[CHS Inn2]]) / (KKR[[#This Row],[CHS Inn2]] -1)</f>
        <v>4</v>
      </c>
      <c r="BA21" s="611">
        <f>MIN(KKR[[#This Row],[G19 cp]],KKR[[#This Row],[G13 cp]],KKR[[#This Row],[G2 cp]])</f>
        <v>2</v>
      </c>
      <c r="BB21" s="195"/>
      <c r="BC21" s="161"/>
      <c r="BD21" s="161"/>
      <c r="BE21" s="161"/>
      <c r="BF21" s="161"/>
      <c r="BG21" s="161"/>
      <c r="BH21" s="161"/>
      <c r="BI21" s="161"/>
      <c r="BJ21" s="196"/>
      <c r="BK21" s="195">
        <v>10</v>
      </c>
      <c r="BL21" s="161"/>
      <c r="BM21" s="161"/>
      <c r="BN21" s="161"/>
      <c r="BO21" s="161" t="s">
        <v>982</v>
      </c>
      <c r="BP21" s="196">
        <v>4</v>
      </c>
      <c r="BQ21" s="270">
        <v>10</v>
      </c>
      <c r="BR21" s="252"/>
      <c r="BS21" s="252"/>
      <c r="BT21" s="252"/>
      <c r="BU21" s="252" t="s">
        <v>928</v>
      </c>
      <c r="BV21" s="259">
        <v>4</v>
      </c>
      <c r="BW21" s="163">
        <v>10</v>
      </c>
      <c r="BX21" s="159"/>
      <c r="BY21" s="159"/>
      <c r="BZ21" s="159" t="s">
        <v>560</v>
      </c>
      <c r="CA21" s="160">
        <v>2</v>
      </c>
      <c r="CB21" s="163"/>
      <c r="CC21" s="159"/>
      <c r="CD21" s="159"/>
      <c r="CE21" s="159"/>
      <c r="CF21" s="159"/>
      <c r="CG21" s="159"/>
      <c r="CH21" s="159"/>
      <c r="CI21" s="159"/>
      <c r="CJ21" s="159"/>
      <c r="CK21" s="162"/>
    </row>
    <row r="22" spans="2:89">
      <c r="B22" s="12" t="s">
        <v>231</v>
      </c>
      <c r="C22" s="12" t="s">
        <v>598</v>
      </c>
      <c r="D22" s="12">
        <v>0.2</v>
      </c>
      <c r="E22" s="12"/>
      <c r="F22" s="12"/>
      <c r="G22" s="13" t="s">
        <v>56</v>
      </c>
      <c r="H22" s="358"/>
      <c r="I22" s="367"/>
      <c r="J22" s="376"/>
      <c r="K22" s="72"/>
      <c r="L22" s="72"/>
      <c r="M22" s="72"/>
      <c r="N22" s="385"/>
      <c r="O22" s="72"/>
      <c r="P22" s="72"/>
      <c r="Q22" s="72"/>
      <c r="R22" s="14">
        <f>COUNTA(KKR[[#This Row],[G28 cp]],KKR[[#This Row],[G22 cp]],KKR[[#This Row],[G19 cp]],KKR[[#This Row],[G13 cp]],KKR[[#This Row],[G9 cp]],KKR[[#This Row],[G2 cp]])</f>
        <v>4</v>
      </c>
      <c r="S22" s="250">
        <f>MAX(KKR[[#This Row],[G28 cp]],KKR[[#This Row],[G22 cp]],KKR[[#This Row],[G19 cp]],KKR[[#This Row],[G13 cp]],KKR[[#This Row],[G9 cp]],KKR[[#This Row],[G2 cp]])</f>
        <v>78</v>
      </c>
      <c r="T22" s="250">
        <f>( SUM(KKR[[#This Row],[G28 cp]],KKR[[#This Row],[G22 cp]],KKR[[#This Row],[G19 cp]],KKR[[#This Row],[G13 cp]],KKR[[#This Row],[G9 cp]],KKR[[#This Row],[G2 cp]])- KKR[[#This Row],[Max]] ) / ( KKR[[#This Row],[Innings]] - 1)</f>
        <v>31.333333333333332</v>
      </c>
      <c r="U22" s="15">
        <f>MIN(KKR[[#This Row],[G28 cp]],KKR[[#This Row],[G22 cp]],KKR[[#This Row],[G19 cp]],KKR[[#This Row],[G13 cp]],KKR[[#This Row],[G9 cp]],KKR[[#This Row],[G2 cp]])</f>
        <v>4</v>
      </c>
      <c r="V22" s="262">
        <f>KKR[[#This Row],[G28 cp]]</f>
        <v>0</v>
      </c>
      <c r="W22" s="72">
        <f t="shared" si="0"/>
        <v>53</v>
      </c>
      <c r="X22" s="72">
        <f t="shared" si="1"/>
        <v>4</v>
      </c>
      <c r="Y22" s="72">
        <f t="shared" si="2"/>
        <v>37</v>
      </c>
      <c r="Z22" s="72">
        <f t="shared" si="3"/>
        <v>78</v>
      </c>
      <c r="AA22" s="72">
        <f t="shared" si="4"/>
        <v>0</v>
      </c>
      <c r="AB22" s="919"/>
      <c r="AC22" s="660"/>
      <c r="AD22" s="292"/>
      <c r="AE22" s="292"/>
      <c r="AF22" s="292"/>
      <c r="AG22" s="871"/>
      <c r="AH22" s="873"/>
      <c r="AI22" s="873"/>
      <c r="AJ22" s="875"/>
      <c r="AK22" s="874">
        <f>COUNTA(KKR[[#This Row],[G28 cp]],KKR[[#This Row],[G22 cp]],KKR[[#This Row],[G19 cp]],KKR[[#This Row],[G13 cp]],KKR[[#This Row],[G9 cp]],KKR[[#This Row],[G2 cp]])</f>
        <v>4</v>
      </c>
      <c r="AL22" s="873">
        <f>MAX(KKR[[#This Row],[G28 cp]],KKR[[#This Row],[G22 cp]],KKR[[#This Row],[G9 cp]])</f>
        <v>78</v>
      </c>
      <c r="AM22" s="873">
        <f>( SUM(KKR[[#This Row],[G28 cp]],KKR[[#This Row],[G22 cp]],KKR[[#This Row],[G9 cp]]) - KKR[[#This Row],[B1 Inn]]) / (KKR[[#This Row],[B1 Inn]]-1)</f>
        <v>42.333333333333336</v>
      </c>
      <c r="AN22" s="875">
        <f>MIN(KKR[[#This Row],[G28 cp]],KKR[[#This Row],[G22 cp]],KKR[[#This Row],[G9 cp]])</f>
        <v>53</v>
      </c>
      <c r="AO22" s="653"/>
      <c r="AP22" s="660"/>
      <c r="AQ22" s="292"/>
      <c r="AR22" s="292"/>
      <c r="AS22" s="292"/>
      <c r="AT22" s="668"/>
      <c r="AU22" s="292"/>
      <c r="AV22" s="292"/>
      <c r="AW22" s="292"/>
      <c r="AX22" s="291">
        <f>COUNTA(KKR[[#This Row],[G19 cp]],KKR[[#This Row],[G13 cp]],KKR[[#This Row],[G2 cp]])</f>
        <v>2</v>
      </c>
      <c r="AY22" s="292">
        <f>MAX(KKR[[#This Row],[G19 cp]],KKR[[#This Row],[G13 cp]],KKR[[#This Row],[G2 cp]])</f>
        <v>37</v>
      </c>
      <c r="AZ22" s="292">
        <f>( SUM(KKR[[#This Row],[G19 cp]],KKR[[#This Row],[G13 cp]],KKR[[#This Row],[G2 cp]]) - KKR[[#This Row],[CHS Inn2]]) / (KKR[[#This Row],[CHS Inn2]] -1)</f>
        <v>39</v>
      </c>
      <c r="BA22" s="611">
        <f>MIN(KKR[[#This Row],[G19 cp]],KKR[[#This Row],[G13 cp]],KKR[[#This Row],[G2 cp]])</f>
        <v>4</v>
      </c>
      <c r="BB22" s="60"/>
      <c r="BC22" s="72"/>
      <c r="BD22" s="72"/>
      <c r="BE22" s="72"/>
      <c r="BF22" s="72"/>
      <c r="BG22" s="72"/>
      <c r="BH22" s="72"/>
      <c r="BI22" s="72"/>
      <c r="BJ22" s="83"/>
      <c r="BK22" s="60">
        <v>12</v>
      </c>
      <c r="BL22" s="72"/>
      <c r="BM22" s="72"/>
      <c r="BN22" s="72"/>
      <c r="BO22" s="72" t="s">
        <v>885</v>
      </c>
      <c r="BP22" s="83">
        <v>53</v>
      </c>
      <c r="BQ22" s="268">
        <v>12</v>
      </c>
      <c r="BR22" s="250"/>
      <c r="BS22" s="250"/>
      <c r="BT22" s="250"/>
      <c r="BU22" s="250" t="s">
        <v>931</v>
      </c>
      <c r="BV22" s="257">
        <v>4</v>
      </c>
      <c r="BW22" s="63">
        <v>12</v>
      </c>
      <c r="BX22" s="12"/>
      <c r="BY22" s="12"/>
      <c r="BZ22" s="12" t="s">
        <v>334</v>
      </c>
      <c r="CA22" s="15">
        <v>37</v>
      </c>
      <c r="CB22" s="63">
        <v>12</v>
      </c>
      <c r="CC22" s="12"/>
      <c r="CD22" s="12"/>
      <c r="CE22" s="12" t="s">
        <v>478</v>
      </c>
      <c r="CF22" s="12">
        <v>78</v>
      </c>
      <c r="CG22" s="12">
        <v>16</v>
      </c>
      <c r="CH22" s="12"/>
      <c r="CI22" s="12"/>
      <c r="CJ22" s="12"/>
      <c r="CK22" s="13"/>
    </row>
    <row r="23" spans="2:89" s="1" customFormat="1">
      <c r="B23" s="148" t="s">
        <v>231</v>
      </c>
      <c r="C23" s="148" t="s">
        <v>226</v>
      </c>
      <c r="D23" s="148">
        <v>1</v>
      </c>
      <c r="E23" s="148" t="s">
        <v>616</v>
      </c>
      <c r="F23" s="148"/>
      <c r="G23" s="151" t="s">
        <v>55</v>
      </c>
      <c r="H23" s="357"/>
      <c r="I23" s="366"/>
      <c r="J23" s="375"/>
      <c r="K23" s="150"/>
      <c r="L23" s="150"/>
      <c r="M23" s="150"/>
      <c r="N23" s="384"/>
      <c r="O23" s="150"/>
      <c r="P23" s="150"/>
      <c r="Q23" s="150"/>
      <c r="R23" s="147">
        <f>COUNTA(KKR[[#This Row],[G28 cp]],KKR[[#This Row],[G22 cp]],KKR[[#This Row],[G19 cp]],KKR[[#This Row],[G13 cp]],KKR[[#This Row],[G9 cp]],KKR[[#This Row],[G2 cp]])</f>
        <v>0</v>
      </c>
      <c r="S23" s="248">
        <f>MAX(KKR[[#This Row],[G28 cp]],KKR[[#This Row],[G22 cp]],KKR[[#This Row],[G19 cp]],KKR[[#This Row],[G13 cp]],KKR[[#This Row],[G9 cp]],KKR[[#This Row],[G2 cp]])</f>
        <v>0</v>
      </c>
      <c r="T23" s="248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3" s="149">
        <f>MIN(KKR[[#This Row],[G28 cp]],KKR[[#This Row],[G22 cp]],KKR[[#This Row],[G19 cp]],KKR[[#This Row],[G13 cp]],KKR[[#This Row],[G9 cp]],KKR[[#This Row],[G2 cp]])</f>
        <v>0</v>
      </c>
      <c r="V23" s="272">
        <f>KKR[[#This Row],[G28 cp]]</f>
        <v>0</v>
      </c>
      <c r="W23" s="150">
        <f t="shared" si="0"/>
        <v>0</v>
      </c>
      <c r="X23" s="150">
        <f t="shared" si="1"/>
        <v>0</v>
      </c>
      <c r="Y23" s="150">
        <f t="shared" si="2"/>
        <v>0</v>
      </c>
      <c r="Z23" s="150">
        <f t="shared" si="3"/>
        <v>0</v>
      </c>
      <c r="AA23" s="150">
        <f t="shared" si="4"/>
        <v>0</v>
      </c>
      <c r="AB23" s="920"/>
      <c r="AC23" s="663"/>
      <c r="AD23" s="304"/>
      <c r="AE23" s="304"/>
      <c r="AF23" s="304"/>
      <c r="AG23" s="888"/>
      <c r="AH23" s="889"/>
      <c r="AI23" s="889"/>
      <c r="AJ23" s="901"/>
      <c r="AK23" s="900">
        <f>COUNTA(KKR[[#This Row],[G28 cp]],KKR[[#This Row],[G22 cp]],KKR[[#This Row],[G19 cp]],KKR[[#This Row],[G13 cp]],KKR[[#This Row],[G9 cp]],KKR[[#This Row],[G2 cp]])</f>
        <v>0</v>
      </c>
      <c r="AL23" s="889">
        <f>MAX(KKR[[#This Row],[G28 cp]],KKR[[#This Row],[G22 cp]],KKR[[#This Row],[G9 cp]])</f>
        <v>0</v>
      </c>
      <c r="AM23" s="889">
        <f>( SUM(KKR[[#This Row],[G28 cp]],KKR[[#This Row],[G22 cp]],KKR[[#This Row],[G9 cp]]) - KKR[[#This Row],[B1 Inn]]) / (KKR[[#This Row],[B1 Inn]]-1)</f>
        <v>0</v>
      </c>
      <c r="AN23" s="901">
        <f>MIN(KKR[[#This Row],[G28 cp]],KKR[[#This Row],[G22 cp]],KKR[[#This Row],[G9 cp]])</f>
        <v>0</v>
      </c>
      <c r="AO23" s="656"/>
      <c r="AP23" s="663"/>
      <c r="AQ23" s="304"/>
      <c r="AR23" s="304"/>
      <c r="AS23" s="304"/>
      <c r="AT23" s="671"/>
      <c r="AU23" s="304"/>
      <c r="AV23" s="304"/>
      <c r="AW23" s="304"/>
      <c r="AX23" s="303">
        <f>COUNTA(KKR[[#This Row],[G19 cp]],KKR[[#This Row],[G13 cp]],KKR[[#This Row],[G2 cp]])</f>
        <v>0</v>
      </c>
      <c r="AY23" s="304">
        <f>MAX(KKR[[#This Row],[G19 cp]],KKR[[#This Row],[G13 cp]],KKR[[#This Row],[G2 cp]])</f>
        <v>0</v>
      </c>
      <c r="AZ23" s="304">
        <f>( SUM(KKR[[#This Row],[G19 cp]],KKR[[#This Row],[G13 cp]],KKR[[#This Row],[G2 cp]]) - KKR[[#This Row],[CHS Inn2]]) / (KKR[[#This Row],[CHS Inn2]] -1)</f>
        <v>0</v>
      </c>
      <c r="BA23" s="614">
        <f>MIN(KKR[[#This Row],[G19 cp]],KKR[[#This Row],[G13 cp]],KKR[[#This Row],[G2 cp]])</f>
        <v>0</v>
      </c>
      <c r="BB23" s="207"/>
      <c r="BC23" s="150"/>
      <c r="BD23" s="150"/>
      <c r="BE23" s="150"/>
      <c r="BF23" s="150"/>
      <c r="BG23" s="150"/>
      <c r="BH23" s="150"/>
      <c r="BI23" s="150"/>
      <c r="BJ23" s="208"/>
      <c r="BK23" s="207"/>
      <c r="BL23" s="150"/>
      <c r="BM23" s="150"/>
      <c r="BN23" s="150"/>
      <c r="BO23" s="150"/>
      <c r="BP23" s="208"/>
      <c r="BQ23" s="269">
        <v>15</v>
      </c>
      <c r="BR23" s="248"/>
      <c r="BS23" s="248"/>
      <c r="BT23" s="248"/>
      <c r="BU23" s="248"/>
      <c r="BV23" s="255"/>
      <c r="BW23" s="152"/>
      <c r="BX23" s="148"/>
      <c r="BY23" s="148"/>
      <c r="BZ23" s="148"/>
      <c r="CA23" s="149"/>
      <c r="CB23" s="152"/>
      <c r="CC23" s="148"/>
      <c r="CD23" s="148"/>
      <c r="CE23" s="148"/>
      <c r="CF23" s="148"/>
      <c r="CG23" s="148">
        <v>16</v>
      </c>
      <c r="CH23" s="148"/>
      <c r="CI23" s="148"/>
      <c r="CJ23" s="148"/>
      <c r="CK23" s="151"/>
    </row>
    <row r="24" spans="2:89">
      <c r="B24" s="159" t="s">
        <v>231</v>
      </c>
      <c r="C24" s="159" t="s">
        <v>600</v>
      </c>
      <c r="D24" s="159">
        <v>1.5</v>
      </c>
      <c r="E24" s="159" t="s">
        <v>634</v>
      </c>
      <c r="F24" s="159"/>
      <c r="G24" s="162" t="s">
        <v>56</v>
      </c>
      <c r="H24" s="359"/>
      <c r="I24" s="368"/>
      <c r="J24" s="377"/>
      <c r="K24" s="161"/>
      <c r="L24" s="161"/>
      <c r="M24" s="161"/>
      <c r="N24" s="386"/>
      <c r="O24" s="161"/>
      <c r="P24" s="161"/>
      <c r="Q24" s="161"/>
      <c r="R24" s="158">
        <f>COUNTA(KKR[[#This Row],[G28 cp]],KKR[[#This Row],[G22 cp]],KKR[[#This Row],[G19 cp]],KKR[[#This Row],[G13 cp]],KKR[[#This Row],[G9 cp]],KKR[[#This Row],[G2 cp]])</f>
        <v>2</v>
      </c>
      <c r="S24" s="252">
        <f>MAX(KKR[[#This Row],[G28 cp]],KKR[[#This Row],[G22 cp]],KKR[[#This Row],[G19 cp]],KKR[[#This Row],[G13 cp]],KKR[[#This Row],[G9 cp]],KKR[[#This Row],[G2 cp]])</f>
        <v>54</v>
      </c>
      <c r="T24" s="252">
        <f>( SUM(KKR[[#This Row],[G28 cp]],KKR[[#This Row],[G22 cp]],KKR[[#This Row],[G19 cp]],KKR[[#This Row],[G13 cp]],KKR[[#This Row],[G9 cp]],KKR[[#This Row],[G2 cp]])- KKR[[#This Row],[Max]] ) / ( KKR[[#This Row],[Innings]] - 1)</f>
        <v>4</v>
      </c>
      <c r="U24" s="160">
        <f>MIN(KKR[[#This Row],[G28 cp]],KKR[[#This Row],[G22 cp]],KKR[[#This Row],[G19 cp]],KKR[[#This Row],[G13 cp]],KKR[[#This Row],[G9 cp]],KKR[[#This Row],[G2 cp]])</f>
        <v>4</v>
      </c>
      <c r="V24" s="273">
        <f>KKR[[#This Row],[G28 cp]]</f>
        <v>0</v>
      </c>
      <c r="W24" s="161">
        <f t="shared" si="0"/>
        <v>0</v>
      </c>
      <c r="X24" s="161">
        <f t="shared" si="1"/>
        <v>0</v>
      </c>
      <c r="Y24" s="161">
        <f t="shared" si="2"/>
        <v>0</v>
      </c>
      <c r="Z24" s="161">
        <f t="shared" si="3"/>
        <v>4</v>
      </c>
      <c r="AA24" s="161">
        <f t="shared" si="4"/>
        <v>54</v>
      </c>
      <c r="AB24" s="923"/>
      <c r="AC24" s="665"/>
      <c r="AD24" s="215"/>
      <c r="AE24" s="215"/>
      <c r="AF24" s="215"/>
      <c r="AG24" s="894"/>
      <c r="AH24" s="895"/>
      <c r="AI24" s="895"/>
      <c r="AJ24" s="907"/>
      <c r="AK24" s="906">
        <f>COUNTA(KKR[[#This Row],[G28 cp]],KKR[[#This Row],[G22 cp]],KKR[[#This Row],[G19 cp]],KKR[[#This Row],[G13 cp]],KKR[[#This Row],[G9 cp]],KKR[[#This Row],[G2 cp]])</f>
        <v>2</v>
      </c>
      <c r="AL24" s="895">
        <f>MAX(KKR[[#This Row],[G28 cp]],KKR[[#This Row],[G22 cp]],KKR[[#This Row],[G9 cp]])</f>
        <v>4</v>
      </c>
      <c r="AM24" s="895">
        <f>( SUM(KKR[[#This Row],[G28 cp]],KKR[[#This Row],[G22 cp]],KKR[[#This Row],[G9 cp]]) - KKR[[#This Row],[B1 Inn]]) / (KKR[[#This Row],[B1 Inn]]-1)</f>
        <v>2</v>
      </c>
      <c r="AN24" s="907">
        <f>MIN(KKR[[#This Row],[G28 cp]],KKR[[#This Row],[G22 cp]],KKR[[#This Row],[G9 cp]])</f>
        <v>4</v>
      </c>
      <c r="AO24" s="658"/>
      <c r="AP24" s="665"/>
      <c r="AQ24" s="215"/>
      <c r="AR24" s="215"/>
      <c r="AS24" s="215"/>
      <c r="AT24" s="673"/>
      <c r="AU24" s="215"/>
      <c r="AV24" s="215"/>
      <c r="AW24" s="215"/>
      <c r="AX24" s="288">
        <f>COUNTA(KKR[[#This Row],[G19 cp]],KKR[[#This Row],[G13 cp]],KKR[[#This Row],[G2 cp]])</f>
        <v>1</v>
      </c>
      <c r="AY24" s="215">
        <f>MAX(KKR[[#This Row],[G19 cp]],KKR[[#This Row],[G13 cp]],KKR[[#This Row],[G2 cp]])</f>
        <v>54</v>
      </c>
      <c r="AZ24" s="215" t="e">
        <f>( SUM(KKR[[#This Row],[G19 cp]],KKR[[#This Row],[G13 cp]],KKR[[#This Row],[G2 cp]]) - KKR[[#This Row],[CHS Inn2]]) / (KKR[[#This Row],[CHS Inn2]] -1)</f>
        <v>#DIV/0!</v>
      </c>
      <c r="BA24" s="616">
        <f>MIN(KKR[[#This Row],[G19 cp]],KKR[[#This Row],[G13 cp]],KKR[[#This Row],[G2 cp]])</f>
        <v>54</v>
      </c>
      <c r="BB24" s="195"/>
      <c r="BC24" s="161"/>
      <c r="BD24" s="161"/>
      <c r="BE24" s="161"/>
      <c r="BF24" s="161"/>
      <c r="BG24" s="161"/>
      <c r="BH24" s="161"/>
      <c r="BI24" s="161"/>
      <c r="BJ24" s="196"/>
      <c r="BK24" s="195"/>
      <c r="BL24" s="161"/>
      <c r="BM24" s="161"/>
      <c r="BN24" s="161"/>
      <c r="BO24" s="161"/>
      <c r="BP24" s="196"/>
      <c r="BQ24" s="270"/>
      <c r="BR24" s="252"/>
      <c r="BS24" s="252"/>
      <c r="BT24" s="252"/>
      <c r="BU24" s="252"/>
      <c r="BV24" s="259"/>
      <c r="BW24" s="163"/>
      <c r="BX24" s="159"/>
      <c r="BY24" s="159"/>
      <c r="BZ24" s="159"/>
      <c r="CA24" s="160"/>
      <c r="CB24" s="163">
        <v>10</v>
      </c>
      <c r="CC24" s="159"/>
      <c r="CD24" s="159"/>
      <c r="CE24" s="159" t="s">
        <v>475</v>
      </c>
      <c r="CF24" s="159">
        <v>4</v>
      </c>
      <c r="CG24" s="159">
        <v>10</v>
      </c>
      <c r="CH24" s="159"/>
      <c r="CI24" s="159"/>
      <c r="CJ24" s="159" t="s">
        <v>233</v>
      </c>
      <c r="CK24" s="162">
        <v>54</v>
      </c>
    </row>
    <row r="25" spans="2:89">
      <c r="B25" s="198" t="s">
        <v>231</v>
      </c>
      <c r="C25" s="198" t="s">
        <v>230</v>
      </c>
      <c r="D25" s="198">
        <v>1.5</v>
      </c>
      <c r="E25" s="198" t="s">
        <v>926</v>
      </c>
      <c r="F25" s="198"/>
      <c r="G25" s="212"/>
      <c r="H25" s="570"/>
      <c r="I25" s="573"/>
      <c r="J25" s="576"/>
      <c r="K25" s="200"/>
      <c r="L25" s="200"/>
      <c r="M25" s="200"/>
      <c r="N25" s="579"/>
      <c r="O25" s="200"/>
      <c r="P25" s="200"/>
      <c r="Q25" s="200"/>
      <c r="R25" s="197">
        <f>COUNTA(KKR[[#This Row],[G28 cp]],KKR[[#This Row],[G22 cp]],KKR[[#This Row],[G19 cp]],KKR[[#This Row],[G13 cp]],KKR[[#This Row],[G9 cp]],KKR[[#This Row],[G2 cp]])</f>
        <v>0</v>
      </c>
      <c r="S25" s="249">
        <f>MAX(KKR[[#This Row],[G28 cp]],KKR[[#This Row],[G22 cp]],KKR[[#This Row],[G19 cp]],KKR[[#This Row],[G13 cp]],KKR[[#This Row],[G9 cp]],KKR[[#This Row],[G2 cp]])</f>
        <v>0</v>
      </c>
      <c r="T25" s="249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5" s="199">
        <f>MIN(KKR[[#This Row],[G28 cp]],KKR[[#This Row],[G22 cp]],KKR[[#This Row],[G19 cp]],KKR[[#This Row],[G13 cp]],KKR[[#This Row],[G9 cp]],KKR[[#This Row],[G2 cp]])</f>
        <v>0</v>
      </c>
      <c r="V25" s="558">
        <f>KKR[[#This Row],[G28 cp]]</f>
        <v>0</v>
      </c>
      <c r="W25" s="200">
        <f t="shared" si="0"/>
        <v>0</v>
      </c>
      <c r="X25" s="200">
        <f t="shared" si="1"/>
        <v>0</v>
      </c>
      <c r="Y25" s="200">
        <f t="shared" si="2"/>
        <v>0</v>
      </c>
      <c r="Z25" s="200">
        <f t="shared" si="3"/>
        <v>0</v>
      </c>
      <c r="AA25" s="200">
        <f t="shared" si="4"/>
        <v>0</v>
      </c>
      <c r="AB25" s="920"/>
      <c r="AC25" s="663"/>
      <c r="AD25" s="304"/>
      <c r="AE25" s="304"/>
      <c r="AF25" s="304"/>
      <c r="AG25" s="888"/>
      <c r="AH25" s="889"/>
      <c r="AI25" s="889"/>
      <c r="AJ25" s="901"/>
      <c r="AK25" s="900">
        <f>COUNTA(KKR[[#This Row],[G28 cp]],KKR[[#This Row],[G22 cp]],KKR[[#This Row],[G19 cp]],KKR[[#This Row],[G13 cp]],KKR[[#This Row],[G9 cp]],KKR[[#This Row],[G2 cp]])</f>
        <v>0</v>
      </c>
      <c r="AL25" s="889">
        <f>MAX(KKR[[#This Row],[G28 cp]],KKR[[#This Row],[G22 cp]],KKR[[#This Row],[G9 cp]])</f>
        <v>0</v>
      </c>
      <c r="AM25" s="889">
        <f>( SUM(KKR[[#This Row],[G28 cp]],KKR[[#This Row],[G22 cp]],KKR[[#This Row],[G9 cp]]) - KKR[[#This Row],[B1 Inn]]) / (KKR[[#This Row],[B1 Inn]]-1)</f>
        <v>0</v>
      </c>
      <c r="AN25" s="901">
        <f>MIN(KKR[[#This Row],[G28 cp]],KKR[[#This Row],[G22 cp]],KKR[[#This Row],[G9 cp]])</f>
        <v>0</v>
      </c>
      <c r="AO25" s="656"/>
      <c r="AP25" s="663"/>
      <c r="AQ25" s="304"/>
      <c r="AR25" s="304"/>
      <c r="AS25" s="304"/>
      <c r="AT25" s="671"/>
      <c r="AU25" s="304"/>
      <c r="AV25" s="304"/>
      <c r="AW25" s="304"/>
      <c r="AX25" s="303">
        <f>COUNTA(KKR[[#This Row],[G19 cp]],KKR[[#This Row],[G13 cp]],KKR[[#This Row],[G2 cp]])</f>
        <v>0</v>
      </c>
      <c r="AY25" s="304">
        <f>MAX(KKR[[#This Row],[G19 cp]],KKR[[#This Row],[G13 cp]],KKR[[#This Row],[G2 cp]])</f>
        <v>0</v>
      </c>
      <c r="AZ25" s="304">
        <f>( SUM(KKR[[#This Row],[G19 cp]],KKR[[#This Row],[G13 cp]],KKR[[#This Row],[G2 cp]]) - KKR[[#This Row],[CHS Inn2]]) / (KKR[[#This Row],[CHS Inn2]] -1)</f>
        <v>0</v>
      </c>
      <c r="BA25" s="614">
        <f>MIN(KKR[[#This Row],[G19 cp]],KKR[[#This Row],[G13 cp]],KKR[[#This Row],[G2 cp]])</f>
        <v>0</v>
      </c>
      <c r="BB25" s="201"/>
      <c r="BC25" s="200"/>
      <c r="BD25" s="200"/>
      <c r="BE25" s="200"/>
      <c r="BF25" s="200"/>
      <c r="BG25" s="200"/>
      <c r="BH25" s="200"/>
      <c r="BI25" s="200"/>
      <c r="BJ25" s="202"/>
      <c r="BK25" s="201"/>
      <c r="BL25" s="200"/>
      <c r="BM25" s="200"/>
      <c r="BN25" s="200"/>
      <c r="BO25" s="200"/>
      <c r="BP25" s="202"/>
      <c r="BQ25" s="197"/>
      <c r="BR25" s="198"/>
      <c r="BS25" s="198"/>
      <c r="BT25" s="198"/>
      <c r="BU25" s="198"/>
      <c r="BV25" s="199"/>
      <c r="BW25" s="216"/>
      <c r="BX25" s="198"/>
      <c r="BY25" s="198"/>
      <c r="BZ25" s="198"/>
      <c r="CA25" s="199"/>
      <c r="CB25" s="216"/>
      <c r="CC25" s="198"/>
      <c r="CD25" s="198"/>
      <c r="CE25" s="198"/>
      <c r="CF25" s="198"/>
      <c r="CG25" s="198"/>
      <c r="CH25" s="198"/>
      <c r="CI25" s="198"/>
      <c r="CJ25" s="198"/>
      <c r="CK25" s="212"/>
    </row>
    <row r="26" spans="2:89">
      <c r="B26" s="2" t="s">
        <v>231</v>
      </c>
      <c r="C26" s="2" t="s">
        <v>225</v>
      </c>
      <c r="D26" s="2">
        <v>0.6</v>
      </c>
      <c r="E26" s="2"/>
      <c r="F26" s="2"/>
      <c r="G26" s="3"/>
      <c r="H26" s="569"/>
      <c r="I26" s="572"/>
      <c r="J26" s="575"/>
      <c r="K26" s="78"/>
      <c r="L26" s="78"/>
      <c r="M26" s="78"/>
      <c r="N26" s="578"/>
      <c r="O26" s="78"/>
      <c r="P26" s="78"/>
      <c r="Q26" s="78"/>
      <c r="R26" s="4">
        <f>COUNTA(KKR[[#This Row],[G28 cp]],KKR[[#This Row],[G22 cp]],KKR[[#This Row],[G19 cp]],KKR[[#This Row],[G13 cp]],KKR[[#This Row],[G9 cp]],KKR[[#This Row],[G2 cp]])</f>
        <v>0</v>
      </c>
      <c r="S26" s="246">
        <f>MAX(KKR[[#This Row],[G28 cp]],KKR[[#This Row],[G22 cp]],KKR[[#This Row],[G19 cp]],KKR[[#This Row],[G13 cp]],KKR[[#This Row],[G9 cp]],KKR[[#This Row],[G2 cp]])</f>
        <v>0</v>
      </c>
      <c r="T26" s="246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6" s="5">
        <f>MIN(KKR[[#This Row],[G28 cp]],KKR[[#This Row],[G22 cp]],KKR[[#This Row],[G19 cp]],KKR[[#This Row],[G13 cp]],KKR[[#This Row],[G9 cp]],KKR[[#This Row],[G2 cp]])</f>
        <v>0</v>
      </c>
      <c r="V26" s="317">
        <f>KKR[[#This Row],[G28 cp]]</f>
        <v>0</v>
      </c>
      <c r="W26" s="78">
        <f t="shared" si="0"/>
        <v>0</v>
      </c>
      <c r="X26" s="78">
        <f t="shared" si="1"/>
        <v>0</v>
      </c>
      <c r="Y26" s="78">
        <f t="shared" si="2"/>
        <v>0</v>
      </c>
      <c r="Z26" s="78">
        <f t="shared" si="3"/>
        <v>0</v>
      </c>
      <c r="AA26" s="78">
        <f t="shared" si="4"/>
        <v>0</v>
      </c>
      <c r="AB26" s="923"/>
      <c r="AC26" s="665"/>
      <c r="AD26" s="215"/>
      <c r="AE26" s="215"/>
      <c r="AF26" s="215"/>
      <c r="AG26" s="894"/>
      <c r="AH26" s="895"/>
      <c r="AI26" s="895"/>
      <c r="AJ26" s="907"/>
      <c r="AK26" s="906">
        <f>COUNTA(KKR[[#This Row],[G28 cp]],KKR[[#This Row],[G22 cp]],KKR[[#This Row],[G19 cp]],KKR[[#This Row],[G13 cp]],KKR[[#This Row],[G9 cp]],KKR[[#This Row],[G2 cp]])</f>
        <v>0</v>
      </c>
      <c r="AL26" s="895">
        <f>MAX(KKR[[#This Row],[G28 cp]],KKR[[#This Row],[G22 cp]],KKR[[#This Row],[G9 cp]])</f>
        <v>0</v>
      </c>
      <c r="AM26" s="895">
        <f>( SUM(KKR[[#This Row],[G28 cp]],KKR[[#This Row],[G22 cp]],KKR[[#This Row],[G9 cp]]) - KKR[[#This Row],[B1 Inn]]) / (KKR[[#This Row],[B1 Inn]]-1)</f>
        <v>0</v>
      </c>
      <c r="AN26" s="907">
        <f>MIN(KKR[[#This Row],[G28 cp]],KKR[[#This Row],[G22 cp]],KKR[[#This Row],[G9 cp]])</f>
        <v>0</v>
      </c>
      <c r="AO26" s="658"/>
      <c r="AP26" s="665"/>
      <c r="AQ26" s="215"/>
      <c r="AR26" s="215"/>
      <c r="AS26" s="215"/>
      <c r="AT26" s="673"/>
      <c r="AU26" s="215"/>
      <c r="AV26" s="215"/>
      <c r="AW26" s="215"/>
      <c r="AX26" s="288">
        <f>COUNTA(KKR[[#This Row],[G19 cp]],KKR[[#This Row],[G13 cp]],KKR[[#This Row],[G2 cp]])</f>
        <v>0</v>
      </c>
      <c r="AY26" s="215">
        <f>MAX(KKR[[#This Row],[G19 cp]],KKR[[#This Row],[G13 cp]],KKR[[#This Row],[G2 cp]])</f>
        <v>0</v>
      </c>
      <c r="AZ26" s="215">
        <f>( SUM(KKR[[#This Row],[G19 cp]],KKR[[#This Row],[G13 cp]],KKR[[#This Row],[G2 cp]]) - KKR[[#This Row],[CHS Inn2]]) / (KKR[[#This Row],[CHS Inn2]] -1)</f>
        <v>0</v>
      </c>
      <c r="BA26" s="616">
        <f>MIN(KKR[[#This Row],[G19 cp]],KKR[[#This Row],[G13 cp]],KKR[[#This Row],[G2 cp]])</f>
        <v>0</v>
      </c>
      <c r="BB26" s="81"/>
      <c r="BC26" s="78"/>
      <c r="BD26" s="78"/>
      <c r="BE26" s="78"/>
      <c r="BF26" s="78"/>
      <c r="BG26" s="78"/>
      <c r="BH26" s="78"/>
      <c r="BI26" s="78"/>
      <c r="BJ26" s="82"/>
      <c r="BK26" s="81"/>
      <c r="BL26" s="78"/>
      <c r="BM26" s="78"/>
      <c r="BN26" s="78"/>
      <c r="BO26" s="78"/>
      <c r="BP26" s="82"/>
      <c r="BQ26" s="264"/>
      <c r="BR26" s="246"/>
      <c r="BS26" s="246"/>
      <c r="BT26" s="246"/>
      <c r="BU26" s="246"/>
      <c r="BV26" s="253"/>
      <c r="BW26" s="100"/>
      <c r="BX26" s="2"/>
      <c r="BY26" s="2"/>
      <c r="BZ26" s="2"/>
      <c r="CA26" s="5"/>
      <c r="CB26" s="100"/>
      <c r="CC26" s="2"/>
      <c r="CD26" s="2"/>
      <c r="CE26" s="2"/>
      <c r="CF26" s="2"/>
      <c r="CG26" s="2">
        <v>16</v>
      </c>
      <c r="CH26" s="2"/>
      <c r="CI26" s="2"/>
      <c r="CJ26" s="2"/>
      <c r="CK26" s="3"/>
    </row>
    <row r="27" spans="2:89">
      <c r="B27" s="12" t="s">
        <v>231</v>
      </c>
      <c r="C27" s="12" t="s">
        <v>220</v>
      </c>
      <c r="D27" s="12">
        <v>0.2</v>
      </c>
      <c r="E27" s="12"/>
      <c r="F27" s="12"/>
      <c r="G27" s="13" t="s">
        <v>56</v>
      </c>
      <c r="H27" s="358"/>
      <c r="I27" s="367"/>
      <c r="J27" s="376"/>
      <c r="K27" s="72"/>
      <c r="L27" s="72"/>
      <c r="M27" s="72"/>
      <c r="N27" s="385"/>
      <c r="O27" s="72"/>
      <c r="P27" s="72"/>
      <c r="Q27" s="72"/>
      <c r="R27" s="14">
        <f>COUNTA(KKR[[#This Row],[G28 cp]],KKR[[#This Row],[G22 cp]],KKR[[#This Row],[G19 cp]],KKR[[#This Row],[G13 cp]],KKR[[#This Row],[G9 cp]],KKR[[#This Row],[G2 cp]])</f>
        <v>0</v>
      </c>
      <c r="S27" s="250">
        <f>MAX(KKR[[#This Row],[G28 cp]],KKR[[#This Row],[G22 cp]],KKR[[#This Row],[G19 cp]],KKR[[#This Row],[G13 cp]],KKR[[#This Row],[G9 cp]],KKR[[#This Row],[G2 cp]])</f>
        <v>0</v>
      </c>
      <c r="T27" s="250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7" s="15">
        <f>MIN(KKR[[#This Row],[G28 cp]],KKR[[#This Row],[G22 cp]],KKR[[#This Row],[G19 cp]],KKR[[#This Row],[G13 cp]],KKR[[#This Row],[G9 cp]],KKR[[#This Row],[G2 cp]])</f>
        <v>0</v>
      </c>
      <c r="V27" s="262">
        <f>KKR[[#This Row],[G28 cp]]</f>
        <v>0</v>
      </c>
      <c r="W27" s="72">
        <f t="shared" si="0"/>
        <v>0</v>
      </c>
      <c r="X27" s="72">
        <f t="shared" si="1"/>
        <v>0</v>
      </c>
      <c r="Y27" s="72">
        <f t="shared" si="2"/>
        <v>0</v>
      </c>
      <c r="Z27" s="72">
        <f t="shared" si="3"/>
        <v>0</v>
      </c>
      <c r="AA27" s="72">
        <f t="shared" si="4"/>
        <v>0</v>
      </c>
      <c r="AB27" s="921"/>
      <c r="AC27" s="662"/>
      <c r="AD27" s="300"/>
      <c r="AE27" s="300"/>
      <c r="AF27" s="300"/>
      <c r="AG27" s="890"/>
      <c r="AH27" s="891"/>
      <c r="AI27" s="891"/>
      <c r="AJ27" s="903"/>
      <c r="AK27" s="902">
        <f>COUNTA(KKR[[#This Row],[G28 cp]],KKR[[#This Row],[G22 cp]],KKR[[#This Row],[G19 cp]],KKR[[#This Row],[G13 cp]],KKR[[#This Row],[G9 cp]],KKR[[#This Row],[G2 cp]])</f>
        <v>0</v>
      </c>
      <c r="AL27" s="891">
        <f>MAX(KKR[[#This Row],[G28 cp]],KKR[[#This Row],[G22 cp]],KKR[[#This Row],[G9 cp]])</f>
        <v>0</v>
      </c>
      <c r="AM27" s="891">
        <f>( SUM(KKR[[#This Row],[G28 cp]],KKR[[#This Row],[G22 cp]],KKR[[#This Row],[G9 cp]]) - KKR[[#This Row],[B1 Inn]]) / (KKR[[#This Row],[B1 Inn]]-1)</f>
        <v>0</v>
      </c>
      <c r="AN27" s="903">
        <f>MIN(KKR[[#This Row],[G28 cp]],KKR[[#This Row],[G22 cp]],KKR[[#This Row],[G9 cp]])</f>
        <v>0</v>
      </c>
      <c r="AO27" s="655"/>
      <c r="AP27" s="662"/>
      <c r="AQ27" s="300"/>
      <c r="AR27" s="300"/>
      <c r="AS27" s="300"/>
      <c r="AT27" s="670"/>
      <c r="AU27" s="300"/>
      <c r="AV27" s="300"/>
      <c r="AW27" s="300"/>
      <c r="AX27" s="299">
        <f>COUNTA(KKR[[#This Row],[G19 cp]],KKR[[#This Row],[G13 cp]],KKR[[#This Row],[G2 cp]])</f>
        <v>0</v>
      </c>
      <c r="AY27" s="300">
        <f>MAX(KKR[[#This Row],[G19 cp]],KKR[[#This Row],[G13 cp]],KKR[[#This Row],[G2 cp]])</f>
        <v>0</v>
      </c>
      <c r="AZ27" s="300">
        <f>( SUM(KKR[[#This Row],[G19 cp]],KKR[[#This Row],[G13 cp]],KKR[[#This Row],[G2 cp]]) - KKR[[#This Row],[CHS Inn2]]) / (KKR[[#This Row],[CHS Inn2]] -1)</f>
        <v>0</v>
      </c>
      <c r="BA27" s="612">
        <f>MIN(KKR[[#This Row],[G19 cp]],KKR[[#This Row],[G13 cp]],KKR[[#This Row],[G2 cp]])</f>
        <v>0</v>
      </c>
      <c r="BB27" s="60"/>
      <c r="BC27" s="72"/>
      <c r="BD27" s="72"/>
      <c r="BE27" s="72"/>
      <c r="BF27" s="72"/>
      <c r="BG27" s="72"/>
      <c r="BH27" s="72"/>
      <c r="BI27" s="72"/>
      <c r="BJ27" s="83"/>
      <c r="BK27" s="60"/>
      <c r="BL27" s="72"/>
      <c r="BM27" s="72"/>
      <c r="BN27" s="72"/>
      <c r="BO27" s="72"/>
      <c r="BP27" s="83"/>
      <c r="BQ27" s="14"/>
      <c r="BR27" s="12"/>
      <c r="BS27" s="12"/>
      <c r="BT27" s="12"/>
      <c r="BU27" s="12"/>
      <c r="BV27" s="15"/>
      <c r="BW27" s="63"/>
      <c r="BX27" s="12"/>
      <c r="BY27" s="12"/>
      <c r="BZ27" s="12"/>
      <c r="CA27" s="15"/>
      <c r="CB27" s="63"/>
      <c r="CC27" s="12"/>
      <c r="CD27" s="12"/>
      <c r="CE27" s="12"/>
      <c r="CF27" s="12"/>
      <c r="CG27" s="12"/>
      <c r="CH27" s="12"/>
      <c r="CI27" s="12"/>
      <c r="CJ27" s="12"/>
      <c r="CK27" s="13"/>
    </row>
    <row r="28" spans="2:89" ht="15" thickBot="1">
      <c r="B28" s="28" t="s">
        <v>231</v>
      </c>
      <c r="C28" s="28" t="s">
        <v>217</v>
      </c>
      <c r="D28" s="28">
        <v>0</v>
      </c>
      <c r="E28" s="28"/>
      <c r="F28" s="28"/>
      <c r="G28" s="3"/>
      <c r="H28" s="852"/>
      <c r="I28" s="853"/>
      <c r="J28" s="854"/>
      <c r="K28" s="855"/>
      <c r="L28" s="855"/>
      <c r="M28" s="855"/>
      <c r="N28" s="856"/>
      <c r="O28" s="855"/>
      <c r="P28" s="855"/>
      <c r="Q28" s="855"/>
      <c r="R28" s="857">
        <f>COUNTA(KKR[[#This Row],[G28 cp]],KKR[[#This Row],[G22 cp]],KKR[[#This Row],[G19 cp]],KKR[[#This Row],[G13 cp]],KKR[[#This Row],[G9 cp]],KKR[[#This Row],[G2 cp]])</f>
        <v>0</v>
      </c>
      <c r="S28" s="858">
        <f>MAX(KKR[[#This Row],[G28 cp]],KKR[[#This Row],[G22 cp]],KKR[[#This Row],[G19 cp]],KKR[[#This Row],[G13 cp]],KKR[[#This Row],[G9 cp]],KKR[[#This Row],[G2 cp]])</f>
        <v>0</v>
      </c>
      <c r="T28" s="858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8" s="859">
        <f>MIN(KKR[[#This Row],[G28 cp]],KKR[[#This Row],[G22 cp]],KKR[[#This Row],[G19 cp]],KKR[[#This Row],[G13 cp]],KKR[[#This Row],[G9 cp]],KKR[[#This Row],[G2 cp]])</f>
        <v>0</v>
      </c>
      <c r="V28" s="860">
        <f>KKR[[#This Row],[G28 cp]]</f>
        <v>0</v>
      </c>
      <c r="W28" s="861">
        <f t="shared" si="0"/>
        <v>0</v>
      </c>
      <c r="X28" s="861">
        <f t="shared" si="1"/>
        <v>0</v>
      </c>
      <c r="Y28" s="861">
        <f t="shared" si="2"/>
        <v>0</v>
      </c>
      <c r="Z28" s="861">
        <f t="shared" si="3"/>
        <v>0</v>
      </c>
      <c r="AA28" s="861">
        <f t="shared" si="4"/>
        <v>0</v>
      </c>
      <c r="AB28" s="925"/>
      <c r="AC28" s="926"/>
      <c r="AD28" s="867"/>
      <c r="AE28" s="867"/>
      <c r="AF28" s="867"/>
      <c r="AG28" s="927"/>
      <c r="AH28" s="911"/>
      <c r="AI28" s="911"/>
      <c r="AJ28" s="912"/>
      <c r="AK28" s="910">
        <f>COUNTA(KKR[[#This Row],[G28 cp]],KKR[[#This Row],[G22 cp]],KKR[[#This Row],[G19 cp]],KKR[[#This Row],[G13 cp]],KKR[[#This Row],[G9 cp]],KKR[[#This Row],[G2 cp]])</f>
        <v>0</v>
      </c>
      <c r="AL28" s="911">
        <f>MAX(KKR[[#This Row],[G28 cp]],KKR[[#This Row],[G22 cp]],KKR[[#This Row],[G9 cp]])</f>
        <v>0</v>
      </c>
      <c r="AM28" s="911">
        <f>( SUM(KKR[[#This Row],[G28 cp]],KKR[[#This Row],[G22 cp]],KKR[[#This Row],[G9 cp]]) - KKR[[#This Row],[B1 Inn]]) / (KKR[[#This Row],[B1 Inn]]-1)</f>
        <v>0</v>
      </c>
      <c r="AN28" s="912">
        <f>MIN(KKR[[#This Row],[G28 cp]],KKR[[#This Row],[G22 cp]],KKR[[#This Row],[G9 cp]])</f>
        <v>0</v>
      </c>
      <c r="AO28" s="655"/>
      <c r="AP28" s="662"/>
      <c r="AQ28" s="300"/>
      <c r="AR28" s="300"/>
      <c r="AS28" s="300"/>
      <c r="AT28" s="670"/>
      <c r="AU28" s="300"/>
      <c r="AV28" s="300"/>
      <c r="AW28" s="300"/>
      <c r="AX28" s="866">
        <f>COUNTA(KKR[[#This Row],[G19 cp]],KKR[[#This Row],[G13 cp]],KKR[[#This Row],[G2 cp]])</f>
        <v>0</v>
      </c>
      <c r="AY28" s="867">
        <f>MAX(KKR[[#This Row],[G19 cp]],KKR[[#This Row],[G13 cp]],KKR[[#This Row],[G2 cp]])</f>
        <v>0</v>
      </c>
      <c r="AZ28" s="867">
        <f>( SUM(KKR[[#This Row],[G19 cp]],KKR[[#This Row],[G13 cp]],KKR[[#This Row],[G2 cp]]) - KKR[[#This Row],[CHS Inn2]]) / (KKR[[#This Row],[CHS Inn2]] -1)</f>
        <v>0</v>
      </c>
      <c r="BA28" s="868">
        <f>MIN(KKR[[#This Row],[G19 cp]],KKR[[#This Row],[G13 cp]],KKR[[#This Row],[G2 cp]])</f>
        <v>0</v>
      </c>
      <c r="BB28" s="862"/>
      <c r="BC28" s="861"/>
      <c r="BD28" s="861"/>
      <c r="BE28" s="861"/>
      <c r="BF28" s="861"/>
      <c r="BG28" s="861"/>
      <c r="BH28" s="861"/>
      <c r="BI28" s="861"/>
      <c r="BJ28" s="863"/>
      <c r="BK28" s="862"/>
      <c r="BL28" s="861"/>
      <c r="BM28" s="861"/>
      <c r="BN28" s="861"/>
      <c r="BO28" s="861"/>
      <c r="BP28" s="863"/>
      <c r="BQ28" s="857"/>
      <c r="BR28" s="864"/>
      <c r="BS28" s="864"/>
      <c r="BT28" s="864"/>
      <c r="BU28" s="864"/>
      <c r="BV28" s="859"/>
      <c r="BW28" s="865"/>
      <c r="BX28" s="864"/>
      <c r="BY28" s="864"/>
      <c r="BZ28" s="864"/>
      <c r="CA28" s="859"/>
      <c r="CB28" s="100"/>
      <c r="CC28" s="2"/>
      <c r="CD28" s="2"/>
      <c r="CE28" s="2"/>
      <c r="CF28" s="2"/>
      <c r="CG28" s="2"/>
      <c r="CH28" s="2"/>
      <c r="CI28" s="2"/>
      <c r="CJ28" s="2"/>
      <c r="CK28" s="3"/>
    </row>
  </sheetData>
  <sortState xmlns:xlrd2="http://schemas.microsoft.com/office/spreadsheetml/2017/richdata2" ref="B6:CK28">
    <sortCondition ref="BK6:BK28"/>
    <sortCondition ref="BQ6:BQ28"/>
    <sortCondition ref="BW6:BW28"/>
    <sortCondition ref="CB6:CB28"/>
    <sortCondition ref="CG6:CG28"/>
    <sortCondition descending="1" ref="D6:D28"/>
  </sortState>
  <phoneticPr fontId="26" type="noConversion"/>
  <conditionalFormatting sqref="S6:S28">
    <cfRule type="colorScale" priority="181">
      <colorScale>
        <cfvo type="min"/>
        <cfvo type="max"/>
        <color rgb="FFFCFCFF"/>
        <color rgb="FF63BE7B"/>
      </colorScale>
    </cfRule>
  </conditionalFormatting>
  <conditionalFormatting sqref="T6:T28">
    <cfRule type="colorScale" priority="182">
      <colorScale>
        <cfvo type="min"/>
        <cfvo type="max"/>
        <color rgb="FFFCFCFF"/>
        <color rgb="FF63BE7B"/>
      </colorScale>
    </cfRule>
  </conditionalFormatting>
  <conditionalFormatting sqref="U6:U28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6:V28">
    <cfRule type="colorScale" priority="174">
      <colorScale>
        <cfvo type="min"/>
        <cfvo type="max"/>
        <color rgb="FFFFEF9C"/>
        <color rgb="FF63BE7B"/>
      </colorScale>
    </cfRule>
    <cfRule type="colorScale" priority="180">
      <colorScale>
        <cfvo type="min"/>
        <cfvo type="max"/>
        <color rgb="FFFCFCFF"/>
        <color rgb="FF63BE7B"/>
      </colorScale>
    </cfRule>
  </conditionalFormatting>
  <conditionalFormatting sqref="W6:W28">
    <cfRule type="colorScale" priority="175">
      <colorScale>
        <cfvo type="min"/>
        <cfvo type="max"/>
        <color rgb="FFFCFCFF"/>
        <color rgb="FF63BE7B"/>
      </colorScale>
    </cfRule>
  </conditionalFormatting>
  <conditionalFormatting sqref="X6:X28">
    <cfRule type="colorScale" priority="176">
      <colorScale>
        <cfvo type="min"/>
        <cfvo type="max"/>
        <color rgb="FFFCFCFF"/>
        <color rgb="FF63BE7B"/>
      </colorScale>
    </cfRule>
  </conditionalFormatting>
  <conditionalFormatting sqref="Y6:Y28">
    <cfRule type="colorScale" priority="177">
      <colorScale>
        <cfvo type="min"/>
        <cfvo type="max"/>
        <color rgb="FFFCFCFF"/>
        <color rgb="FF63BE7B"/>
      </colorScale>
    </cfRule>
  </conditionalFormatting>
  <conditionalFormatting sqref="Z6:Z28">
    <cfRule type="colorScale" priority="178">
      <colorScale>
        <cfvo type="min"/>
        <cfvo type="max"/>
        <color rgb="FFFCFCFF"/>
        <color rgb="FF63BE7B"/>
      </colorScale>
    </cfRule>
  </conditionalFormatting>
  <conditionalFormatting sqref="AA6:AA28">
    <cfRule type="colorScale" priority="179">
      <colorScale>
        <cfvo type="min"/>
        <cfvo type="max"/>
        <color rgb="FFFCFCFF"/>
        <color rgb="FF63BE7B"/>
      </colorScale>
    </cfRule>
  </conditionalFormatting>
  <conditionalFormatting sqref="AB6:AG28 AI6:AJ28 AO6:AW28 AY6:BA28">
    <cfRule type="colorScale" priority="231">
      <colorScale>
        <cfvo type="min"/>
        <cfvo type="max"/>
        <color rgb="FFFFEF9C"/>
        <color rgb="FF63BE7B"/>
      </colorScale>
    </cfRule>
    <cfRule type="colorScale" priority="233">
      <colorScale>
        <cfvo type="min"/>
        <cfvo type="max"/>
        <color rgb="FFFCFCFF"/>
        <color rgb="FF63BE7B"/>
      </colorScale>
    </cfRule>
  </conditionalFormatting>
  <conditionalFormatting sqref="AL6:AL28">
    <cfRule type="colorScale" priority="6">
      <colorScale>
        <cfvo type="min"/>
        <cfvo type="max"/>
        <color rgb="FFFCFCFF"/>
        <color rgb="FF63BE7B"/>
      </colorScale>
    </cfRule>
  </conditionalFormatting>
  <conditionalFormatting sqref="AM6:AM28">
    <cfRule type="colorScale" priority="5">
      <colorScale>
        <cfvo type="min"/>
        <cfvo type="max"/>
        <color rgb="FFFCFCFF"/>
        <color rgb="FF63BE7B"/>
      </colorScale>
    </cfRule>
  </conditionalFormatting>
  <conditionalFormatting sqref="AN6:AN28">
    <cfRule type="colorScale" priority="4">
      <colorScale>
        <cfvo type="min"/>
        <cfvo type="max"/>
        <color rgb="FFFCFCFF"/>
        <color rgb="FF63BE7B"/>
      </colorScale>
    </cfRule>
  </conditionalFormatting>
  <conditionalFormatting sqref="AY6:AY28">
    <cfRule type="colorScale" priority="3">
      <colorScale>
        <cfvo type="min"/>
        <cfvo type="max"/>
        <color rgb="FFFCFCFF"/>
        <color rgb="FF63BE7B"/>
      </colorScale>
    </cfRule>
  </conditionalFormatting>
  <conditionalFormatting sqref="AZ6:AZ28">
    <cfRule type="colorScale" priority="1">
      <colorScale>
        <cfvo type="min"/>
        <cfvo type="max"/>
        <color rgb="FFFCFCFF"/>
        <color rgb="FF63BE7B"/>
      </colorScale>
    </cfRule>
  </conditionalFormatting>
  <conditionalFormatting sqref="BA6:BA2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09A1-3AC6-4EB4-9BE4-4E104672E8D5}">
  <dimension ref="B1:CK30"/>
  <sheetViews>
    <sheetView showGridLines="0" workbookViewId="0">
      <pane xSplit="3" ySplit="5" topLeftCell="D6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defaultRowHeight="14.4"/>
  <cols>
    <col min="2" max="2" width="7.21875" customWidth="1"/>
    <col min="3" max="3" width="22" customWidth="1"/>
    <col min="4" max="4" width="7.109375" customWidth="1"/>
    <col min="5" max="5" width="11.88671875" bestFit="1" customWidth="1"/>
    <col min="6" max="6" width="9.77734375" customWidth="1"/>
    <col min="7" max="7" width="12.77734375" customWidth="1"/>
    <col min="8" max="8" width="13.33203125" bestFit="1" customWidth="1"/>
    <col min="9" max="9" width="10.88671875" customWidth="1"/>
    <col min="10" max="13" width="10.44140625" customWidth="1"/>
    <col min="14" max="14" width="8" customWidth="1"/>
    <col min="15" max="15" width="9.33203125" customWidth="1"/>
    <col min="16" max="16" width="9" customWidth="1"/>
    <col min="17" max="18" width="9.44140625" customWidth="1"/>
    <col min="19" max="19" width="9.88671875" customWidth="1"/>
    <col min="20" max="20" width="9.44140625" customWidth="1"/>
    <col min="21" max="21" width="9" customWidth="1"/>
    <col min="22" max="22" width="11.6640625" customWidth="1"/>
    <col min="23" max="23" width="9.44140625" customWidth="1"/>
    <col min="24" max="24" width="10.5546875" customWidth="1"/>
    <col min="25" max="27" width="9" customWidth="1"/>
    <col min="28" max="28" width="11.5546875" customWidth="1"/>
    <col min="29" max="29" width="9" customWidth="1"/>
    <col min="30" max="30" width="12.5546875" customWidth="1"/>
    <col min="31" max="31" width="10.33203125" customWidth="1"/>
    <col min="32" max="32" width="10.5546875" customWidth="1"/>
    <col min="33" max="35" width="9" customWidth="1"/>
    <col min="36" max="36" width="11.77734375" customWidth="1"/>
    <col min="37" max="41" width="9" customWidth="1"/>
    <col min="42" max="42" width="9.44140625" customWidth="1"/>
    <col min="43" max="47" width="9" customWidth="1"/>
    <col min="48" max="48" width="9.44140625" customWidth="1"/>
    <col min="49" max="49" width="9" customWidth="1"/>
    <col min="50" max="50" width="7.33203125" customWidth="1"/>
    <col min="51" max="51" width="9" customWidth="1"/>
    <col min="52" max="52" width="7.33203125" customWidth="1"/>
    <col min="53" max="53" width="9.44140625" customWidth="1"/>
    <col min="54" max="54" width="9" customWidth="1"/>
    <col min="55" max="55" width="7" customWidth="1"/>
    <col min="56" max="56" width="8.88671875" customWidth="1"/>
    <col min="57" max="57" width="9" bestFit="1" customWidth="1"/>
    <col min="58" max="58" width="9.44140625" customWidth="1"/>
    <col min="59" max="59" width="8.6640625" customWidth="1"/>
    <col min="60" max="60" width="6.109375" customWidth="1"/>
    <col min="61" max="61" width="8.21875" customWidth="1"/>
    <col min="62" max="62" width="9.88671875" bestFit="1" customWidth="1"/>
    <col min="63" max="63" width="8.6640625" customWidth="1"/>
    <col min="64" max="64" width="10.44140625" bestFit="1" customWidth="1"/>
  </cols>
  <sheetData>
    <row r="1" spans="2:89">
      <c r="F1" s="217"/>
      <c r="AB1" s="361"/>
      <c r="AC1" s="370"/>
      <c r="AG1" s="379"/>
      <c r="AO1" s="361"/>
      <c r="AP1" s="370"/>
      <c r="AT1" s="379"/>
    </row>
    <row r="2" spans="2:89">
      <c r="F2" s="217"/>
      <c r="V2" s="276" t="s">
        <v>1347</v>
      </c>
      <c r="W2" s="276" t="s">
        <v>1289</v>
      </c>
      <c r="X2" s="283" t="s">
        <v>1349</v>
      </c>
      <c r="Y2" s="283" t="s">
        <v>1292</v>
      </c>
      <c r="Z2" s="276" t="s">
        <v>1350</v>
      </c>
      <c r="AA2" s="276" t="s">
        <v>1351</v>
      </c>
      <c r="AB2" s="361"/>
      <c r="AC2" s="370"/>
      <c r="AG2" s="379"/>
      <c r="AO2" s="361"/>
      <c r="AP2" s="370"/>
      <c r="AT2" s="379"/>
    </row>
    <row r="3" spans="2:89">
      <c r="B3" t="s">
        <v>261</v>
      </c>
      <c r="F3" s="217"/>
      <c r="V3" s="276" t="s">
        <v>933</v>
      </c>
      <c r="W3" s="276" t="s">
        <v>1132</v>
      </c>
      <c r="X3" s="283" t="s">
        <v>933</v>
      </c>
      <c r="Y3" s="283" t="s">
        <v>1132</v>
      </c>
      <c r="Z3" s="276" t="s">
        <v>933</v>
      </c>
      <c r="AA3" s="276" t="s">
        <v>1132</v>
      </c>
      <c r="AB3" s="675"/>
      <c r="AC3" s="676"/>
      <c r="AF3" s="276"/>
      <c r="AG3" s="677"/>
      <c r="AH3" s="276"/>
      <c r="AI3" s="276"/>
      <c r="AJ3" s="276"/>
      <c r="AK3" s="276"/>
      <c r="AL3" s="276"/>
      <c r="AM3" s="276"/>
      <c r="AN3" s="276"/>
      <c r="AO3" s="675"/>
      <c r="AP3" s="676"/>
      <c r="AS3" s="276"/>
      <c r="AT3" s="677"/>
      <c r="AU3" s="276"/>
      <c r="AV3" s="276"/>
      <c r="AW3" s="276"/>
      <c r="AX3" s="276"/>
      <c r="AY3" s="276"/>
      <c r="AZ3" s="276"/>
      <c r="BA3" s="276"/>
      <c r="BB3" s="276" t="s">
        <v>1337</v>
      </c>
      <c r="BK3" s="276" t="s">
        <v>1139</v>
      </c>
      <c r="BQ3" s="283" t="s">
        <v>1348</v>
      </c>
      <c r="BW3" s="283" t="s">
        <v>965</v>
      </c>
      <c r="CB3" s="276" t="s">
        <v>966</v>
      </c>
      <c r="CG3" s="276" t="s">
        <v>1340</v>
      </c>
    </row>
    <row r="4" spans="2:89" ht="15" thickBot="1">
      <c r="F4" s="217"/>
      <c r="V4" s="276" t="s">
        <v>1110</v>
      </c>
      <c r="W4" s="276" t="s">
        <v>1130</v>
      </c>
      <c r="X4" s="283" t="s">
        <v>1094</v>
      </c>
      <c r="Y4" s="283" t="s">
        <v>1130</v>
      </c>
      <c r="Z4" s="276" t="s">
        <v>1131</v>
      </c>
      <c r="AA4" s="276" t="s">
        <v>1130</v>
      </c>
      <c r="AB4" s="675"/>
      <c r="AC4" s="676"/>
      <c r="AF4" s="276"/>
      <c r="AG4" s="677"/>
      <c r="AH4" s="276"/>
      <c r="AI4" s="276"/>
      <c r="AJ4" s="276"/>
      <c r="AK4" s="276"/>
      <c r="AL4" s="276"/>
      <c r="AM4" s="276"/>
      <c r="AN4" s="276"/>
      <c r="AO4" s="675"/>
      <c r="AP4" s="676"/>
      <c r="AS4" s="276"/>
      <c r="AT4" s="677"/>
      <c r="AU4" s="276"/>
      <c r="AV4" s="276"/>
      <c r="AW4" s="276"/>
      <c r="AX4" s="276"/>
      <c r="AY4" s="276"/>
      <c r="AZ4" s="276"/>
      <c r="BA4" s="276"/>
      <c r="BB4" s="276" t="s">
        <v>1168</v>
      </c>
      <c r="BC4" s="276"/>
      <c r="BD4" s="276"/>
      <c r="BE4" s="276"/>
      <c r="BF4" s="276"/>
      <c r="BG4" s="276"/>
      <c r="BH4" s="276"/>
      <c r="BI4" s="276"/>
      <c r="BJ4" s="276"/>
      <c r="BK4" s="276" t="s">
        <v>1338</v>
      </c>
      <c r="BL4" s="276"/>
      <c r="BM4" s="276"/>
      <c r="BQ4" s="283" t="s">
        <v>1285</v>
      </c>
      <c r="BR4" s="283"/>
      <c r="BS4" s="283"/>
      <c r="BT4" s="283"/>
      <c r="BU4" s="283"/>
      <c r="BW4" s="283" t="s">
        <v>1338</v>
      </c>
      <c r="BX4" s="283"/>
      <c r="BY4" s="283"/>
      <c r="CB4" s="276" t="s">
        <v>1339</v>
      </c>
      <c r="CC4" s="276"/>
      <c r="CD4" s="276"/>
      <c r="CG4" s="276" t="s">
        <v>1338</v>
      </c>
      <c r="CH4" s="276"/>
      <c r="CI4" s="276"/>
    </row>
    <row r="5" spans="2:89" ht="21" thickBot="1">
      <c r="B5" s="770" t="s">
        <v>93</v>
      </c>
      <c r="C5" s="771" t="s">
        <v>0</v>
      </c>
      <c r="D5" s="771" t="s">
        <v>866</v>
      </c>
      <c r="E5" s="771" t="s">
        <v>892</v>
      </c>
      <c r="F5" s="931" t="s">
        <v>1276</v>
      </c>
      <c r="G5" s="967" t="s">
        <v>1277</v>
      </c>
      <c r="H5" s="93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479</v>
      </c>
      <c r="O5" s="695" t="s">
        <v>1216</v>
      </c>
      <c r="P5" s="695" t="s">
        <v>1217</v>
      </c>
      <c r="Q5" s="736" t="s">
        <v>1218</v>
      </c>
      <c r="R5" s="823" t="s">
        <v>1198</v>
      </c>
      <c r="S5" s="824" t="s">
        <v>1366</v>
      </c>
      <c r="T5" s="824" t="s">
        <v>776</v>
      </c>
      <c r="U5" s="825" t="s">
        <v>972</v>
      </c>
      <c r="V5" s="699" t="s">
        <v>1263</v>
      </c>
      <c r="W5" s="700" t="s">
        <v>1138</v>
      </c>
      <c r="X5" s="700" t="s">
        <v>1333</v>
      </c>
      <c r="Y5" s="700" t="s">
        <v>1148</v>
      </c>
      <c r="Z5" s="700" t="s">
        <v>1334</v>
      </c>
      <c r="AA5" s="701" t="s">
        <v>1335</v>
      </c>
      <c r="AB5" s="693" t="s">
        <v>1358</v>
      </c>
      <c r="AC5" s="694" t="s">
        <v>1357</v>
      </c>
      <c r="AD5" s="694" t="s">
        <v>1354</v>
      </c>
      <c r="AE5" s="694" t="s">
        <v>1355</v>
      </c>
      <c r="AF5" s="694" t="s">
        <v>1356</v>
      </c>
      <c r="AG5" s="695" t="s">
        <v>1359</v>
      </c>
      <c r="AH5" s="695" t="s">
        <v>1315</v>
      </c>
      <c r="AI5" s="736" t="s">
        <v>1316</v>
      </c>
      <c r="AJ5" s="736" t="s">
        <v>1314</v>
      </c>
      <c r="AK5" s="827" t="s">
        <v>1352</v>
      </c>
      <c r="AL5" s="828" t="s">
        <v>1360</v>
      </c>
      <c r="AM5" s="828" t="s">
        <v>1114</v>
      </c>
      <c r="AN5" s="829" t="s">
        <v>1115</v>
      </c>
      <c r="AO5" s="933" t="s">
        <v>1361</v>
      </c>
      <c r="AP5" s="694" t="s">
        <v>1127</v>
      </c>
      <c r="AQ5" s="694" t="s">
        <v>1323</v>
      </c>
      <c r="AR5" s="694" t="s">
        <v>1324</v>
      </c>
      <c r="AS5" s="694" t="s">
        <v>1325</v>
      </c>
      <c r="AT5" s="695" t="s">
        <v>1362</v>
      </c>
      <c r="AU5" s="696" t="s">
        <v>1363</v>
      </c>
      <c r="AV5" s="736" t="s">
        <v>1364</v>
      </c>
      <c r="AW5" s="736" t="s">
        <v>1365</v>
      </c>
      <c r="AX5" s="952" t="s">
        <v>1353</v>
      </c>
      <c r="AY5" s="617" t="s">
        <v>1116</v>
      </c>
      <c r="AZ5" s="617" t="s">
        <v>1117</v>
      </c>
      <c r="BA5" s="667" t="s">
        <v>1118</v>
      </c>
      <c r="BB5" s="934" t="s">
        <v>1336</v>
      </c>
      <c r="BC5" s="703" t="s">
        <v>1249</v>
      </c>
      <c r="BD5" s="703" t="s">
        <v>1250</v>
      </c>
      <c r="BE5" s="703" t="s">
        <v>1251</v>
      </c>
      <c r="BF5" s="703" t="s">
        <v>1252</v>
      </c>
      <c r="BG5" s="703" t="s">
        <v>1253</v>
      </c>
      <c r="BH5" s="703" t="s">
        <v>1254</v>
      </c>
      <c r="BI5" s="703" t="s">
        <v>1255</v>
      </c>
      <c r="BJ5" s="703" t="s">
        <v>1256</v>
      </c>
      <c r="BK5" s="712" t="s">
        <v>1133</v>
      </c>
      <c r="BL5" s="708" t="s">
        <v>1134</v>
      </c>
      <c r="BM5" s="708" t="s">
        <v>1135</v>
      </c>
      <c r="BN5" s="709" t="s">
        <v>1136</v>
      </c>
      <c r="BO5" s="710" t="s">
        <v>1137</v>
      </c>
      <c r="BP5" s="836" t="s">
        <v>1341</v>
      </c>
      <c r="BQ5" s="702" t="s">
        <v>920</v>
      </c>
      <c r="BR5" s="934" t="s">
        <v>921</v>
      </c>
      <c r="BS5" s="703" t="s">
        <v>923</v>
      </c>
      <c r="BT5" s="703" t="s">
        <v>924</v>
      </c>
      <c r="BU5" s="711" t="s">
        <v>964</v>
      </c>
      <c r="BV5" s="707" t="s">
        <v>1304</v>
      </c>
      <c r="BW5" s="708" t="s">
        <v>536</v>
      </c>
      <c r="BX5" s="708" t="s">
        <v>539</v>
      </c>
      <c r="BY5" s="709" t="s">
        <v>552</v>
      </c>
      <c r="BZ5" s="710" t="s">
        <v>538</v>
      </c>
      <c r="CA5" s="710" t="s">
        <v>1342</v>
      </c>
      <c r="CB5" s="702" t="s">
        <v>271</v>
      </c>
      <c r="CC5" s="703" t="s">
        <v>273</v>
      </c>
      <c r="CD5" s="711" t="s">
        <v>275</v>
      </c>
      <c r="CE5" s="711" t="s">
        <v>274</v>
      </c>
      <c r="CF5" s="707" t="s">
        <v>1343</v>
      </c>
      <c r="CG5" s="712" t="s">
        <v>353</v>
      </c>
      <c r="CH5" s="709" t="s">
        <v>354</v>
      </c>
      <c r="CI5" s="710" t="s">
        <v>365</v>
      </c>
      <c r="CJ5" s="710" t="s">
        <v>361</v>
      </c>
      <c r="CK5" s="710" t="s">
        <v>1196</v>
      </c>
    </row>
    <row r="6" spans="2:89" s="1" customFormat="1">
      <c r="B6" s="225" t="s">
        <v>214</v>
      </c>
      <c r="C6" s="219" t="s">
        <v>110</v>
      </c>
      <c r="D6" s="219">
        <v>13.25</v>
      </c>
      <c r="E6" s="219" t="s">
        <v>615</v>
      </c>
      <c r="F6" s="844" t="s">
        <v>54</v>
      </c>
      <c r="G6" s="968" t="s">
        <v>54</v>
      </c>
      <c r="H6" s="354" t="s">
        <v>1124</v>
      </c>
      <c r="I6" s="363"/>
      <c r="J6" s="372"/>
      <c r="K6" s="224"/>
      <c r="L6" s="224"/>
      <c r="M6" s="224"/>
      <c r="N6" s="381"/>
      <c r="O6" s="224"/>
      <c r="P6" s="224"/>
      <c r="Q6" s="224"/>
      <c r="R6" s="222">
        <f>COUNTA(SRH[[#This Row],[G29 cp]],SRH[[#This Row],[G25 cp]],SRH[[#This Row],[G19 cp]],SRH[[#This Row],[G14 cp]],SRH[[#This Row],[G10 cp]],SRH[[#This Row],[G4 cp]])</f>
        <v>6</v>
      </c>
      <c r="S6" s="336">
        <f>MAX(SRH[[#This Row],[G29 cp]],SRH[[#This Row],[G25 cp]],SRH[[#This Row],[G19 cp]],SRH[[#This Row],[G14 cp]],SRH[[#This Row],[G10 cp]],SRH[[#This Row],[G4 cp]])</f>
        <v>138</v>
      </c>
      <c r="T6" s="336">
        <f>( SUM(SRH[[#This Row],[G29 cp]],SRH[[#This Row],[G25 cp]],SRH[[#This Row],[G19 cp]],SRH[[#This Row],[G14 cp]],SRH[[#This Row],[G10 cp]],SRH[[#This Row],[G4 cp]]) - SRH[[#This Row],[Max2]]) / (SRH[[#This Row],[Innings]]-1)</f>
        <v>16.600000000000001</v>
      </c>
      <c r="U6" s="223">
        <f>MIN(SRH[[#This Row],[G29 cp]],SRH[[#This Row],[G25 cp]],SRH[[#This Row],[G19 cp]],SRH[[#This Row],[G14 cp]],SRH[[#This Row],[G10 cp]],SRH[[#This Row],[G4 cp]])</f>
        <v>7</v>
      </c>
      <c r="V6" s="222">
        <f>SRH[[#This Row],[G29 cp]]</f>
        <v>25</v>
      </c>
      <c r="W6" s="224">
        <f>SRH[[#This Row],[G25 cp]]</f>
        <v>15</v>
      </c>
      <c r="X6" s="224">
        <f>SRH[[#This Row],[G19 cp]]</f>
        <v>138</v>
      </c>
      <c r="Y6" s="224">
        <f>SRH[[#This Row],[G14 cp]]</f>
        <v>20</v>
      </c>
      <c r="Z6" s="224">
        <f>SRH[[#This Row],[G10 cp]]</f>
        <v>7</v>
      </c>
      <c r="AA6" s="223">
        <f>SRH[[#This Row],[G4 cp]]</f>
        <v>16</v>
      </c>
      <c r="AB6" s="363"/>
      <c r="AC6" s="372"/>
      <c r="AD6" s="224"/>
      <c r="AE6" s="224"/>
      <c r="AF6" s="224"/>
      <c r="AG6" s="381"/>
      <c r="AH6" s="224"/>
      <c r="AI6" s="224"/>
      <c r="AJ6" s="224"/>
      <c r="AK6" s="222">
        <f>COUNTA(SRH[[#This Row],[G29 cp]],SRH[[#This Row],[G19 cp]],SRH[[#This Row],[G10 cp]])</f>
        <v>3</v>
      </c>
      <c r="AL6" s="224">
        <f>MAX(SRH[[#This Row],[G29 cp]],SRH[[#This Row],[G19 cp]],SRH[[#This Row],[G10 cp]])</f>
        <v>138</v>
      </c>
      <c r="AM6" s="224">
        <f>( SUM(SRH[[#This Row],[G29 cp]],SRH[[#This Row],[G19 cp]],SRH[[#This Row],[G10 cp]]) - SRH[[#This Row],[B1 MAX2]]) / ( SRH[[#This Row],[B1 Innings]] - 1)</f>
        <v>16</v>
      </c>
      <c r="AN6" s="223">
        <f>MIN(SRH[[#This Row],[G29 cp]],SRH[[#This Row],[G19 cp]],SRH[[#This Row],[G10 cp]])</f>
        <v>7</v>
      </c>
      <c r="AO6" s="679"/>
      <c r="AP6" s="372"/>
      <c r="AQ6" s="224"/>
      <c r="AR6" s="224"/>
      <c r="AS6" s="224"/>
      <c r="AT6" s="381"/>
      <c r="AU6" s="223"/>
      <c r="AV6" s="224"/>
      <c r="AW6" s="224"/>
      <c r="AX6" s="222">
        <f>COUNTA(SRH[[#This Row],[G25 cp]],SRH[[#This Row],[G14 cp]],SRH[[#This Row],[G4 cp]])</f>
        <v>3</v>
      </c>
      <c r="AY6" s="224">
        <f>MAX(SRH[[#This Row],[G25 cp]],SRH[[#This Row],[G14 cp]],SRH[[#This Row],[G4 cp]])</f>
        <v>20</v>
      </c>
      <c r="AZ6" s="224">
        <f>( SUM(SRH[[#This Row],[G25 cp]],SRH[[#This Row],[G14 cp]],SRH[[#This Row],[G4 cp]]) -SRH[[#This Row],[CH MAX]]) / (SRH[[#This Row],[CHS Innings]]-1)</f>
        <v>15.5</v>
      </c>
      <c r="BA6" s="223">
        <f>MIN(SRH[[#This Row],[G25 cp]],SRH[[#This Row],[G14 cp]],SRH[[#This Row],[G4 cp]])</f>
        <v>15</v>
      </c>
      <c r="BB6" s="224">
        <v>1</v>
      </c>
      <c r="BC6" s="224" t="s">
        <v>1244</v>
      </c>
      <c r="BD6" s="224" t="s">
        <v>355</v>
      </c>
      <c r="BE6" s="224">
        <v>18</v>
      </c>
      <c r="BF6" s="224">
        <v>13</v>
      </c>
      <c r="BG6" s="224"/>
      <c r="BH6" s="224"/>
      <c r="BI6" s="224"/>
      <c r="BJ6" s="224">
        <v>25</v>
      </c>
      <c r="BK6" s="222">
        <v>1</v>
      </c>
      <c r="BL6" s="224" t="s">
        <v>767</v>
      </c>
      <c r="BM6" s="224">
        <v>9</v>
      </c>
      <c r="BN6" s="224">
        <v>7</v>
      </c>
      <c r="BO6" s="224"/>
      <c r="BP6" s="223">
        <v>15</v>
      </c>
      <c r="BQ6" s="222">
        <v>1</v>
      </c>
      <c r="BR6" s="224" t="s">
        <v>876</v>
      </c>
      <c r="BS6" s="224">
        <v>100</v>
      </c>
      <c r="BT6" s="224">
        <v>55</v>
      </c>
      <c r="BU6" s="224"/>
      <c r="BV6" s="223">
        <v>138</v>
      </c>
      <c r="BW6" s="224">
        <v>1</v>
      </c>
      <c r="BX6" s="224" t="s">
        <v>553</v>
      </c>
      <c r="BY6" s="224" t="s">
        <v>355</v>
      </c>
      <c r="BZ6" s="224"/>
      <c r="CA6" s="224">
        <v>20</v>
      </c>
      <c r="CB6" s="218">
        <v>5</v>
      </c>
      <c r="CC6" s="219" t="s">
        <v>282</v>
      </c>
      <c r="CD6" s="219" t="s">
        <v>283</v>
      </c>
      <c r="CE6" s="219"/>
      <c r="CF6" s="220">
        <v>7</v>
      </c>
      <c r="CG6" s="225">
        <v>4</v>
      </c>
      <c r="CH6" s="219" t="s">
        <v>529</v>
      </c>
      <c r="CI6" s="221" t="s">
        <v>517</v>
      </c>
      <c r="CJ6" s="221"/>
      <c r="CK6" s="112">
        <v>16</v>
      </c>
    </row>
    <row r="7" spans="2:89">
      <c r="B7" s="61" t="s">
        <v>214</v>
      </c>
      <c r="C7" s="6" t="s">
        <v>899</v>
      </c>
      <c r="D7" s="6">
        <v>6.5</v>
      </c>
      <c r="E7" s="6" t="s">
        <v>900</v>
      </c>
      <c r="F7" s="846" t="s">
        <v>55</v>
      </c>
      <c r="G7" s="969" t="s">
        <v>55</v>
      </c>
      <c r="H7" s="355" t="s">
        <v>1055</v>
      </c>
      <c r="I7" s="364"/>
      <c r="J7" s="373"/>
      <c r="K7" s="71"/>
      <c r="L7" s="71"/>
      <c r="M7" s="71"/>
      <c r="N7" s="382"/>
      <c r="O7" s="71"/>
      <c r="P7" s="71"/>
      <c r="Q7" s="71"/>
      <c r="R7" s="58">
        <f>COUNTA(SRH[[#This Row],[G29 cp]],SRH[[#This Row],[G25 cp]],SRH[[#This Row],[G19 cp]],SRH[[#This Row],[G14 cp]],SRH[[#This Row],[G10 cp]],SRH[[#This Row],[G4 cp]])</f>
        <v>4</v>
      </c>
      <c r="S7" s="260">
        <f>MAX(SRH[[#This Row],[G29 cp]],SRH[[#This Row],[G25 cp]],SRH[[#This Row],[G19 cp]],SRH[[#This Row],[G14 cp]],SRH[[#This Row],[G10 cp]],SRH[[#This Row],[G4 cp]])</f>
        <v>43</v>
      </c>
      <c r="T7" s="260">
        <f>( SUM(SRH[[#This Row],[G29 cp]],SRH[[#This Row],[G25 cp]],SRH[[#This Row],[G19 cp]],SRH[[#This Row],[G14 cp]],SRH[[#This Row],[G10 cp]],SRH[[#This Row],[G4 cp]]) - SRH[[#This Row],[Max2]]) / (SRH[[#This Row],[Innings]]-1)</f>
        <v>17.333333333333332</v>
      </c>
      <c r="U7" s="80">
        <f>MIN(SRH[[#This Row],[G29 cp]],SRH[[#This Row],[G25 cp]],SRH[[#This Row],[G19 cp]],SRH[[#This Row],[G14 cp]],SRH[[#This Row],[G10 cp]],SRH[[#This Row],[G4 cp]])</f>
        <v>-2</v>
      </c>
      <c r="V7" s="58">
        <f>SRH[[#This Row],[G29 cp]]</f>
        <v>43</v>
      </c>
      <c r="W7" s="71">
        <f>SRH[[#This Row],[G25 cp]]</f>
        <v>11</v>
      </c>
      <c r="X7" s="71">
        <f>IF(BV7 = "","",BV7)</f>
        <v>43</v>
      </c>
      <c r="Y7" s="71" t="str">
        <f>IF(CA7="","",CA7)</f>
        <v/>
      </c>
      <c r="Z7" s="71" t="str">
        <f>IF(CF7="","",CF7)</f>
        <v/>
      </c>
      <c r="AA7" s="80">
        <f>IF(CK7="","",CK7)</f>
        <v>-2</v>
      </c>
      <c r="AB7" s="364"/>
      <c r="AC7" s="373"/>
      <c r="AD7" s="71"/>
      <c r="AE7" s="71"/>
      <c r="AF7" s="71"/>
      <c r="AG7" s="382"/>
      <c r="AH7" s="71"/>
      <c r="AI7" s="71"/>
      <c r="AJ7" s="71"/>
      <c r="AK7" s="58">
        <f>COUNTA(SRH[[#This Row],[G29 cp]],SRH[[#This Row],[G19 cp]],SRH[[#This Row],[G10 cp]])</f>
        <v>2</v>
      </c>
      <c r="AL7" s="71">
        <f>MAX(SRH[[#This Row],[G29 cp]],SRH[[#This Row],[G19 cp]],SRH[[#This Row],[G10 cp]])</f>
        <v>43</v>
      </c>
      <c r="AM7" s="71">
        <f>( SUM(SRH[[#This Row],[G29 cp]],SRH[[#This Row],[G19 cp]],SRH[[#This Row],[G10 cp]]) - SRH[[#This Row],[B1 MAX2]]) / ( SRH[[#This Row],[B1 Innings]] - 1)</f>
        <v>43</v>
      </c>
      <c r="AN7" s="80">
        <f>MIN(SRH[[#This Row],[G29 cp]],SRH[[#This Row],[G19 cp]],SRH[[#This Row],[G10 cp]])</f>
        <v>43</v>
      </c>
      <c r="AO7" s="681"/>
      <c r="AP7" s="373"/>
      <c r="AQ7" s="71"/>
      <c r="AR7" s="71"/>
      <c r="AS7" s="71"/>
      <c r="AT7" s="382"/>
      <c r="AU7" s="80"/>
      <c r="AV7" s="71"/>
      <c r="AW7" s="71"/>
      <c r="AX7" s="58">
        <f>COUNTA(SRH[[#This Row],[G25 cp]],SRH[[#This Row],[G14 cp]],SRH[[#This Row],[G4 cp]])</f>
        <v>2</v>
      </c>
      <c r="AY7" s="71">
        <f>MAX(SRH[[#This Row],[G25 cp]],SRH[[#This Row],[G14 cp]],SRH[[#This Row],[G4 cp]])</f>
        <v>11</v>
      </c>
      <c r="AZ7" s="71">
        <f>( SUM(SRH[[#This Row],[G25 cp]],SRH[[#This Row],[G14 cp]],SRH[[#This Row],[G4 cp]]) -SRH[[#This Row],[CH MAX]]) / (SRH[[#This Row],[CHS Innings]]-1)</f>
        <v>-2</v>
      </c>
      <c r="BA7" s="80">
        <f>MIN(SRH[[#This Row],[G25 cp]],SRH[[#This Row],[G14 cp]],SRH[[#This Row],[G4 cp]])</f>
        <v>-2</v>
      </c>
      <c r="BB7" s="71">
        <v>2</v>
      </c>
      <c r="BC7" s="71" t="s">
        <v>1243</v>
      </c>
      <c r="BD7" s="71" t="s">
        <v>418</v>
      </c>
      <c r="BE7" s="71">
        <v>34</v>
      </c>
      <c r="BF7" s="71">
        <v>26</v>
      </c>
      <c r="BG7" s="71"/>
      <c r="BH7" s="71"/>
      <c r="BI7" s="71"/>
      <c r="BJ7" s="71">
        <v>43</v>
      </c>
      <c r="BK7" s="58">
        <v>5</v>
      </c>
      <c r="BL7" s="71" t="s">
        <v>768</v>
      </c>
      <c r="BM7" s="71">
        <v>1</v>
      </c>
      <c r="BN7" s="71">
        <v>2</v>
      </c>
      <c r="BO7" s="71"/>
      <c r="BP7" s="80">
        <v>11</v>
      </c>
      <c r="BQ7" s="58">
        <v>5</v>
      </c>
      <c r="BR7" s="71" t="s">
        <v>967</v>
      </c>
      <c r="BS7" s="71">
        <v>32</v>
      </c>
      <c r="BT7" s="71">
        <v>17</v>
      </c>
      <c r="BU7" s="71"/>
      <c r="BV7" s="80">
        <v>43</v>
      </c>
      <c r="BW7" s="71"/>
      <c r="BX7" s="71"/>
      <c r="BY7" s="71"/>
      <c r="BZ7" s="71"/>
      <c r="CA7" s="71"/>
      <c r="CB7" s="8"/>
      <c r="CC7" s="6"/>
      <c r="CD7" s="6"/>
      <c r="CE7" s="6"/>
      <c r="CF7" s="9"/>
      <c r="CG7" s="61">
        <v>1</v>
      </c>
      <c r="CH7" s="6" t="s">
        <v>468</v>
      </c>
      <c r="CI7" s="7" t="s">
        <v>522</v>
      </c>
      <c r="CJ7" s="7"/>
      <c r="CK7" s="7">
        <v>-2</v>
      </c>
    </row>
    <row r="8" spans="2:89">
      <c r="B8" s="62" t="s">
        <v>214</v>
      </c>
      <c r="C8" s="51" t="s">
        <v>106</v>
      </c>
      <c r="D8" s="51">
        <v>8.5</v>
      </c>
      <c r="E8" s="51"/>
      <c r="F8" s="845" t="s">
        <v>54</v>
      </c>
      <c r="G8" s="970" t="s">
        <v>54</v>
      </c>
      <c r="H8" s="353" t="s">
        <v>1055</v>
      </c>
      <c r="I8" s="362"/>
      <c r="J8" s="371"/>
      <c r="K8" s="118"/>
      <c r="L8" s="118"/>
      <c r="M8" s="118"/>
      <c r="N8" s="380"/>
      <c r="O8" s="118"/>
      <c r="P8" s="118"/>
      <c r="Q8" s="118"/>
      <c r="R8" s="59">
        <f>COUNTA(SRH[[#This Row],[G29 cp]],SRH[[#This Row],[G25 cp]],SRH[[#This Row],[G19 cp]],SRH[[#This Row],[G14 cp]],SRH[[#This Row],[G10 cp]],SRH[[#This Row],[G4 cp]])</f>
        <v>6</v>
      </c>
      <c r="S8" s="335">
        <f>MAX(SRH[[#This Row],[G29 cp]],SRH[[#This Row],[G25 cp]],SRH[[#This Row],[G19 cp]],SRH[[#This Row],[G14 cp]],SRH[[#This Row],[G10 cp]],SRH[[#This Row],[G4 cp]])</f>
        <v>106</v>
      </c>
      <c r="T8" s="335">
        <f>( SUM(SRH[[#This Row],[G29 cp]],SRH[[#This Row],[G25 cp]],SRH[[#This Row],[G19 cp]],SRH[[#This Row],[G14 cp]],SRH[[#This Row],[G10 cp]],SRH[[#This Row],[G4 cp]]) - SRH[[#This Row],[Max2]]) / (SRH[[#This Row],[Innings]]-1)</f>
        <v>20.6</v>
      </c>
      <c r="U8" s="107">
        <f>MIN(SRH[[#This Row],[G29 cp]],SRH[[#This Row],[G25 cp]],SRH[[#This Row],[G19 cp]],SRH[[#This Row],[G14 cp]],SRH[[#This Row],[G10 cp]],SRH[[#This Row],[G4 cp]])</f>
        <v>2</v>
      </c>
      <c r="V8" s="59">
        <f>SRH[[#This Row],[G29 cp]]</f>
        <v>28</v>
      </c>
      <c r="W8" s="118">
        <f>SRH[[#This Row],[G25 cp]]</f>
        <v>12</v>
      </c>
      <c r="X8" s="118">
        <f>IF(BV8 = "","",BV8)</f>
        <v>15</v>
      </c>
      <c r="Y8" s="118">
        <f>IF(CA8="","",CA8)</f>
        <v>106</v>
      </c>
      <c r="Z8" s="118">
        <f>IF(CF8="","",CF8)</f>
        <v>46</v>
      </c>
      <c r="AA8" s="107">
        <f>IF(CK8="","",CK8)</f>
        <v>2</v>
      </c>
      <c r="AB8" s="362"/>
      <c r="AC8" s="371"/>
      <c r="AD8" s="118"/>
      <c r="AE8" s="118"/>
      <c r="AF8" s="118"/>
      <c r="AG8" s="380"/>
      <c r="AH8" s="118"/>
      <c r="AI8" s="118"/>
      <c r="AJ8" s="118"/>
      <c r="AK8" s="59">
        <f>COUNTA(SRH[[#This Row],[G29 cp]],SRH[[#This Row],[G19 cp]],SRH[[#This Row],[G10 cp]])</f>
        <v>3</v>
      </c>
      <c r="AL8" s="118">
        <f>MAX(SRH[[#This Row],[G29 cp]],SRH[[#This Row],[G19 cp]],SRH[[#This Row],[G10 cp]])</f>
        <v>46</v>
      </c>
      <c r="AM8" s="118">
        <f>( SUM(SRH[[#This Row],[G29 cp]],SRH[[#This Row],[G19 cp]],SRH[[#This Row],[G10 cp]]) - SRH[[#This Row],[B1 MAX2]]) / ( SRH[[#This Row],[B1 Innings]] - 1)</f>
        <v>21.5</v>
      </c>
      <c r="AN8" s="107">
        <f>MIN(SRH[[#This Row],[G29 cp]],SRH[[#This Row],[G19 cp]],SRH[[#This Row],[G10 cp]])</f>
        <v>15</v>
      </c>
      <c r="AO8" s="680"/>
      <c r="AP8" s="371"/>
      <c r="AQ8" s="118"/>
      <c r="AR8" s="118"/>
      <c r="AS8" s="118"/>
      <c r="AT8" s="380"/>
      <c r="AU8" s="107"/>
      <c r="AV8" s="118"/>
      <c r="AW8" s="118"/>
      <c r="AX8" s="59">
        <f>COUNTA(SRH[[#This Row],[G25 cp]],SRH[[#This Row],[G14 cp]],SRH[[#This Row],[G4 cp]])</f>
        <v>3</v>
      </c>
      <c r="AY8" s="118">
        <f>MAX(SRH[[#This Row],[G25 cp]],SRH[[#This Row],[G14 cp]],SRH[[#This Row],[G4 cp]])</f>
        <v>106</v>
      </c>
      <c r="AZ8" s="118">
        <f>( SUM(SRH[[#This Row],[G25 cp]],SRH[[#This Row],[G14 cp]],SRH[[#This Row],[G4 cp]]) -SRH[[#This Row],[CH MAX]]) / (SRH[[#This Row],[CHS Innings]]-1)</f>
        <v>7</v>
      </c>
      <c r="BA8" s="107">
        <f>MIN(SRH[[#This Row],[G25 cp]],SRH[[#This Row],[G14 cp]],SRH[[#This Row],[G4 cp]])</f>
        <v>2</v>
      </c>
      <c r="BB8" s="118">
        <v>3</v>
      </c>
      <c r="BC8" s="118" t="s">
        <v>1243</v>
      </c>
      <c r="BD8" s="118" t="s">
        <v>418</v>
      </c>
      <c r="BE8" s="118">
        <v>21</v>
      </c>
      <c r="BF8" s="118">
        <v>21</v>
      </c>
      <c r="BG8" s="118"/>
      <c r="BH8" s="118"/>
      <c r="BI8" s="118"/>
      <c r="BJ8" s="118">
        <v>28</v>
      </c>
      <c r="BK8" s="59">
        <v>3</v>
      </c>
      <c r="BL8" s="118" t="s">
        <v>767</v>
      </c>
      <c r="BM8" s="118">
        <v>7</v>
      </c>
      <c r="BN8" s="118">
        <v>5</v>
      </c>
      <c r="BO8" s="118"/>
      <c r="BP8" s="107">
        <v>12</v>
      </c>
      <c r="BQ8" s="59">
        <v>3</v>
      </c>
      <c r="BR8" s="118" t="s">
        <v>967</v>
      </c>
      <c r="BS8" s="118">
        <v>9</v>
      </c>
      <c r="BT8" s="118">
        <v>4</v>
      </c>
      <c r="BU8" s="118"/>
      <c r="BV8" s="107">
        <v>15</v>
      </c>
      <c r="BW8" s="118">
        <v>3</v>
      </c>
      <c r="BX8" s="118" t="s">
        <v>556</v>
      </c>
      <c r="BY8" s="118" t="s">
        <v>327</v>
      </c>
      <c r="BZ8" s="118"/>
      <c r="CA8" s="118">
        <v>106</v>
      </c>
      <c r="CB8" s="50">
        <v>3</v>
      </c>
      <c r="CC8" s="51" t="s">
        <v>278</v>
      </c>
      <c r="CD8" s="51" t="s">
        <v>277</v>
      </c>
      <c r="CE8" s="51"/>
      <c r="CF8" s="52">
        <v>46</v>
      </c>
      <c r="CG8" s="62">
        <v>3</v>
      </c>
      <c r="CH8" s="51" t="s">
        <v>471</v>
      </c>
      <c r="CI8" s="73" t="s">
        <v>522</v>
      </c>
      <c r="CJ8" s="73"/>
      <c r="CK8" s="73">
        <v>2</v>
      </c>
    </row>
    <row r="9" spans="2:89">
      <c r="B9" s="225" t="s">
        <v>214</v>
      </c>
      <c r="C9" s="219" t="s">
        <v>107</v>
      </c>
      <c r="D9" s="219">
        <v>2.6</v>
      </c>
      <c r="E9" s="219" t="s">
        <v>616</v>
      </c>
      <c r="F9" s="844" t="s">
        <v>54</v>
      </c>
      <c r="G9" s="968" t="s">
        <v>55</v>
      </c>
      <c r="H9" s="354" t="s">
        <v>1055</v>
      </c>
      <c r="I9" s="363"/>
      <c r="J9" s="372"/>
      <c r="K9" s="224"/>
      <c r="L9" s="224"/>
      <c r="M9" s="224"/>
      <c r="N9" s="381"/>
      <c r="O9" s="224"/>
      <c r="P9" s="224"/>
      <c r="Q9" s="224"/>
      <c r="R9" s="222">
        <f>COUNTA(SRH[[#This Row],[G29 cp]],SRH[[#This Row],[G25 cp]],SRH[[#This Row],[G19 cp]],SRH[[#This Row],[G14 cp]],SRH[[#This Row],[G10 cp]],SRH[[#This Row],[G4 cp]])</f>
        <v>5</v>
      </c>
      <c r="S9" s="336">
        <f>MAX(SRH[[#This Row],[G29 cp]],SRH[[#This Row],[G25 cp]],SRH[[#This Row],[G19 cp]],SRH[[#This Row],[G14 cp]],SRH[[#This Row],[G10 cp]],SRH[[#This Row],[G4 cp]])</f>
        <v>90</v>
      </c>
      <c r="T9" s="336">
        <f>( SUM(SRH[[#This Row],[G29 cp]],SRH[[#This Row],[G25 cp]],SRH[[#This Row],[G19 cp]],SRH[[#This Row],[G14 cp]],SRH[[#This Row],[G10 cp]],SRH[[#This Row],[G4 cp]]) - SRH[[#This Row],[Max2]]) / (SRH[[#This Row],[Innings]]-1)</f>
        <v>36.25</v>
      </c>
      <c r="U9" s="223">
        <f>MIN(SRH[[#This Row],[G29 cp]],SRH[[#This Row],[G25 cp]],SRH[[#This Row],[G19 cp]],SRH[[#This Row],[G14 cp]],SRH[[#This Row],[G10 cp]],SRH[[#This Row],[G4 cp]])</f>
        <v>2</v>
      </c>
      <c r="V9" s="222">
        <f>SRH[[#This Row],[G29 cp]]</f>
        <v>25</v>
      </c>
      <c r="W9" s="224">
        <f>SRH[[#This Row],[G25 cp]]</f>
        <v>53</v>
      </c>
      <c r="X9" s="224">
        <f>IF(BV9 = "","",BV9)</f>
        <v>90</v>
      </c>
      <c r="Y9" s="224">
        <f>IF(CA9="","",CA9)</f>
        <v>65</v>
      </c>
      <c r="Z9" s="224">
        <f>IF(CF9="","",CF9)</f>
        <v>2</v>
      </c>
      <c r="AA9" s="223" t="str">
        <f>IF(CK9="","",CK9)</f>
        <v/>
      </c>
      <c r="AB9" s="363"/>
      <c r="AC9" s="372"/>
      <c r="AD9" s="224"/>
      <c r="AE9" s="224"/>
      <c r="AF9" s="224"/>
      <c r="AG9" s="381"/>
      <c r="AH9" s="224"/>
      <c r="AI9" s="224"/>
      <c r="AJ9" s="224"/>
      <c r="AK9" s="222">
        <f>COUNTA(SRH[[#This Row],[G29 cp]],SRH[[#This Row],[G19 cp]],SRH[[#This Row],[G10 cp]])</f>
        <v>3</v>
      </c>
      <c r="AL9" s="224">
        <f>MAX(SRH[[#This Row],[G29 cp]],SRH[[#This Row],[G19 cp]],SRH[[#This Row],[G10 cp]])</f>
        <v>90</v>
      </c>
      <c r="AM9" s="224">
        <f>( SUM(SRH[[#This Row],[G29 cp]],SRH[[#This Row],[G19 cp]],SRH[[#This Row],[G10 cp]]) - SRH[[#This Row],[B1 MAX2]]) / ( SRH[[#This Row],[B1 Innings]] - 1)</f>
        <v>13.5</v>
      </c>
      <c r="AN9" s="223">
        <f>MIN(SRH[[#This Row],[G29 cp]],SRH[[#This Row],[G19 cp]],SRH[[#This Row],[G10 cp]])</f>
        <v>2</v>
      </c>
      <c r="AO9" s="679"/>
      <c r="AP9" s="372"/>
      <c r="AQ9" s="224"/>
      <c r="AR9" s="224"/>
      <c r="AS9" s="224"/>
      <c r="AT9" s="381"/>
      <c r="AU9" s="223"/>
      <c r="AV9" s="224"/>
      <c r="AW9" s="224"/>
      <c r="AX9" s="222">
        <f>COUNTA(SRH[[#This Row],[G25 cp]],SRH[[#This Row],[G14 cp]],SRH[[#This Row],[G4 cp]])</f>
        <v>2</v>
      </c>
      <c r="AY9" s="224">
        <f>MAX(SRH[[#This Row],[G25 cp]],SRH[[#This Row],[G14 cp]],SRH[[#This Row],[G4 cp]])</f>
        <v>65</v>
      </c>
      <c r="AZ9" s="224">
        <f>( SUM(SRH[[#This Row],[G25 cp]],SRH[[#This Row],[G14 cp]],SRH[[#This Row],[G4 cp]]) -SRH[[#This Row],[CH MAX]]) / (SRH[[#This Row],[CHS Innings]]-1)</f>
        <v>53</v>
      </c>
      <c r="BA9" s="223">
        <f>MIN(SRH[[#This Row],[G25 cp]],SRH[[#This Row],[G14 cp]],SRH[[#This Row],[G4 cp]])</f>
        <v>53</v>
      </c>
      <c r="BB9" s="224">
        <v>4</v>
      </c>
      <c r="BC9" s="224" t="s">
        <v>1346</v>
      </c>
      <c r="BD9" s="224" t="s">
        <v>1344</v>
      </c>
      <c r="BE9" s="224">
        <v>12</v>
      </c>
      <c r="BF9" s="224">
        <v>12</v>
      </c>
      <c r="BG9" s="224">
        <v>1</v>
      </c>
      <c r="BH9" s="224">
        <v>11</v>
      </c>
      <c r="BI9" s="224">
        <v>0</v>
      </c>
      <c r="BJ9" s="224">
        <v>25</v>
      </c>
      <c r="BK9" s="222">
        <v>4</v>
      </c>
      <c r="BL9" s="224" t="s">
        <v>486</v>
      </c>
      <c r="BM9" s="224">
        <v>22</v>
      </c>
      <c r="BN9" s="224">
        <v>17</v>
      </c>
      <c r="BO9" s="224"/>
      <c r="BP9" s="223">
        <v>53</v>
      </c>
      <c r="BQ9" s="222">
        <v>4</v>
      </c>
      <c r="BR9" s="224" t="s">
        <v>489</v>
      </c>
      <c r="BS9" s="224">
        <v>50</v>
      </c>
      <c r="BT9" s="224">
        <v>26</v>
      </c>
      <c r="BU9" s="224"/>
      <c r="BV9" s="223">
        <v>90</v>
      </c>
      <c r="BW9" s="224">
        <v>4</v>
      </c>
      <c r="BX9" s="224" t="s">
        <v>557</v>
      </c>
      <c r="BY9" s="224" t="s">
        <v>327</v>
      </c>
      <c r="BZ9" s="224"/>
      <c r="CA9" s="224">
        <v>65</v>
      </c>
      <c r="CB9" s="218">
        <v>4</v>
      </c>
      <c r="CC9" s="219" t="s">
        <v>280</v>
      </c>
      <c r="CD9" s="219" t="s">
        <v>276</v>
      </c>
      <c r="CE9" s="219" t="s">
        <v>311</v>
      </c>
      <c r="CF9" s="220">
        <v>2</v>
      </c>
      <c r="CG9" s="225"/>
      <c r="CH9" s="219"/>
      <c r="CI9" s="221"/>
      <c r="CJ9" s="221"/>
      <c r="CK9" s="221"/>
    </row>
    <row r="10" spans="2:89">
      <c r="B10" s="929" t="s">
        <v>214</v>
      </c>
      <c r="C10" s="339" t="s">
        <v>112</v>
      </c>
      <c r="D10" s="339">
        <v>5.25</v>
      </c>
      <c r="E10" s="339" t="s">
        <v>616</v>
      </c>
      <c r="F10" s="847" t="s">
        <v>75</v>
      </c>
      <c r="G10" s="971" t="s">
        <v>75</v>
      </c>
      <c r="H10" s="356" t="s">
        <v>1007</v>
      </c>
      <c r="I10" s="365"/>
      <c r="J10" s="374"/>
      <c r="K10" s="344"/>
      <c r="L10" s="344"/>
      <c r="M10" s="344"/>
      <c r="N10" s="383"/>
      <c r="O10" s="344"/>
      <c r="P10" s="344"/>
      <c r="Q10" s="344"/>
      <c r="R10" s="341">
        <f>COUNTA(SRH[[#This Row],[G29 cp]],SRH[[#This Row],[G25 cp]],SRH[[#This Row],[G19 cp]],SRH[[#This Row],[G14 cp]],SRH[[#This Row],[G10 cp]],SRH[[#This Row],[G4 cp]])</f>
        <v>4</v>
      </c>
      <c r="S10" s="342">
        <f>MAX(SRH[[#This Row],[G29 cp]],SRH[[#This Row],[G25 cp]],SRH[[#This Row],[G19 cp]],SRH[[#This Row],[G14 cp]],SRH[[#This Row],[G10 cp]],SRH[[#This Row],[G4 cp]])</f>
        <v>48</v>
      </c>
      <c r="T10" s="342">
        <f>( SUM(SRH[[#This Row],[G29 cp]],SRH[[#This Row],[G25 cp]],SRH[[#This Row],[G19 cp]],SRH[[#This Row],[G14 cp]],SRH[[#This Row],[G10 cp]],SRH[[#This Row],[G4 cp]]) - SRH[[#This Row],[Max2]]) / (SRH[[#This Row],[Innings]]-1)</f>
        <v>16.666666666666668</v>
      </c>
      <c r="U10" s="343">
        <f>MIN(SRH[[#This Row],[G29 cp]],SRH[[#This Row],[G25 cp]],SRH[[#This Row],[G19 cp]],SRH[[#This Row],[G14 cp]],SRH[[#This Row],[G10 cp]],SRH[[#This Row],[G4 cp]])</f>
        <v>4</v>
      </c>
      <c r="V10" s="341">
        <f>SRH[[#This Row],[G29 cp]]</f>
        <v>22</v>
      </c>
      <c r="W10" s="344">
        <f>SRH[[#This Row],[G25 cp]]</f>
        <v>48</v>
      </c>
      <c r="X10" s="344">
        <f>IF(BV10 = "","",BV10)</f>
        <v>24</v>
      </c>
      <c r="Y10" s="344">
        <f>IF(CA10="","",CA10)</f>
        <v>4</v>
      </c>
      <c r="Z10" s="344" t="str">
        <f>IF(CF10="","",CF10)</f>
        <v/>
      </c>
      <c r="AA10" s="343" t="str">
        <f>IF(CK10="","",CK10)</f>
        <v/>
      </c>
      <c r="AB10" s="365"/>
      <c r="AC10" s="374"/>
      <c r="AD10" s="344"/>
      <c r="AE10" s="344"/>
      <c r="AF10" s="344"/>
      <c r="AG10" s="383"/>
      <c r="AH10" s="344"/>
      <c r="AI10" s="344"/>
      <c r="AJ10" s="344"/>
      <c r="AK10" s="341">
        <f>COUNTA(SRH[[#This Row],[G29 cp]],SRH[[#This Row],[G19 cp]],SRH[[#This Row],[G10 cp]])</f>
        <v>2</v>
      </c>
      <c r="AL10" s="344">
        <f>MAX(SRH[[#This Row],[G29 cp]],SRH[[#This Row],[G19 cp]],SRH[[#This Row],[G10 cp]])</f>
        <v>24</v>
      </c>
      <c r="AM10" s="344">
        <f>( SUM(SRH[[#This Row],[G29 cp]],SRH[[#This Row],[G19 cp]],SRH[[#This Row],[G10 cp]]) - SRH[[#This Row],[B1 MAX2]]) / ( SRH[[#This Row],[B1 Innings]] - 1)</f>
        <v>22</v>
      </c>
      <c r="AN10" s="343">
        <f>MIN(SRH[[#This Row],[G29 cp]],SRH[[#This Row],[G19 cp]],SRH[[#This Row],[G10 cp]])</f>
        <v>22</v>
      </c>
      <c r="AO10" s="682"/>
      <c r="AP10" s="374"/>
      <c r="AQ10" s="344"/>
      <c r="AR10" s="344"/>
      <c r="AS10" s="344"/>
      <c r="AT10" s="383"/>
      <c r="AU10" s="343"/>
      <c r="AV10" s="344"/>
      <c r="AW10" s="344"/>
      <c r="AX10" s="341">
        <f>COUNTA(SRH[[#This Row],[G25 cp]],SRH[[#This Row],[G14 cp]],SRH[[#This Row],[G4 cp]])</f>
        <v>2</v>
      </c>
      <c r="AY10" s="344">
        <f>MAX(SRH[[#This Row],[G25 cp]],SRH[[#This Row],[G14 cp]],SRH[[#This Row],[G4 cp]])</f>
        <v>48</v>
      </c>
      <c r="AZ10" s="344">
        <f>( SUM(SRH[[#This Row],[G25 cp]],SRH[[#This Row],[G14 cp]],SRH[[#This Row],[G4 cp]]) -SRH[[#This Row],[CH MAX]]) / (SRH[[#This Row],[CHS Innings]]-1)</f>
        <v>4</v>
      </c>
      <c r="BA10" s="343">
        <f>MIN(SRH[[#This Row],[G25 cp]],SRH[[#This Row],[G14 cp]],SRH[[#This Row],[G4 cp]])</f>
        <v>4</v>
      </c>
      <c r="BB10" s="344">
        <v>5</v>
      </c>
      <c r="BC10" s="344" t="s">
        <v>1312</v>
      </c>
      <c r="BD10" s="344" t="s">
        <v>1345</v>
      </c>
      <c r="BE10" s="344">
        <v>17</v>
      </c>
      <c r="BF10" s="344">
        <v>16</v>
      </c>
      <c r="BG10" s="344"/>
      <c r="BH10" s="344"/>
      <c r="BI10" s="344"/>
      <c r="BJ10" s="344">
        <v>22</v>
      </c>
      <c r="BK10" s="341">
        <v>6</v>
      </c>
      <c r="BL10" s="344" t="s">
        <v>768</v>
      </c>
      <c r="BM10" s="344">
        <v>36</v>
      </c>
      <c r="BN10" s="344">
        <v>16</v>
      </c>
      <c r="BO10" s="344"/>
      <c r="BP10" s="343">
        <v>48</v>
      </c>
      <c r="BQ10" s="341">
        <v>6</v>
      </c>
      <c r="BR10" s="344" t="s">
        <v>876</v>
      </c>
      <c r="BS10" s="344">
        <v>16</v>
      </c>
      <c r="BT10" s="344">
        <v>6</v>
      </c>
      <c r="BU10" s="344"/>
      <c r="BV10" s="343">
        <v>24</v>
      </c>
      <c r="BW10" s="344">
        <v>5</v>
      </c>
      <c r="BX10" s="344"/>
      <c r="BY10" s="344"/>
      <c r="BZ10" s="344"/>
      <c r="CA10" s="344">
        <v>4</v>
      </c>
      <c r="CB10" s="338"/>
      <c r="CC10" s="339"/>
      <c r="CD10" s="339"/>
      <c r="CE10" s="339"/>
      <c r="CF10" s="340"/>
      <c r="CG10" s="345"/>
      <c r="CH10" s="334"/>
      <c r="CI10" s="346"/>
      <c r="CJ10" s="346"/>
      <c r="CK10" s="346"/>
    </row>
    <row r="11" spans="2:89" s="347" customFormat="1">
      <c r="B11" s="62" t="s">
        <v>214</v>
      </c>
      <c r="C11" s="51" t="s">
        <v>111</v>
      </c>
      <c r="D11" s="51">
        <v>8.25</v>
      </c>
      <c r="E11" s="51"/>
      <c r="F11" s="845" t="s">
        <v>54</v>
      </c>
      <c r="G11" s="970" t="s">
        <v>54</v>
      </c>
      <c r="H11" s="353" t="s">
        <v>1055</v>
      </c>
      <c r="I11" s="362"/>
      <c r="J11" s="371"/>
      <c r="K11" s="118"/>
      <c r="L11" s="118"/>
      <c r="M11" s="118"/>
      <c r="N11" s="380"/>
      <c r="O11" s="118"/>
      <c r="P11" s="118"/>
      <c r="Q11" s="118"/>
      <c r="R11" s="59">
        <f>COUNTA(SRH[[#This Row],[G29 cp]],SRH[[#This Row],[G25 cp]],SRH[[#This Row],[G19 cp]],SRH[[#This Row],[G14 cp]],SRH[[#This Row],[G10 cp]],SRH[[#This Row],[G4 cp]])</f>
        <v>6</v>
      </c>
      <c r="S11" s="335">
        <f>MAX(SRH[[#This Row],[G29 cp]],SRH[[#This Row],[G25 cp]],SRH[[#This Row],[G19 cp]],SRH[[#This Row],[G14 cp]],SRH[[#This Row],[G10 cp]],SRH[[#This Row],[G4 cp]])</f>
        <v>66</v>
      </c>
      <c r="T11" s="335">
        <f>( SUM(SRH[[#This Row],[G29 cp]],SRH[[#This Row],[G25 cp]],SRH[[#This Row],[G19 cp]],SRH[[#This Row],[G14 cp]],SRH[[#This Row],[G10 cp]],SRH[[#This Row],[G4 cp]]) - SRH[[#This Row],[Max2]]) / (SRH[[#This Row],[Innings]]-1)</f>
        <v>28.4</v>
      </c>
      <c r="U11" s="107">
        <f>MIN(SRH[[#This Row],[G29 cp]],SRH[[#This Row],[G25 cp]],SRH[[#This Row],[G19 cp]],SRH[[#This Row],[G14 cp]],SRH[[#This Row],[G10 cp]],SRH[[#This Row],[G4 cp]])</f>
        <v>6</v>
      </c>
      <c r="V11" s="59">
        <f>SRH[[#This Row],[G29 cp]]</f>
        <v>6</v>
      </c>
      <c r="W11" s="118">
        <f>SRH[[#This Row],[G25 cp]]</f>
        <v>66</v>
      </c>
      <c r="X11" s="118">
        <f>BV11</f>
        <v>11</v>
      </c>
      <c r="Y11" s="118">
        <f>CA11</f>
        <v>36</v>
      </c>
      <c r="Z11" s="118">
        <f>CF11</f>
        <v>47</v>
      </c>
      <c r="AA11" s="107">
        <f>CK11</f>
        <v>42</v>
      </c>
      <c r="AB11" s="362"/>
      <c r="AC11" s="371"/>
      <c r="AD11" s="118"/>
      <c r="AE11" s="118"/>
      <c r="AF11" s="118"/>
      <c r="AG11" s="380"/>
      <c r="AH11" s="118"/>
      <c r="AI11" s="118"/>
      <c r="AJ11" s="118"/>
      <c r="AK11" s="59">
        <f>COUNTA(SRH[[#This Row],[G29 cp]],SRH[[#This Row],[G19 cp]],SRH[[#This Row],[G10 cp]])</f>
        <v>3</v>
      </c>
      <c r="AL11" s="118">
        <f>MAX(SRH[[#This Row],[G29 cp]],SRH[[#This Row],[G19 cp]],SRH[[#This Row],[G10 cp]])</f>
        <v>47</v>
      </c>
      <c r="AM11" s="118">
        <f>( SUM(SRH[[#This Row],[G29 cp]],SRH[[#This Row],[G19 cp]],SRH[[#This Row],[G10 cp]]) - SRH[[#This Row],[B1 MAX2]]) / ( SRH[[#This Row],[B1 Innings]] - 1)</f>
        <v>8.5</v>
      </c>
      <c r="AN11" s="107">
        <f>MIN(SRH[[#This Row],[G29 cp]],SRH[[#This Row],[G19 cp]],SRH[[#This Row],[G10 cp]])</f>
        <v>6</v>
      </c>
      <c r="AO11" s="680"/>
      <c r="AP11" s="371"/>
      <c r="AQ11" s="118"/>
      <c r="AR11" s="118"/>
      <c r="AS11" s="118"/>
      <c r="AT11" s="380"/>
      <c r="AU11" s="107"/>
      <c r="AV11" s="118"/>
      <c r="AW11" s="118"/>
      <c r="AX11" s="59">
        <f>COUNTA(SRH[[#This Row],[G25 cp]],SRH[[#This Row],[G14 cp]],SRH[[#This Row],[G4 cp]])</f>
        <v>3</v>
      </c>
      <c r="AY11" s="118">
        <f>MAX(SRH[[#This Row],[G25 cp]],SRH[[#This Row],[G14 cp]],SRH[[#This Row],[G4 cp]])</f>
        <v>66</v>
      </c>
      <c r="AZ11" s="118">
        <f>( SUM(SRH[[#This Row],[G25 cp]],SRH[[#This Row],[G14 cp]],SRH[[#This Row],[G4 cp]]) -SRH[[#This Row],[CH MAX]]) / (SRH[[#This Row],[CHS Innings]]-1)</f>
        <v>39</v>
      </c>
      <c r="BA11" s="107">
        <f>MIN(SRH[[#This Row],[G25 cp]],SRH[[#This Row],[G14 cp]],SRH[[#This Row],[G4 cp]])</f>
        <v>36</v>
      </c>
      <c r="BB11" s="118">
        <v>6</v>
      </c>
      <c r="BC11" s="118" t="s">
        <v>1243</v>
      </c>
      <c r="BD11" s="118" t="s">
        <v>418</v>
      </c>
      <c r="BE11" s="118">
        <v>2</v>
      </c>
      <c r="BF11" s="118">
        <v>4</v>
      </c>
      <c r="BG11" s="118"/>
      <c r="BH11" s="118"/>
      <c r="BI11" s="118"/>
      <c r="BJ11" s="118">
        <v>6</v>
      </c>
      <c r="BK11" s="59">
        <v>2</v>
      </c>
      <c r="BL11" s="118" t="s">
        <v>798</v>
      </c>
      <c r="BM11" s="118">
        <v>48</v>
      </c>
      <c r="BN11" s="118">
        <v>41</v>
      </c>
      <c r="BO11" s="118"/>
      <c r="BP11" s="107">
        <v>66</v>
      </c>
      <c r="BQ11" s="59">
        <v>2</v>
      </c>
      <c r="BR11" s="118" t="s">
        <v>967</v>
      </c>
      <c r="BS11" s="118">
        <v>9</v>
      </c>
      <c r="BT11" s="118">
        <v>13</v>
      </c>
      <c r="BU11" s="118"/>
      <c r="BV11" s="107">
        <v>11</v>
      </c>
      <c r="BW11" s="118">
        <v>2</v>
      </c>
      <c r="BX11" s="118" t="s">
        <v>554</v>
      </c>
      <c r="BY11" s="118" t="s">
        <v>555</v>
      </c>
      <c r="BZ11" s="118"/>
      <c r="CA11" s="118">
        <v>36</v>
      </c>
      <c r="CB11" s="50">
        <v>2</v>
      </c>
      <c r="CC11" s="77" t="s">
        <v>279</v>
      </c>
      <c r="CD11" s="51" t="s">
        <v>276</v>
      </c>
      <c r="CE11" s="51"/>
      <c r="CF11" s="52">
        <v>47</v>
      </c>
      <c r="CG11" s="62">
        <v>2</v>
      </c>
      <c r="CH11" s="51" t="s">
        <v>530</v>
      </c>
      <c r="CI11" s="73" t="s">
        <v>517</v>
      </c>
      <c r="CJ11" s="51"/>
      <c r="CK11" s="112">
        <v>42</v>
      </c>
    </row>
    <row r="12" spans="2:89">
      <c r="B12" s="152" t="s">
        <v>214</v>
      </c>
      <c r="C12" s="148" t="s">
        <v>893</v>
      </c>
      <c r="D12" s="148">
        <v>4.2</v>
      </c>
      <c r="E12" s="148" t="s">
        <v>616</v>
      </c>
      <c r="F12" s="848" t="s">
        <v>55</v>
      </c>
      <c r="G12" s="972" t="s">
        <v>56</v>
      </c>
      <c r="H12" s="357" t="s">
        <v>1007</v>
      </c>
      <c r="I12" s="366"/>
      <c r="J12" s="375"/>
      <c r="K12" s="150"/>
      <c r="L12" s="150"/>
      <c r="M12" s="150"/>
      <c r="N12" s="384"/>
      <c r="O12" s="150"/>
      <c r="P12" s="150"/>
      <c r="Q12" s="150"/>
      <c r="R12" s="207">
        <f>COUNTA(SRH[[#This Row],[G29 cp]],SRH[[#This Row],[G25 cp]],SRH[[#This Row],[G19 cp]],SRH[[#This Row],[G14 cp]],SRH[[#This Row],[G10 cp]],SRH[[#This Row],[G4 cp]])</f>
        <v>3</v>
      </c>
      <c r="S12" s="272">
        <f>MAX(SRH[[#This Row],[G29 cp]],SRH[[#This Row],[G25 cp]],SRH[[#This Row],[G19 cp]],SRH[[#This Row],[G14 cp]],SRH[[#This Row],[G10 cp]],SRH[[#This Row],[G4 cp]])</f>
        <v>78</v>
      </c>
      <c r="T12" s="272">
        <f>( SUM(SRH[[#This Row],[G29 cp]],SRH[[#This Row],[G25 cp]],SRH[[#This Row],[G19 cp]],SRH[[#This Row],[G14 cp]],SRH[[#This Row],[G10 cp]],SRH[[#This Row],[G4 cp]]) - SRH[[#This Row],[Max2]]) / (SRH[[#This Row],[Innings]]-1)</f>
        <v>66</v>
      </c>
      <c r="U12" s="208">
        <f>MIN(SRH[[#This Row],[G29 cp]],SRH[[#This Row],[G25 cp]],SRH[[#This Row],[G19 cp]],SRH[[#This Row],[G14 cp]],SRH[[#This Row],[G10 cp]],SRH[[#This Row],[G4 cp]])</f>
        <v>62</v>
      </c>
      <c r="V12" s="207">
        <f>SRH[[#This Row],[G29 cp]]</f>
        <v>0</v>
      </c>
      <c r="W12" s="150">
        <f>SRH[[#This Row],[G25 cp]]</f>
        <v>70</v>
      </c>
      <c r="X12" s="150">
        <f t="shared" ref="X12:X30" si="0">IF(BV12 = "","",BV12)</f>
        <v>62</v>
      </c>
      <c r="Y12" s="150">
        <f t="shared" ref="Y12:Y30" si="1">IF(CA12="","",CA12)</f>
        <v>78</v>
      </c>
      <c r="Z12" s="150" t="str">
        <f t="shared" ref="Z12:Z30" si="2">IF(CF12="","",CF12)</f>
        <v/>
      </c>
      <c r="AA12" s="208" t="str">
        <f t="shared" ref="AA12:AA30" si="3">IF(CK12="","",CK12)</f>
        <v/>
      </c>
      <c r="AB12" s="366"/>
      <c r="AC12" s="375"/>
      <c r="AD12" s="150"/>
      <c r="AE12" s="150"/>
      <c r="AF12" s="150"/>
      <c r="AG12" s="384"/>
      <c r="AH12" s="150"/>
      <c r="AI12" s="150"/>
      <c r="AJ12" s="150"/>
      <c r="AK12" s="207">
        <f>COUNTA(SRH[[#This Row],[G29 cp]],SRH[[#This Row],[G19 cp]],SRH[[#This Row],[G10 cp]])</f>
        <v>1</v>
      </c>
      <c r="AL12" s="150">
        <f>MAX(SRH[[#This Row],[G29 cp]],SRH[[#This Row],[G19 cp]],SRH[[#This Row],[G10 cp]])</f>
        <v>62</v>
      </c>
      <c r="AM12" s="150" t="e">
        <f>( SUM(SRH[[#This Row],[G29 cp]],SRH[[#This Row],[G19 cp]],SRH[[#This Row],[G10 cp]]) - SRH[[#This Row],[B1 MAX2]]) / ( SRH[[#This Row],[B1 Innings]] - 1)</f>
        <v>#DIV/0!</v>
      </c>
      <c r="AN12" s="208">
        <f>MIN(SRH[[#This Row],[G29 cp]],SRH[[#This Row],[G19 cp]],SRH[[#This Row],[G10 cp]])</f>
        <v>62</v>
      </c>
      <c r="AO12" s="683"/>
      <c r="AP12" s="375"/>
      <c r="AQ12" s="150"/>
      <c r="AR12" s="150"/>
      <c r="AS12" s="150"/>
      <c r="AT12" s="384"/>
      <c r="AU12" s="208"/>
      <c r="AV12" s="150"/>
      <c r="AW12" s="150"/>
      <c r="AX12" s="207">
        <f>COUNTA(SRH[[#This Row],[G25 cp]],SRH[[#This Row],[G14 cp]],SRH[[#This Row],[G4 cp]])</f>
        <v>2</v>
      </c>
      <c r="AY12" s="150">
        <f>MAX(SRH[[#This Row],[G25 cp]],SRH[[#This Row],[G14 cp]],SRH[[#This Row],[G4 cp]])</f>
        <v>78</v>
      </c>
      <c r="AZ12" s="150">
        <f>( SUM(SRH[[#This Row],[G25 cp]],SRH[[#This Row],[G14 cp]],SRH[[#This Row],[G4 cp]]) -SRH[[#This Row],[CH MAX]]) / (SRH[[#This Row],[CHS Innings]]-1)</f>
        <v>70</v>
      </c>
      <c r="BA12" s="208">
        <f>MIN(SRH[[#This Row],[G25 cp]],SRH[[#This Row],[G14 cp]],SRH[[#This Row],[G4 cp]])</f>
        <v>70</v>
      </c>
      <c r="BB12" s="150">
        <v>7</v>
      </c>
      <c r="BC12" s="150"/>
      <c r="BD12" s="150" t="s">
        <v>876</v>
      </c>
      <c r="BE12" s="150">
        <v>17</v>
      </c>
      <c r="BF12" s="150">
        <v>22</v>
      </c>
      <c r="BG12" s="150">
        <v>3</v>
      </c>
      <c r="BH12" s="150">
        <v>37</v>
      </c>
      <c r="BI12" s="150">
        <v>0</v>
      </c>
      <c r="BJ12" s="150"/>
      <c r="BK12" s="207">
        <v>8</v>
      </c>
      <c r="BL12" s="150" t="s">
        <v>798</v>
      </c>
      <c r="BM12" s="150">
        <v>13</v>
      </c>
      <c r="BN12" s="150">
        <v>6</v>
      </c>
      <c r="BO12" s="150" t="s">
        <v>1141</v>
      </c>
      <c r="BP12" s="208">
        <v>70</v>
      </c>
      <c r="BQ12" s="58">
        <v>7</v>
      </c>
      <c r="BR12" s="71"/>
      <c r="BS12" s="150"/>
      <c r="BT12" s="150"/>
      <c r="BU12" s="150" t="s">
        <v>878</v>
      </c>
      <c r="BV12" s="208">
        <v>62</v>
      </c>
      <c r="BW12" s="150">
        <v>7</v>
      </c>
      <c r="BX12" s="150"/>
      <c r="BY12" s="150"/>
      <c r="BZ12" s="150" t="s">
        <v>559</v>
      </c>
      <c r="CA12" s="150">
        <v>78</v>
      </c>
      <c r="CB12" s="147"/>
      <c r="CC12" s="148"/>
      <c r="CD12" s="148"/>
      <c r="CE12" s="148"/>
      <c r="CF12" s="149"/>
      <c r="CG12" s="152"/>
      <c r="CH12" s="148"/>
      <c r="CI12" s="151"/>
      <c r="CJ12" s="151"/>
      <c r="CK12" s="151"/>
    </row>
    <row r="13" spans="2:89">
      <c r="B13" s="61" t="s">
        <v>214</v>
      </c>
      <c r="C13" s="6" t="s">
        <v>894</v>
      </c>
      <c r="D13" s="6">
        <v>8.75</v>
      </c>
      <c r="E13" s="6" t="s">
        <v>142</v>
      </c>
      <c r="F13" s="846" t="s">
        <v>55</v>
      </c>
      <c r="G13" s="969" t="s">
        <v>55</v>
      </c>
      <c r="H13" s="355" t="s">
        <v>1055</v>
      </c>
      <c r="I13" s="364"/>
      <c r="J13" s="373"/>
      <c r="K13" s="71"/>
      <c r="L13" s="71"/>
      <c r="M13" s="71"/>
      <c r="N13" s="382"/>
      <c r="O13" s="71"/>
      <c r="P13" s="71"/>
      <c r="Q13" s="71"/>
      <c r="R13" s="58">
        <f>COUNTA(SRH[[#This Row],[G29 cp]],SRH[[#This Row],[G25 cp]],SRH[[#This Row],[G19 cp]],SRH[[#This Row],[G14 cp]],SRH[[#This Row],[G10 cp]],SRH[[#This Row],[G4 cp]])</f>
        <v>5</v>
      </c>
      <c r="S13" s="260">
        <f>MAX(SRH[[#This Row],[G29 cp]],SRH[[#This Row],[G25 cp]],SRH[[#This Row],[G19 cp]],SRH[[#This Row],[G14 cp]],SRH[[#This Row],[G10 cp]],SRH[[#This Row],[G4 cp]])</f>
        <v>16</v>
      </c>
      <c r="T13" s="260">
        <f>( SUM(SRH[[#This Row],[G29 cp]],SRH[[#This Row],[G25 cp]],SRH[[#This Row],[G19 cp]],SRH[[#This Row],[G14 cp]],SRH[[#This Row],[G10 cp]],SRH[[#This Row],[G4 cp]]) - SRH[[#This Row],[Max2]]) / (SRH[[#This Row],[Innings]]-1)</f>
        <v>9.25</v>
      </c>
      <c r="U13" s="80">
        <f>MIN(SRH[[#This Row],[G29 cp]],SRH[[#This Row],[G25 cp]],SRH[[#This Row],[G19 cp]],SRH[[#This Row],[G14 cp]],SRH[[#This Row],[G10 cp]],SRH[[#This Row],[G4 cp]])</f>
        <v>3</v>
      </c>
      <c r="V13" s="58">
        <f>SRH[[#This Row],[G29 cp]]</f>
        <v>14</v>
      </c>
      <c r="W13" s="71">
        <f>SRH[[#This Row],[G25 cp]]</f>
        <v>16</v>
      </c>
      <c r="X13" s="71" t="str">
        <f t="shared" si="0"/>
        <v/>
      </c>
      <c r="Y13" s="71">
        <f t="shared" si="1"/>
        <v>4</v>
      </c>
      <c r="Z13" s="71">
        <f t="shared" si="2"/>
        <v>16</v>
      </c>
      <c r="AA13" s="80">
        <f t="shared" si="3"/>
        <v>3</v>
      </c>
      <c r="AB13" s="364"/>
      <c r="AC13" s="373"/>
      <c r="AD13" s="71"/>
      <c r="AE13" s="71"/>
      <c r="AF13" s="71"/>
      <c r="AG13" s="382"/>
      <c r="AH13" s="71"/>
      <c r="AI13" s="71"/>
      <c r="AJ13" s="71"/>
      <c r="AK13" s="58">
        <f>COUNTA(SRH[[#This Row],[G29 cp]],SRH[[#This Row],[G19 cp]],SRH[[#This Row],[G10 cp]])</f>
        <v>2</v>
      </c>
      <c r="AL13" s="71">
        <f>MAX(SRH[[#This Row],[G29 cp]],SRH[[#This Row],[G19 cp]],SRH[[#This Row],[G10 cp]])</f>
        <v>16</v>
      </c>
      <c r="AM13" s="71">
        <f>( SUM(SRH[[#This Row],[G29 cp]],SRH[[#This Row],[G19 cp]],SRH[[#This Row],[G10 cp]]) - SRH[[#This Row],[B1 MAX2]]) / ( SRH[[#This Row],[B1 Innings]] - 1)</f>
        <v>14</v>
      </c>
      <c r="AN13" s="80">
        <f>MIN(SRH[[#This Row],[G29 cp]],SRH[[#This Row],[G19 cp]],SRH[[#This Row],[G10 cp]])</f>
        <v>14</v>
      </c>
      <c r="AO13" s="681"/>
      <c r="AP13" s="373"/>
      <c r="AQ13" s="71"/>
      <c r="AR13" s="71"/>
      <c r="AS13" s="71"/>
      <c r="AT13" s="382"/>
      <c r="AU13" s="80"/>
      <c r="AV13" s="71"/>
      <c r="AW13" s="71"/>
      <c r="AX13" s="58">
        <f>COUNTA(SRH[[#This Row],[G25 cp]],SRH[[#This Row],[G14 cp]],SRH[[#This Row],[G4 cp]])</f>
        <v>3</v>
      </c>
      <c r="AY13" s="71">
        <f>MAX(SRH[[#This Row],[G25 cp]],SRH[[#This Row],[G14 cp]],SRH[[#This Row],[G4 cp]])</f>
        <v>16</v>
      </c>
      <c r="AZ13" s="71">
        <f>( SUM(SRH[[#This Row],[G25 cp]],SRH[[#This Row],[G14 cp]],SRH[[#This Row],[G4 cp]]) -SRH[[#This Row],[CH MAX]]) / (SRH[[#This Row],[CHS Innings]]-1)</f>
        <v>3.5</v>
      </c>
      <c r="BA13" s="80">
        <f>MIN(SRH[[#This Row],[G25 cp]],SRH[[#This Row],[G14 cp]],SRH[[#This Row],[G4 cp]])</f>
        <v>3</v>
      </c>
      <c r="BB13" s="71">
        <v>8</v>
      </c>
      <c r="BC13" s="71"/>
      <c r="BD13" s="71" t="s">
        <v>799</v>
      </c>
      <c r="BE13" s="71">
        <v>9</v>
      </c>
      <c r="BF13" s="71">
        <v>6</v>
      </c>
      <c r="BG13" s="71">
        <v>2</v>
      </c>
      <c r="BH13" s="71">
        <v>16</v>
      </c>
      <c r="BI13" s="71">
        <v>0</v>
      </c>
      <c r="BJ13" s="71">
        <v>14</v>
      </c>
      <c r="BK13" s="58">
        <v>9</v>
      </c>
      <c r="BL13" s="71" t="s">
        <v>799</v>
      </c>
      <c r="BM13" s="71">
        <v>10</v>
      </c>
      <c r="BN13" s="71">
        <v>6</v>
      </c>
      <c r="BO13" s="71" t="s">
        <v>1142</v>
      </c>
      <c r="BP13" s="80">
        <v>16</v>
      </c>
      <c r="BQ13" s="58">
        <v>12</v>
      </c>
      <c r="BR13" s="71"/>
      <c r="BS13" s="71"/>
      <c r="BT13" s="71"/>
      <c r="BU13" s="71" t="s">
        <v>971</v>
      </c>
      <c r="BV13" s="80"/>
      <c r="BW13" s="71">
        <v>6</v>
      </c>
      <c r="BX13" s="71"/>
      <c r="BY13" s="71"/>
      <c r="BZ13" s="71" t="s">
        <v>501</v>
      </c>
      <c r="CA13" s="71">
        <v>4</v>
      </c>
      <c r="CB13" s="8">
        <v>6</v>
      </c>
      <c r="CC13" s="6" t="s">
        <v>284</v>
      </c>
      <c r="CD13" s="6" t="s">
        <v>285</v>
      </c>
      <c r="CE13" s="6" t="s">
        <v>309</v>
      </c>
      <c r="CF13" s="9">
        <v>16</v>
      </c>
      <c r="CG13" s="61">
        <v>5</v>
      </c>
      <c r="CH13" s="6"/>
      <c r="CI13" s="7"/>
      <c r="CJ13" s="7" t="s">
        <v>64</v>
      </c>
      <c r="CK13" s="7">
        <v>3</v>
      </c>
    </row>
    <row r="14" spans="2:89">
      <c r="B14" s="63" t="s">
        <v>214</v>
      </c>
      <c r="C14" s="12" t="s">
        <v>890</v>
      </c>
      <c r="D14" s="12">
        <v>4.2</v>
      </c>
      <c r="E14" s="12" t="s">
        <v>142</v>
      </c>
      <c r="F14" s="849" t="s">
        <v>56</v>
      </c>
      <c r="G14" s="973" t="s">
        <v>56</v>
      </c>
      <c r="H14" s="358" t="s">
        <v>1121</v>
      </c>
      <c r="I14" s="367"/>
      <c r="J14" s="376"/>
      <c r="K14" s="72"/>
      <c r="L14" s="72"/>
      <c r="M14" s="72"/>
      <c r="N14" s="385"/>
      <c r="O14" s="72"/>
      <c r="P14" s="72"/>
      <c r="Q14" s="72"/>
      <c r="R14" s="60">
        <f>COUNTA(SRH[[#This Row],[G29 cp]],SRH[[#This Row],[G25 cp]],SRH[[#This Row],[G19 cp]],SRH[[#This Row],[G14 cp]],SRH[[#This Row],[G10 cp]],SRH[[#This Row],[G4 cp]])</f>
        <v>6</v>
      </c>
      <c r="S14" s="262">
        <f>MAX(SRH[[#This Row],[G29 cp]],SRH[[#This Row],[G25 cp]],SRH[[#This Row],[G19 cp]],SRH[[#This Row],[G14 cp]],SRH[[#This Row],[G10 cp]],SRH[[#This Row],[G4 cp]])</f>
        <v>45</v>
      </c>
      <c r="T14" s="262">
        <f>( SUM(SRH[[#This Row],[G29 cp]],SRH[[#This Row],[G25 cp]],SRH[[#This Row],[G19 cp]],SRH[[#This Row],[G14 cp]],SRH[[#This Row],[G10 cp]],SRH[[#This Row],[G4 cp]]) - SRH[[#This Row],[Max2]]) / (SRH[[#This Row],[Innings]]-1)</f>
        <v>22.2</v>
      </c>
      <c r="U14" s="83">
        <f>MIN(SRH[[#This Row],[G29 cp]],SRH[[#This Row],[G25 cp]],SRH[[#This Row],[G19 cp]],SRH[[#This Row],[G14 cp]],SRH[[#This Row],[G10 cp]],SRH[[#This Row],[G4 cp]])</f>
        <v>0</v>
      </c>
      <c r="V14" s="60">
        <f>SRH[[#This Row],[G29 cp]]</f>
        <v>6</v>
      </c>
      <c r="W14" s="72">
        <f>SRH[[#This Row],[G25 cp]]</f>
        <v>31</v>
      </c>
      <c r="X14" s="72">
        <f t="shared" si="0"/>
        <v>37</v>
      </c>
      <c r="Y14" s="72">
        <f t="shared" si="1"/>
        <v>45</v>
      </c>
      <c r="Z14" s="72">
        <f t="shared" si="2"/>
        <v>37</v>
      </c>
      <c r="AA14" s="83">
        <f t="shared" si="3"/>
        <v>0</v>
      </c>
      <c r="AB14" s="367"/>
      <c r="AC14" s="376"/>
      <c r="AD14" s="72"/>
      <c r="AE14" s="72"/>
      <c r="AF14" s="72"/>
      <c r="AG14" s="385"/>
      <c r="AH14" s="72"/>
      <c r="AI14" s="72"/>
      <c r="AJ14" s="72"/>
      <c r="AK14" s="60">
        <f>COUNTA(SRH[[#This Row],[G29 cp]],SRH[[#This Row],[G19 cp]],SRH[[#This Row],[G10 cp]])</f>
        <v>3</v>
      </c>
      <c r="AL14" s="72">
        <f>MAX(SRH[[#This Row],[G29 cp]],SRH[[#This Row],[G19 cp]],SRH[[#This Row],[G10 cp]])</f>
        <v>37</v>
      </c>
      <c r="AM14" s="72">
        <f>( SUM(SRH[[#This Row],[G29 cp]],SRH[[#This Row],[G19 cp]],SRH[[#This Row],[G10 cp]]) - SRH[[#This Row],[B1 MAX2]]) / ( SRH[[#This Row],[B1 Innings]] - 1)</f>
        <v>21.5</v>
      </c>
      <c r="AN14" s="83">
        <f>MIN(SRH[[#This Row],[G29 cp]],SRH[[#This Row],[G19 cp]],SRH[[#This Row],[G10 cp]])</f>
        <v>6</v>
      </c>
      <c r="AO14" s="684"/>
      <c r="AP14" s="376"/>
      <c r="AQ14" s="72"/>
      <c r="AR14" s="72"/>
      <c r="AS14" s="72"/>
      <c r="AT14" s="385"/>
      <c r="AU14" s="83"/>
      <c r="AV14" s="72"/>
      <c r="AW14" s="72"/>
      <c r="AX14" s="60">
        <f>COUNTA(SRH[[#This Row],[G25 cp]],SRH[[#This Row],[G14 cp]],SRH[[#This Row],[G4 cp]])</f>
        <v>3</v>
      </c>
      <c r="AY14" s="72">
        <f>MAX(SRH[[#This Row],[G25 cp]],SRH[[#This Row],[G14 cp]],SRH[[#This Row],[G4 cp]])</f>
        <v>45</v>
      </c>
      <c r="AZ14" s="72">
        <f>( SUM(SRH[[#This Row],[G25 cp]],SRH[[#This Row],[G14 cp]],SRH[[#This Row],[G4 cp]]) -SRH[[#This Row],[CH MAX]]) / (SRH[[#This Row],[CHS Innings]]-1)</f>
        <v>15.5</v>
      </c>
      <c r="BA14" s="83">
        <f>MIN(SRH[[#This Row],[G25 cp]],SRH[[#This Row],[G14 cp]],SRH[[#This Row],[G4 cp]])</f>
        <v>0</v>
      </c>
      <c r="BB14" s="72">
        <v>9</v>
      </c>
      <c r="BC14" s="72"/>
      <c r="BD14" s="72"/>
      <c r="BE14" s="72"/>
      <c r="BF14" s="72"/>
      <c r="BG14" s="72">
        <v>2</v>
      </c>
      <c r="BH14" s="72">
        <v>10</v>
      </c>
      <c r="BI14" s="72">
        <v>0</v>
      </c>
      <c r="BJ14" s="72">
        <v>6</v>
      </c>
      <c r="BK14" s="60">
        <v>10</v>
      </c>
      <c r="BL14" s="72" t="s">
        <v>1140</v>
      </c>
      <c r="BM14" s="72">
        <v>2</v>
      </c>
      <c r="BN14" s="72">
        <v>5</v>
      </c>
      <c r="BO14" s="72" t="s">
        <v>941</v>
      </c>
      <c r="BP14" s="83">
        <v>31</v>
      </c>
      <c r="BQ14" s="60">
        <v>9</v>
      </c>
      <c r="BR14" s="72"/>
      <c r="BS14" s="72"/>
      <c r="BT14" s="72"/>
      <c r="BU14" s="72" t="s">
        <v>968</v>
      </c>
      <c r="BV14" s="83">
        <v>37</v>
      </c>
      <c r="BW14" s="72">
        <v>8</v>
      </c>
      <c r="BX14" s="72"/>
      <c r="BY14" s="72"/>
      <c r="BZ14" s="72" t="s">
        <v>558</v>
      </c>
      <c r="CA14" s="72">
        <v>45</v>
      </c>
      <c r="CB14" s="14">
        <v>10</v>
      </c>
      <c r="CC14" s="12" t="s">
        <v>289</v>
      </c>
      <c r="CD14" s="51" t="s">
        <v>287</v>
      </c>
      <c r="CE14" s="12" t="s">
        <v>308</v>
      </c>
      <c r="CF14" s="15">
        <v>37</v>
      </c>
      <c r="CG14" s="64">
        <v>9</v>
      </c>
      <c r="CH14" s="17" t="s">
        <v>326</v>
      </c>
      <c r="CI14" s="90" t="s">
        <v>517</v>
      </c>
      <c r="CJ14" s="90" t="s">
        <v>524</v>
      </c>
      <c r="CK14" s="13">
        <v>0</v>
      </c>
    </row>
    <row r="15" spans="2:89">
      <c r="B15" s="63" t="s">
        <v>214</v>
      </c>
      <c r="C15" s="12" t="s">
        <v>891</v>
      </c>
      <c r="D15" s="12">
        <v>0.5</v>
      </c>
      <c r="E15" s="12" t="s">
        <v>641</v>
      </c>
      <c r="F15" s="849" t="s">
        <v>56</v>
      </c>
      <c r="G15" s="97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COUNTA(SRH[[#This Row],[G29 cp]],SRH[[#This Row],[G25 cp]],SRH[[#This Row],[G19 cp]],SRH[[#This Row],[G14 cp]],SRH[[#This Row],[G10 cp]],SRH[[#This Row],[G4 cp]])</f>
        <v>4</v>
      </c>
      <c r="S15" s="262">
        <f>MAX(SRH[[#This Row],[G29 cp]],SRH[[#This Row],[G25 cp]],SRH[[#This Row],[G19 cp]],SRH[[#This Row],[G14 cp]],SRH[[#This Row],[G10 cp]],SRH[[#This Row],[G4 cp]])</f>
        <v>142</v>
      </c>
      <c r="T15" s="262">
        <f>( SUM(SRH[[#This Row],[G29 cp]],SRH[[#This Row],[G25 cp]],SRH[[#This Row],[G19 cp]],SRH[[#This Row],[G14 cp]],SRH[[#This Row],[G10 cp]],SRH[[#This Row],[G4 cp]]) - SRH[[#This Row],[Max2]]) / (SRH[[#This Row],[Innings]]-1)</f>
        <v>38.666666666666664</v>
      </c>
      <c r="U15" s="83">
        <f>MIN(SRH[[#This Row],[G29 cp]],SRH[[#This Row],[G25 cp]],SRH[[#This Row],[G19 cp]],SRH[[#This Row],[G14 cp]],SRH[[#This Row],[G10 cp]],SRH[[#This Row],[G4 cp]])</f>
        <v>6</v>
      </c>
      <c r="V15" s="60">
        <f>SRH[[#This Row],[G29 cp]]</f>
        <v>56</v>
      </c>
      <c r="W15" s="72">
        <f>SRH[[#This Row],[G25 cp]]</f>
        <v>6</v>
      </c>
      <c r="X15" s="72">
        <f t="shared" si="0"/>
        <v>54</v>
      </c>
      <c r="Y15" s="72">
        <f t="shared" si="1"/>
        <v>142</v>
      </c>
      <c r="Z15" s="72" t="str">
        <f t="shared" si="2"/>
        <v/>
      </c>
      <c r="AA15" s="83" t="str">
        <f t="shared" si="3"/>
        <v/>
      </c>
      <c r="AB15" s="367"/>
      <c r="AC15" s="376"/>
      <c r="AD15" s="72"/>
      <c r="AE15" s="72"/>
      <c r="AF15" s="72"/>
      <c r="AG15" s="385"/>
      <c r="AH15" s="72"/>
      <c r="AI15" s="72"/>
      <c r="AJ15" s="72"/>
      <c r="AK15" s="60">
        <f>COUNTA(SRH[[#This Row],[G29 cp]],SRH[[#This Row],[G19 cp]],SRH[[#This Row],[G10 cp]])</f>
        <v>2</v>
      </c>
      <c r="AL15" s="72">
        <f>MAX(SRH[[#This Row],[G29 cp]],SRH[[#This Row],[G19 cp]],SRH[[#This Row],[G10 cp]])</f>
        <v>56</v>
      </c>
      <c r="AM15" s="72">
        <f>( SUM(SRH[[#This Row],[G29 cp]],SRH[[#This Row],[G19 cp]],SRH[[#This Row],[G10 cp]]) - SRH[[#This Row],[B1 MAX2]]) / ( SRH[[#This Row],[B1 Innings]] - 1)</f>
        <v>54</v>
      </c>
      <c r="AN15" s="83">
        <f>MIN(SRH[[#This Row],[G29 cp]],SRH[[#This Row],[G19 cp]],SRH[[#This Row],[G10 cp]])</f>
        <v>54</v>
      </c>
      <c r="AO15" s="684"/>
      <c r="AP15" s="376"/>
      <c r="AQ15" s="72"/>
      <c r="AR15" s="72"/>
      <c r="AS15" s="72"/>
      <c r="AT15" s="385"/>
      <c r="AU15" s="83"/>
      <c r="AV15" s="72"/>
      <c r="AW15" s="72"/>
      <c r="AX15" s="60">
        <f>COUNTA(SRH[[#This Row],[G25 cp]],SRH[[#This Row],[G14 cp]],SRH[[#This Row],[G4 cp]])</f>
        <v>2</v>
      </c>
      <c r="AY15" s="72">
        <f>MAX(SRH[[#This Row],[G25 cp]],SRH[[#This Row],[G14 cp]],SRH[[#This Row],[G4 cp]])</f>
        <v>142</v>
      </c>
      <c r="AZ15" s="72">
        <f>( SUM(SRH[[#This Row],[G25 cp]],SRH[[#This Row],[G14 cp]],SRH[[#This Row],[G4 cp]]) -SRH[[#This Row],[CH MAX]]) / (SRH[[#This Row],[CHS Innings]]-1)</f>
        <v>6</v>
      </c>
      <c r="BA15" s="83">
        <f>MIN(SRH[[#This Row],[G25 cp]],SRH[[#This Row],[G14 cp]],SRH[[#This Row],[G4 cp]])</f>
        <v>6</v>
      </c>
      <c r="BB15" s="72">
        <v>10</v>
      </c>
      <c r="BC15" s="72"/>
      <c r="BD15" s="72"/>
      <c r="BE15" s="72"/>
      <c r="BF15" s="72"/>
      <c r="BG15" s="72">
        <v>4</v>
      </c>
      <c r="BH15" s="72">
        <v>23</v>
      </c>
      <c r="BI15" s="72">
        <v>2</v>
      </c>
      <c r="BJ15" s="72">
        <v>56</v>
      </c>
      <c r="BK15" s="60">
        <v>11</v>
      </c>
      <c r="BL15" s="72"/>
      <c r="BM15" s="72">
        <v>2</v>
      </c>
      <c r="BN15" s="72">
        <v>2</v>
      </c>
      <c r="BO15" s="72" t="s">
        <v>802</v>
      </c>
      <c r="BP15" s="83">
        <v>6</v>
      </c>
      <c r="BQ15" s="60">
        <v>8</v>
      </c>
      <c r="BR15" s="72"/>
      <c r="BS15" s="72"/>
      <c r="BT15" s="72"/>
      <c r="BU15" s="72" t="s">
        <v>878</v>
      </c>
      <c r="BV15" s="83">
        <v>54</v>
      </c>
      <c r="BW15" s="72">
        <v>9</v>
      </c>
      <c r="BX15" s="72"/>
      <c r="BY15" s="72"/>
      <c r="BZ15" s="72" t="s">
        <v>477</v>
      </c>
      <c r="CA15" s="72">
        <v>142</v>
      </c>
      <c r="CB15" s="14"/>
      <c r="CC15" s="12"/>
      <c r="CD15" s="12"/>
      <c r="CE15" s="12"/>
      <c r="CF15" s="15"/>
      <c r="CG15" s="64"/>
      <c r="CH15" s="17"/>
      <c r="CI15" s="90"/>
      <c r="CJ15" s="90"/>
      <c r="CK15" s="90"/>
    </row>
    <row r="16" spans="2:89">
      <c r="B16" s="63" t="s">
        <v>214</v>
      </c>
      <c r="C16" s="12" t="s">
        <v>905</v>
      </c>
      <c r="D16" s="12">
        <v>4</v>
      </c>
      <c r="E16" s="12"/>
      <c r="F16" s="849" t="s">
        <v>54</v>
      </c>
      <c r="G16" s="973" t="s">
        <v>56</v>
      </c>
      <c r="H16" s="358" t="s">
        <v>1121</v>
      </c>
      <c r="I16" s="367"/>
      <c r="J16" s="376"/>
      <c r="K16" s="72"/>
      <c r="L16" s="72"/>
      <c r="M16" s="72"/>
      <c r="N16" s="385"/>
      <c r="O16" s="72"/>
      <c r="P16" s="72"/>
      <c r="Q16" s="72"/>
      <c r="R16" s="60">
        <f>COUNTA(SRH[[#This Row],[G29 cp]],SRH[[#This Row],[G25 cp]],SRH[[#This Row],[G19 cp]],SRH[[#This Row],[G14 cp]],SRH[[#This Row],[G10 cp]],SRH[[#This Row],[G4 cp]])</f>
        <v>5</v>
      </c>
      <c r="S16" s="262">
        <f>MAX(SRH[[#This Row],[G29 cp]],SRH[[#This Row],[G25 cp]],SRH[[#This Row],[G19 cp]],SRH[[#This Row],[G14 cp]],SRH[[#This Row],[G10 cp]],SRH[[#This Row],[G4 cp]])</f>
        <v>62</v>
      </c>
      <c r="T16" s="262">
        <f>( SUM(SRH[[#This Row],[G29 cp]],SRH[[#This Row],[G25 cp]],SRH[[#This Row],[G19 cp]],SRH[[#This Row],[G14 cp]],SRH[[#This Row],[G10 cp]],SRH[[#This Row],[G4 cp]]) - SRH[[#This Row],[Max2]]) / (SRH[[#This Row],[Innings]]-1)</f>
        <v>28</v>
      </c>
      <c r="U16" s="83">
        <f>MIN(SRH[[#This Row],[G29 cp]],SRH[[#This Row],[G25 cp]],SRH[[#This Row],[G19 cp]],SRH[[#This Row],[G14 cp]],SRH[[#This Row],[G10 cp]],SRH[[#This Row],[G4 cp]])</f>
        <v>12</v>
      </c>
      <c r="V16" s="60">
        <f>SRH[[#This Row],[G29 cp]]</f>
        <v>16</v>
      </c>
      <c r="W16" s="72">
        <f>SRH[[#This Row],[G25 cp]]</f>
        <v>0</v>
      </c>
      <c r="X16" s="72">
        <f t="shared" si="0"/>
        <v>12</v>
      </c>
      <c r="Y16" s="72">
        <f t="shared" si="1"/>
        <v>62</v>
      </c>
      <c r="Z16" s="72">
        <f t="shared" si="2"/>
        <v>25</v>
      </c>
      <c r="AA16" s="83">
        <f t="shared" si="3"/>
        <v>59</v>
      </c>
      <c r="AB16" s="367"/>
      <c r="AC16" s="376"/>
      <c r="AD16" s="72"/>
      <c r="AE16" s="72"/>
      <c r="AF16" s="72"/>
      <c r="AG16" s="385"/>
      <c r="AH16" s="72"/>
      <c r="AI16" s="72"/>
      <c r="AJ16" s="72"/>
      <c r="AK16" s="60">
        <f>COUNTA(SRH[[#This Row],[G29 cp]],SRH[[#This Row],[G19 cp]],SRH[[#This Row],[G10 cp]])</f>
        <v>3</v>
      </c>
      <c r="AL16" s="72">
        <f>MAX(SRH[[#This Row],[G29 cp]],SRH[[#This Row],[G19 cp]],SRH[[#This Row],[G10 cp]])</f>
        <v>25</v>
      </c>
      <c r="AM16" s="72">
        <f>( SUM(SRH[[#This Row],[G29 cp]],SRH[[#This Row],[G19 cp]],SRH[[#This Row],[G10 cp]]) - SRH[[#This Row],[B1 MAX2]]) / ( SRH[[#This Row],[B1 Innings]] - 1)</f>
        <v>14</v>
      </c>
      <c r="AN16" s="83">
        <f>MIN(SRH[[#This Row],[G29 cp]],SRH[[#This Row],[G19 cp]],SRH[[#This Row],[G10 cp]])</f>
        <v>12</v>
      </c>
      <c r="AO16" s="684"/>
      <c r="AP16" s="376"/>
      <c r="AQ16" s="72"/>
      <c r="AR16" s="72"/>
      <c r="AS16" s="72"/>
      <c r="AT16" s="385"/>
      <c r="AU16" s="83"/>
      <c r="AV16" s="72"/>
      <c r="AW16" s="72"/>
      <c r="AX16" s="60">
        <f>COUNTA(SRH[[#This Row],[G25 cp]],SRH[[#This Row],[G14 cp]],SRH[[#This Row],[G4 cp]])</f>
        <v>2</v>
      </c>
      <c r="AY16" s="72">
        <f>MAX(SRH[[#This Row],[G25 cp]],SRH[[#This Row],[G14 cp]],SRH[[#This Row],[G4 cp]])</f>
        <v>62</v>
      </c>
      <c r="AZ16" s="72">
        <f>( SUM(SRH[[#This Row],[G25 cp]],SRH[[#This Row],[G14 cp]],SRH[[#This Row],[G4 cp]]) -SRH[[#This Row],[CH MAX]]) / (SRH[[#This Row],[CHS Innings]]-1)</f>
        <v>59</v>
      </c>
      <c r="BA16" s="83">
        <f>MIN(SRH[[#This Row],[G25 cp]],SRH[[#This Row],[G14 cp]],SRH[[#This Row],[G4 cp]])</f>
        <v>59</v>
      </c>
      <c r="BB16" s="72">
        <v>11</v>
      </c>
      <c r="BC16" s="72"/>
      <c r="BD16" s="72"/>
      <c r="BE16" s="72"/>
      <c r="BF16" s="72"/>
      <c r="BG16" s="72">
        <v>3</v>
      </c>
      <c r="BH16" s="72">
        <v>18</v>
      </c>
      <c r="BI16" s="72">
        <v>0</v>
      </c>
      <c r="BJ16" s="72">
        <v>16</v>
      </c>
      <c r="BK16" s="60">
        <v>15</v>
      </c>
      <c r="BL16" s="72"/>
      <c r="BM16" s="72"/>
      <c r="BN16" s="72"/>
      <c r="BO16" s="72"/>
      <c r="BP16" s="83"/>
      <c r="BQ16" s="60">
        <v>10</v>
      </c>
      <c r="BR16" s="72"/>
      <c r="BS16" s="72"/>
      <c r="BT16" s="72"/>
      <c r="BU16" s="72" t="s">
        <v>970</v>
      </c>
      <c r="BV16" s="83">
        <v>12</v>
      </c>
      <c r="BW16" s="72">
        <v>10</v>
      </c>
      <c r="BX16" s="72"/>
      <c r="BY16" s="72"/>
      <c r="BZ16" s="72" t="s">
        <v>251</v>
      </c>
      <c r="CA16" s="72">
        <v>62</v>
      </c>
      <c r="CB16" s="14">
        <v>9</v>
      </c>
      <c r="CC16" s="12" t="s">
        <v>289</v>
      </c>
      <c r="CD16" s="12" t="s">
        <v>290</v>
      </c>
      <c r="CE16" s="12" t="s">
        <v>313</v>
      </c>
      <c r="CF16" s="15">
        <v>25</v>
      </c>
      <c r="CG16" s="64">
        <v>10</v>
      </c>
      <c r="CH16" s="17" t="s">
        <v>525</v>
      </c>
      <c r="CI16" s="90" t="s">
        <v>327</v>
      </c>
      <c r="CJ16" s="17" t="s">
        <v>526</v>
      </c>
      <c r="CK16" s="90">
        <v>59</v>
      </c>
    </row>
    <row r="17" spans="2:89">
      <c r="B17" s="63" t="s">
        <v>214</v>
      </c>
      <c r="C17" s="12" t="s">
        <v>902</v>
      </c>
      <c r="D17" s="12">
        <v>1.8</v>
      </c>
      <c r="E17" s="12" t="s">
        <v>827</v>
      </c>
      <c r="F17" s="849" t="s">
        <v>56</v>
      </c>
      <c r="G17" s="973" t="s">
        <v>55</v>
      </c>
      <c r="H17" s="358" t="s">
        <v>1121</v>
      </c>
      <c r="I17" s="367"/>
      <c r="J17" s="376"/>
      <c r="K17" s="72"/>
      <c r="L17" s="72"/>
      <c r="M17" s="72"/>
      <c r="N17" s="385"/>
      <c r="O17" s="72"/>
      <c r="P17" s="72"/>
      <c r="Q17" s="72"/>
      <c r="R17" s="60">
        <f>COUNTA(SRH[[#This Row],[G29 cp]],SRH[[#This Row],[G25 cp]],SRH[[#This Row],[G19 cp]],SRH[[#This Row],[G14 cp]],SRH[[#This Row],[G10 cp]],SRH[[#This Row],[G4 cp]])</f>
        <v>1</v>
      </c>
      <c r="S17" s="262">
        <f>MAX(SRH[[#This Row],[G29 cp]],SRH[[#This Row],[G25 cp]],SRH[[#This Row],[G19 cp]],SRH[[#This Row],[G14 cp]],SRH[[#This Row],[G10 cp]],SRH[[#This Row],[G4 cp]])</f>
        <v>4</v>
      </c>
      <c r="T17" s="262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17" s="83">
        <f>MIN(SRH[[#This Row],[G29 cp]],SRH[[#This Row],[G25 cp]],SRH[[#This Row],[G19 cp]],SRH[[#This Row],[G14 cp]],SRH[[#This Row],[G10 cp]],SRH[[#This Row],[G4 cp]])</f>
        <v>4</v>
      </c>
      <c r="V17" s="60">
        <f>SRH[[#This Row],[G29 cp]]</f>
        <v>4</v>
      </c>
      <c r="W17" s="72">
        <f>SRH[[#This Row],[G25 cp]]</f>
        <v>0</v>
      </c>
      <c r="X17" s="72" t="str">
        <f t="shared" si="0"/>
        <v/>
      </c>
      <c r="Y17" s="72" t="str">
        <f t="shared" si="1"/>
        <v/>
      </c>
      <c r="Z17" s="72" t="str">
        <f t="shared" si="2"/>
        <v/>
      </c>
      <c r="AA17" s="83" t="str">
        <f t="shared" si="3"/>
        <v/>
      </c>
      <c r="AB17" s="367"/>
      <c r="AC17" s="376"/>
      <c r="AD17" s="72"/>
      <c r="AE17" s="72"/>
      <c r="AF17" s="72"/>
      <c r="AG17" s="385"/>
      <c r="AH17" s="72"/>
      <c r="AI17" s="72"/>
      <c r="AJ17" s="72"/>
      <c r="AK17" s="60">
        <f>COUNTA(SRH[[#This Row],[G29 cp]],SRH[[#This Row],[G19 cp]],SRH[[#This Row],[G10 cp]])</f>
        <v>1</v>
      </c>
      <c r="AL17" s="72">
        <f>MAX(SRH[[#This Row],[G29 cp]],SRH[[#This Row],[G19 cp]],SRH[[#This Row],[G10 cp]])</f>
        <v>4</v>
      </c>
      <c r="AM17" s="72" t="e">
        <f>( SUM(SRH[[#This Row],[G29 cp]],SRH[[#This Row],[G19 cp]],SRH[[#This Row],[G10 cp]]) - SRH[[#This Row],[B1 MAX2]]) / ( SRH[[#This Row],[B1 Innings]] - 1)</f>
        <v>#DIV/0!</v>
      </c>
      <c r="AN17" s="83">
        <f>MIN(SRH[[#This Row],[G29 cp]],SRH[[#This Row],[G19 cp]],SRH[[#This Row],[G10 cp]])</f>
        <v>4</v>
      </c>
      <c r="AO17" s="684"/>
      <c r="AP17" s="376"/>
      <c r="AQ17" s="72"/>
      <c r="AR17" s="72"/>
      <c r="AS17" s="72"/>
      <c r="AT17" s="385"/>
      <c r="AU17" s="83"/>
      <c r="AV17" s="72"/>
      <c r="AW17" s="72"/>
      <c r="AX17" s="60">
        <f>COUNTA(SRH[[#This Row],[G25 cp]],SRH[[#This Row],[G14 cp]],SRH[[#This Row],[G4 cp]])</f>
        <v>0</v>
      </c>
      <c r="AY17" s="72">
        <f>MAX(SRH[[#This Row],[G25 cp]],SRH[[#This Row],[G14 cp]],SRH[[#This Row],[G4 cp]])</f>
        <v>0</v>
      </c>
      <c r="AZ17" s="72">
        <f>( SUM(SRH[[#This Row],[G25 cp]],SRH[[#This Row],[G14 cp]],SRH[[#This Row],[G4 cp]]) -SRH[[#This Row],[CH MAX]]) / (SRH[[#This Row],[CHS Innings]]-1)</f>
        <v>0</v>
      </c>
      <c r="BA17" s="83">
        <f>MIN(SRH[[#This Row],[G25 cp]],SRH[[#This Row],[G14 cp]],SRH[[#This Row],[G4 cp]])</f>
        <v>0</v>
      </c>
      <c r="BB17" s="72">
        <v>12</v>
      </c>
      <c r="BC17" s="72"/>
      <c r="BD17" s="72"/>
      <c r="BE17" s="72"/>
      <c r="BF17" s="72"/>
      <c r="BG17" s="72">
        <v>3</v>
      </c>
      <c r="BH17" s="72">
        <v>21</v>
      </c>
      <c r="BI17" s="72">
        <v>0</v>
      </c>
      <c r="BJ17" s="72">
        <v>4</v>
      </c>
      <c r="BK17" s="60">
        <v>15</v>
      </c>
      <c r="BL17" s="72"/>
      <c r="BM17" s="72"/>
      <c r="BN17" s="72"/>
      <c r="BO17" s="72"/>
      <c r="BP17" s="83"/>
      <c r="BQ17" s="60">
        <v>15</v>
      </c>
      <c r="BR17" s="72"/>
      <c r="BS17" s="72"/>
      <c r="BT17" s="72"/>
      <c r="BU17" s="72"/>
      <c r="BV17" s="83"/>
      <c r="BW17" s="72"/>
      <c r="BX17" s="72"/>
      <c r="BY17" s="72"/>
      <c r="BZ17" s="72"/>
      <c r="CA17" s="72"/>
      <c r="CB17" s="14"/>
      <c r="CC17" s="12"/>
      <c r="CD17" s="12"/>
      <c r="CE17" s="12"/>
      <c r="CF17" s="15"/>
      <c r="CG17" s="64"/>
      <c r="CH17" s="17"/>
      <c r="CI17" s="90"/>
      <c r="CJ17" s="17"/>
      <c r="CK17" s="90"/>
    </row>
    <row r="18" spans="2:89">
      <c r="B18" s="62" t="s">
        <v>214</v>
      </c>
      <c r="C18" s="51" t="s">
        <v>105</v>
      </c>
      <c r="D18" s="51">
        <v>4</v>
      </c>
      <c r="E18" s="51"/>
      <c r="F18" s="845" t="s">
        <v>54</v>
      </c>
      <c r="G18" s="970" t="s">
        <v>54</v>
      </c>
      <c r="H18" s="353" t="s">
        <v>1121</v>
      </c>
      <c r="I18" s="362"/>
      <c r="J18" s="371"/>
      <c r="K18" s="118"/>
      <c r="L18" s="118"/>
      <c r="M18" s="118"/>
      <c r="N18" s="380"/>
      <c r="O18" s="118"/>
      <c r="P18" s="118"/>
      <c r="Q18" s="118"/>
      <c r="R18" s="59">
        <f>COUNTA(SRH[[#This Row],[G29 cp]],SRH[[#This Row],[G25 cp]],SRH[[#This Row],[G19 cp]],SRH[[#This Row],[G14 cp]],SRH[[#This Row],[G10 cp]],SRH[[#This Row],[G4 cp]])</f>
        <v>3</v>
      </c>
      <c r="S18" s="335">
        <f>MAX(SRH[[#This Row],[G29 cp]],SRH[[#This Row],[G25 cp]],SRH[[#This Row],[G19 cp]],SRH[[#This Row],[G14 cp]],SRH[[#This Row],[G10 cp]],SRH[[#This Row],[G4 cp]])</f>
        <v>36</v>
      </c>
      <c r="T18" s="335">
        <f>( SUM(SRH[[#This Row],[G29 cp]],SRH[[#This Row],[G25 cp]],SRH[[#This Row],[G19 cp]],SRH[[#This Row],[G14 cp]],SRH[[#This Row],[G10 cp]],SRH[[#This Row],[G4 cp]]) - SRH[[#This Row],[Max2]]) / (SRH[[#This Row],[Innings]]-1)</f>
        <v>23</v>
      </c>
      <c r="U18" s="107">
        <f>MIN(SRH[[#This Row],[G29 cp]],SRH[[#This Row],[G25 cp]],SRH[[#This Row],[G19 cp]],SRH[[#This Row],[G14 cp]],SRH[[#This Row],[G10 cp]],SRH[[#This Row],[G4 cp]])</f>
        <v>14</v>
      </c>
      <c r="V18" s="59">
        <f>SRH[[#This Row],[G29 cp]]</f>
        <v>0</v>
      </c>
      <c r="W18" s="118">
        <f>SRH[[#This Row],[G25 cp]]</f>
        <v>14</v>
      </c>
      <c r="X18" s="118" t="str">
        <f t="shared" si="0"/>
        <v/>
      </c>
      <c r="Y18" s="118" t="str">
        <f t="shared" si="1"/>
        <v/>
      </c>
      <c r="Z18" s="118">
        <f t="shared" si="2"/>
        <v>36</v>
      </c>
      <c r="AA18" s="107">
        <f t="shared" si="3"/>
        <v>32</v>
      </c>
      <c r="AB18" s="362"/>
      <c r="AC18" s="371"/>
      <c r="AD18" s="118"/>
      <c r="AE18" s="118"/>
      <c r="AF18" s="118"/>
      <c r="AG18" s="380"/>
      <c r="AH18" s="118"/>
      <c r="AI18" s="118"/>
      <c r="AJ18" s="118"/>
      <c r="AK18" s="59">
        <f>COUNTA(SRH[[#This Row],[G29 cp]],SRH[[#This Row],[G19 cp]],SRH[[#This Row],[G10 cp]])</f>
        <v>1</v>
      </c>
      <c r="AL18" s="118">
        <f>MAX(SRH[[#This Row],[G29 cp]],SRH[[#This Row],[G19 cp]],SRH[[#This Row],[G10 cp]])</f>
        <v>36</v>
      </c>
      <c r="AM18" s="118" t="e">
        <f>( SUM(SRH[[#This Row],[G29 cp]],SRH[[#This Row],[G19 cp]],SRH[[#This Row],[G10 cp]]) - SRH[[#This Row],[B1 MAX2]]) / ( SRH[[#This Row],[B1 Innings]] - 1)</f>
        <v>#DIV/0!</v>
      </c>
      <c r="AN18" s="107">
        <f>MIN(SRH[[#This Row],[G29 cp]],SRH[[#This Row],[G19 cp]],SRH[[#This Row],[G10 cp]])</f>
        <v>36</v>
      </c>
      <c r="AO18" s="680"/>
      <c r="AP18" s="371"/>
      <c r="AQ18" s="118"/>
      <c r="AR18" s="118"/>
      <c r="AS18" s="118"/>
      <c r="AT18" s="380"/>
      <c r="AU18" s="107"/>
      <c r="AV18" s="118"/>
      <c r="AW18" s="118"/>
      <c r="AX18" s="59">
        <f>COUNTA(SRH[[#This Row],[G25 cp]],SRH[[#This Row],[G14 cp]],SRH[[#This Row],[G4 cp]])</f>
        <v>2</v>
      </c>
      <c r="AY18" s="118">
        <f>MAX(SRH[[#This Row],[G25 cp]],SRH[[#This Row],[G14 cp]],SRH[[#This Row],[G4 cp]])</f>
        <v>32</v>
      </c>
      <c r="AZ18" s="118">
        <f>( SUM(SRH[[#This Row],[G25 cp]],SRH[[#This Row],[G14 cp]],SRH[[#This Row],[G4 cp]]) -SRH[[#This Row],[CH MAX]]) / (SRH[[#This Row],[CHS Innings]]-1)</f>
        <v>14</v>
      </c>
      <c r="BA18" s="107">
        <f>MIN(SRH[[#This Row],[G25 cp]],SRH[[#This Row],[G14 cp]],SRH[[#This Row],[G4 cp]])</f>
        <v>14</v>
      </c>
      <c r="BB18" s="118">
        <v>15</v>
      </c>
      <c r="BC18" s="118"/>
      <c r="BD18" s="118"/>
      <c r="BE18" s="118"/>
      <c r="BF18" s="118"/>
      <c r="BG18" s="118"/>
      <c r="BH18" s="118"/>
      <c r="BI18" s="118"/>
      <c r="BJ18" s="118"/>
      <c r="BK18" s="59">
        <v>7</v>
      </c>
      <c r="BL18" s="150" t="s">
        <v>799</v>
      </c>
      <c r="BM18" s="118">
        <v>9</v>
      </c>
      <c r="BN18" s="118">
        <v>12</v>
      </c>
      <c r="BO18" s="118"/>
      <c r="BP18" s="107">
        <v>14</v>
      </c>
      <c r="BQ18" s="59">
        <v>15</v>
      </c>
      <c r="BR18" s="118"/>
      <c r="BS18" s="118"/>
      <c r="BT18" s="118"/>
      <c r="BU18" s="118"/>
      <c r="BV18" s="107"/>
      <c r="BW18" s="118"/>
      <c r="BX18" s="118"/>
      <c r="BY18" s="118"/>
      <c r="BZ18" s="118"/>
      <c r="CA18" s="118"/>
      <c r="CB18" s="50">
        <v>7</v>
      </c>
      <c r="CC18" s="51" t="s">
        <v>286</v>
      </c>
      <c r="CD18" s="51" t="s">
        <v>876</v>
      </c>
      <c r="CE18" s="51"/>
      <c r="CF18" s="52">
        <v>36</v>
      </c>
      <c r="CG18" s="62">
        <v>12</v>
      </c>
      <c r="CH18" s="51" t="s">
        <v>528</v>
      </c>
      <c r="CI18" s="73" t="s">
        <v>327</v>
      </c>
      <c r="CJ18" s="73"/>
      <c r="CK18" s="73">
        <v>32</v>
      </c>
    </row>
    <row r="19" spans="2:89" s="1" customFormat="1">
      <c r="B19" s="225" t="s">
        <v>214</v>
      </c>
      <c r="C19" s="219" t="s">
        <v>108</v>
      </c>
      <c r="D19" s="219">
        <v>1.5</v>
      </c>
      <c r="E19" s="219" t="s">
        <v>634</v>
      </c>
      <c r="F19" s="844" t="s">
        <v>54</v>
      </c>
      <c r="G19" s="968" t="s">
        <v>75</v>
      </c>
      <c r="H19" s="354" t="s">
        <v>1006</v>
      </c>
      <c r="I19" s="363"/>
      <c r="J19" s="372"/>
      <c r="K19" s="224"/>
      <c r="L19" s="224"/>
      <c r="M19" s="224"/>
      <c r="N19" s="381"/>
      <c r="O19" s="224"/>
      <c r="P19" s="224"/>
      <c r="Q19" s="224"/>
      <c r="R19" s="222">
        <f>COUNTA(SRH[[#This Row],[G29 cp]],SRH[[#This Row],[G25 cp]],SRH[[#This Row],[G19 cp]],SRH[[#This Row],[G14 cp]],SRH[[#This Row],[G10 cp]],SRH[[#This Row],[G4 cp]])</f>
        <v>1</v>
      </c>
      <c r="S19" s="336">
        <f>MAX(SRH[[#This Row],[G29 cp]],SRH[[#This Row],[G25 cp]],SRH[[#This Row],[G19 cp]],SRH[[#This Row],[G14 cp]],SRH[[#This Row],[G10 cp]],SRH[[#This Row],[G4 cp]])</f>
        <v>-2</v>
      </c>
      <c r="T19" s="336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19" s="223">
        <f>MIN(SRH[[#This Row],[G29 cp]],SRH[[#This Row],[G25 cp]],SRH[[#This Row],[G19 cp]],SRH[[#This Row],[G14 cp]],SRH[[#This Row],[G10 cp]],SRH[[#This Row],[G4 cp]])</f>
        <v>-2</v>
      </c>
      <c r="V19" s="222">
        <f>SRH[[#This Row],[G29 cp]]</f>
        <v>0</v>
      </c>
      <c r="W19" s="224">
        <f>SRH[[#This Row],[G25 cp]]</f>
        <v>0</v>
      </c>
      <c r="X19" s="224" t="str">
        <f t="shared" si="0"/>
        <v/>
      </c>
      <c r="Y19" s="224" t="str">
        <f t="shared" si="1"/>
        <v/>
      </c>
      <c r="Z19" s="224" t="str">
        <f t="shared" si="2"/>
        <v/>
      </c>
      <c r="AA19" s="223">
        <f t="shared" si="3"/>
        <v>-2</v>
      </c>
      <c r="AB19" s="363"/>
      <c r="AC19" s="372"/>
      <c r="AD19" s="224"/>
      <c r="AE19" s="224"/>
      <c r="AF19" s="224"/>
      <c r="AG19" s="381"/>
      <c r="AH19" s="224"/>
      <c r="AI19" s="224"/>
      <c r="AJ19" s="224"/>
      <c r="AK19" s="222">
        <f>COUNTA(SRH[[#This Row],[G29 cp]],SRH[[#This Row],[G19 cp]],SRH[[#This Row],[G10 cp]])</f>
        <v>0</v>
      </c>
      <c r="AL19" s="224">
        <f>MAX(SRH[[#This Row],[G29 cp]],SRH[[#This Row],[G19 cp]],SRH[[#This Row],[G10 cp]])</f>
        <v>0</v>
      </c>
      <c r="AM19" s="224">
        <f>( SUM(SRH[[#This Row],[G29 cp]],SRH[[#This Row],[G19 cp]],SRH[[#This Row],[G10 cp]]) - SRH[[#This Row],[B1 MAX2]]) / ( SRH[[#This Row],[B1 Innings]] - 1)</f>
        <v>0</v>
      </c>
      <c r="AN19" s="223">
        <f>MIN(SRH[[#This Row],[G29 cp]],SRH[[#This Row],[G19 cp]],SRH[[#This Row],[G10 cp]])</f>
        <v>0</v>
      </c>
      <c r="AO19" s="679"/>
      <c r="AP19" s="372"/>
      <c r="AQ19" s="224"/>
      <c r="AR19" s="224"/>
      <c r="AS19" s="224"/>
      <c r="AT19" s="381"/>
      <c r="AU19" s="223"/>
      <c r="AV19" s="224"/>
      <c r="AW19" s="224"/>
      <c r="AX19" s="222">
        <f>COUNTA(SRH[[#This Row],[G25 cp]],SRH[[#This Row],[G14 cp]],SRH[[#This Row],[G4 cp]])</f>
        <v>1</v>
      </c>
      <c r="AY19" s="224">
        <f>MAX(SRH[[#This Row],[G25 cp]],SRH[[#This Row],[G14 cp]],SRH[[#This Row],[G4 cp]])</f>
        <v>-2</v>
      </c>
      <c r="AZ19" s="224" t="e">
        <f>( SUM(SRH[[#This Row],[G25 cp]],SRH[[#This Row],[G14 cp]],SRH[[#This Row],[G4 cp]]) -SRH[[#This Row],[CH MAX]]) / (SRH[[#This Row],[CHS Innings]]-1)</f>
        <v>#DIV/0!</v>
      </c>
      <c r="BA19" s="223">
        <f>MIN(SRH[[#This Row],[G25 cp]],SRH[[#This Row],[G14 cp]],SRH[[#This Row],[G4 cp]])</f>
        <v>-2</v>
      </c>
      <c r="BB19" s="224">
        <v>15</v>
      </c>
      <c r="BC19" s="224"/>
      <c r="BD19" s="224"/>
      <c r="BE19" s="224"/>
      <c r="BF19" s="224"/>
      <c r="BG19" s="224"/>
      <c r="BH19" s="224"/>
      <c r="BI19" s="224"/>
      <c r="BJ19" s="224"/>
      <c r="BK19" s="222">
        <v>15</v>
      </c>
      <c r="BL19" s="224"/>
      <c r="BM19" s="224"/>
      <c r="BN19" s="224"/>
      <c r="BO19" s="224"/>
      <c r="BP19" s="223"/>
      <c r="BQ19" s="222">
        <v>15</v>
      </c>
      <c r="BR19" s="224"/>
      <c r="BS19" s="224"/>
      <c r="BT19" s="224"/>
      <c r="BU19" s="224"/>
      <c r="BV19" s="223"/>
      <c r="BW19" s="224"/>
      <c r="BX19" s="224"/>
      <c r="BY19" s="224"/>
      <c r="BZ19" s="224"/>
      <c r="CA19" s="224"/>
      <c r="CB19" s="218"/>
      <c r="CC19" s="219"/>
      <c r="CD19" s="219"/>
      <c r="CE19" s="219"/>
      <c r="CF19" s="220"/>
      <c r="CG19" s="225">
        <v>6</v>
      </c>
      <c r="CH19" s="219" t="s">
        <v>469</v>
      </c>
      <c r="CI19" s="221" t="s">
        <v>523</v>
      </c>
      <c r="CJ19" s="221"/>
      <c r="CK19" s="221">
        <v>-2</v>
      </c>
    </row>
    <row r="20" spans="2:89">
      <c r="B20" s="63" t="s">
        <v>214</v>
      </c>
      <c r="C20" s="12" t="s">
        <v>895</v>
      </c>
      <c r="D20" s="12">
        <v>4</v>
      </c>
      <c r="E20" s="12" t="s">
        <v>654</v>
      </c>
      <c r="F20" s="849" t="s">
        <v>56</v>
      </c>
      <c r="G20" s="973" t="s">
        <v>56</v>
      </c>
      <c r="H20" s="358" t="s">
        <v>1121</v>
      </c>
      <c r="I20" s="367"/>
      <c r="J20" s="376"/>
      <c r="K20" s="72"/>
      <c r="L20" s="72"/>
      <c r="M20" s="72"/>
      <c r="N20" s="385"/>
      <c r="O20" s="72"/>
      <c r="P20" s="72"/>
      <c r="Q20" s="72"/>
      <c r="R20" s="60">
        <f>COUNTA(SRH[[#This Row],[G29 cp]],SRH[[#This Row],[G25 cp]],SRH[[#This Row],[G19 cp]],SRH[[#This Row],[G14 cp]],SRH[[#This Row],[G10 cp]],SRH[[#This Row],[G4 cp]])</f>
        <v>5</v>
      </c>
      <c r="S20" s="262">
        <f>MAX(SRH[[#This Row],[G29 cp]],SRH[[#This Row],[G25 cp]],SRH[[#This Row],[G19 cp]],SRH[[#This Row],[G14 cp]],SRH[[#This Row],[G10 cp]],SRH[[#This Row],[G4 cp]])</f>
        <v>54</v>
      </c>
      <c r="T20" s="262">
        <f>( SUM(SRH[[#This Row],[G29 cp]],SRH[[#This Row],[G25 cp]],SRH[[#This Row],[G19 cp]],SRH[[#This Row],[G14 cp]],SRH[[#This Row],[G10 cp]],SRH[[#This Row],[G4 cp]]) - SRH[[#This Row],[Max2]]) / (SRH[[#This Row],[Innings]]-1)</f>
        <v>17.5</v>
      </c>
      <c r="U20" s="83">
        <f>MIN(SRH[[#This Row],[G29 cp]],SRH[[#This Row],[G25 cp]],SRH[[#This Row],[G19 cp]],SRH[[#This Row],[G14 cp]],SRH[[#This Row],[G10 cp]],SRH[[#This Row],[G4 cp]])</f>
        <v>2</v>
      </c>
      <c r="V20" s="60">
        <f>SRH[[#This Row],[G29 cp]]</f>
        <v>0</v>
      </c>
      <c r="W20" s="72">
        <f>SRH[[#This Row],[G25 cp]]</f>
        <v>35</v>
      </c>
      <c r="X20" s="72">
        <f t="shared" si="0"/>
        <v>29</v>
      </c>
      <c r="Y20" s="72">
        <f t="shared" si="1"/>
        <v>2</v>
      </c>
      <c r="Z20" s="72">
        <f t="shared" si="2"/>
        <v>4</v>
      </c>
      <c r="AA20" s="83">
        <f t="shared" si="3"/>
        <v>54</v>
      </c>
      <c r="AB20" s="367"/>
      <c r="AC20" s="376"/>
      <c r="AD20" s="72"/>
      <c r="AE20" s="72"/>
      <c r="AF20" s="72"/>
      <c r="AG20" s="385"/>
      <c r="AH20" s="72"/>
      <c r="AI20" s="72"/>
      <c r="AJ20" s="72"/>
      <c r="AK20" s="60">
        <f>COUNTA(SRH[[#This Row],[G29 cp]],SRH[[#This Row],[G19 cp]],SRH[[#This Row],[G10 cp]])</f>
        <v>2</v>
      </c>
      <c r="AL20" s="72">
        <f>MAX(SRH[[#This Row],[G29 cp]],SRH[[#This Row],[G19 cp]],SRH[[#This Row],[G10 cp]])</f>
        <v>29</v>
      </c>
      <c r="AM20" s="72">
        <f>( SUM(SRH[[#This Row],[G29 cp]],SRH[[#This Row],[G19 cp]],SRH[[#This Row],[G10 cp]]) - SRH[[#This Row],[B1 MAX2]]) / ( SRH[[#This Row],[B1 Innings]] - 1)</f>
        <v>4</v>
      </c>
      <c r="AN20" s="83">
        <f>MIN(SRH[[#This Row],[G29 cp]],SRH[[#This Row],[G19 cp]],SRH[[#This Row],[G10 cp]])</f>
        <v>4</v>
      </c>
      <c r="AO20" s="684"/>
      <c r="AP20" s="376"/>
      <c r="AQ20" s="72"/>
      <c r="AR20" s="72"/>
      <c r="AS20" s="72"/>
      <c r="AT20" s="385"/>
      <c r="AU20" s="83"/>
      <c r="AV20" s="72"/>
      <c r="AW20" s="72"/>
      <c r="AX20" s="60">
        <f>COUNTA(SRH[[#This Row],[G25 cp]],SRH[[#This Row],[G14 cp]],SRH[[#This Row],[G4 cp]])</f>
        <v>3</v>
      </c>
      <c r="AY20" s="72">
        <f>MAX(SRH[[#This Row],[G25 cp]],SRH[[#This Row],[G14 cp]],SRH[[#This Row],[G4 cp]])</f>
        <v>54</v>
      </c>
      <c r="AZ20" s="72">
        <f>( SUM(SRH[[#This Row],[G25 cp]],SRH[[#This Row],[G14 cp]],SRH[[#This Row],[G4 cp]]) -SRH[[#This Row],[CH MAX]]) / (SRH[[#This Row],[CHS Innings]]-1)</f>
        <v>18.5</v>
      </c>
      <c r="BA20" s="83">
        <f>MIN(SRH[[#This Row],[G25 cp]],SRH[[#This Row],[G14 cp]],SRH[[#This Row],[G4 cp]])</f>
        <v>2</v>
      </c>
      <c r="BB20" s="72">
        <v>15</v>
      </c>
      <c r="BC20" s="72"/>
      <c r="BD20" s="72"/>
      <c r="BE20" s="72"/>
      <c r="BF20" s="72"/>
      <c r="BG20" s="72"/>
      <c r="BH20" s="72"/>
      <c r="BI20" s="72"/>
      <c r="BJ20" s="72"/>
      <c r="BK20" s="60"/>
      <c r="BL20" s="72"/>
      <c r="BM20" s="72"/>
      <c r="BN20" s="72"/>
      <c r="BO20" s="72" t="s">
        <v>1143</v>
      </c>
      <c r="BP20" s="83">
        <v>35</v>
      </c>
      <c r="BQ20" s="60">
        <v>11</v>
      </c>
      <c r="BR20" s="72"/>
      <c r="BS20" s="72"/>
      <c r="BT20" s="72"/>
      <c r="BU20" s="72" t="s">
        <v>969</v>
      </c>
      <c r="BV20" s="83">
        <v>29</v>
      </c>
      <c r="BW20" s="72">
        <v>11</v>
      </c>
      <c r="BX20" s="72"/>
      <c r="BY20" s="72"/>
      <c r="BZ20" s="72" t="s">
        <v>560</v>
      </c>
      <c r="CA20" s="72">
        <v>2</v>
      </c>
      <c r="CB20" s="14">
        <v>11</v>
      </c>
      <c r="CC20" s="12"/>
      <c r="CD20" s="12"/>
      <c r="CE20" s="12" t="s">
        <v>312</v>
      </c>
      <c r="CF20" s="15">
        <v>4</v>
      </c>
      <c r="CG20" s="63">
        <v>11</v>
      </c>
      <c r="CH20" s="12"/>
      <c r="CI20" s="13"/>
      <c r="CJ20" s="13" t="s">
        <v>215</v>
      </c>
      <c r="CK20" s="13">
        <v>54</v>
      </c>
    </row>
    <row r="21" spans="2:89">
      <c r="B21" s="61" t="s">
        <v>214</v>
      </c>
      <c r="C21" s="6" t="s">
        <v>903</v>
      </c>
      <c r="D21" s="6">
        <v>0.2</v>
      </c>
      <c r="E21" s="6" t="s">
        <v>827</v>
      </c>
      <c r="F21" s="846" t="s">
        <v>55</v>
      </c>
      <c r="G21" s="969" t="s">
        <v>55</v>
      </c>
      <c r="H21" s="355"/>
      <c r="I21" s="364"/>
      <c r="J21" s="373"/>
      <c r="K21" s="71"/>
      <c r="L21" s="71"/>
      <c r="M21" s="71"/>
      <c r="N21" s="382"/>
      <c r="O21" s="71"/>
      <c r="P21" s="71"/>
      <c r="Q21" s="71"/>
      <c r="R21" s="58">
        <f>COUNTA(SRH[[#This Row],[G29 cp]],SRH[[#This Row],[G25 cp]],SRH[[#This Row],[G19 cp]],SRH[[#This Row],[G14 cp]],SRH[[#This Row],[G10 cp]],SRH[[#This Row],[G4 cp]])</f>
        <v>0</v>
      </c>
      <c r="S21" s="260">
        <f>MAX(SRH[[#This Row],[G29 cp]],SRH[[#This Row],[G25 cp]],SRH[[#This Row],[G19 cp]],SRH[[#This Row],[G14 cp]],SRH[[#This Row],[G10 cp]],SRH[[#This Row],[G4 cp]])</f>
        <v>0</v>
      </c>
      <c r="T21" s="260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1" s="80">
        <f>MIN(SRH[[#This Row],[G29 cp]],SRH[[#This Row],[G25 cp]],SRH[[#This Row],[G19 cp]],SRH[[#This Row],[G14 cp]],SRH[[#This Row],[G10 cp]],SRH[[#This Row],[G4 cp]])</f>
        <v>0</v>
      </c>
      <c r="V21" s="58">
        <f>SRH[[#This Row],[G29 cp]]</f>
        <v>0</v>
      </c>
      <c r="W21" s="71">
        <f>SRH[[#This Row],[G25 cp]]</f>
        <v>0</v>
      </c>
      <c r="X21" s="71" t="str">
        <f t="shared" si="0"/>
        <v/>
      </c>
      <c r="Y21" s="71" t="str">
        <f t="shared" si="1"/>
        <v/>
      </c>
      <c r="Z21" s="71" t="str">
        <f t="shared" si="2"/>
        <v/>
      </c>
      <c r="AA21" s="80" t="str">
        <f t="shared" si="3"/>
        <v/>
      </c>
      <c r="AB21" s="364"/>
      <c r="AC21" s="373"/>
      <c r="AD21" s="71"/>
      <c r="AE21" s="71"/>
      <c r="AF21" s="71"/>
      <c r="AG21" s="382"/>
      <c r="AH21" s="71"/>
      <c r="AI21" s="71"/>
      <c r="AJ21" s="71"/>
      <c r="AK21" s="58">
        <f>COUNTA(SRH[[#This Row],[G29 cp]],SRH[[#This Row],[G19 cp]],SRH[[#This Row],[G10 cp]])</f>
        <v>0</v>
      </c>
      <c r="AL21" s="71">
        <f>MAX(SRH[[#This Row],[G29 cp]],SRH[[#This Row],[G19 cp]],SRH[[#This Row],[G10 cp]])</f>
        <v>0</v>
      </c>
      <c r="AM21" s="71">
        <f>( SUM(SRH[[#This Row],[G29 cp]],SRH[[#This Row],[G19 cp]],SRH[[#This Row],[G10 cp]]) - SRH[[#This Row],[B1 MAX2]]) / ( SRH[[#This Row],[B1 Innings]] - 1)</f>
        <v>0</v>
      </c>
      <c r="AN21" s="80">
        <f>MIN(SRH[[#This Row],[G29 cp]],SRH[[#This Row],[G19 cp]],SRH[[#This Row],[G10 cp]])</f>
        <v>0</v>
      </c>
      <c r="AO21" s="681"/>
      <c r="AP21" s="373"/>
      <c r="AQ21" s="71"/>
      <c r="AR21" s="71"/>
      <c r="AS21" s="71"/>
      <c r="AT21" s="382"/>
      <c r="AU21" s="80"/>
      <c r="AV21" s="71"/>
      <c r="AW21" s="71"/>
      <c r="AX21" s="58">
        <f>COUNTA(SRH[[#This Row],[G25 cp]],SRH[[#This Row],[G14 cp]],SRH[[#This Row],[G4 cp]])</f>
        <v>0</v>
      </c>
      <c r="AY21" s="71">
        <f>MAX(SRH[[#This Row],[G25 cp]],SRH[[#This Row],[G14 cp]],SRH[[#This Row],[G4 cp]])</f>
        <v>0</v>
      </c>
      <c r="AZ21" s="71">
        <f>( SUM(SRH[[#This Row],[G25 cp]],SRH[[#This Row],[G14 cp]],SRH[[#This Row],[G4 cp]]) -SRH[[#This Row],[CH MAX]]) / (SRH[[#This Row],[CHS Innings]]-1)</f>
        <v>0</v>
      </c>
      <c r="BA21" s="80">
        <f>MIN(SRH[[#This Row],[G25 cp]],SRH[[#This Row],[G14 cp]],SRH[[#This Row],[G4 cp]])</f>
        <v>0</v>
      </c>
      <c r="BB21" s="71">
        <v>15</v>
      </c>
      <c r="BC21" s="71"/>
      <c r="BD21" s="71"/>
      <c r="BE21" s="71"/>
      <c r="BF21" s="71"/>
      <c r="BG21" s="71"/>
      <c r="BH21" s="71"/>
      <c r="BI21" s="71"/>
      <c r="BJ21" s="71"/>
      <c r="BK21" s="58"/>
      <c r="BL21" s="71"/>
      <c r="BM21" s="71"/>
      <c r="BN21" s="71"/>
      <c r="BO21" s="71"/>
      <c r="BP21" s="80"/>
      <c r="BQ21" s="58"/>
      <c r="BR21" s="71"/>
      <c r="BS21" s="71"/>
      <c r="BT21" s="71"/>
      <c r="BU21" s="71"/>
      <c r="BV21" s="80"/>
      <c r="BW21" s="71"/>
      <c r="BX21" s="71"/>
      <c r="BY21" s="71"/>
      <c r="BZ21" s="71"/>
      <c r="CA21" s="71"/>
      <c r="CB21" s="8"/>
      <c r="CC21" s="6"/>
      <c r="CD21" s="6"/>
      <c r="CE21" s="6"/>
      <c r="CF21" s="9"/>
      <c r="CG21" s="75"/>
      <c r="CH21" s="11"/>
      <c r="CI21" s="91"/>
      <c r="CJ21" s="91"/>
      <c r="CK21" s="91"/>
    </row>
    <row r="22" spans="2:89">
      <c r="B22" s="61" t="s">
        <v>214</v>
      </c>
      <c r="C22" s="6" t="s">
        <v>901</v>
      </c>
      <c r="D22" s="6">
        <v>2.6</v>
      </c>
      <c r="E22" s="6" t="s">
        <v>827</v>
      </c>
      <c r="F22" s="846" t="s">
        <v>55</v>
      </c>
      <c r="G22" s="969" t="s">
        <v>55</v>
      </c>
      <c r="H22" s="355" t="s">
        <v>1121</v>
      </c>
      <c r="I22" s="364"/>
      <c r="J22" s="373"/>
      <c r="K22" s="71"/>
      <c r="L22" s="71"/>
      <c r="M22" s="71"/>
      <c r="N22" s="382"/>
      <c r="O22" s="71"/>
      <c r="P22" s="71"/>
      <c r="Q22" s="71"/>
      <c r="R22" s="58">
        <f>COUNTA(SRH[[#This Row],[G29 cp]],SRH[[#This Row],[G25 cp]],SRH[[#This Row],[G19 cp]],SRH[[#This Row],[G14 cp]],SRH[[#This Row],[G10 cp]],SRH[[#This Row],[G4 cp]])</f>
        <v>0</v>
      </c>
      <c r="S22" s="260">
        <f>MAX(SRH[[#This Row],[G29 cp]],SRH[[#This Row],[G25 cp]],SRH[[#This Row],[G19 cp]],SRH[[#This Row],[G14 cp]],SRH[[#This Row],[G10 cp]],SRH[[#This Row],[G4 cp]])</f>
        <v>0</v>
      </c>
      <c r="T22" s="260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2" s="80">
        <f>MIN(SRH[[#This Row],[G29 cp]],SRH[[#This Row],[G25 cp]],SRH[[#This Row],[G19 cp]],SRH[[#This Row],[G14 cp]],SRH[[#This Row],[G10 cp]],SRH[[#This Row],[G4 cp]])</f>
        <v>0</v>
      </c>
      <c r="V22" s="58">
        <f>SRH[[#This Row],[G29 cp]]</f>
        <v>0</v>
      </c>
      <c r="W22" s="71">
        <f>SRH[[#This Row],[G25 cp]]</f>
        <v>0</v>
      </c>
      <c r="X22" s="71" t="str">
        <f t="shared" si="0"/>
        <v/>
      </c>
      <c r="Y22" s="71" t="str">
        <f t="shared" si="1"/>
        <v/>
      </c>
      <c r="Z22" s="71" t="str">
        <f t="shared" si="2"/>
        <v/>
      </c>
      <c r="AA22" s="80" t="str">
        <f t="shared" si="3"/>
        <v/>
      </c>
      <c r="AB22" s="364"/>
      <c r="AC22" s="373"/>
      <c r="AD22" s="71"/>
      <c r="AE22" s="71"/>
      <c r="AF22" s="71"/>
      <c r="AG22" s="382"/>
      <c r="AH22" s="71"/>
      <c r="AI22" s="71"/>
      <c r="AJ22" s="71"/>
      <c r="AK22" s="58">
        <f>COUNTA(SRH[[#This Row],[G29 cp]],SRH[[#This Row],[G19 cp]],SRH[[#This Row],[G10 cp]])</f>
        <v>0</v>
      </c>
      <c r="AL22" s="71">
        <f>MAX(SRH[[#This Row],[G29 cp]],SRH[[#This Row],[G19 cp]],SRH[[#This Row],[G10 cp]])</f>
        <v>0</v>
      </c>
      <c r="AM22" s="71">
        <f>( SUM(SRH[[#This Row],[G29 cp]],SRH[[#This Row],[G19 cp]],SRH[[#This Row],[G10 cp]]) - SRH[[#This Row],[B1 MAX2]]) / ( SRH[[#This Row],[B1 Innings]] - 1)</f>
        <v>0</v>
      </c>
      <c r="AN22" s="80">
        <f>MIN(SRH[[#This Row],[G29 cp]],SRH[[#This Row],[G19 cp]],SRH[[#This Row],[G10 cp]])</f>
        <v>0</v>
      </c>
      <c r="AO22" s="681"/>
      <c r="AP22" s="373"/>
      <c r="AQ22" s="71"/>
      <c r="AR22" s="71"/>
      <c r="AS22" s="71"/>
      <c r="AT22" s="382"/>
      <c r="AU22" s="80"/>
      <c r="AV22" s="71"/>
      <c r="AW22" s="71"/>
      <c r="AX22" s="58">
        <f>COUNTA(SRH[[#This Row],[G25 cp]],SRH[[#This Row],[G14 cp]],SRH[[#This Row],[G4 cp]])</f>
        <v>0</v>
      </c>
      <c r="AY22" s="71">
        <f>MAX(SRH[[#This Row],[G25 cp]],SRH[[#This Row],[G14 cp]],SRH[[#This Row],[G4 cp]])</f>
        <v>0</v>
      </c>
      <c r="AZ22" s="71">
        <f>( SUM(SRH[[#This Row],[G25 cp]],SRH[[#This Row],[G14 cp]],SRH[[#This Row],[G4 cp]]) -SRH[[#This Row],[CH MAX]]) / (SRH[[#This Row],[CHS Innings]]-1)</f>
        <v>0</v>
      </c>
      <c r="BA22" s="80">
        <f>MIN(SRH[[#This Row],[G25 cp]],SRH[[#This Row],[G14 cp]],SRH[[#This Row],[G4 cp]])</f>
        <v>0</v>
      </c>
      <c r="BB22" s="71"/>
      <c r="BC22" s="71"/>
      <c r="BD22" s="71"/>
      <c r="BE22" s="71"/>
      <c r="BF22" s="71"/>
      <c r="BG22" s="71"/>
      <c r="BH22" s="71"/>
      <c r="BI22" s="71"/>
      <c r="BJ22" s="71"/>
      <c r="BK22" s="58">
        <v>15</v>
      </c>
      <c r="BL22" s="71"/>
      <c r="BM22" s="71"/>
      <c r="BN22" s="71"/>
      <c r="BO22" s="71"/>
      <c r="BP22" s="80"/>
      <c r="BQ22" s="58">
        <v>15</v>
      </c>
      <c r="BR22" s="71"/>
      <c r="BS22" s="71"/>
      <c r="BT22" s="71"/>
      <c r="BU22" s="71"/>
      <c r="BV22" s="80"/>
      <c r="BW22" s="71"/>
      <c r="BX22" s="71"/>
      <c r="BY22" s="71"/>
      <c r="BZ22" s="71"/>
      <c r="CA22" s="71"/>
      <c r="CB22" s="8"/>
      <c r="CC22" s="6"/>
      <c r="CD22" s="6"/>
      <c r="CE22" s="6"/>
      <c r="CF22" s="9"/>
      <c r="CG22" s="75"/>
      <c r="CH22" s="11"/>
      <c r="CI22" s="91"/>
      <c r="CJ22" s="91"/>
      <c r="CK22" s="91"/>
    </row>
    <row r="23" spans="2:89">
      <c r="B23" s="62" t="s">
        <v>214</v>
      </c>
      <c r="C23" s="51" t="s">
        <v>118</v>
      </c>
      <c r="D23" s="51">
        <v>0.2</v>
      </c>
      <c r="E23" s="51"/>
      <c r="F23" s="845" t="s">
        <v>54</v>
      </c>
      <c r="G23" s="970" t="s">
        <v>54</v>
      </c>
      <c r="H23" s="353"/>
      <c r="I23" s="362"/>
      <c r="J23" s="371"/>
      <c r="K23" s="118"/>
      <c r="L23" s="118"/>
      <c r="M23" s="118"/>
      <c r="N23" s="380"/>
      <c r="O23" s="118"/>
      <c r="P23" s="118"/>
      <c r="Q23" s="118"/>
      <c r="R23" s="59">
        <f>COUNTA(SRH[[#This Row],[G29 cp]],SRH[[#This Row],[G25 cp]],SRH[[#This Row],[G19 cp]],SRH[[#This Row],[G14 cp]],SRH[[#This Row],[G10 cp]],SRH[[#This Row],[G4 cp]])</f>
        <v>1</v>
      </c>
      <c r="S23" s="335">
        <f>MAX(SRH[[#This Row],[G29 cp]],SRH[[#This Row],[G25 cp]],SRH[[#This Row],[G19 cp]],SRH[[#This Row],[G14 cp]],SRH[[#This Row],[G10 cp]],SRH[[#This Row],[G4 cp]])</f>
        <v>52</v>
      </c>
      <c r="T23" s="335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23" s="107">
        <f>MIN(SRH[[#This Row],[G29 cp]],SRH[[#This Row],[G25 cp]],SRH[[#This Row],[G19 cp]],SRH[[#This Row],[G14 cp]],SRH[[#This Row],[G10 cp]],SRH[[#This Row],[G4 cp]])</f>
        <v>52</v>
      </c>
      <c r="V23" s="59">
        <f>SRH[[#This Row],[G29 cp]]</f>
        <v>0</v>
      </c>
      <c r="W23" s="118">
        <f>SRH[[#This Row],[G25 cp]]</f>
        <v>0</v>
      </c>
      <c r="X23" s="118" t="str">
        <f t="shared" si="0"/>
        <v/>
      </c>
      <c r="Y23" s="118" t="str">
        <f t="shared" si="1"/>
        <v/>
      </c>
      <c r="Z23" s="118">
        <f t="shared" si="2"/>
        <v>52</v>
      </c>
      <c r="AA23" s="107" t="str">
        <f t="shared" si="3"/>
        <v/>
      </c>
      <c r="AB23" s="362"/>
      <c r="AC23" s="371"/>
      <c r="AD23" s="118"/>
      <c r="AE23" s="118"/>
      <c r="AF23" s="118"/>
      <c r="AG23" s="380"/>
      <c r="AH23" s="118"/>
      <c r="AI23" s="118"/>
      <c r="AJ23" s="118"/>
      <c r="AK23" s="59">
        <f>COUNTA(SRH[[#This Row],[G29 cp]],SRH[[#This Row],[G19 cp]],SRH[[#This Row],[G10 cp]])</f>
        <v>1</v>
      </c>
      <c r="AL23" s="118">
        <f>MAX(SRH[[#This Row],[G29 cp]],SRH[[#This Row],[G19 cp]],SRH[[#This Row],[G10 cp]])</f>
        <v>52</v>
      </c>
      <c r="AM23" s="118" t="e">
        <f>( SUM(SRH[[#This Row],[G29 cp]],SRH[[#This Row],[G19 cp]],SRH[[#This Row],[G10 cp]]) - SRH[[#This Row],[B1 MAX2]]) / ( SRH[[#This Row],[B1 Innings]] - 1)</f>
        <v>#DIV/0!</v>
      </c>
      <c r="AN23" s="107">
        <f>MIN(SRH[[#This Row],[G29 cp]],SRH[[#This Row],[G19 cp]],SRH[[#This Row],[G10 cp]])</f>
        <v>52</v>
      </c>
      <c r="AO23" s="680"/>
      <c r="AP23" s="371"/>
      <c r="AQ23" s="118"/>
      <c r="AR23" s="118"/>
      <c r="AS23" s="118"/>
      <c r="AT23" s="380"/>
      <c r="AU23" s="107"/>
      <c r="AV23" s="118"/>
      <c r="AW23" s="118"/>
      <c r="AX23" s="59">
        <f>COUNTA(SRH[[#This Row],[G25 cp]],SRH[[#This Row],[G14 cp]],SRH[[#This Row],[G4 cp]])</f>
        <v>0</v>
      </c>
      <c r="AY23" s="118">
        <f>MAX(SRH[[#This Row],[G25 cp]],SRH[[#This Row],[G14 cp]],SRH[[#This Row],[G4 cp]])</f>
        <v>0</v>
      </c>
      <c r="AZ23" s="118">
        <f>( SUM(SRH[[#This Row],[G25 cp]],SRH[[#This Row],[G14 cp]],SRH[[#This Row],[G4 cp]]) -SRH[[#This Row],[CH MAX]]) / (SRH[[#This Row],[CHS Innings]]-1)</f>
        <v>0</v>
      </c>
      <c r="BA23" s="107">
        <f>MIN(SRH[[#This Row],[G25 cp]],SRH[[#This Row],[G14 cp]],SRH[[#This Row],[G4 cp]])</f>
        <v>0</v>
      </c>
      <c r="BB23" s="118"/>
      <c r="BC23" s="118"/>
      <c r="BD23" s="118"/>
      <c r="BE23" s="118"/>
      <c r="BF23" s="118"/>
      <c r="BG23" s="118"/>
      <c r="BH23" s="118"/>
      <c r="BI23" s="118"/>
      <c r="BJ23" s="118"/>
      <c r="BK23" s="59"/>
      <c r="BL23" s="118"/>
      <c r="BM23" s="118"/>
      <c r="BN23" s="118"/>
      <c r="BO23" s="118"/>
      <c r="BP23" s="107"/>
      <c r="BQ23" s="59"/>
      <c r="BR23" s="118"/>
      <c r="BS23" s="118"/>
      <c r="BT23" s="118"/>
      <c r="BU23" s="118"/>
      <c r="BV23" s="107"/>
      <c r="BW23" s="118"/>
      <c r="BX23" s="118"/>
      <c r="BY23" s="118"/>
      <c r="BZ23" s="118"/>
      <c r="CA23" s="118"/>
      <c r="CB23" s="50">
        <v>1</v>
      </c>
      <c r="CC23" s="51" t="s">
        <v>281</v>
      </c>
      <c r="CD23" s="51" t="s">
        <v>276</v>
      </c>
      <c r="CE23" s="51"/>
      <c r="CF23" s="52">
        <v>52</v>
      </c>
      <c r="CG23" s="76"/>
      <c r="CH23" s="53"/>
      <c r="CI23" s="112"/>
      <c r="CJ23" s="112"/>
      <c r="CK23" s="112"/>
    </row>
    <row r="24" spans="2:89" s="1" customFormat="1">
      <c r="B24" s="163" t="s">
        <v>214</v>
      </c>
      <c r="C24" s="159" t="s">
        <v>896</v>
      </c>
      <c r="D24" s="159">
        <v>2</v>
      </c>
      <c r="E24" s="159" t="s">
        <v>615</v>
      </c>
      <c r="F24" s="850" t="s">
        <v>56</v>
      </c>
      <c r="G24" s="974" t="s">
        <v>56</v>
      </c>
      <c r="H24" s="359" t="s">
        <v>1006</v>
      </c>
      <c r="I24" s="368"/>
      <c r="J24" s="377"/>
      <c r="K24" s="161"/>
      <c r="L24" s="161"/>
      <c r="M24" s="161"/>
      <c r="N24" s="386"/>
      <c r="O24" s="161"/>
      <c r="P24" s="161"/>
      <c r="Q24" s="161"/>
      <c r="R24" s="195">
        <f>COUNTA(SRH[[#This Row],[G29 cp]],SRH[[#This Row],[G25 cp]],SRH[[#This Row],[G19 cp]],SRH[[#This Row],[G14 cp]],SRH[[#This Row],[G10 cp]],SRH[[#This Row],[G4 cp]])</f>
        <v>2</v>
      </c>
      <c r="S24" s="273">
        <f>MAX(SRH[[#This Row],[G29 cp]],SRH[[#This Row],[G25 cp]],SRH[[#This Row],[G19 cp]],SRH[[#This Row],[G14 cp]],SRH[[#This Row],[G10 cp]],SRH[[#This Row],[G4 cp]])</f>
        <v>75</v>
      </c>
      <c r="T24" s="273">
        <f>( SUM(SRH[[#This Row],[G29 cp]],SRH[[#This Row],[G25 cp]],SRH[[#This Row],[G19 cp]],SRH[[#This Row],[G14 cp]],SRH[[#This Row],[G10 cp]],SRH[[#This Row],[G4 cp]]) - SRH[[#This Row],[Max2]]) / (SRH[[#This Row],[Innings]]-1)</f>
        <v>25</v>
      </c>
      <c r="U24" s="196">
        <f>MIN(SRH[[#This Row],[G29 cp]],SRH[[#This Row],[G25 cp]],SRH[[#This Row],[G19 cp]],SRH[[#This Row],[G14 cp]],SRH[[#This Row],[G10 cp]],SRH[[#This Row],[G4 cp]])</f>
        <v>25</v>
      </c>
      <c r="V24" s="195">
        <f>SRH[[#This Row],[G29 cp]]</f>
        <v>0</v>
      </c>
      <c r="W24" s="161">
        <f>SRH[[#This Row],[G25 cp]]</f>
        <v>0</v>
      </c>
      <c r="X24" s="161" t="str">
        <f t="shared" si="0"/>
        <v/>
      </c>
      <c r="Y24" s="161" t="str">
        <f t="shared" si="1"/>
        <v/>
      </c>
      <c r="Z24" s="161">
        <f t="shared" si="2"/>
        <v>75</v>
      </c>
      <c r="AA24" s="196">
        <f t="shared" si="3"/>
        <v>25</v>
      </c>
      <c r="AB24" s="368"/>
      <c r="AC24" s="377"/>
      <c r="AD24" s="161"/>
      <c r="AE24" s="161"/>
      <c r="AF24" s="161"/>
      <c r="AG24" s="386"/>
      <c r="AH24" s="161"/>
      <c r="AI24" s="161"/>
      <c r="AJ24" s="161"/>
      <c r="AK24" s="195">
        <f>COUNTA(SRH[[#This Row],[G29 cp]],SRH[[#This Row],[G19 cp]],SRH[[#This Row],[G10 cp]])</f>
        <v>1</v>
      </c>
      <c r="AL24" s="161">
        <f>MAX(SRH[[#This Row],[G29 cp]],SRH[[#This Row],[G19 cp]],SRH[[#This Row],[G10 cp]])</f>
        <v>75</v>
      </c>
      <c r="AM24" s="161" t="e">
        <f>( SUM(SRH[[#This Row],[G29 cp]],SRH[[#This Row],[G19 cp]],SRH[[#This Row],[G10 cp]]) - SRH[[#This Row],[B1 MAX2]]) / ( SRH[[#This Row],[B1 Innings]] - 1)</f>
        <v>#DIV/0!</v>
      </c>
      <c r="AN24" s="196">
        <f>MIN(SRH[[#This Row],[G29 cp]],SRH[[#This Row],[G19 cp]],SRH[[#This Row],[G10 cp]])</f>
        <v>75</v>
      </c>
      <c r="AO24" s="685"/>
      <c r="AP24" s="377"/>
      <c r="AQ24" s="161"/>
      <c r="AR24" s="161"/>
      <c r="AS24" s="161"/>
      <c r="AT24" s="386"/>
      <c r="AU24" s="196"/>
      <c r="AV24" s="161"/>
      <c r="AW24" s="161"/>
      <c r="AX24" s="195">
        <f>COUNTA(SRH[[#This Row],[G25 cp]],SRH[[#This Row],[G14 cp]],SRH[[#This Row],[G4 cp]])</f>
        <v>1</v>
      </c>
      <c r="AY24" s="161">
        <f>MAX(SRH[[#This Row],[G25 cp]],SRH[[#This Row],[G14 cp]],SRH[[#This Row],[G4 cp]])</f>
        <v>25</v>
      </c>
      <c r="AZ24" s="161" t="e">
        <f>( SUM(SRH[[#This Row],[G25 cp]],SRH[[#This Row],[G14 cp]],SRH[[#This Row],[G4 cp]]) -SRH[[#This Row],[CH MAX]]) / (SRH[[#This Row],[CHS Innings]]-1)</f>
        <v>#DIV/0!</v>
      </c>
      <c r="BA24" s="196">
        <f>MIN(SRH[[#This Row],[G25 cp]],SRH[[#This Row],[G14 cp]],SRH[[#This Row],[G4 cp]])</f>
        <v>25</v>
      </c>
      <c r="BB24" s="161"/>
      <c r="BC24" s="161"/>
      <c r="BD24" s="161"/>
      <c r="BE24" s="161"/>
      <c r="BF24" s="161"/>
      <c r="BG24" s="161"/>
      <c r="BH24" s="161"/>
      <c r="BI24" s="161"/>
      <c r="BJ24" s="161"/>
      <c r="BK24" s="195"/>
      <c r="BL24" s="161"/>
      <c r="BM24" s="161"/>
      <c r="BN24" s="161"/>
      <c r="BO24" s="161"/>
      <c r="BP24" s="196"/>
      <c r="BQ24" s="195"/>
      <c r="BR24" s="161"/>
      <c r="BS24" s="161"/>
      <c r="BT24" s="161"/>
      <c r="BU24" s="161"/>
      <c r="BV24" s="196"/>
      <c r="BW24" s="161"/>
      <c r="BX24" s="161"/>
      <c r="BY24" s="161"/>
      <c r="BZ24" s="161"/>
      <c r="CA24" s="161"/>
      <c r="CB24" s="158">
        <v>8</v>
      </c>
      <c r="CC24" s="159" t="s">
        <v>288</v>
      </c>
      <c r="CD24" s="159" t="s">
        <v>285</v>
      </c>
      <c r="CE24" s="159" t="s">
        <v>215</v>
      </c>
      <c r="CF24" s="160">
        <v>75</v>
      </c>
      <c r="CG24" s="163">
        <v>8</v>
      </c>
      <c r="CH24" s="159" t="s">
        <v>527</v>
      </c>
      <c r="CI24" s="162" t="s">
        <v>517</v>
      </c>
      <c r="CJ24" s="162" t="s">
        <v>412</v>
      </c>
      <c r="CK24" s="90">
        <v>25</v>
      </c>
    </row>
    <row r="25" spans="2:89">
      <c r="B25" s="225" t="s">
        <v>214</v>
      </c>
      <c r="C25" s="219" t="s">
        <v>109</v>
      </c>
      <c r="D25" s="219">
        <v>0.5</v>
      </c>
      <c r="E25" s="219" t="s">
        <v>617</v>
      </c>
      <c r="F25" s="844" t="s">
        <v>54</v>
      </c>
      <c r="G25" s="968" t="s">
        <v>56</v>
      </c>
      <c r="H25" s="354"/>
      <c r="I25" s="363"/>
      <c r="J25" s="372"/>
      <c r="K25" s="224"/>
      <c r="L25" s="224"/>
      <c r="M25" s="224"/>
      <c r="N25" s="381"/>
      <c r="O25" s="224"/>
      <c r="P25" s="224"/>
      <c r="Q25" s="224"/>
      <c r="R25" s="222">
        <f>COUNTA(SRH[[#This Row],[G29 cp]],SRH[[#This Row],[G25 cp]],SRH[[#This Row],[G19 cp]],SRH[[#This Row],[G14 cp]],SRH[[#This Row],[G10 cp]],SRH[[#This Row],[G4 cp]])</f>
        <v>2</v>
      </c>
      <c r="S25" s="336">
        <f>MAX(SRH[[#This Row],[G29 cp]],SRH[[#This Row],[G25 cp]],SRH[[#This Row],[G19 cp]],SRH[[#This Row],[G14 cp]],SRH[[#This Row],[G10 cp]],SRH[[#This Row],[G4 cp]])</f>
        <v>68</v>
      </c>
      <c r="T25" s="336">
        <f>( SUM(SRH[[#This Row],[G29 cp]],SRH[[#This Row],[G25 cp]],SRH[[#This Row],[G19 cp]],SRH[[#This Row],[G14 cp]],SRH[[#This Row],[G10 cp]],SRH[[#This Row],[G4 cp]]) - SRH[[#This Row],[Max2]]) / (SRH[[#This Row],[Innings]]-1)</f>
        <v>35</v>
      </c>
      <c r="U25" s="223">
        <f>MIN(SRH[[#This Row],[G29 cp]],SRH[[#This Row],[G25 cp]],SRH[[#This Row],[G19 cp]],SRH[[#This Row],[G14 cp]],SRH[[#This Row],[G10 cp]],SRH[[#This Row],[G4 cp]])</f>
        <v>35</v>
      </c>
      <c r="V25" s="222">
        <f>SRH[[#This Row],[G29 cp]]</f>
        <v>0</v>
      </c>
      <c r="W25" s="224">
        <f>SRH[[#This Row],[G25 cp]]</f>
        <v>0</v>
      </c>
      <c r="X25" s="224" t="str">
        <f t="shared" si="0"/>
        <v/>
      </c>
      <c r="Y25" s="224" t="str">
        <f t="shared" si="1"/>
        <v/>
      </c>
      <c r="Z25" s="224">
        <f t="shared" si="2"/>
        <v>35</v>
      </c>
      <c r="AA25" s="223">
        <f t="shared" si="3"/>
        <v>68</v>
      </c>
      <c r="AB25" s="363"/>
      <c r="AC25" s="372"/>
      <c r="AD25" s="224"/>
      <c r="AE25" s="224"/>
      <c r="AF25" s="224"/>
      <c r="AG25" s="381"/>
      <c r="AH25" s="224"/>
      <c r="AI25" s="224"/>
      <c r="AJ25" s="224"/>
      <c r="AK25" s="222">
        <f>COUNTA(SRH[[#This Row],[G29 cp]],SRH[[#This Row],[G19 cp]],SRH[[#This Row],[G10 cp]])</f>
        <v>1</v>
      </c>
      <c r="AL25" s="224">
        <f>MAX(SRH[[#This Row],[G29 cp]],SRH[[#This Row],[G19 cp]],SRH[[#This Row],[G10 cp]])</f>
        <v>35</v>
      </c>
      <c r="AM25" s="224" t="e">
        <f>( SUM(SRH[[#This Row],[G29 cp]],SRH[[#This Row],[G19 cp]],SRH[[#This Row],[G10 cp]]) - SRH[[#This Row],[B1 MAX2]]) / ( SRH[[#This Row],[B1 Innings]] - 1)</f>
        <v>#DIV/0!</v>
      </c>
      <c r="AN25" s="223">
        <f>MIN(SRH[[#This Row],[G29 cp]],SRH[[#This Row],[G19 cp]],SRH[[#This Row],[G10 cp]])</f>
        <v>35</v>
      </c>
      <c r="AO25" s="679"/>
      <c r="AP25" s="372"/>
      <c r="AQ25" s="224"/>
      <c r="AR25" s="224"/>
      <c r="AS25" s="224"/>
      <c r="AT25" s="381"/>
      <c r="AU25" s="223"/>
      <c r="AV25" s="224"/>
      <c r="AW25" s="224"/>
      <c r="AX25" s="222">
        <f>COUNTA(SRH[[#This Row],[G25 cp]],SRH[[#This Row],[G14 cp]],SRH[[#This Row],[G4 cp]])</f>
        <v>1</v>
      </c>
      <c r="AY25" s="224">
        <f>MAX(SRH[[#This Row],[G25 cp]],SRH[[#This Row],[G14 cp]],SRH[[#This Row],[G4 cp]])</f>
        <v>68</v>
      </c>
      <c r="AZ25" s="224" t="e">
        <f>( SUM(SRH[[#This Row],[G25 cp]],SRH[[#This Row],[G14 cp]],SRH[[#This Row],[G4 cp]]) -SRH[[#This Row],[CH MAX]]) / (SRH[[#This Row],[CHS Innings]]-1)</f>
        <v>#DIV/0!</v>
      </c>
      <c r="BA25" s="223">
        <f>MIN(SRH[[#This Row],[G25 cp]],SRH[[#This Row],[G14 cp]],SRH[[#This Row],[G4 cp]])</f>
        <v>68</v>
      </c>
      <c r="BB25" s="224"/>
      <c r="BC25" s="224"/>
      <c r="BD25" s="224"/>
      <c r="BE25" s="224"/>
      <c r="BF25" s="224"/>
      <c r="BG25" s="224"/>
      <c r="BH25" s="224"/>
      <c r="BI25" s="224"/>
      <c r="BJ25" s="224"/>
      <c r="BK25" s="222"/>
      <c r="BL25" s="224"/>
      <c r="BM25" s="224"/>
      <c r="BN25" s="224"/>
      <c r="BO25" s="224"/>
      <c r="BP25" s="223"/>
      <c r="BQ25" s="222"/>
      <c r="BR25" s="224"/>
      <c r="BS25" s="224"/>
      <c r="BT25" s="224"/>
      <c r="BU25" s="224"/>
      <c r="BV25" s="223"/>
      <c r="BW25" s="224"/>
      <c r="BX25" s="224"/>
      <c r="BY25" s="224"/>
      <c r="BZ25" s="224"/>
      <c r="CA25" s="224"/>
      <c r="CB25" s="218">
        <v>12</v>
      </c>
      <c r="CC25" s="219"/>
      <c r="CD25" s="219"/>
      <c r="CE25" s="219" t="s">
        <v>310</v>
      </c>
      <c r="CF25" s="220">
        <v>35</v>
      </c>
      <c r="CG25" s="225">
        <v>7</v>
      </c>
      <c r="CH25" s="219"/>
      <c r="CI25" s="221"/>
      <c r="CJ25" s="221" t="s">
        <v>216</v>
      </c>
      <c r="CK25" s="221">
        <v>68</v>
      </c>
    </row>
    <row r="26" spans="2:89">
      <c r="B26" s="63" t="s">
        <v>214</v>
      </c>
      <c r="C26" s="12" t="s">
        <v>897</v>
      </c>
      <c r="D26" s="12">
        <v>4</v>
      </c>
      <c r="E26" s="12" t="s">
        <v>898</v>
      </c>
      <c r="F26" s="849" t="s">
        <v>56</v>
      </c>
      <c r="G26" s="973" t="s">
        <v>56</v>
      </c>
      <c r="H26" s="358" t="s">
        <v>1121</v>
      </c>
      <c r="I26" s="367"/>
      <c r="J26" s="376"/>
      <c r="K26" s="72"/>
      <c r="L26" s="72"/>
      <c r="M26" s="72"/>
      <c r="N26" s="385"/>
      <c r="O26" s="72"/>
      <c r="P26" s="72"/>
      <c r="Q26" s="72"/>
      <c r="R26" s="60">
        <f>COUNTA(SRH[[#This Row],[G29 cp]],SRH[[#This Row],[G25 cp]],SRH[[#This Row],[G19 cp]],SRH[[#This Row],[G14 cp]],SRH[[#This Row],[G10 cp]],SRH[[#This Row],[G4 cp]])</f>
        <v>0</v>
      </c>
      <c r="S26" s="262">
        <f>MAX(SRH[[#This Row],[G29 cp]],SRH[[#This Row],[G25 cp]],SRH[[#This Row],[G19 cp]],SRH[[#This Row],[G14 cp]],SRH[[#This Row],[G10 cp]],SRH[[#This Row],[G4 cp]])</f>
        <v>0</v>
      </c>
      <c r="T26" s="262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6" s="83">
        <f>MIN(SRH[[#This Row],[G29 cp]],SRH[[#This Row],[G25 cp]],SRH[[#This Row],[G19 cp]],SRH[[#This Row],[G14 cp]],SRH[[#This Row],[G10 cp]],SRH[[#This Row],[G4 cp]])</f>
        <v>0</v>
      </c>
      <c r="V26" s="60">
        <f>SRH[[#This Row],[G29 cp]]</f>
        <v>0</v>
      </c>
      <c r="W26" s="72">
        <f>SRH[[#This Row],[G25 cp]]</f>
        <v>0</v>
      </c>
      <c r="X26" s="72" t="str">
        <f t="shared" si="0"/>
        <v/>
      </c>
      <c r="Y26" s="72" t="str">
        <f t="shared" si="1"/>
        <v/>
      </c>
      <c r="Z26" s="72" t="str">
        <f t="shared" si="2"/>
        <v/>
      </c>
      <c r="AA26" s="83" t="str">
        <f t="shared" si="3"/>
        <v/>
      </c>
      <c r="AB26" s="367"/>
      <c r="AC26" s="376"/>
      <c r="AD26" s="72"/>
      <c r="AE26" s="72"/>
      <c r="AF26" s="72"/>
      <c r="AG26" s="385"/>
      <c r="AH26" s="72"/>
      <c r="AI26" s="72"/>
      <c r="AJ26" s="72"/>
      <c r="AK26" s="60">
        <f>COUNTA(SRH[[#This Row],[G29 cp]],SRH[[#This Row],[G19 cp]],SRH[[#This Row],[G10 cp]])</f>
        <v>0</v>
      </c>
      <c r="AL26" s="72">
        <f>MAX(SRH[[#This Row],[G29 cp]],SRH[[#This Row],[G19 cp]],SRH[[#This Row],[G10 cp]])</f>
        <v>0</v>
      </c>
      <c r="AM26" s="72">
        <f>( SUM(SRH[[#This Row],[G29 cp]],SRH[[#This Row],[G19 cp]],SRH[[#This Row],[G10 cp]]) - SRH[[#This Row],[B1 MAX2]]) / ( SRH[[#This Row],[B1 Innings]] - 1)</f>
        <v>0</v>
      </c>
      <c r="AN26" s="83">
        <f>MIN(SRH[[#This Row],[G29 cp]],SRH[[#This Row],[G19 cp]],SRH[[#This Row],[G10 cp]])</f>
        <v>0</v>
      </c>
      <c r="AO26" s="684"/>
      <c r="AP26" s="376"/>
      <c r="AQ26" s="72"/>
      <c r="AR26" s="72"/>
      <c r="AS26" s="72"/>
      <c r="AT26" s="385"/>
      <c r="AU26" s="83"/>
      <c r="AV26" s="72"/>
      <c r="AW26" s="72"/>
      <c r="AX26" s="60">
        <f>COUNTA(SRH[[#This Row],[G25 cp]],SRH[[#This Row],[G14 cp]],SRH[[#This Row],[G4 cp]])</f>
        <v>0</v>
      </c>
      <c r="AY26" s="72">
        <f>MAX(SRH[[#This Row],[G25 cp]],SRH[[#This Row],[G14 cp]],SRH[[#This Row],[G4 cp]])</f>
        <v>0</v>
      </c>
      <c r="AZ26" s="72">
        <f>( SUM(SRH[[#This Row],[G25 cp]],SRH[[#This Row],[G14 cp]],SRH[[#This Row],[G4 cp]]) -SRH[[#This Row],[CH MAX]]) / (SRH[[#This Row],[CHS Innings]]-1)</f>
        <v>0</v>
      </c>
      <c r="BA26" s="83">
        <f>MIN(SRH[[#This Row],[G25 cp]],SRH[[#This Row],[G14 cp]],SRH[[#This Row],[G4 cp]])</f>
        <v>0</v>
      </c>
      <c r="BB26" s="72"/>
      <c r="BC26" s="72"/>
      <c r="BD26" s="72"/>
      <c r="BE26" s="72"/>
      <c r="BF26" s="72"/>
      <c r="BG26" s="72"/>
      <c r="BH26" s="72"/>
      <c r="BI26" s="72"/>
      <c r="BJ26" s="72"/>
      <c r="BK26" s="60"/>
      <c r="BL26" s="72"/>
      <c r="BM26" s="72"/>
      <c r="BN26" s="72"/>
      <c r="BO26" s="72"/>
      <c r="BP26" s="83"/>
      <c r="BQ26" s="60"/>
      <c r="BR26" s="72"/>
      <c r="BS26" s="72"/>
      <c r="BT26" s="72"/>
      <c r="BU26" s="72"/>
      <c r="BV26" s="83"/>
      <c r="BW26" s="72"/>
      <c r="BX26" s="72"/>
      <c r="BY26" s="72"/>
      <c r="BZ26" s="72"/>
      <c r="CA26" s="72"/>
      <c r="CB26" s="14"/>
      <c r="CC26" s="12"/>
      <c r="CD26" s="12"/>
      <c r="CE26" s="12"/>
      <c r="CF26" s="15"/>
      <c r="CG26" s="63"/>
      <c r="CH26" s="12"/>
      <c r="CI26" s="13"/>
      <c r="CJ26" s="13"/>
      <c r="CK26" s="13"/>
    </row>
    <row r="27" spans="2:89">
      <c r="B27" s="163" t="s">
        <v>214</v>
      </c>
      <c r="C27" s="159" t="s">
        <v>904</v>
      </c>
      <c r="D27" s="159">
        <v>1</v>
      </c>
      <c r="E27" s="159" t="s">
        <v>613</v>
      </c>
      <c r="F27" s="850" t="s">
        <v>56</v>
      </c>
      <c r="G27" s="974" t="s">
        <v>56</v>
      </c>
      <c r="H27" s="359" t="s">
        <v>1006</v>
      </c>
      <c r="I27" s="368"/>
      <c r="J27" s="377"/>
      <c r="K27" s="161"/>
      <c r="L27" s="161"/>
      <c r="M27" s="161"/>
      <c r="N27" s="386"/>
      <c r="O27" s="161"/>
      <c r="P27" s="161"/>
      <c r="Q27" s="161"/>
      <c r="R27" s="195">
        <f>COUNTA(SRH[[#This Row],[G29 cp]],SRH[[#This Row],[G25 cp]],SRH[[#This Row],[G19 cp]],SRH[[#This Row],[G14 cp]],SRH[[#This Row],[G10 cp]],SRH[[#This Row],[G4 cp]])</f>
        <v>0</v>
      </c>
      <c r="S27" s="273">
        <f>MAX(SRH[[#This Row],[G29 cp]],SRH[[#This Row],[G25 cp]],SRH[[#This Row],[G19 cp]],SRH[[#This Row],[G14 cp]],SRH[[#This Row],[G10 cp]],SRH[[#This Row],[G4 cp]])</f>
        <v>0</v>
      </c>
      <c r="T27" s="273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7" s="196">
        <f>MIN(SRH[[#This Row],[G29 cp]],SRH[[#This Row],[G25 cp]],SRH[[#This Row],[G19 cp]],SRH[[#This Row],[G14 cp]],SRH[[#This Row],[G10 cp]],SRH[[#This Row],[G4 cp]])</f>
        <v>0</v>
      </c>
      <c r="V27" s="195">
        <f>SRH[[#This Row],[G29 cp]]</f>
        <v>0</v>
      </c>
      <c r="W27" s="161">
        <f>SRH[[#This Row],[G25 cp]]</f>
        <v>0</v>
      </c>
      <c r="X27" s="161" t="str">
        <f t="shared" si="0"/>
        <v/>
      </c>
      <c r="Y27" s="161" t="str">
        <f t="shared" si="1"/>
        <v/>
      </c>
      <c r="Z27" s="161" t="str">
        <f t="shared" si="2"/>
        <v/>
      </c>
      <c r="AA27" s="196" t="str">
        <f t="shared" si="3"/>
        <v/>
      </c>
      <c r="AB27" s="368"/>
      <c r="AC27" s="377"/>
      <c r="AD27" s="161"/>
      <c r="AE27" s="161"/>
      <c r="AF27" s="161"/>
      <c r="AG27" s="386"/>
      <c r="AH27" s="161"/>
      <c r="AI27" s="161"/>
      <c r="AJ27" s="161"/>
      <c r="AK27" s="195">
        <f>COUNTA(SRH[[#This Row],[G29 cp]],SRH[[#This Row],[G19 cp]],SRH[[#This Row],[G10 cp]])</f>
        <v>0</v>
      </c>
      <c r="AL27" s="161">
        <f>MAX(SRH[[#This Row],[G29 cp]],SRH[[#This Row],[G19 cp]],SRH[[#This Row],[G10 cp]])</f>
        <v>0</v>
      </c>
      <c r="AM27" s="161">
        <f>( SUM(SRH[[#This Row],[G29 cp]],SRH[[#This Row],[G19 cp]],SRH[[#This Row],[G10 cp]]) - SRH[[#This Row],[B1 MAX2]]) / ( SRH[[#This Row],[B1 Innings]] - 1)</f>
        <v>0</v>
      </c>
      <c r="AN27" s="196">
        <f>MIN(SRH[[#This Row],[G29 cp]],SRH[[#This Row],[G19 cp]],SRH[[#This Row],[G10 cp]])</f>
        <v>0</v>
      </c>
      <c r="AO27" s="685"/>
      <c r="AP27" s="377"/>
      <c r="AQ27" s="161"/>
      <c r="AR27" s="161"/>
      <c r="AS27" s="161"/>
      <c r="AT27" s="386"/>
      <c r="AU27" s="196"/>
      <c r="AV27" s="161"/>
      <c r="AW27" s="161"/>
      <c r="AX27" s="195">
        <f>COUNTA(SRH[[#This Row],[G25 cp]],SRH[[#This Row],[G14 cp]],SRH[[#This Row],[G4 cp]])</f>
        <v>0</v>
      </c>
      <c r="AY27" s="161">
        <f>MAX(SRH[[#This Row],[G25 cp]],SRH[[#This Row],[G14 cp]],SRH[[#This Row],[G4 cp]])</f>
        <v>0</v>
      </c>
      <c r="AZ27" s="161">
        <f>( SUM(SRH[[#This Row],[G25 cp]],SRH[[#This Row],[G14 cp]],SRH[[#This Row],[G4 cp]]) -SRH[[#This Row],[CH MAX]]) / (SRH[[#This Row],[CHS Innings]]-1)</f>
        <v>0</v>
      </c>
      <c r="BA27" s="196">
        <f>MIN(SRH[[#This Row],[G25 cp]],SRH[[#This Row],[G14 cp]],SRH[[#This Row],[G4 cp]])</f>
        <v>0</v>
      </c>
      <c r="BB27" s="161"/>
      <c r="BC27" s="161"/>
      <c r="BD27" s="161"/>
      <c r="BE27" s="161"/>
      <c r="BF27" s="161"/>
      <c r="BG27" s="161"/>
      <c r="BH27" s="161"/>
      <c r="BI27" s="161"/>
      <c r="BJ27" s="161"/>
      <c r="BK27" s="195"/>
      <c r="BL27" s="161"/>
      <c r="BM27" s="161"/>
      <c r="BN27" s="161"/>
      <c r="BO27" s="161"/>
      <c r="BP27" s="196"/>
      <c r="BQ27" s="195"/>
      <c r="BR27" s="161"/>
      <c r="BS27" s="161"/>
      <c r="BT27" s="161"/>
      <c r="BU27" s="161"/>
      <c r="BV27" s="196"/>
      <c r="BW27" s="161"/>
      <c r="BX27" s="161"/>
      <c r="BY27" s="161"/>
      <c r="BZ27" s="161"/>
      <c r="CA27" s="161"/>
      <c r="CB27" s="158"/>
      <c r="CC27" s="159"/>
      <c r="CD27" s="159"/>
      <c r="CE27" s="159"/>
      <c r="CF27" s="160"/>
      <c r="CG27" s="64"/>
      <c r="CH27" s="17"/>
      <c r="CI27" s="90"/>
      <c r="CJ27" s="90"/>
      <c r="CK27" s="90"/>
    </row>
    <row r="28" spans="2:89">
      <c r="B28" s="930" t="s">
        <v>214</v>
      </c>
      <c r="C28" s="55" t="s">
        <v>116</v>
      </c>
      <c r="D28" s="55">
        <v>0.25</v>
      </c>
      <c r="E28" s="55"/>
      <c r="F28" s="851" t="s">
        <v>75</v>
      </c>
      <c r="G28" s="975" t="s">
        <v>75</v>
      </c>
      <c r="H28" s="360"/>
      <c r="I28" s="369"/>
      <c r="J28" s="378"/>
      <c r="K28" s="119"/>
      <c r="L28" s="119"/>
      <c r="M28" s="119"/>
      <c r="N28" s="387"/>
      <c r="O28" s="119"/>
      <c r="P28" s="119"/>
      <c r="Q28" s="119"/>
      <c r="R28" s="108">
        <f>COUNTA(SRH[[#This Row],[G29 cp]],SRH[[#This Row],[G25 cp]],SRH[[#This Row],[G19 cp]],SRH[[#This Row],[G14 cp]],SRH[[#This Row],[G10 cp]],SRH[[#This Row],[G4 cp]])</f>
        <v>0</v>
      </c>
      <c r="S28" s="337">
        <f>MAX(SRH[[#This Row],[G29 cp]],SRH[[#This Row],[G25 cp]],SRH[[#This Row],[G19 cp]],SRH[[#This Row],[G14 cp]],SRH[[#This Row],[G10 cp]],SRH[[#This Row],[G4 cp]])</f>
        <v>0</v>
      </c>
      <c r="T28" s="337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8" s="109">
        <f>MIN(SRH[[#This Row],[G29 cp]],SRH[[#This Row],[G25 cp]],SRH[[#This Row],[G19 cp]],SRH[[#This Row],[G14 cp]],SRH[[#This Row],[G10 cp]],SRH[[#This Row],[G4 cp]])</f>
        <v>0</v>
      </c>
      <c r="V28" s="108">
        <f>SRH[[#This Row],[G29 cp]]</f>
        <v>0</v>
      </c>
      <c r="W28" s="119">
        <f>SRH[[#This Row],[G25 cp]]</f>
        <v>0</v>
      </c>
      <c r="X28" s="119" t="str">
        <f t="shared" si="0"/>
        <v/>
      </c>
      <c r="Y28" s="119" t="str">
        <f t="shared" si="1"/>
        <v/>
      </c>
      <c r="Z28" s="119" t="str">
        <f t="shared" si="2"/>
        <v/>
      </c>
      <c r="AA28" s="109" t="str">
        <f t="shared" si="3"/>
        <v/>
      </c>
      <c r="AB28" s="369"/>
      <c r="AC28" s="378"/>
      <c r="AD28" s="119"/>
      <c r="AE28" s="119"/>
      <c r="AF28" s="119"/>
      <c r="AG28" s="387"/>
      <c r="AH28" s="119"/>
      <c r="AI28" s="119"/>
      <c r="AJ28" s="119"/>
      <c r="AK28" s="108">
        <f>COUNTA(SRH[[#This Row],[G29 cp]],SRH[[#This Row],[G19 cp]],SRH[[#This Row],[G10 cp]])</f>
        <v>0</v>
      </c>
      <c r="AL28" s="119">
        <f>MAX(SRH[[#This Row],[G29 cp]],SRH[[#This Row],[G19 cp]],SRH[[#This Row],[G10 cp]])</f>
        <v>0</v>
      </c>
      <c r="AM28" s="119">
        <f>( SUM(SRH[[#This Row],[G29 cp]],SRH[[#This Row],[G19 cp]],SRH[[#This Row],[G10 cp]]) - SRH[[#This Row],[B1 MAX2]]) / ( SRH[[#This Row],[B1 Innings]] - 1)</f>
        <v>0</v>
      </c>
      <c r="AN28" s="109">
        <f>MIN(SRH[[#This Row],[G29 cp]],SRH[[#This Row],[G19 cp]],SRH[[#This Row],[G10 cp]])</f>
        <v>0</v>
      </c>
      <c r="AO28" s="686"/>
      <c r="AP28" s="378"/>
      <c r="AQ28" s="119"/>
      <c r="AR28" s="119"/>
      <c r="AS28" s="119"/>
      <c r="AT28" s="387"/>
      <c r="AU28" s="109"/>
      <c r="AV28" s="119"/>
      <c r="AW28" s="119"/>
      <c r="AX28" s="108">
        <f>COUNTA(SRH[[#This Row],[G25 cp]],SRH[[#This Row],[G14 cp]],SRH[[#This Row],[G4 cp]])</f>
        <v>0</v>
      </c>
      <c r="AY28" s="119">
        <f>MAX(SRH[[#This Row],[G25 cp]],SRH[[#This Row],[G14 cp]],SRH[[#This Row],[G4 cp]])</f>
        <v>0</v>
      </c>
      <c r="AZ28" s="119">
        <f>( SUM(SRH[[#This Row],[G25 cp]],SRH[[#This Row],[G14 cp]],SRH[[#This Row],[G4 cp]]) -SRH[[#This Row],[CH MAX]]) / (SRH[[#This Row],[CHS Innings]]-1)</f>
        <v>0</v>
      </c>
      <c r="BA28" s="109">
        <f>MIN(SRH[[#This Row],[G25 cp]],SRH[[#This Row],[G14 cp]],SRH[[#This Row],[G4 cp]])</f>
        <v>0</v>
      </c>
      <c r="BB28" s="119"/>
      <c r="BC28" s="119"/>
      <c r="BD28" s="119"/>
      <c r="BE28" s="119"/>
      <c r="BF28" s="119"/>
      <c r="BG28" s="119"/>
      <c r="BH28" s="119"/>
      <c r="BI28" s="119"/>
      <c r="BJ28" s="119"/>
      <c r="BK28" s="108"/>
      <c r="BL28" s="119"/>
      <c r="BM28" s="119"/>
      <c r="BN28" s="119"/>
      <c r="BO28" s="119"/>
      <c r="BP28" s="109"/>
      <c r="BQ28" s="108"/>
      <c r="BR28" s="119"/>
      <c r="BS28" s="119"/>
      <c r="BT28" s="119"/>
      <c r="BU28" s="119"/>
      <c r="BV28" s="109"/>
      <c r="BW28" s="119"/>
      <c r="BX28" s="119"/>
      <c r="BY28" s="119"/>
      <c r="BZ28" s="119"/>
      <c r="CA28" s="119"/>
      <c r="CB28" s="54"/>
      <c r="CC28" s="55"/>
      <c r="CD28" s="55"/>
      <c r="CE28" s="55"/>
      <c r="CF28" s="56"/>
      <c r="CG28" s="74"/>
      <c r="CH28" s="57"/>
      <c r="CI28" s="113"/>
      <c r="CJ28" s="113"/>
      <c r="CK28" s="113"/>
    </row>
    <row r="29" spans="2:89">
      <c r="B29" s="62" t="s">
        <v>214</v>
      </c>
      <c r="C29" s="51" t="s">
        <v>115</v>
      </c>
      <c r="D29" s="51">
        <v>0.2</v>
      </c>
      <c r="E29" s="51"/>
      <c r="F29" s="845" t="s">
        <v>54</v>
      </c>
      <c r="G29" s="970" t="s">
        <v>54</v>
      </c>
      <c r="H29" s="353"/>
      <c r="I29" s="362"/>
      <c r="J29" s="371"/>
      <c r="K29" s="118"/>
      <c r="L29" s="118"/>
      <c r="M29" s="118"/>
      <c r="N29" s="380"/>
      <c r="O29" s="118"/>
      <c r="P29" s="118"/>
      <c r="Q29" s="118"/>
      <c r="R29" s="59">
        <f>COUNTA(SRH[[#This Row],[G29 cp]],SRH[[#This Row],[G25 cp]],SRH[[#This Row],[G19 cp]],SRH[[#This Row],[G14 cp]],SRH[[#This Row],[G10 cp]],SRH[[#This Row],[G4 cp]])</f>
        <v>0</v>
      </c>
      <c r="S29" s="335">
        <f>MAX(SRH[[#This Row],[G29 cp]],SRH[[#This Row],[G25 cp]],SRH[[#This Row],[G19 cp]],SRH[[#This Row],[G14 cp]],SRH[[#This Row],[G10 cp]],SRH[[#This Row],[G4 cp]])</f>
        <v>0</v>
      </c>
      <c r="T29" s="335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9" s="107">
        <f>MIN(SRH[[#This Row],[G29 cp]],SRH[[#This Row],[G25 cp]],SRH[[#This Row],[G19 cp]],SRH[[#This Row],[G14 cp]],SRH[[#This Row],[G10 cp]],SRH[[#This Row],[G4 cp]])</f>
        <v>0</v>
      </c>
      <c r="V29" s="59">
        <f>SRH[[#This Row],[G29 cp]]</f>
        <v>0</v>
      </c>
      <c r="W29" s="118">
        <f>SRH[[#This Row],[G25 cp]]</f>
        <v>0</v>
      </c>
      <c r="X29" s="118" t="str">
        <f t="shared" si="0"/>
        <v/>
      </c>
      <c r="Y29" s="118" t="str">
        <f t="shared" si="1"/>
        <v/>
      </c>
      <c r="Z29" s="118" t="str">
        <f t="shared" si="2"/>
        <v/>
      </c>
      <c r="AA29" s="107" t="str">
        <f t="shared" si="3"/>
        <v/>
      </c>
      <c r="AB29" s="362"/>
      <c r="AC29" s="371"/>
      <c r="AD29" s="118"/>
      <c r="AE29" s="118"/>
      <c r="AF29" s="118"/>
      <c r="AG29" s="380"/>
      <c r="AH29" s="118"/>
      <c r="AI29" s="118"/>
      <c r="AJ29" s="118"/>
      <c r="AK29" s="59">
        <f>COUNTA(SRH[[#This Row],[G29 cp]],SRH[[#This Row],[G19 cp]],SRH[[#This Row],[G10 cp]])</f>
        <v>0</v>
      </c>
      <c r="AL29" s="118">
        <f>MAX(SRH[[#This Row],[G29 cp]],SRH[[#This Row],[G19 cp]],SRH[[#This Row],[G10 cp]])</f>
        <v>0</v>
      </c>
      <c r="AM29" s="118">
        <f>( SUM(SRH[[#This Row],[G29 cp]],SRH[[#This Row],[G19 cp]],SRH[[#This Row],[G10 cp]]) - SRH[[#This Row],[B1 MAX2]]) / ( SRH[[#This Row],[B1 Innings]] - 1)</f>
        <v>0</v>
      </c>
      <c r="AN29" s="107">
        <f>MIN(SRH[[#This Row],[G29 cp]],SRH[[#This Row],[G19 cp]],SRH[[#This Row],[G10 cp]])</f>
        <v>0</v>
      </c>
      <c r="AO29" s="680"/>
      <c r="AP29" s="371"/>
      <c r="AQ29" s="118"/>
      <c r="AR29" s="118"/>
      <c r="AS29" s="118"/>
      <c r="AT29" s="380"/>
      <c r="AU29" s="107"/>
      <c r="AV29" s="118"/>
      <c r="AW29" s="118"/>
      <c r="AX29" s="59">
        <f>COUNTA(SRH[[#This Row],[G25 cp]],SRH[[#This Row],[G14 cp]],SRH[[#This Row],[G4 cp]])</f>
        <v>0</v>
      </c>
      <c r="AY29" s="118">
        <f>MAX(SRH[[#This Row],[G25 cp]],SRH[[#This Row],[G14 cp]],SRH[[#This Row],[G4 cp]])</f>
        <v>0</v>
      </c>
      <c r="AZ29" s="118">
        <f>( SUM(SRH[[#This Row],[G25 cp]],SRH[[#This Row],[G14 cp]],SRH[[#This Row],[G4 cp]]) -SRH[[#This Row],[CH MAX]]) / (SRH[[#This Row],[CHS Innings]]-1)</f>
        <v>0</v>
      </c>
      <c r="BA29" s="107">
        <f>MIN(SRH[[#This Row],[G25 cp]],SRH[[#This Row],[G14 cp]],SRH[[#This Row],[G4 cp]])</f>
        <v>0</v>
      </c>
      <c r="BB29" s="118"/>
      <c r="BC29" s="118"/>
      <c r="BD29" s="118"/>
      <c r="BE29" s="118"/>
      <c r="BF29" s="118"/>
      <c r="BG29" s="118"/>
      <c r="BH29" s="118"/>
      <c r="BI29" s="118"/>
      <c r="BJ29" s="118"/>
      <c r="BK29" s="59"/>
      <c r="BL29" s="118"/>
      <c r="BM29" s="118"/>
      <c r="BN29" s="118"/>
      <c r="BO29" s="118"/>
      <c r="BP29" s="107"/>
      <c r="BQ29" s="59"/>
      <c r="BR29" s="118"/>
      <c r="BS29" s="118"/>
      <c r="BT29" s="118"/>
      <c r="BU29" s="118"/>
      <c r="BV29" s="107"/>
      <c r="BW29" s="118"/>
      <c r="BX29" s="118"/>
      <c r="BY29" s="118"/>
      <c r="BZ29" s="118"/>
      <c r="CA29" s="118"/>
      <c r="CB29" s="50"/>
      <c r="CC29" s="51"/>
      <c r="CD29" s="51"/>
      <c r="CE29" s="51"/>
      <c r="CF29" s="52"/>
      <c r="CG29" s="76"/>
      <c r="CH29" s="53"/>
      <c r="CI29" s="112"/>
      <c r="CJ29" s="112"/>
      <c r="CK29" s="112"/>
    </row>
    <row r="30" spans="2:89" ht="15" thickBot="1">
      <c r="B30" s="935" t="s">
        <v>214</v>
      </c>
      <c r="C30" s="936" t="s">
        <v>117</v>
      </c>
      <c r="D30" s="936">
        <v>0.2</v>
      </c>
      <c r="E30" s="936"/>
      <c r="F30" s="937" t="s">
        <v>54</v>
      </c>
      <c r="G30" s="976" t="s">
        <v>54</v>
      </c>
      <c r="H30" s="938"/>
      <c r="I30" s="939"/>
      <c r="J30" s="940"/>
      <c r="K30" s="941"/>
      <c r="L30" s="941"/>
      <c r="M30" s="941"/>
      <c r="N30" s="942"/>
      <c r="O30" s="941"/>
      <c r="P30" s="941"/>
      <c r="Q30" s="941"/>
      <c r="R30" s="943">
        <f>COUNTA(SRH[[#This Row],[G29 cp]],SRH[[#This Row],[G25 cp]],SRH[[#This Row],[G19 cp]],SRH[[#This Row],[G14 cp]],SRH[[#This Row],[G10 cp]],SRH[[#This Row],[G4 cp]])</f>
        <v>0</v>
      </c>
      <c r="S30" s="944">
        <f>MAX(SRH[[#This Row],[G29 cp]],SRH[[#This Row],[G25 cp]],SRH[[#This Row],[G19 cp]],SRH[[#This Row],[G14 cp]],SRH[[#This Row],[G10 cp]],SRH[[#This Row],[G4 cp]])</f>
        <v>0</v>
      </c>
      <c r="T30" s="944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30" s="945">
        <f>MIN(SRH[[#This Row],[G29 cp]],SRH[[#This Row],[G25 cp]],SRH[[#This Row],[G19 cp]],SRH[[#This Row],[G14 cp]],SRH[[#This Row],[G10 cp]],SRH[[#This Row],[G4 cp]])</f>
        <v>0</v>
      </c>
      <c r="V30" s="943">
        <f>SRH[[#This Row],[G29 cp]]</f>
        <v>0</v>
      </c>
      <c r="W30" s="941">
        <f>SRH[[#This Row],[G25 cp]]</f>
        <v>0</v>
      </c>
      <c r="X30" s="941" t="str">
        <f t="shared" si="0"/>
        <v/>
      </c>
      <c r="Y30" s="941" t="str">
        <f t="shared" si="1"/>
        <v/>
      </c>
      <c r="Z30" s="941" t="str">
        <f t="shared" si="2"/>
        <v/>
      </c>
      <c r="AA30" s="945" t="str">
        <f t="shared" si="3"/>
        <v/>
      </c>
      <c r="AB30" s="939"/>
      <c r="AC30" s="940"/>
      <c r="AD30" s="941"/>
      <c r="AE30" s="941"/>
      <c r="AF30" s="941"/>
      <c r="AG30" s="942"/>
      <c r="AH30" s="941"/>
      <c r="AI30" s="941"/>
      <c r="AJ30" s="941"/>
      <c r="AK30" s="943">
        <f>COUNTA(SRH[[#This Row],[G29 cp]],SRH[[#This Row],[G19 cp]],SRH[[#This Row],[G10 cp]])</f>
        <v>0</v>
      </c>
      <c r="AL30" s="941">
        <f>MAX(SRH[[#This Row],[G29 cp]],SRH[[#This Row],[G19 cp]],SRH[[#This Row],[G10 cp]])</f>
        <v>0</v>
      </c>
      <c r="AM30" s="941">
        <f>( SUM(SRH[[#This Row],[G29 cp]],SRH[[#This Row],[G19 cp]],SRH[[#This Row],[G10 cp]]) - SRH[[#This Row],[B1 MAX2]]) / ( SRH[[#This Row],[B1 Innings]] - 1)</f>
        <v>0</v>
      </c>
      <c r="AN30" s="945">
        <f>MIN(SRH[[#This Row],[G29 cp]],SRH[[#This Row],[G19 cp]],SRH[[#This Row],[G10 cp]])</f>
        <v>0</v>
      </c>
      <c r="AO30" s="946"/>
      <c r="AP30" s="940"/>
      <c r="AQ30" s="941"/>
      <c r="AR30" s="941"/>
      <c r="AS30" s="941"/>
      <c r="AT30" s="942"/>
      <c r="AU30" s="945"/>
      <c r="AV30" s="941"/>
      <c r="AW30" s="941"/>
      <c r="AX30" s="110">
        <f>COUNTA(SRH[[#This Row],[G25 cp]],SRH[[#This Row],[G14 cp]],SRH[[#This Row],[G4 cp]])</f>
        <v>0</v>
      </c>
      <c r="AY30" s="120">
        <f>MAX(SRH[[#This Row],[G25 cp]],SRH[[#This Row],[G14 cp]],SRH[[#This Row],[G4 cp]])</f>
        <v>0</v>
      </c>
      <c r="AZ30" s="120">
        <f>( SUM(SRH[[#This Row],[G25 cp]],SRH[[#This Row],[G14 cp]],SRH[[#This Row],[G4 cp]]) -SRH[[#This Row],[CH MAX]]) / (SRH[[#This Row],[CHS Innings]]-1)</f>
        <v>0</v>
      </c>
      <c r="BA30" s="111">
        <f>MIN(SRH[[#This Row],[G25 cp]],SRH[[#This Row],[G14 cp]],SRH[[#This Row],[G4 cp]])</f>
        <v>0</v>
      </c>
      <c r="BB30" s="941"/>
      <c r="BC30" s="941"/>
      <c r="BD30" s="941"/>
      <c r="BE30" s="941"/>
      <c r="BF30" s="941"/>
      <c r="BG30" s="941"/>
      <c r="BH30" s="941"/>
      <c r="BI30" s="941"/>
      <c r="BJ30" s="941"/>
      <c r="BK30" s="943"/>
      <c r="BL30" s="941"/>
      <c r="BM30" s="941"/>
      <c r="BN30" s="941"/>
      <c r="BO30" s="941"/>
      <c r="BP30" s="945"/>
      <c r="BQ30" s="943"/>
      <c r="BR30" s="941"/>
      <c r="BS30" s="941"/>
      <c r="BT30" s="941"/>
      <c r="BU30" s="941"/>
      <c r="BV30" s="945"/>
      <c r="BW30" s="941"/>
      <c r="BX30" s="941"/>
      <c r="BY30" s="941"/>
      <c r="BZ30" s="941"/>
      <c r="CA30" s="941"/>
      <c r="CB30" s="947"/>
      <c r="CC30" s="936"/>
      <c r="CD30" s="936"/>
      <c r="CE30" s="936"/>
      <c r="CF30" s="948"/>
      <c r="CG30" s="949"/>
      <c r="CH30" s="950"/>
      <c r="CI30" s="951"/>
      <c r="CJ30" s="951"/>
      <c r="CK30" s="951"/>
    </row>
  </sheetData>
  <sortState xmlns:xlrd2="http://schemas.microsoft.com/office/spreadsheetml/2017/richdata2" ref="B6:CK30">
    <sortCondition ref="BK6:BK30"/>
    <sortCondition ref="BQ6:BQ30"/>
    <sortCondition ref="BW6:BW30"/>
    <sortCondition ref="CB6:CB30"/>
    <sortCondition ref="CG6:CG30"/>
    <sortCondition descending="1" ref="D6:D30"/>
  </sortState>
  <phoneticPr fontId="26" type="noConversion"/>
  <conditionalFormatting sqref="R6:R30">
    <cfRule type="colorScale" priority="6">
      <colorScale>
        <cfvo type="min"/>
        <cfvo type="max"/>
        <color rgb="FFFCFCFF"/>
        <color rgb="FF63BE7B"/>
      </colorScale>
    </cfRule>
  </conditionalFormatting>
  <conditionalFormatting sqref="S6:S30">
    <cfRule type="colorScale" priority="5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V6:X3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8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6:BA3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AK6:AK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L6:AL30">
    <cfRule type="colorScale" priority="3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M6:AM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AN6:AN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AX6:AX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Y6:AY30">
    <cfRule type="colorScale" priority="1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AZ6:AZ30">
    <cfRule type="colorScale" priority="8">
      <colorScale>
        <cfvo type="min"/>
        <cfvo type="max"/>
        <color rgb="FFFCFCFF"/>
        <color rgb="FF63BE7B"/>
      </colorScale>
    </cfRule>
  </conditionalFormatting>
  <conditionalFormatting sqref="BA6:BA30">
    <cfRule type="colorScale" priority="26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BEFC-088C-43B5-A783-2508A85B3282}">
  <dimension ref="B2:BM30"/>
  <sheetViews>
    <sheetView showGridLines="0" zoomScaleNormal="100" workbookViewId="0">
      <pane xSplit="3" ySplit="5" topLeftCell="K6" activePane="bottomRight" state="frozen"/>
      <selection pane="topRight" activeCell="D1" sqref="D1"/>
      <selection pane="bottomLeft" activeCell="A4" sqref="A4"/>
      <selection pane="bottomRight" activeCell="Z5" sqref="Z5"/>
    </sheetView>
  </sheetViews>
  <sheetFormatPr defaultRowHeight="14.4"/>
  <cols>
    <col min="1" max="1" width="3.44140625" customWidth="1"/>
    <col min="2" max="2" width="7.21875" customWidth="1"/>
    <col min="3" max="3" width="20.109375" bestFit="1" customWidth="1"/>
    <col min="4" max="4" width="7.33203125" customWidth="1"/>
    <col min="5" max="5" width="10.109375" bestFit="1" customWidth="1"/>
    <col min="6" max="6" width="11.6640625" customWidth="1"/>
    <col min="7" max="7" width="11.88671875" bestFit="1" customWidth="1"/>
    <col min="8" max="8" width="8.33203125" bestFit="1" customWidth="1"/>
    <col min="9" max="9" width="6" customWidth="1"/>
    <col min="10" max="10" width="13.6640625" customWidth="1"/>
    <col min="11" max="11" width="16.6640625" customWidth="1"/>
    <col min="12" max="12" width="11.77734375" customWidth="1"/>
    <col min="13" max="17" width="9.77734375" customWidth="1"/>
    <col min="18" max="18" width="6.44140625" customWidth="1"/>
    <col min="19" max="19" width="7.109375" customWidth="1"/>
    <col min="20" max="20" width="8" customWidth="1"/>
    <col min="21" max="22" width="9.88671875" customWidth="1"/>
    <col min="23" max="23" width="8.88671875" customWidth="1"/>
    <col min="24" max="25" width="8.109375" customWidth="1"/>
    <col min="26" max="26" width="7" customWidth="1"/>
    <col min="27" max="27" width="9.5546875" bestFit="1" customWidth="1"/>
    <col min="28" max="28" width="6.77734375" customWidth="1"/>
    <col min="29" max="29" width="7.77734375" customWidth="1"/>
    <col min="30" max="30" width="9.44140625" customWidth="1"/>
    <col min="31" max="31" width="9" customWidth="1"/>
    <col min="32" max="32" width="7" customWidth="1"/>
    <col min="33" max="33" width="12.77734375" bestFit="1" customWidth="1"/>
    <col min="34" max="34" width="6.77734375" customWidth="1"/>
    <col min="35" max="35" width="7.77734375" customWidth="1"/>
    <col min="36" max="36" width="9.44140625" customWidth="1"/>
    <col min="37" max="37" width="9" customWidth="1"/>
    <col min="38" max="38" width="7.88671875" customWidth="1"/>
    <col min="39" max="39" width="9" bestFit="1" customWidth="1"/>
    <col min="40" max="40" width="9" customWidth="1"/>
    <col min="41" max="41" width="9.44140625" customWidth="1"/>
    <col min="42" max="42" width="8.109375" customWidth="1"/>
    <col min="43" max="43" width="6.109375" customWidth="1"/>
    <col min="44" max="44" width="8.88671875" bestFit="1" customWidth="1"/>
    <col min="45" max="45" width="8.21875" customWidth="1"/>
    <col min="46" max="46" width="8.6640625" customWidth="1"/>
    <col min="47" max="47" width="7.21875" customWidth="1"/>
    <col min="48" max="48" width="7.77734375" customWidth="1"/>
    <col min="49" max="49" width="9.6640625" bestFit="1" customWidth="1"/>
    <col min="50" max="50" width="9.88671875" customWidth="1"/>
    <col min="51" max="51" width="10.33203125" customWidth="1"/>
    <col min="52" max="52" width="8.88671875" customWidth="1"/>
    <col min="53" max="53" width="6.77734375" customWidth="1"/>
    <col min="54" max="54" width="9.44140625" bestFit="1" customWidth="1"/>
    <col min="55" max="55" width="10.6640625" bestFit="1" customWidth="1"/>
    <col min="56" max="56" width="7.33203125" customWidth="1"/>
    <col min="57" max="57" width="8.5546875" customWidth="1"/>
    <col min="62" max="62" width="9.109375" bestFit="1" customWidth="1"/>
  </cols>
  <sheetData>
    <row r="2" spans="2:65">
      <c r="Z2" s="602" t="s">
        <v>1349</v>
      </c>
      <c r="AA2" s="276" t="s">
        <v>1291</v>
      </c>
      <c r="AB2" s="276" t="s">
        <v>1289</v>
      </c>
      <c r="AC2" s="276" t="s">
        <v>1351</v>
      </c>
      <c r="AD2" s="276" t="s">
        <v>1290</v>
      </c>
      <c r="AE2" s="276" t="s">
        <v>1350</v>
      </c>
    </row>
    <row r="3" spans="2:65">
      <c r="Z3" s="602" t="s">
        <v>1132</v>
      </c>
      <c r="AA3" s="276" t="s">
        <v>1132</v>
      </c>
      <c r="AB3" s="276" t="s">
        <v>933</v>
      </c>
      <c r="AC3" s="276" t="s">
        <v>1132</v>
      </c>
      <c r="AD3" s="276" t="s">
        <v>933</v>
      </c>
      <c r="AE3" s="276" t="s">
        <v>1132</v>
      </c>
      <c r="AF3" s="283" t="s">
        <v>1370</v>
      </c>
      <c r="AO3" s="276" t="s">
        <v>1086</v>
      </c>
      <c r="AU3" s="276" t="s">
        <v>1087</v>
      </c>
      <c r="BA3" s="276" t="s">
        <v>1088</v>
      </c>
      <c r="BF3" s="276" t="s">
        <v>1089</v>
      </c>
      <c r="BK3" s="276" t="s">
        <v>1090</v>
      </c>
    </row>
    <row r="4" spans="2:65" ht="15" thickBot="1">
      <c r="Z4" s="602" t="s">
        <v>1157</v>
      </c>
      <c r="AA4" s="276" t="s">
        <v>1112</v>
      </c>
      <c r="AB4" s="276" t="s">
        <v>1157</v>
      </c>
      <c r="AC4" s="276" t="s">
        <v>1375</v>
      </c>
      <c r="AD4" s="276" t="s">
        <v>1157</v>
      </c>
      <c r="AE4" s="276" t="s">
        <v>1131</v>
      </c>
      <c r="AF4" s="283" t="s">
        <v>1369</v>
      </c>
      <c r="AO4" s="276" t="s">
        <v>1371</v>
      </c>
      <c r="AP4" s="276"/>
      <c r="AQ4" s="276"/>
      <c r="AU4" s="276" t="s">
        <v>1283</v>
      </c>
      <c r="AV4" s="276"/>
      <c r="AW4" s="276"/>
      <c r="BA4" s="276" t="s">
        <v>1372</v>
      </c>
      <c r="BB4" s="276"/>
      <c r="BC4" s="276"/>
      <c r="BF4" s="276" t="s">
        <v>1373</v>
      </c>
      <c r="BG4" s="276"/>
      <c r="BH4" s="276"/>
      <c r="BK4" s="276" t="s">
        <v>1374</v>
      </c>
      <c r="BL4" s="276"/>
      <c r="BM4" s="276"/>
    </row>
    <row r="5" spans="2:65" ht="31.2" customHeight="1" thickBot="1">
      <c r="B5" s="770" t="s">
        <v>93</v>
      </c>
      <c r="C5" s="771" t="s">
        <v>0</v>
      </c>
      <c r="D5" s="772" t="s">
        <v>181</v>
      </c>
      <c r="E5" s="771" t="s">
        <v>701</v>
      </c>
      <c r="F5" s="772" t="s">
        <v>53</v>
      </c>
      <c r="G5" s="773" t="s">
        <v>182</v>
      </c>
      <c r="H5" s="69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993</v>
      </c>
      <c r="O5" s="696" t="s">
        <v>1216</v>
      </c>
      <c r="P5" s="696" t="s">
        <v>1217</v>
      </c>
      <c r="Q5" s="696" t="s">
        <v>1385</v>
      </c>
      <c r="R5" s="697" t="s">
        <v>1198</v>
      </c>
      <c r="S5" s="698" t="s">
        <v>367</v>
      </c>
      <c r="T5" s="966" t="s">
        <v>776</v>
      </c>
      <c r="U5" s="953" t="s">
        <v>777</v>
      </c>
      <c r="V5" s="700" t="s">
        <v>1376</v>
      </c>
      <c r="W5" s="700" t="s">
        <v>1231</v>
      </c>
      <c r="X5" s="700" t="s">
        <v>1379</v>
      </c>
      <c r="Y5" s="700" t="s">
        <v>1380</v>
      </c>
      <c r="Z5" s="700" t="s">
        <v>1381</v>
      </c>
      <c r="AA5" s="700" t="s">
        <v>1382</v>
      </c>
      <c r="AB5" s="203" t="s">
        <v>1294</v>
      </c>
      <c r="AC5" s="203" t="s">
        <v>1367</v>
      </c>
      <c r="AD5" s="203" t="s">
        <v>1368</v>
      </c>
      <c r="AE5" s="203" t="s">
        <v>1298</v>
      </c>
      <c r="AF5" s="203" t="s">
        <v>1297</v>
      </c>
      <c r="AG5" s="203" t="s">
        <v>1299</v>
      </c>
      <c r="AH5" s="203" t="s">
        <v>1300</v>
      </c>
      <c r="AI5" s="203" t="s">
        <v>1301</v>
      </c>
      <c r="AJ5" s="203" t="s">
        <v>1303</v>
      </c>
      <c r="AK5" s="954" t="s">
        <v>949</v>
      </c>
      <c r="AL5" s="772" t="s">
        <v>950</v>
      </c>
      <c r="AM5" s="772" t="s">
        <v>959</v>
      </c>
      <c r="AN5" s="772" t="s">
        <v>958</v>
      </c>
      <c r="AO5" s="772" t="s">
        <v>951</v>
      </c>
      <c r="AP5" s="955" t="s">
        <v>1226</v>
      </c>
      <c r="AQ5" s="956" t="s">
        <v>790</v>
      </c>
      <c r="AR5" s="957" t="s">
        <v>791</v>
      </c>
      <c r="AS5" s="957" t="s">
        <v>792</v>
      </c>
      <c r="AT5" s="957" t="s">
        <v>793</v>
      </c>
      <c r="AU5" s="957" t="s">
        <v>794</v>
      </c>
      <c r="AV5" s="958" t="s">
        <v>1265</v>
      </c>
      <c r="AW5" s="771" t="s">
        <v>727</v>
      </c>
      <c r="AX5" s="771" t="s">
        <v>729</v>
      </c>
      <c r="AY5" s="771" t="s">
        <v>728</v>
      </c>
      <c r="AZ5" s="771" t="s">
        <v>730</v>
      </c>
      <c r="BA5" s="771" t="s">
        <v>1194</v>
      </c>
      <c r="BB5" s="959" t="s">
        <v>430</v>
      </c>
      <c r="BC5" s="960" t="s">
        <v>432</v>
      </c>
      <c r="BD5" s="960" t="s">
        <v>707</v>
      </c>
      <c r="BE5" s="960" t="s">
        <v>708</v>
      </c>
      <c r="BF5" s="961" t="s">
        <v>1377</v>
      </c>
      <c r="BG5" s="962" t="s">
        <v>314</v>
      </c>
      <c r="BH5" s="963" t="s">
        <v>316</v>
      </c>
      <c r="BI5" s="963" t="s">
        <v>315</v>
      </c>
      <c r="BJ5" s="963" t="s">
        <v>329</v>
      </c>
      <c r="BK5" s="964" t="s">
        <v>1378</v>
      </c>
      <c r="BL5" s="771" t="s">
        <v>57</v>
      </c>
      <c r="BM5" s="965" t="s">
        <v>58</v>
      </c>
    </row>
    <row r="6" spans="2:65">
      <c r="B6" s="146" t="s">
        <v>95</v>
      </c>
      <c r="C6" s="97" t="s">
        <v>44</v>
      </c>
      <c r="D6" s="97">
        <v>6.25</v>
      </c>
      <c r="E6" s="97" t="s">
        <v>614</v>
      </c>
      <c r="F6" s="97" t="s">
        <v>54</v>
      </c>
      <c r="G6" s="145" t="s">
        <v>54</v>
      </c>
      <c r="H6" s="605" t="s">
        <v>1005</v>
      </c>
      <c r="I6" s="607"/>
      <c r="J6" s="608"/>
      <c r="K6" s="204"/>
      <c r="L6" s="204"/>
      <c r="M6" s="204"/>
      <c r="N6" s="609"/>
      <c r="O6" s="204"/>
      <c r="P6" s="204"/>
      <c r="Q6" s="204"/>
      <c r="R6" s="205">
        <f>COUNTA(DC[[#This Row],[G28 cp]],DC[[#This Row],[G20 cp]],DC[[#This Row],[G16 cp]],DC[[#This Row],[G11 cp]],DC[[#This Row],[G7 cp]],DC[[#This Row],[G3 cp]])</f>
        <v>6</v>
      </c>
      <c r="S6" s="603">
        <f>MAX(DC[[#This Row],[G28 cp]],DC[[#This Row],[G20 cp]],DC[[#This Row],[G16 cp]],DC[[#This Row],[G11 cp]],DC[[#This Row],[G7 cp]],DC[[#This Row],[G3 cp]])</f>
        <v>99</v>
      </c>
      <c r="T6" s="603">
        <f>( SUM(DC[[#This Row],[G28 cp]],DC[[#This Row],[G20 cp]],DC[[#This Row],[G16 cp]],DC[[#This Row],[G11 cp]],DC[[#This Row],[G7 cp]],DC[[#This Row],[G3 cp]])-DC[[#This Row],[Max.]]) / (DC[[#This Row],[Innings]]-1)</f>
        <v>64.599999999999994</v>
      </c>
      <c r="U6" s="206">
        <f>MIN(DC[[#This Row],[G28 cp]],DC[[#This Row],[G20 cp]],DC[[#This Row],[G16 cp]],DC[[#This Row],[G11 cp]],DC[[#This Row],[G7 cp]],DC[[#This Row],[G3 cp]])</f>
        <v>35</v>
      </c>
      <c r="V6" s="204">
        <f>DC[[#This Row],[G28 cp]]</f>
        <v>88</v>
      </c>
      <c r="W6" s="204">
        <f>DC[[#This Row],[G20 cp]]</f>
        <v>35</v>
      </c>
      <c r="X6" s="204">
        <f>DC[[#This Row],[G16 cp]]</f>
        <v>69</v>
      </c>
      <c r="Y6" s="204">
        <f>DC[[#This Row],[G11 cp]]</f>
        <v>99</v>
      </c>
      <c r="Z6" s="204">
        <f>DC[[#This Row],[G7 cp]]</f>
        <v>48</v>
      </c>
      <c r="AA6" s="204">
        <f>DC[[#This Row],[G3 cp]]</f>
        <v>83</v>
      </c>
      <c r="AB6" s="205">
        <v>1</v>
      </c>
      <c r="AC6" s="204"/>
      <c r="AD6" s="204" t="s">
        <v>489</v>
      </c>
      <c r="AE6" s="204">
        <v>57</v>
      </c>
      <c r="AF6" s="204">
        <v>41</v>
      </c>
      <c r="AG6" s="204"/>
      <c r="AH6" s="204"/>
      <c r="AI6" s="204"/>
      <c r="AJ6" s="206">
        <v>88</v>
      </c>
      <c r="AK6" s="205">
        <v>1</v>
      </c>
      <c r="AL6" s="204" t="s">
        <v>1081</v>
      </c>
      <c r="AM6" s="204">
        <v>19</v>
      </c>
      <c r="AN6" s="204">
        <v>13</v>
      </c>
      <c r="AO6" s="204"/>
      <c r="AP6" s="206">
        <v>35</v>
      </c>
      <c r="AQ6" s="205">
        <v>1</v>
      </c>
      <c r="AR6" s="204" t="s">
        <v>796</v>
      </c>
      <c r="AS6" s="204">
        <v>51</v>
      </c>
      <c r="AT6" s="204">
        <v>47</v>
      </c>
      <c r="AU6" s="204"/>
      <c r="AV6" s="206">
        <v>69</v>
      </c>
      <c r="AW6" s="205">
        <v>2</v>
      </c>
      <c r="AX6" s="204" t="s">
        <v>517</v>
      </c>
      <c r="AY6" s="204" t="s">
        <v>709</v>
      </c>
      <c r="AZ6" s="204"/>
      <c r="BA6" s="206">
        <v>99</v>
      </c>
      <c r="BB6" s="205">
        <v>1</v>
      </c>
      <c r="BC6" s="204" t="s">
        <v>336</v>
      </c>
      <c r="BD6" s="204" t="s">
        <v>335</v>
      </c>
      <c r="BE6" s="204"/>
      <c r="BF6" s="206">
        <v>48</v>
      </c>
      <c r="BG6" s="193">
        <v>2</v>
      </c>
      <c r="BH6" s="144" t="s">
        <v>321</v>
      </c>
      <c r="BI6" s="144" t="s">
        <v>318</v>
      </c>
      <c r="BJ6" s="144"/>
      <c r="BK6" s="194">
        <v>83</v>
      </c>
      <c r="BL6" s="142" t="s">
        <v>59</v>
      </c>
      <c r="BM6" s="145" t="s">
        <v>81</v>
      </c>
    </row>
    <row r="7" spans="2:65">
      <c r="B7" s="99" t="s">
        <v>95</v>
      </c>
      <c r="C7" s="26" t="s">
        <v>43</v>
      </c>
      <c r="D7" s="26">
        <v>7.5</v>
      </c>
      <c r="E7" s="26" t="s">
        <v>702</v>
      </c>
      <c r="F7" s="26" t="s">
        <v>54</v>
      </c>
      <c r="G7" s="29" t="s">
        <v>54</v>
      </c>
      <c r="H7" s="604"/>
      <c r="I7" s="583"/>
      <c r="J7" s="587"/>
      <c r="K7" s="84"/>
      <c r="L7" s="84"/>
      <c r="M7" s="84"/>
      <c r="N7" s="591"/>
      <c r="O7" s="84"/>
      <c r="P7" s="84"/>
      <c r="Q7" s="84"/>
      <c r="R7" s="85">
        <f>COUNTA(DC[[#This Row],[G28 cp]],DC[[#This Row],[G20 cp]],DC[[#This Row],[G16 cp]],DC[[#This Row],[G11 cp]],DC[[#This Row],[G7 cp]],DC[[#This Row],[G3 cp]])</f>
        <v>6</v>
      </c>
      <c r="S7" s="261">
        <f>MAX(DC[[#This Row],[G28 cp]],DC[[#This Row],[G20 cp]],DC[[#This Row],[G16 cp]],DC[[#This Row],[G11 cp]],DC[[#This Row],[G7 cp]],DC[[#This Row],[G3 cp]])</f>
        <v>26</v>
      </c>
      <c r="T7" s="261">
        <f>( SUM(DC[[#This Row],[G28 cp]],DC[[#This Row],[G20 cp]],DC[[#This Row],[G16 cp]],DC[[#This Row],[G11 cp]],DC[[#This Row],[G7 cp]],DC[[#This Row],[G3 cp]])-DC[[#This Row],[Max.]]) / (DC[[#This Row],[Innings]]-1)</f>
        <v>10.199999999999999</v>
      </c>
      <c r="U7" s="86">
        <f>MIN(DC[[#This Row],[G28 cp]],DC[[#This Row],[G20 cp]],DC[[#This Row],[G16 cp]],DC[[#This Row],[G11 cp]],DC[[#This Row],[G7 cp]],DC[[#This Row],[G3 cp]])</f>
        <v>-2</v>
      </c>
      <c r="V7" s="84">
        <f>DC[[#This Row],[G28 cp]]</f>
        <v>18</v>
      </c>
      <c r="W7" s="84">
        <f>DC[[#This Row],[G20 cp]]</f>
        <v>1</v>
      </c>
      <c r="X7" s="84">
        <f>DC[[#This Row],[G16 cp]]</f>
        <v>22</v>
      </c>
      <c r="Y7" s="84">
        <f>DC[[#This Row],[G11 cp]]</f>
        <v>-2</v>
      </c>
      <c r="Z7" s="84">
        <f>DC[[#This Row],[G7 cp]]</f>
        <v>12</v>
      </c>
      <c r="AA7" s="84">
        <f>DC[[#This Row],[G3 cp]]</f>
        <v>26</v>
      </c>
      <c r="AB7" s="85">
        <v>2</v>
      </c>
      <c r="AC7" s="84"/>
      <c r="AD7" s="84" t="s">
        <v>489</v>
      </c>
      <c r="AE7" s="84">
        <v>13</v>
      </c>
      <c r="AF7" s="84">
        <v>11</v>
      </c>
      <c r="AG7" s="84"/>
      <c r="AH7" s="84"/>
      <c r="AI7" s="84"/>
      <c r="AJ7" s="86">
        <v>18</v>
      </c>
      <c r="AK7" s="85">
        <v>2</v>
      </c>
      <c r="AL7" s="84" t="s">
        <v>799</v>
      </c>
      <c r="AM7" s="84">
        <v>0</v>
      </c>
      <c r="AN7" s="84">
        <v>2</v>
      </c>
      <c r="AO7" s="84"/>
      <c r="AP7" s="86">
        <v>1</v>
      </c>
      <c r="AQ7" s="85">
        <v>2</v>
      </c>
      <c r="AR7" s="84" t="s">
        <v>797</v>
      </c>
      <c r="AS7" s="84">
        <v>15</v>
      </c>
      <c r="AT7" s="84">
        <v>10</v>
      </c>
      <c r="AU7" s="84"/>
      <c r="AV7" s="86">
        <v>22</v>
      </c>
      <c r="AW7" s="85">
        <v>1</v>
      </c>
      <c r="AX7" s="84" t="s">
        <v>522</v>
      </c>
      <c r="AY7" s="84" t="s">
        <v>468</v>
      </c>
      <c r="AZ7" s="84"/>
      <c r="BA7" s="86">
        <v>-2</v>
      </c>
      <c r="BB7" s="85">
        <v>2</v>
      </c>
      <c r="BC7" s="84" t="s">
        <v>339</v>
      </c>
      <c r="BD7" s="84" t="s">
        <v>337</v>
      </c>
      <c r="BE7" s="84"/>
      <c r="BF7" s="86">
        <v>12</v>
      </c>
      <c r="BG7" s="85">
        <v>1</v>
      </c>
      <c r="BH7" s="84" t="s">
        <v>320</v>
      </c>
      <c r="BI7" s="84" t="s">
        <v>317</v>
      </c>
      <c r="BJ7" s="84"/>
      <c r="BK7" s="86">
        <v>26</v>
      </c>
      <c r="BL7" s="30" t="s">
        <v>62</v>
      </c>
      <c r="BM7" s="29" t="s">
        <v>83</v>
      </c>
    </row>
    <row r="8" spans="2:65">
      <c r="B8" s="152" t="s">
        <v>95</v>
      </c>
      <c r="C8" s="148" t="s">
        <v>45</v>
      </c>
      <c r="D8" s="148">
        <v>6.5</v>
      </c>
      <c r="E8" s="148" t="s">
        <v>614</v>
      </c>
      <c r="F8" s="148" t="s">
        <v>55</v>
      </c>
      <c r="G8" s="151" t="s">
        <v>54</v>
      </c>
      <c r="H8" s="357" t="s">
        <v>1005</v>
      </c>
      <c r="I8" s="366"/>
      <c r="J8" s="375"/>
      <c r="K8" s="150"/>
      <c r="L8" s="150"/>
      <c r="M8" s="150"/>
      <c r="N8" s="384"/>
      <c r="O8" s="150"/>
      <c r="P8" s="150"/>
      <c r="Q8" s="150"/>
      <c r="R8" s="207">
        <f>COUNTA(DC[[#This Row],[G28 cp]],DC[[#This Row],[G20 cp]],DC[[#This Row],[G16 cp]],DC[[#This Row],[G11 cp]],DC[[#This Row],[G7 cp]],DC[[#This Row],[G3 cp]])</f>
        <v>4</v>
      </c>
      <c r="S8" s="272">
        <f>MAX(DC[[#This Row],[G28 cp]],DC[[#This Row],[G20 cp]],DC[[#This Row],[G16 cp]],DC[[#This Row],[G11 cp]],DC[[#This Row],[G7 cp]],DC[[#This Row],[G3 cp]])</f>
        <v>52</v>
      </c>
      <c r="T8" s="272">
        <f>( SUM(DC[[#This Row],[G28 cp]],DC[[#This Row],[G20 cp]],DC[[#This Row],[G16 cp]],DC[[#This Row],[G11 cp]],DC[[#This Row],[G7 cp]],DC[[#This Row],[G3 cp]])-DC[[#This Row],[Max.]]) / (DC[[#This Row],[Innings]]-1)</f>
        <v>16.666666666666668</v>
      </c>
      <c r="U8" s="208">
        <f>MIN(DC[[#This Row],[G28 cp]],DC[[#This Row],[G20 cp]],DC[[#This Row],[G16 cp]],DC[[#This Row],[G11 cp]],DC[[#This Row],[G7 cp]],DC[[#This Row],[G3 cp]])</f>
        <v>2</v>
      </c>
      <c r="V8" s="150">
        <f>DC[[#This Row],[G28 cp]]</f>
        <v>14</v>
      </c>
      <c r="W8" s="150">
        <f>DC[[#This Row],[G20 cp]]</f>
        <v>52</v>
      </c>
      <c r="X8" s="150">
        <f>DC[[#This Row],[G16 cp]]</f>
        <v>0</v>
      </c>
      <c r="Y8" s="150">
        <f>DC[[#This Row],[G11 cp]]</f>
        <v>0</v>
      </c>
      <c r="Z8" s="150">
        <f>DC[[#This Row],[G7 cp]]</f>
        <v>34</v>
      </c>
      <c r="AA8" s="150">
        <f>DC[[#This Row],[G3 cp]]</f>
        <v>2</v>
      </c>
      <c r="AB8" s="207">
        <v>3</v>
      </c>
      <c r="AC8" s="150"/>
      <c r="AD8" s="150" t="s">
        <v>1383</v>
      </c>
      <c r="AE8" s="150">
        <v>2</v>
      </c>
      <c r="AF8" s="150">
        <v>9</v>
      </c>
      <c r="AG8" s="150">
        <v>2</v>
      </c>
      <c r="AH8" s="150">
        <v>25</v>
      </c>
      <c r="AI8" s="150">
        <v>0</v>
      </c>
      <c r="AJ8" s="208">
        <v>14</v>
      </c>
      <c r="AK8" s="207">
        <v>3</v>
      </c>
      <c r="AL8" s="150" t="s">
        <v>693</v>
      </c>
      <c r="AM8" s="150">
        <v>0</v>
      </c>
      <c r="AN8" s="150">
        <v>4</v>
      </c>
      <c r="AO8" s="150" t="s">
        <v>1020</v>
      </c>
      <c r="AP8" s="208">
        <v>52</v>
      </c>
      <c r="AQ8" s="207">
        <v>24</v>
      </c>
      <c r="AR8" s="150"/>
      <c r="AS8" s="150"/>
      <c r="AT8" s="150"/>
      <c r="AU8" s="150"/>
      <c r="AV8" s="208"/>
      <c r="AW8" s="207">
        <v>24</v>
      </c>
      <c r="AX8" s="150"/>
      <c r="AY8" s="150"/>
      <c r="AZ8" s="150"/>
      <c r="BA8" s="208"/>
      <c r="BB8" s="207">
        <v>3</v>
      </c>
      <c r="BC8" s="150" t="s">
        <v>339</v>
      </c>
      <c r="BD8" s="150" t="s">
        <v>328</v>
      </c>
      <c r="BE8" s="150" t="s">
        <v>347</v>
      </c>
      <c r="BF8" s="208">
        <v>34</v>
      </c>
      <c r="BG8" s="207">
        <v>3</v>
      </c>
      <c r="BH8" s="150" t="s">
        <v>320</v>
      </c>
      <c r="BI8" s="150" t="s">
        <v>280</v>
      </c>
      <c r="BJ8" s="150"/>
      <c r="BK8" s="208">
        <v>2</v>
      </c>
      <c r="BL8" s="147"/>
      <c r="BM8" s="151" t="s">
        <v>82</v>
      </c>
    </row>
    <row r="9" spans="2:65">
      <c r="B9" s="216" t="s">
        <v>95</v>
      </c>
      <c r="C9" s="198" t="s">
        <v>50</v>
      </c>
      <c r="D9" s="198">
        <v>2</v>
      </c>
      <c r="E9" s="198" t="s">
        <v>615</v>
      </c>
      <c r="F9" s="198" t="s">
        <v>75</v>
      </c>
      <c r="G9" s="212" t="s">
        <v>75</v>
      </c>
      <c r="H9" s="570" t="s">
        <v>1004</v>
      </c>
      <c r="I9" s="573"/>
      <c r="J9" s="576"/>
      <c r="K9" s="200"/>
      <c r="L9" s="200"/>
      <c r="M9" s="200"/>
      <c r="N9" s="579"/>
      <c r="O9" s="200"/>
      <c r="P9" s="200"/>
      <c r="Q9" s="200"/>
      <c r="R9" s="201">
        <f>COUNTA(DC[[#This Row],[G28 cp]],DC[[#This Row],[G20 cp]],DC[[#This Row],[G16 cp]],DC[[#This Row],[G11 cp]],DC[[#This Row],[G7 cp]],DC[[#This Row],[G3 cp]])</f>
        <v>1</v>
      </c>
      <c r="S9" s="558">
        <f>MAX(DC[[#This Row],[G28 cp]],DC[[#This Row],[G20 cp]],DC[[#This Row],[G16 cp]],DC[[#This Row],[G11 cp]],DC[[#This Row],[G7 cp]],DC[[#This Row],[G3 cp]])</f>
        <v>16</v>
      </c>
      <c r="T9" s="558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9" s="202">
        <f>MIN(DC[[#This Row],[G28 cp]],DC[[#This Row],[G20 cp]],DC[[#This Row],[G16 cp]],DC[[#This Row],[G11 cp]],DC[[#This Row],[G7 cp]],DC[[#This Row],[G3 cp]])</f>
        <v>16</v>
      </c>
      <c r="V9" s="200">
        <f>DC[[#This Row],[G28 cp]]</f>
        <v>16</v>
      </c>
      <c r="W9" s="200">
        <f>DC[[#This Row],[G20 cp]]</f>
        <v>0</v>
      </c>
      <c r="X9" s="200">
        <f>DC[[#This Row],[G16 cp]]</f>
        <v>0</v>
      </c>
      <c r="Y9" s="200">
        <f>DC[[#This Row],[G11 cp]]</f>
        <v>0</v>
      </c>
      <c r="Z9" s="200">
        <f>DC[[#This Row],[G7 cp]]</f>
        <v>0</v>
      </c>
      <c r="AA9" s="200">
        <f>DC[[#This Row],[G3 cp]]</f>
        <v>0</v>
      </c>
      <c r="AB9" s="201">
        <v>4</v>
      </c>
      <c r="AC9" s="200"/>
      <c r="AD9" s="200" t="s">
        <v>1384</v>
      </c>
      <c r="AE9" s="200">
        <v>5</v>
      </c>
      <c r="AF9" s="200">
        <v>3</v>
      </c>
      <c r="AG9" s="200"/>
      <c r="AH9" s="200"/>
      <c r="AI9" s="200"/>
      <c r="AJ9" s="202">
        <v>16</v>
      </c>
      <c r="AK9" s="201"/>
      <c r="AL9" s="200"/>
      <c r="AM9" s="200"/>
      <c r="AN9" s="200"/>
      <c r="AO9" s="200"/>
      <c r="AP9" s="202"/>
      <c r="AQ9" s="201">
        <v>24</v>
      </c>
      <c r="AR9" s="200"/>
      <c r="AS9" s="200"/>
      <c r="AT9" s="200"/>
      <c r="AU9" s="200"/>
      <c r="AV9" s="202"/>
      <c r="AW9" s="201">
        <v>24</v>
      </c>
      <c r="AX9" s="200"/>
      <c r="AY9" s="200"/>
      <c r="AZ9" s="200"/>
      <c r="BA9" s="202"/>
      <c r="BB9" s="201">
        <v>24</v>
      </c>
      <c r="BC9" s="200"/>
      <c r="BD9" s="200"/>
      <c r="BE9" s="200"/>
      <c r="BF9" s="202"/>
      <c r="BG9" s="201">
        <v>24</v>
      </c>
      <c r="BH9" s="200"/>
      <c r="BI9" s="200"/>
      <c r="BJ9" s="200"/>
      <c r="BK9" s="202"/>
      <c r="BL9" s="197"/>
      <c r="BM9" s="212"/>
    </row>
    <row r="10" spans="2:65">
      <c r="B10" s="99" t="s">
        <v>95</v>
      </c>
      <c r="C10" s="26" t="s">
        <v>51</v>
      </c>
      <c r="D10" s="26">
        <v>2.4</v>
      </c>
      <c r="E10" s="26" t="s">
        <v>142</v>
      </c>
      <c r="F10" s="26" t="s">
        <v>54</v>
      </c>
      <c r="G10" s="29" t="s">
        <v>54</v>
      </c>
      <c r="H10" s="604"/>
      <c r="I10" s="583"/>
      <c r="J10" s="587"/>
      <c r="K10" s="84"/>
      <c r="L10" s="84"/>
      <c r="M10" s="84"/>
      <c r="N10" s="591"/>
      <c r="O10" s="84"/>
      <c r="P10" s="84"/>
      <c r="Q10" s="84"/>
      <c r="R10" s="85">
        <f>COUNTA(DC[[#This Row],[G28 cp]],DC[[#This Row],[G20 cp]],DC[[#This Row],[G16 cp]],DC[[#This Row],[G11 cp]],DC[[#This Row],[G7 cp]],DC[[#This Row],[G3 cp]])</f>
        <v>4</v>
      </c>
      <c r="S10" s="261">
        <f>MAX(DC[[#This Row],[G28 cp]],DC[[#This Row],[G20 cp]],DC[[#This Row],[G16 cp]],DC[[#This Row],[G11 cp]],DC[[#This Row],[G7 cp]],DC[[#This Row],[G3 cp]])</f>
        <v>69</v>
      </c>
      <c r="T10" s="261">
        <f>( SUM(DC[[#This Row],[G28 cp]],DC[[#This Row],[G20 cp]],DC[[#This Row],[G16 cp]],DC[[#This Row],[G11 cp]],DC[[#This Row],[G7 cp]],DC[[#This Row],[G3 cp]])-DC[[#This Row],[Max.]]) / (DC[[#This Row],[Innings]]-1)</f>
        <v>22.666666666666668</v>
      </c>
      <c r="U10" s="86">
        <f>MIN(DC[[#This Row],[G28 cp]],DC[[#This Row],[G20 cp]],DC[[#This Row],[G16 cp]],DC[[#This Row],[G11 cp]],DC[[#This Row],[G7 cp]],DC[[#This Row],[G3 cp]])</f>
        <v>-2</v>
      </c>
      <c r="V10" s="84">
        <f>DC[[#This Row],[G28 cp]]</f>
        <v>27</v>
      </c>
      <c r="W10" s="84">
        <f>DC[[#This Row],[G20 cp]]</f>
        <v>69</v>
      </c>
      <c r="X10" s="84">
        <f>DC[[#This Row],[G16 cp]]</f>
        <v>43</v>
      </c>
      <c r="Y10" s="84">
        <f>DC[[#This Row],[G11 cp]]</f>
        <v>-2</v>
      </c>
      <c r="Z10" s="84">
        <f>DC[[#This Row],[G7 cp]]</f>
        <v>0</v>
      </c>
      <c r="AA10" s="84">
        <f>DC[[#This Row],[G3 cp]]</f>
        <v>0</v>
      </c>
      <c r="AB10" s="85">
        <v>5</v>
      </c>
      <c r="AC10" s="84"/>
      <c r="AD10" s="84" t="s">
        <v>1384</v>
      </c>
      <c r="AE10" s="84">
        <v>21</v>
      </c>
      <c r="AF10" s="84">
        <v>33</v>
      </c>
      <c r="AG10" s="84"/>
      <c r="AH10" s="84"/>
      <c r="AI10" s="84"/>
      <c r="AJ10" s="86">
        <v>27</v>
      </c>
      <c r="AK10" s="85">
        <v>5</v>
      </c>
      <c r="AL10" s="84" t="s">
        <v>1082</v>
      </c>
      <c r="AM10" s="84">
        <v>50</v>
      </c>
      <c r="AN10" s="84">
        <v>38</v>
      </c>
      <c r="AO10" s="84"/>
      <c r="AP10" s="86">
        <v>69</v>
      </c>
      <c r="AQ10" s="85">
        <v>3</v>
      </c>
      <c r="AR10" s="84" t="s">
        <v>768</v>
      </c>
      <c r="AS10" s="84">
        <v>26</v>
      </c>
      <c r="AT10" s="84">
        <v>18</v>
      </c>
      <c r="AU10" s="84"/>
      <c r="AV10" s="86">
        <v>43</v>
      </c>
      <c r="AW10" s="85">
        <v>3</v>
      </c>
      <c r="AX10" s="84" t="s">
        <v>522</v>
      </c>
      <c r="AY10" s="84" t="s">
        <v>280</v>
      </c>
      <c r="AZ10" s="84"/>
      <c r="BA10" s="86">
        <v>-2</v>
      </c>
      <c r="BB10" s="85"/>
      <c r="BC10" s="84"/>
      <c r="BD10" s="84"/>
      <c r="BE10" s="84"/>
      <c r="BF10" s="86"/>
      <c r="BG10" s="85"/>
      <c r="BH10" s="84"/>
      <c r="BI10" s="84"/>
      <c r="BJ10" s="84"/>
      <c r="BK10" s="86"/>
      <c r="BL10" s="30"/>
      <c r="BM10" s="29"/>
    </row>
    <row r="11" spans="2:65">
      <c r="B11" s="61" t="s">
        <v>95</v>
      </c>
      <c r="C11" s="6" t="s">
        <v>704</v>
      </c>
      <c r="D11" s="6">
        <v>9</v>
      </c>
      <c r="E11" s="6" t="s">
        <v>142</v>
      </c>
      <c r="F11" s="6" t="s">
        <v>55</v>
      </c>
      <c r="G11" s="7" t="s">
        <v>55</v>
      </c>
      <c r="H11" s="355"/>
      <c r="I11" s="364"/>
      <c r="J11" s="373"/>
      <c r="K11" s="71"/>
      <c r="L11" s="71"/>
      <c r="M11" s="71"/>
      <c r="N11" s="382"/>
      <c r="O11" s="71"/>
      <c r="P11" s="71"/>
      <c r="Q11" s="71"/>
      <c r="R11" s="58">
        <f>COUNTA(DC[[#This Row],[G28 cp]],DC[[#This Row],[G20 cp]],DC[[#This Row],[G16 cp]],DC[[#This Row],[G11 cp]],DC[[#This Row],[G7 cp]],DC[[#This Row],[G3 cp]])</f>
        <v>6</v>
      </c>
      <c r="S11" s="260">
        <f>MAX(DC[[#This Row],[G28 cp]],DC[[#This Row],[G20 cp]],DC[[#This Row],[G16 cp]],DC[[#This Row],[G11 cp]],DC[[#This Row],[G7 cp]],DC[[#This Row],[G3 cp]])</f>
        <v>82</v>
      </c>
      <c r="T11" s="260">
        <f>( SUM(DC[[#This Row],[G28 cp]],DC[[#This Row],[G20 cp]],DC[[#This Row],[G16 cp]],DC[[#This Row],[G11 cp]],DC[[#This Row],[G7 cp]],DC[[#This Row],[G3 cp]])-DC[[#This Row],[Max.]]) / (DC[[#This Row],[Innings]]-1)</f>
        <v>47.4</v>
      </c>
      <c r="U11" s="80">
        <f>MIN(DC[[#This Row],[G28 cp]],DC[[#This Row],[G20 cp]],DC[[#This Row],[G16 cp]],DC[[#This Row],[G11 cp]],DC[[#This Row],[G7 cp]],DC[[#This Row],[G3 cp]])</f>
        <v>2</v>
      </c>
      <c r="V11" s="71">
        <f>DC[[#This Row],[G28 cp]]</f>
        <v>78</v>
      </c>
      <c r="W11" s="71">
        <f>DC[[#This Row],[G20 cp]]</f>
        <v>53</v>
      </c>
      <c r="X11" s="71">
        <f>DC[[#This Row],[G16 cp]]</f>
        <v>82</v>
      </c>
      <c r="Y11" s="71">
        <f>DC[[#This Row],[G11 cp]]</f>
        <v>2</v>
      </c>
      <c r="Z11" s="71">
        <f>DC[[#This Row],[G7 cp]]</f>
        <v>48</v>
      </c>
      <c r="AA11" s="71">
        <f>DC[[#This Row],[G3 cp]]</f>
        <v>56</v>
      </c>
      <c r="AB11" s="58">
        <v>6</v>
      </c>
      <c r="AC11" s="71"/>
      <c r="AD11" s="71" t="s">
        <v>876</v>
      </c>
      <c r="AE11" s="71">
        <v>19</v>
      </c>
      <c r="AF11" s="71">
        <v>22</v>
      </c>
      <c r="AG11" s="71">
        <v>3</v>
      </c>
      <c r="AH11" s="71">
        <v>13</v>
      </c>
      <c r="AI11" s="71">
        <v>2</v>
      </c>
      <c r="AJ11" s="80">
        <v>78</v>
      </c>
      <c r="AK11" s="58">
        <v>7</v>
      </c>
      <c r="AL11" s="71" t="s">
        <v>1081</v>
      </c>
      <c r="AM11" s="71">
        <v>21</v>
      </c>
      <c r="AN11" s="71">
        <v>14</v>
      </c>
      <c r="AO11" s="71" t="s">
        <v>1084</v>
      </c>
      <c r="AP11" s="80">
        <v>53</v>
      </c>
      <c r="AQ11" s="58">
        <v>7</v>
      </c>
      <c r="AR11" s="71" t="s">
        <v>796</v>
      </c>
      <c r="AS11" s="71">
        <v>1</v>
      </c>
      <c r="AT11" s="71">
        <v>3</v>
      </c>
      <c r="AU11" s="71" t="s">
        <v>804</v>
      </c>
      <c r="AV11" s="80">
        <v>82</v>
      </c>
      <c r="AW11" s="58">
        <v>6</v>
      </c>
      <c r="AX11" s="71" t="s">
        <v>517</v>
      </c>
      <c r="AY11" s="71" t="s">
        <v>657</v>
      </c>
      <c r="AZ11" s="71" t="s">
        <v>240</v>
      </c>
      <c r="BA11" s="80">
        <v>2</v>
      </c>
      <c r="BB11" s="58">
        <v>7</v>
      </c>
      <c r="BC11" s="71" t="s">
        <v>339</v>
      </c>
      <c r="BD11" s="71" t="s">
        <v>343</v>
      </c>
      <c r="BE11" s="71"/>
      <c r="BF11" s="80">
        <v>48</v>
      </c>
      <c r="BG11" s="58">
        <v>8</v>
      </c>
      <c r="BH11" s="71" t="s">
        <v>320</v>
      </c>
      <c r="BI11" s="71" t="s">
        <v>325</v>
      </c>
      <c r="BJ11" s="71" t="s">
        <v>333</v>
      </c>
      <c r="BK11" s="80">
        <v>56</v>
      </c>
      <c r="BL11" s="8" t="s">
        <v>73</v>
      </c>
      <c r="BM11" s="7" t="s">
        <v>85</v>
      </c>
    </row>
    <row r="12" spans="2:65">
      <c r="B12" s="61" t="s">
        <v>95</v>
      </c>
      <c r="C12" s="6" t="s">
        <v>706</v>
      </c>
      <c r="D12" s="6">
        <v>0.2</v>
      </c>
      <c r="E12" s="6" t="s">
        <v>705</v>
      </c>
      <c r="F12" s="6" t="s">
        <v>56</v>
      </c>
      <c r="G12" s="7" t="s">
        <v>55</v>
      </c>
      <c r="H12" s="355"/>
      <c r="I12" s="364"/>
      <c r="J12" s="373"/>
      <c r="K12" s="71"/>
      <c r="L12" s="71"/>
      <c r="M12" s="71"/>
      <c r="N12" s="382"/>
      <c r="O12" s="71"/>
      <c r="P12" s="71"/>
      <c r="Q12" s="71"/>
      <c r="R12" s="58">
        <f>COUNTA(DC[[#This Row],[G28 cp]],DC[[#This Row],[G20 cp]],DC[[#This Row],[G16 cp]],DC[[#This Row],[G11 cp]],DC[[#This Row],[G7 cp]],DC[[#This Row],[G3 cp]])</f>
        <v>5</v>
      </c>
      <c r="S12" s="260">
        <f>MAX(DC[[#This Row],[G28 cp]],DC[[#This Row],[G20 cp]],DC[[#This Row],[G16 cp]],DC[[#This Row],[G11 cp]],DC[[#This Row],[G7 cp]],DC[[#This Row],[G3 cp]])</f>
        <v>33</v>
      </c>
      <c r="T12" s="260">
        <f>( SUM(DC[[#This Row],[G28 cp]],DC[[#This Row],[G20 cp]],DC[[#This Row],[G16 cp]],DC[[#This Row],[G11 cp]],DC[[#This Row],[G7 cp]],DC[[#This Row],[G3 cp]])-DC[[#This Row],[Max.]]) / (DC[[#This Row],[Innings]]-1)</f>
        <v>9</v>
      </c>
      <c r="U12" s="80">
        <f>MIN(DC[[#This Row],[G28 cp]],DC[[#This Row],[G20 cp]],DC[[#This Row],[G16 cp]],DC[[#This Row],[G11 cp]],DC[[#This Row],[G7 cp]],DC[[#This Row],[G3 cp]])</f>
        <v>3</v>
      </c>
      <c r="V12" s="71">
        <f>DC[[#This Row],[G28 cp]]</f>
        <v>12</v>
      </c>
      <c r="W12" s="71">
        <f>DC[[#This Row],[G20 cp]]</f>
        <v>33</v>
      </c>
      <c r="X12" s="71">
        <f>DC[[#This Row],[G16 cp]]</f>
        <v>3</v>
      </c>
      <c r="Y12" s="71">
        <f>DC[[#This Row],[G11 cp]]</f>
        <v>0</v>
      </c>
      <c r="Z12" s="71">
        <f>DC[[#This Row],[G7 cp]]</f>
        <v>14</v>
      </c>
      <c r="AA12" s="71">
        <f>DC[[#This Row],[G3 cp]]</f>
        <v>7</v>
      </c>
      <c r="AB12" s="58">
        <v>7</v>
      </c>
      <c r="AC12" s="71"/>
      <c r="AD12" s="71" t="s">
        <v>1383</v>
      </c>
      <c r="AE12" s="71">
        <v>0</v>
      </c>
      <c r="AF12" s="71">
        <v>2</v>
      </c>
      <c r="AG12" s="71"/>
      <c r="AH12" s="71"/>
      <c r="AI12" s="71"/>
      <c r="AJ12" s="80">
        <v>12</v>
      </c>
      <c r="AK12" s="58">
        <v>8</v>
      </c>
      <c r="AL12" s="71" t="s">
        <v>397</v>
      </c>
      <c r="AM12" s="71">
        <v>18</v>
      </c>
      <c r="AN12" s="71">
        <v>10</v>
      </c>
      <c r="AO12" s="71"/>
      <c r="AP12" s="80">
        <v>33</v>
      </c>
      <c r="AQ12" s="58">
        <v>15</v>
      </c>
      <c r="AR12" s="71"/>
      <c r="AS12" s="71"/>
      <c r="AT12" s="71"/>
      <c r="AU12" s="71"/>
      <c r="AV12" s="80">
        <v>3</v>
      </c>
      <c r="AW12" s="58"/>
      <c r="AX12" s="71"/>
      <c r="AY12" s="71"/>
      <c r="AZ12" s="71"/>
      <c r="BA12" s="80"/>
      <c r="BB12" s="58">
        <v>8</v>
      </c>
      <c r="BC12" s="71" t="s">
        <v>341</v>
      </c>
      <c r="BD12" s="71" t="s">
        <v>344</v>
      </c>
      <c r="BE12" s="71"/>
      <c r="BF12" s="80">
        <v>14</v>
      </c>
      <c r="BG12" s="58">
        <v>7</v>
      </c>
      <c r="BH12" s="71" t="s">
        <v>321</v>
      </c>
      <c r="BI12" s="71" t="s">
        <v>324</v>
      </c>
      <c r="BJ12" s="71"/>
      <c r="BK12" s="80">
        <v>7</v>
      </c>
      <c r="BL12" s="8"/>
      <c r="BM12" s="7"/>
    </row>
    <row r="13" spans="2:65">
      <c r="B13" s="61" t="s">
        <v>95</v>
      </c>
      <c r="C13" s="6" t="s">
        <v>731</v>
      </c>
      <c r="D13" s="6">
        <v>0.65</v>
      </c>
      <c r="E13" s="6" t="s">
        <v>631</v>
      </c>
      <c r="F13" s="6" t="s">
        <v>55</v>
      </c>
      <c r="G13" s="7" t="s">
        <v>55</v>
      </c>
      <c r="H13" s="355"/>
      <c r="I13" s="364"/>
      <c r="J13" s="373"/>
      <c r="K13" s="71"/>
      <c r="L13" s="71"/>
      <c r="M13" s="71"/>
      <c r="N13" s="382"/>
      <c r="O13" s="71"/>
      <c r="P13" s="71"/>
      <c r="Q13" s="71"/>
      <c r="R13" s="58">
        <f>COUNTA(DC[[#This Row],[G28 cp]],DC[[#This Row],[G20 cp]],DC[[#This Row],[G16 cp]],DC[[#This Row],[G11 cp]],DC[[#This Row],[G7 cp]],DC[[#This Row],[G3 cp]])</f>
        <v>4</v>
      </c>
      <c r="S13" s="260">
        <f>MAX(DC[[#This Row],[G28 cp]],DC[[#This Row],[G20 cp]],DC[[#This Row],[G16 cp]],DC[[#This Row],[G11 cp]],DC[[#This Row],[G7 cp]],DC[[#This Row],[G3 cp]])</f>
        <v>56</v>
      </c>
      <c r="T13" s="260">
        <f>( SUM(DC[[#This Row],[G28 cp]],DC[[#This Row],[G20 cp]],DC[[#This Row],[G16 cp]],DC[[#This Row],[G11 cp]],DC[[#This Row],[G7 cp]],DC[[#This Row],[G3 cp]])-DC[[#This Row],[Max.]]) / (DC[[#This Row],[Innings]]-1)</f>
        <v>26.333333333333332</v>
      </c>
      <c r="U13" s="80">
        <f>MIN(DC[[#This Row],[G28 cp]],DC[[#This Row],[G20 cp]],DC[[#This Row],[G16 cp]],DC[[#This Row],[G11 cp]],DC[[#This Row],[G7 cp]],DC[[#This Row],[G3 cp]])</f>
        <v>14</v>
      </c>
      <c r="V13" s="71">
        <f>DC[[#This Row],[G28 cp]]</f>
        <v>24</v>
      </c>
      <c r="W13" s="71">
        <f>DC[[#This Row],[G20 cp]]</f>
        <v>41</v>
      </c>
      <c r="X13" s="71">
        <f>DC[[#This Row],[G16 cp]]</f>
        <v>14</v>
      </c>
      <c r="Y13" s="71">
        <f>DC[[#This Row],[G11 cp]]</f>
        <v>56</v>
      </c>
      <c r="Z13" s="71">
        <f>DC[[#This Row],[G7 cp]]</f>
        <v>0</v>
      </c>
      <c r="AA13" s="71">
        <f>DC[[#This Row],[G3 cp]]</f>
        <v>0</v>
      </c>
      <c r="AB13" s="58">
        <v>8</v>
      </c>
      <c r="AC13" s="71"/>
      <c r="AD13" s="71" t="s">
        <v>876</v>
      </c>
      <c r="AE13" s="71">
        <v>4</v>
      </c>
      <c r="AF13" s="71">
        <v>7</v>
      </c>
      <c r="AG13" s="71"/>
      <c r="AH13" s="71"/>
      <c r="AI13" s="71"/>
      <c r="AJ13" s="80">
        <v>24</v>
      </c>
      <c r="AK13" s="58">
        <v>9</v>
      </c>
      <c r="AL13" s="71" t="s">
        <v>1081</v>
      </c>
      <c r="AM13" s="71">
        <v>4</v>
      </c>
      <c r="AN13" s="71">
        <v>7</v>
      </c>
      <c r="AO13" s="71" t="s">
        <v>968</v>
      </c>
      <c r="AP13" s="80">
        <v>41</v>
      </c>
      <c r="AQ13" s="58">
        <v>6</v>
      </c>
      <c r="AR13" s="71" t="s">
        <v>768</v>
      </c>
      <c r="AS13" s="71">
        <v>54</v>
      </c>
      <c r="AT13" s="71">
        <v>25</v>
      </c>
      <c r="AU13" s="71" t="s">
        <v>803</v>
      </c>
      <c r="AV13" s="80">
        <v>14</v>
      </c>
      <c r="AW13" s="58">
        <v>5</v>
      </c>
      <c r="AX13" s="71" t="s">
        <v>522</v>
      </c>
      <c r="AY13" s="71" t="s">
        <v>711</v>
      </c>
      <c r="AZ13" s="71"/>
      <c r="BA13" s="80">
        <v>56</v>
      </c>
      <c r="BB13" s="58"/>
      <c r="BC13" s="71"/>
      <c r="BD13" s="71"/>
      <c r="BE13" s="71"/>
      <c r="BF13" s="80"/>
      <c r="BG13" s="58"/>
      <c r="BH13" s="71"/>
      <c r="BI13" s="71"/>
      <c r="BJ13" s="71"/>
      <c r="BK13" s="80"/>
      <c r="BL13" s="8" t="s">
        <v>71</v>
      </c>
      <c r="BM13" s="7" t="s">
        <v>86</v>
      </c>
    </row>
    <row r="14" spans="2:65">
      <c r="B14" s="63" t="s">
        <v>95</v>
      </c>
      <c r="C14" s="12" t="s">
        <v>734</v>
      </c>
      <c r="D14" s="12">
        <v>5.5</v>
      </c>
      <c r="E14" s="12" t="s">
        <v>619</v>
      </c>
      <c r="F14" s="12" t="s">
        <v>56</v>
      </c>
      <c r="G14" s="13" t="s">
        <v>56</v>
      </c>
      <c r="H14" s="358"/>
      <c r="I14" s="367"/>
      <c r="J14" s="376"/>
      <c r="K14" s="72"/>
      <c r="L14" s="72"/>
      <c r="M14" s="72"/>
      <c r="N14" s="385"/>
      <c r="O14" s="72"/>
      <c r="P14" s="72"/>
      <c r="Q14" s="72"/>
      <c r="R14" s="60">
        <f>COUNTA(DC[[#This Row],[G28 cp]],DC[[#This Row],[G20 cp]],DC[[#This Row],[G16 cp]],DC[[#This Row],[G11 cp]],DC[[#This Row],[G7 cp]],DC[[#This Row],[G3 cp]])</f>
        <v>5</v>
      </c>
      <c r="S14" s="262">
        <f>MAX(DC[[#This Row],[G28 cp]],DC[[#This Row],[G20 cp]],DC[[#This Row],[G16 cp]],DC[[#This Row],[G11 cp]],DC[[#This Row],[G7 cp]],DC[[#This Row],[G3 cp]])</f>
        <v>53</v>
      </c>
      <c r="T14" s="262">
        <f>( SUM(DC[[#This Row],[G28 cp]],DC[[#This Row],[G20 cp]],DC[[#This Row],[G16 cp]],DC[[#This Row],[G11 cp]],DC[[#This Row],[G7 cp]],DC[[#This Row],[G3 cp]])-DC[[#This Row],[Max.]]) / (DC[[#This Row],[Innings]]-1)</f>
        <v>23.75</v>
      </c>
      <c r="U14" s="83">
        <f>MIN(DC[[#This Row],[G28 cp]],DC[[#This Row],[G20 cp]],DC[[#This Row],[G16 cp]],DC[[#This Row],[G11 cp]],DC[[#This Row],[G7 cp]],DC[[#This Row],[G3 cp]])</f>
        <v>4</v>
      </c>
      <c r="V14" s="72">
        <f>DC[[#This Row],[G28 cp]]</f>
        <v>37</v>
      </c>
      <c r="W14" s="72">
        <f>DC[[#This Row],[G20 cp]]</f>
        <v>0</v>
      </c>
      <c r="X14" s="72">
        <f>DC[[#This Row],[G16 cp]]</f>
        <v>53</v>
      </c>
      <c r="Y14" s="72">
        <f>DC[[#This Row],[G11 cp]]</f>
        <v>50</v>
      </c>
      <c r="Z14" s="72">
        <f>DC[[#This Row],[G7 cp]]</f>
        <v>4</v>
      </c>
      <c r="AA14" s="72">
        <f>DC[[#This Row],[G3 cp]]</f>
        <v>4</v>
      </c>
      <c r="AB14" s="60">
        <v>9</v>
      </c>
      <c r="AC14" s="72"/>
      <c r="AD14" s="72"/>
      <c r="AE14" s="72"/>
      <c r="AF14" s="72"/>
      <c r="AG14" s="72">
        <v>4</v>
      </c>
      <c r="AH14" s="72">
        <v>34</v>
      </c>
      <c r="AI14" s="72">
        <v>1</v>
      </c>
      <c r="AJ14" s="83">
        <v>37</v>
      </c>
      <c r="AK14" s="60"/>
      <c r="AL14" s="72"/>
      <c r="AM14" s="72"/>
      <c r="AN14" s="72"/>
      <c r="AO14" s="72"/>
      <c r="AP14" s="83"/>
      <c r="AQ14" s="60">
        <v>12</v>
      </c>
      <c r="AR14" s="72"/>
      <c r="AS14" s="72"/>
      <c r="AT14" s="72"/>
      <c r="AU14" s="72" t="s">
        <v>800</v>
      </c>
      <c r="AV14" s="83">
        <v>53</v>
      </c>
      <c r="AW14" s="60">
        <v>11</v>
      </c>
      <c r="AX14" s="72" t="s">
        <v>327</v>
      </c>
      <c r="AY14" s="72" t="s">
        <v>338</v>
      </c>
      <c r="AZ14" s="72" t="s">
        <v>716</v>
      </c>
      <c r="BA14" s="83">
        <v>50</v>
      </c>
      <c r="BB14" s="60">
        <v>11</v>
      </c>
      <c r="BC14" s="72"/>
      <c r="BD14" s="72"/>
      <c r="BE14" s="72" t="s">
        <v>346</v>
      </c>
      <c r="BF14" s="83">
        <v>4</v>
      </c>
      <c r="BG14" s="60">
        <v>11</v>
      </c>
      <c r="BH14" s="72" t="s">
        <v>327</v>
      </c>
      <c r="BI14" s="72" t="s">
        <v>280</v>
      </c>
      <c r="BJ14" s="72" t="s">
        <v>331</v>
      </c>
      <c r="BK14" s="83">
        <v>4</v>
      </c>
      <c r="BL14" s="14"/>
      <c r="BM14" s="13"/>
    </row>
    <row r="15" spans="2:65">
      <c r="B15" s="63" t="s">
        <v>95</v>
      </c>
      <c r="C15" s="12" t="s">
        <v>732</v>
      </c>
      <c r="D15" s="12">
        <v>2</v>
      </c>
      <c r="E15" s="12" t="s">
        <v>142</v>
      </c>
      <c r="F15" s="12" t="s">
        <v>56</v>
      </c>
      <c r="G15" s="1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COUNTA(DC[[#This Row],[G28 cp]],DC[[#This Row],[G20 cp]],DC[[#This Row],[G16 cp]],DC[[#This Row],[G11 cp]],DC[[#This Row],[G7 cp]],DC[[#This Row],[G3 cp]])</f>
        <v>6</v>
      </c>
      <c r="S15" s="262">
        <f>MAX(DC[[#This Row],[G28 cp]],DC[[#This Row],[G20 cp]],DC[[#This Row],[G16 cp]],DC[[#This Row],[G11 cp]],DC[[#This Row],[G7 cp]],DC[[#This Row],[G3 cp]])</f>
        <v>65</v>
      </c>
      <c r="T15" s="262">
        <f>( SUM(DC[[#This Row],[G28 cp]],DC[[#This Row],[G20 cp]],DC[[#This Row],[G16 cp]],DC[[#This Row],[G11 cp]],DC[[#This Row],[G7 cp]],DC[[#This Row],[G3 cp]])-DC[[#This Row],[Max.]]) / (DC[[#This Row],[Innings]]-1)</f>
        <v>26.2</v>
      </c>
      <c r="U15" s="83">
        <f>MIN(DC[[#This Row],[G28 cp]],DC[[#This Row],[G20 cp]],DC[[#This Row],[G16 cp]],DC[[#This Row],[G11 cp]],DC[[#This Row],[G7 cp]],DC[[#This Row],[G3 cp]])</f>
        <v>5</v>
      </c>
      <c r="V15" s="72">
        <f>DC[[#This Row],[G28 cp]]</f>
        <v>56</v>
      </c>
      <c r="W15" s="72">
        <f>DC[[#This Row],[G20 cp]]</f>
        <v>65</v>
      </c>
      <c r="X15" s="72">
        <f>DC[[#This Row],[G16 cp]]</f>
        <v>12</v>
      </c>
      <c r="Y15" s="72">
        <f>DC[[#This Row],[G11 cp]]</f>
        <v>25</v>
      </c>
      <c r="Z15" s="72">
        <f>DC[[#This Row],[G7 cp]]</f>
        <v>5</v>
      </c>
      <c r="AA15" s="72">
        <f>DC[[#This Row],[G3 cp]]</f>
        <v>33</v>
      </c>
      <c r="AB15" s="60">
        <v>10</v>
      </c>
      <c r="AC15" s="72"/>
      <c r="AD15" s="72"/>
      <c r="AE15" s="72"/>
      <c r="AF15" s="72"/>
      <c r="AG15" s="72">
        <v>3</v>
      </c>
      <c r="AH15" s="72">
        <v>15</v>
      </c>
      <c r="AI15" s="72">
        <v>2</v>
      </c>
      <c r="AJ15" s="83">
        <v>56</v>
      </c>
      <c r="AK15" s="60">
        <v>11</v>
      </c>
      <c r="AL15" s="72" t="s">
        <v>876</v>
      </c>
      <c r="AM15" s="72">
        <v>7</v>
      </c>
      <c r="AN15" s="72">
        <v>6</v>
      </c>
      <c r="AO15" s="72" t="s">
        <v>960</v>
      </c>
      <c r="AP15" s="83">
        <v>65</v>
      </c>
      <c r="AQ15" s="60">
        <v>9</v>
      </c>
      <c r="AR15" s="72" t="s">
        <v>798</v>
      </c>
      <c r="AS15" s="72">
        <v>5</v>
      </c>
      <c r="AT15" s="72">
        <v>3</v>
      </c>
      <c r="AU15" s="72" t="s">
        <v>805</v>
      </c>
      <c r="AV15" s="83">
        <v>12</v>
      </c>
      <c r="AW15" s="60">
        <v>9</v>
      </c>
      <c r="AX15" s="72" t="s">
        <v>327</v>
      </c>
      <c r="AY15" s="72" t="s">
        <v>280</v>
      </c>
      <c r="AZ15" s="72" t="s">
        <v>717</v>
      </c>
      <c r="BA15" s="83">
        <v>25</v>
      </c>
      <c r="BB15" s="60">
        <v>9</v>
      </c>
      <c r="BC15" s="72" t="s">
        <v>327</v>
      </c>
      <c r="BD15" s="72" t="s">
        <v>338</v>
      </c>
      <c r="BE15" s="72" t="s">
        <v>348</v>
      </c>
      <c r="BF15" s="83">
        <v>5</v>
      </c>
      <c r="BG15" s="60">
        <v>9</v>
      </c>
      <c r="BH15" s="72" t="s">
        <v>327</v>
      </c>
      <c r="BI15" s="72" t="s">
        <v>326</v>
      </c>
      <c r="BJ15" s="72" t="s">
        <v>334</v>
      </c>
      <c r="BK15" s="83">
        <v>33</v>
      </c>
      <c r="BL15" s="14" t="s">
        <v>74</v>
      </c>
      <c r="BM15" s="13" t="s">
        <v>87</v>
      </c>
    </row>
    <row r="16" spans="2:65">
      <c r="B16" s="163" t="s">
        <v>95</v>
      </c>
      <c r="C16" s="159" t="s">
        <v>733</v>
      </c>
      <c r="D16" s="159">
        <v>6.5</v>
      </c>
      <c r="E16" s="159" t="s">
        <v>616</v>
      </c>
      <c r="F16" s="159" t="s">
        <v>56</v>
      </c>
      <c r="G16" s="162" t="s">
        <v>56</v>
      </c>
      <c r="H16" s="359" t="s">
        <v>1005</v>
      </c>
      <c r="I16" s="368"/>
      <c r="J16" s="377"/>
      <c r="K16" s="161"/>
      <c r="L16" s="161"/>
      <c r="M16" s="161"/>
      <c r="N16" s="386"/>
      <c r="O16" s="161"/>
      <c r="P16" s="161"/>
      <c r="Q16" s="161"/>
      <c r="R16" s="195">
        <f>COUNTA(DC[[#This Row],[G28 cp]],DC[[#This Row],[G20 cp]],DC[[#This Row],[G16 cp]],DC[[#This Row],[G11 cp]],DC[[#This Row],[G7 cp]],DC[[#This Row],[G3 cp]])</f>
        <v>5</v>
      </c>
      <c r="S16" s="273">
        <f>MAX(DC[[#This Row],[G28 cp]],DC[[#This Row],[G20 cp]],DC[[#This Row],[G16 cp]],DC[[#This Row],[G11 cp]],DC[[#This Row],[G7 cp]],DC[[#This Row],[G3 cp]])</f>
        <v>64</v>
      </c>
      <c r="T16" s="273">
        <f>( SUM(DC[[#This Row],[G28 cp]],DC[[#This Row],[G20 cp]],DC[[#This Row],[G16 cp]],DC[[#This Row],[G11 cp]],DC[[#This Row],[G7 cp]],DC[[#This Row],[G3 cp]])-DC[[#This Row],[Max.]]) / (DC[[#This Row],[Innings]]-1)</f>
        <v>24.5</v>
      </c>
      <c r="U16" s="196">
        <f>MIN(DC[[#This Row],[G28 cp]],DC[[#This Row],[G20 cp]],DC[[#This Row],[G16 cp]],DC[[#This Row],[G11 cp]],DC[[#This Row],[G7 cp]],DC[[#This Row],[G3 cp]])</f>
        <v>4</v>
      </c>
      <c r="V16" s="161">
        <f>DC[[#This Row],[G28 cp]]</f>
        <v>64</v>
      </c>
      <c r="W16" s="161">
        <f>DC[[#This Row],[G20 cp]]</f>
        <v>24</v>
      </c>
      <c r="X16" s="161">
        <f>DC[[#This Row],[G16 cp]]</f>
        <v>10</v>
      </c>
      <c r="Y16" s="161">
        <f>DC[[#This Row],[G11 cp]]</f>
        <v>4</v>
      </c>
      <c r="Z16" s="161">
        <f>DC[[#This Row],[G7 cp]]</f>
        <v>60</v>
      </c>
      <c r="AA16" s="161">
        <f>DC[[#This Row],[G3 cp]]</f>
        <v>0</v>
      </c>
      <c r="AB16" s="195">
        <v>11</v>
      </c>
      <c r="AC16" s="161"/>
      <c r="AD16" s="161"/>
      <c r="AE16" s="161"/>
      <c r="AF16" s="161"/>
      <c r="AG16" s="161">
        <v>4</v>
      </c>
      <c r="AH16" s="161">
        <v>20</v>
      </c>
      <c r="AI16" s="161">
        <v>2</v>
      </c>
      <c r="AJ16" s="196">
        <v>64</v>
      </c>
      <c r="AK16" s="195">
        <v>10</v>
      </c>
      <c r="AL16" s="161" t="s">
        <v>876</v>
      </c>
      <c r="AM16" s="161">
        <v>23</v>
      </c>
      <c r="AN16" s="161">
        <v>14</v>
      </c>
      <c r="AO16" s="161" t="s">
        <v>1083</v>
      </c>
      <c r="AP16" s="196">
        <v>24</v>
      </c>
      <c r="AQ16" s="195">
        <v>10</v>
      </c>
      <c r="AR16" s="161" t="s">
        <v>327</v>
      </c>
      <c r="AS16" s="161">
        <v>1</v>
      </c>
      <c r="AT16" s="161">
        <v>1</v>
      </c>
      <c r="AU16" s="161" t="s">
        <v>802</v>
      </c>
      <c r="AV16" s="196">
        <v>10</v>
      </c>
      <c r="AW16" s="195">
        <v>10</v>
      </c>
      <c r="AX16" s="161" t="s">
        <v>495</v>
      </c>
      <c r="AY16" s="161" t="s">
        <v>280</v>
      </c>
      <c r="AZ16" s="161" t="s">
        <v>80</v>
      </c>
      <c r="BA16" s="196">
        <v>4</v>
      </c>
      <c r="BB16" s="195">
        <v>10</v>
      </c>
      <c r="BC16" s="161" t="s">
        <v>327</v>
      </c>
      <c r="BD16" s="161" t="s">
        <v>345</v>
      </c>
      <c r="BE16" s="161" t="s">
        <v>787</v>
      </c>
      <c r="BF16" s="196">
        <v>60</v>
      </c>
      <c r="BG16" s="195"/>
      <c r="BH16" s="161"/>
      <c r="BI16" s="161"/>
      <c r="BJ16" s="161"/>
      <c r="BK16" s="196"/>
      <c r="BL16" s="158" t="s">
        <v>72</v>
      </c>
      <c r="BM16" s="162"/>
    </row>
    <row r="17" spans="2:65">
      <c r="B17" s="63" t="s">
        <v>95</v>
      </c>
      <c r="C17" s="12" t="s">
        <v>785</v>
      </c>
      <c r="D17" s="12">
        <v>0.5</v>
      </c>
      <c r="E17" s="12" t="s">
        <v>142</v>
      </c>
      <c r="F17" s="12" t="s">
        <v>56</v>
      </c>
      <c r="G17" s="13" t="s">
        <v>56</v>
      </c>
      <c r="H17" s="358"/>
      <c r="I17" s="367"/>
      <c r="J17" s="376"/>
      <c r="K17" s="72"/>
      <c r="L17" s="72"/>
      <c r="M17" s="72"/>
      <c r="N17" s="385"/>
      <c r="O17" s="72"/>
      <c r="P17" s="72"/>
      <c r="Q17" s="72"/>
      <c r="R17" s="60">
        <f>COUNTA(DC[[#This Row],[G28 cp]],DC[[#This Row],[G20 cp]],DC[[#This Row],[G16 cp]],DC[[#This Row],[G11 cp]],DC[[#This Row],[G7 cp]],DC[[#This Row],[G3 cp]])</f>
        <v>2</v>
      </c>
      <c r="S17" s="262">
        <f>MAX(DC[[#This Row],[G28 cp]],DC[[#This Row],[G20 cp]],DC[[#This Row],[G16 cp]],DC[[#This Row],[G11 cp]],DC[[#This Row],[G7 cp]],DC[[#This Row],[G3 cp]])</f>
        <v>58</v>
      </c>
      <c r="T17" s="262">
        <f>( SUM(DC[[#This Row],[G28 cp]],DC[[#This Row],[G20 cp]],DC[[#This Row],[G16 cp]],DC[[#This Row],[G11 cp]],DC[[#This Row],[G7 cp]],DC[[#This Row],[G3 cp]])-DC[[#This Row],[Max.]]) / (DC[[#This Row],[Innings]]-1)</f>
        <v>3</v>
      </c>
      <c r="U17" s="83">
        <f>MIN(DC[[#This Row],[G28 cp]],DC[[#This Row],[G20 cp]],DC[[#This Row],[G16 cp]],DC[[#This Row],[G11 cp]],DC[[#This Row],[G7 cp]],DC[[#This Row],[G3 cp]])</f>
        <v>3</v>
      </c>
      <c r="V17" s="72">
        <f>DC[[#This Row],[G28 cp]]</f>
        <v>58</v>
      </c>
      <c r="W17" s="72">
        <f>DC[[#This Row],[G20 cp]]</f>
        <v>0</v>
      </c>
      <c r="X17" s="72">
        <f>DC[[#This Row],[G16 cp]]</f>
        <v>3</v>
      </c>
      <c r="Y17" s="72">
        <f>DC[[#This Row],[G11 cp]]</f>
        <v>0</v>
      </c>
      <c r="Z17" s="72">
        <f>DC[[#This Row],[G7 cp]]</f>
        <v>0</v>
      </c>
      <c r="AA17" s="72">
        <f>DC[[#This Row],[G3 cp]]</f>
        <v>0</v>
      </c>
      <c r="AB17" s="60">
        <v>12</v>
      </c>
      <c r="AC17" s="72"/>
      <c r="AD17" s="72"/>
      <c r="AE17" s="72"/>
      <c r="AF17" s="72"/>
      <c r="AG17" s="72">
        <v>4</v>
      </c>
      <c r="AH17" s="72">
        <v>19</v>
      </c>
      <c r="AI17" s="72">
        <v>2</v>
      </c>
      <c r="AJ17" s="83">
        <v>58</v>
      </c>
      <c r="AK17" s="60"/>
      <c r="AL17" s="72"/>
      <c r="AM17" s="72"/>
      <c r="AN17" s="72"/>
      <c r="AO17" s="72"/>
      <c r="AP17" s="83"/>
      <c r="AQ17" s="60">
        <v>15</v>
      </c>
      <c r="AR17" s="72"/>
      <c r="AS17" s="72"/>
      <c r="AT17" s="72"/>
      <c r="AU17" s="72"/>
      <c r="AV17" s="83">
        <v>3</v>
      </c>
      <c r="AW17" s="60"/>
      <c r="AX17" s="72"/>
      <c r="AY17" s="72"/>
      <c r="AZ17" s="72"/>
      <c r="BA17" s="83"/>
      <c r="BB17" s="60"/>
      <c r="BC17" s="72"/>
      <c r="BD17" s="72"/>
      <c r="BE17" s="72"/>
      <c r="BF17" s="83"/>
      <c r="BG17" s="60"/>
      <c r="BH17" s="72"/>
      <c r="BI17" s="72"/>
      <c r="BJ17" s="72"/>
      <c r="BK17" s="83"/>
      <c r="BL17" s="14"/>
      <c r="BM17" s="13"/>
    </row>
    <row r="18" spans="2:65">
      <c r="B18" s="99" t="s">
        <v>95</v>
      </c>
      <c r="C18" s="26" t="s">
        <v>783</v>
      </c>
      <c r="D18" s="26">
        <v>0.5</v>
      </c>
      <c r="E18" s="26"/>
      <c r="F18" s="26" t="s">
        <v>54</v>
      </c>
      <c r="G18" s="29" t="s">
        <v>54</v>
      </c>
      <c r="H18" s="604"/>
      <c r="I18" s="583"/>
      <c r="J18" s="587"/>
      <c r="K18" s="84"/>
      <c r="L18" s="84"/>
      <c r="M18" s="84"/>
      <c r="N18" s="591"/>
      <c r="O18" s="84"/>
      <c r="P18" s="84"/>
      <c r="Q18" s="84"/>
      <c r="R18" s="85">
        <f>COUNTA(DC[[#This Row],[G28 cp]],DC[[#This Row],[G20 cp]],DC[[#This Row],[G16 cp]],DC[[#This Row],[G11 cp]],DC[[#This Row],[G7 cp]],DC[[#This Row],[G3 cp]])</f>
        <v>2</v>
      </c>
      <c r="S18" s="261">
        <f>MAX(DC[[#This Row],[G28 cp]],DC[[#This Row],[G20 cp]],DC[[#This Row],[G16 cp]],DC[[#This Row],[G11 cp]],DC[[#This Row],[G7 cp]],DC[[#This Row],[G3 cp]])</f>
        <v>13</v>
      </c>
      <c r="T18" s="261">
        <f>( SUM(DC[[#This Row],[G28 cp]],DC[[#This Row],[G20 cp]],DC[[#This Row],[G16 cp]],DC[[#This Row],[G11 cp]],DC[[#This Row],[G7 cp]],DC[[#This Row],[G3 cp]])-DC[[#This Row],[Max.]]) / (DC[[#This Row],[Innings]]-1)</f>
        <v>6</v>
      </c>
      <c r="U18" s="86">
        <f>MIN(DC[[#This Row],[G28 cp]],DC[[#This Row],[G20 cp]],DC[[#This Row],[G16 cp]],DC[[#This Row],[G11 cp]],DC[[#This Row],[G7 cp]],DC[[#This Row],[G3 cp]])</f>
        <v>6</v>
      </c>
      <c r="V18" s="84">
        <f>DC[[#This Row],[G28 cp]]</f>
        <v>0</v>
      </c>
      <c r="W18" s="84">
        <f>DC[[#This Row],[G20 cp]]</f>
        <v>13</v>
      </c>
      <c r="X18" s="84">
        <f>DC[[#This Row],[G16 cp]]</f>
        <v>6</v>
      </c>
      <c r="Y18" s="84">
        <f>DC[[#This Row],[G11 cp]]</f>
        <v>0</v>
      </c>
      <c r="Z18" s="84">
        <f>DC[[#This Row],[G7 cp]]</f>
        <v>0</v>
      </c>
      <c r="AA18" s="84">
        <f>DC[[#This Row],[G3 cp]]</f>
        <v>0</v>
      </c>
      <c r="AB18" s="85"/>
      <c r="AC18" s="84"/>
      <c r="AD18" s="84"/>
      <c r="AE18" s="84"/>
      <c r="AF18" s="84"/>
      <c r="AG18" s="84"/>
      <c r="AH18" s="84"/>
      <c r="AI18" s="84"/>
      <c r="AJ18" s="86"/>
      <c r="AK18" s="85">
        <v>4</v>
      </c>
      <c r="AL18" s="84" t="s">
        <v>397</v>
      </c>
      <c r="AM18" s="84">
        <v>1</v>
      </c>
      <c r="AN18" s="84">
        <v>4</v>
      </c>
      <c r="AO18" s="84"/>
      <c r="AP18" s="86">
        <v>13</v>
      </c>
      <c r="AQ18" s="85">
        <v>4</v>
      </c>
      <c r="AR18" s="84" t="s">
        <v>798</v>
      </c>
      <c r="AS18" s="84">
        <v>2</v>
      </c>
      <c r="AT18" s="84">
        <v>4</v>
      </c>
      <c r="AU18" s="84"/>
      <c r="AV18" s="86">
        <v>6</v>
      </c>
      <c r="AW18" s="85"/>
      <c r="AX18" s="84"/>
      <c r="AY18" s="84"/>
      <c r="AZ18" s="84"/>
      <c r="BA18" s="86"/>
      <c r="BB18" s="85"/>
      <c r="BC18" s="84"/>
      <c r="BD18" s="84"/>
      <c r="BE18" s="84"/>
      <c r="BF18" s="86"/>
      <c r="BG18" s="85"/>
      <c r="BH18" s="84"/>
      <c r="BI18" s="84"/>
      <c r="BJ18" s="84"/>
      <c r="BK18" s="86"/>
      <c r="BL18" s="30"/>
      <c r="BM18" s="29"/>
    </row>
    <row r="19" spans="2:65">
      <c r="B19" s="100" t="s">
        <v>95</v>
      </c>
      <c r="C19" s="2" t="s">
        <v>42</v>
      </c>
      <c r="D19" s="2">
        <v>0.2</v>
      </c>
      <c r="E19" s="2" t="s">
        <v>619</v>
      </c>
      <c r="F19" s="2" t="s">
        <v>75</v>
      </c>
      <c r="G19" s="3" t="s">
        <v>75</v>
      </c>
      <c r="H19" s="569"/>
      <c r="I19" s="572"/>
      <c r="J19" s="575"/>
      <c r="K19" s="78"/>
      <c r="L19" s="78"/>
      <c r="M19" s="78"/>
      <c r="N19" s="578"/>
      <c r="O19" s="78"/>
      <c r="P19" s="78"/>
      <c r="Q19" s="78"/>
      <c r="R19" s="81">
        <f>COUNTA(DC[[#This Row],[G28 cp]],DC[[#This Row],[G20 cp]],DC[[#This Row],[G16 cp]],DC[[#This Row],[G11 cp]],DC[[#This Row],[G7 cp]],DC[[#This Row],[G3 cp]])</f>
        <v>4</v>
      </c>
      <c r="S19" s="317">
        <f>MAX(DC[[#This Row],[G28 cp]],DC[[#This Row],[G20 cp]],DC[[#This Row],[G16 cp]],DC[[#This Row],[G11 cp]],DC[[#This Row],[G7 cp]],DC[[#This Row],[G3 cp]])</f>
        <v>36</v>
      </c>
      <c r="T19" s="317">
        <f>( SUM(DC[[#This Row],[G28 cp]],DC[[#This Row],[G20 cp]],DC[[#This Row],[G16 cp]],DC[[#This Row],[G11 cp]],DC[[#This Row],[G7 cp]],DC[[#This Row],[G3 cp]])-DC[[#This Row],[Max.]]) / (DC[[#This Row],[Innings]]-1)</f>
        <v>15</v>
      </c>
      <c r="U19" s="82">
        <f>MIN(DC[[#This Row],[G28 cp]],DC[[#This Row],[G20 cp]],DC[[#This Row],[G16 cp]],DC[[#This Row],[G11 cp]],DC[[#This Row],[G7 cp]],DC[[#This Row],[G3 cp]])</f>
        <v>7</v>
      </c>
      <c r="V19" s="78">
        <f>DC[[#This Row],[G28 cp]]</f>
        <v>0</v>
      </c>
      <c r="W19" s="78">
        <f>DC[[#This Row],[G20 cp]]</f>
        <v>25</v>
      </c>
      <c r="X19" s="78">
        <f>DC[[#This Row],[G16 cp]]</f>
        <v>13</v>
      </c>
      <c r="Y19" s="78">
        <f>DC[[#This Row],[G11 cp]]</f>
        <v>7</v>
      </c>
      <c r="Z19" s="78">
        <f>DC[[#This Row],[G7 cp]]</f>
        <v>36</v>
      </c>
      <c r="AA19" s="78">
        <f>DC[[#This Row],[G3 cp]]</f>
        <v>0</v>
      </c>
      <c r="AB19" s="81"/>
      <c r="AC19" s="78"/>
      <c r="AD19" s="78"/>
      <c r="AE19" s="78"/>
      <c r="AF19" s="78"/>
      <c r="AG19" s="78"/>
      <c r="AH19" s="78"/>
      <c r="AI19" s="78"/>
      <c r="AJ19" s="82"/>
      <c r="AK19" s="81">
        <v>6</v>
      </c>
      <c r="AL19" s="78" t="s">
        <v>401</v>
      </c>
      <c r="AM19" s="78">
        <v>5</v>
      </c>
      <c r="AN19" s="78">
        <v>8</v>
      </c>
      <c r="AO19" s="78"/>
      <c r="AP19" s="82">
        <v>25</v>
      </c>
      <c r="AQ19" s="81">
        <v>8</v>
      </c>
      <c r="AR19" s="78" t="s">
        <v>799</v>
      </c>
      <c r="AS19" s="78">
        <v>0</v>
      </c>
      <c r="AT19" s="78">
        <v>1</v>
      </c>
      <c r="AU19" s="78"/>
      <c r="AV19" s="82">
        <v>13</v>
      </c>
      <c r="AW19" s="81">
        <v>8</v>
      </c>
      <c r="AX19" s="78" t="s">
        <v>517</v>
      </c>
      <c r="AY19" s="78" t="s">
        <v>713</v>
      </c>
      <c r="AZ19" s="78"/>
      <c r="BA19" s="82">
        <v>7</v>
      </c>
      <c r="BB19" s="81">
        <v>6</v>
      </c>
      <c r="BC19" s="78" t="s">
        <v>341</v>
      </c>
      <c r="BD19" s="78" t="s">
        <v>342</v>
      </c>
      <c r="BE19" s="78"/>
      <c r="BF19" s="82">
        <v>36</v>
      </c>
      <c r="BG19" s="81"/>
      <c r="BH19" s="78"/>
      <c r="BI19" s="78"/>
      <c r="BJ19" s="78"/>
      <c r="BK19" s="82"/>
      <c r="BL19" s="4"/>
      <c r="BM19" s="3"/>
    </row>
    <row r="20" spans="2:65">
      <c r="B20" s="146" t="s">
        <v>95</v>
      </c>
      <c r="C20" s="97" t="s">
        <v>48</v>
      </c>
      <c r="D20" s="97">
        <v>2.8</v>
      </c>
      <c r="E20" s="97" t="s">
        <v>613</v>
      </c>
      <c r="F20" s="97" t="s">
        <v>54</v>
      </c>
      <c r="G20" s="145" t="s">
        <v>54</v>
      </c>
      <c r="H20" s="606" t="s">
        <v>1007</v>
      </c>
      <c r="I20" s="582"/>
      <c r="J20" s="586"/>
      <c r="K20" s="144"/>
      <c r="L20" s="144"/>
      <c r="M20" s="144"/>
      <c r="N20" s="590"/>
      <c r="O20" s="144"/>
      <c r="P20" s="144"/>
      <c r="Q20" s="144"/>
      <c r="R20" s="193">
        <f>COUNTA(DC[[#This Row],[G28 cp]],DC[[#This Row],[G20 cp]],DC[[#This Row],[G16 cp]],DC[[#This Row],[G11 cp]],DC[[#This Row],[G7 cp]],DC[[#This Row],[G3 cp]])</f>
        <v>3</v>
      </c>
      <c r="S20" s="274">
        <f>MAX(DC[[#This Row],[G28 cp]],DC[[#This Row],[G20 cp]],DC[[#This Row],[G16 cp]],DC[[#This Row],[G11 cp]],DC[[#This Row],[G7 cp]],DC[[#This Row],[G3 cp]])</f>
        <v>30</v>
      </c>
      <c r="T20" s="274">
        <f>( SUM(DC[[#This Row],[G28 cp]],DC[[#This Row],[G20 cp]],DC[[#This Row],[G16 cp]],DC[[#This Row],[G11 cp]],DC[[#This Row],[G7 cp]],DC[[#This Row],[G3 cp]])-DC[[#This Row],[Max.]]) / (DC[[#This Row],[Innings]]-1)</f>
        <v>7</v>
      </c>
      <c r="U20" s="194">
        <f>MIN(DC[[#This Row],[G28 cp]],DC[[#This Row],[G20 cp]],DC[[#This Row],[G16 cp]],DC[[#This Row],[G11 cp]],DC[[#This Row],[G7 cp]],DC[[#This Row],[G3 cp]])</f>
        <v>5</v>
      </c>
      <c r="V20" s="144">
        <f>DC[[#This Row],[G28 cp]]</f>
        <v>0</v>
      </c>
      <c r="W20" s="144">
        <f>DC[[#This Row],[G20 cp]]</f>
        <v>0</v>
      </c>
      <c r="X20" s="144">
        <f>DC[[#This Row],[G16 cp]]</f>
        <v>9</v>
      </c>
      <c r="Y20" s="144">
        <f>DC[[#This Row],[G11 cp]]</f>
        <v>30</v>
      </c>
      <c r="Z20" s="144">
        <f>DC[[#This Row],[G7 cp]]</f>
        <v>0</v>
      </c>
      <c r="AA20" s="144">
        <f>DC[[#This Row],[G3 cp]]</f>
        <v>5</v>
      </c>
      <c r="AB20" s="193"/>
      <c r="AC20" s="144"/>
      <c r="AD20" s="144"/>
      <c r="AE20" s="144"/>
      <c r="AF20" s="144"/>
      <c r="AG20" s="144"/>
      <c r="AH20" s="144"/>
      <c r="AI20" s="144"/>
      <c r="AJ20" s="194"/>
      <c r="AK20" s="193"/>
      <c r="AL20" s="144"/>
      <c r="AM20" s="144"/>
      <c r="AN20" s="144"/>
      <c r="AO20" s="144"/>
      <c r="AP20" s="194"/>
      <c r="AQ20" s="193">
        <v>5</v>
      </c>
      <c r="AR20" s="144" t="s">
        <v>768</v>
      </c>
      <c r="AS20" s="144">
        <v>4</v>
      </c>
      <c r="AT20" s="144">
        <v>4</v>
      </c>
      <c r="AU20" s="144"/>
      <c r="AV20" s="194">
        <v>9</v>
      </c>
      <c r="AW20" s="193">
        <v>7</v>
      </c>
      <c r="AX20" s="144" t="s">
        <v>518</v>
      </c>
      <c r="AY20" s="144" t="s">
        <v>712</v>
      </c>
      <c r="AZ20" s="144" t="s">
        <v>698</v>
      </c>
      <c r="BA20" s="194">
        <v>30</v>
      </c>
      <c r="BB20" s="193"/>
      <c r="BC20" s="144"/>
      <c r="BD20" s="144"/>
      <c r="BE20" s="144"/>
      <c r="BF20" s="194"/>
      <c r="BG20" s="193">
        <v>6</v>
      </c>
      <c r="BH20" s="144" t="s">
        <v>283</v>
      </c>
      <c r="BI20" s="144" t="s">
        <v>323</v>
      </c>
      <c r="BJ20" s="144"/>
      <c r="BK20" s="194">
        <v>5</v>
      </c>
      <c r="BL20" s="142" t="s">
        <v>61</v>
      </c>
      <c r="BM20" s="145" t="s">
        <v>84</v>
      </c>
    </row>
    <row r="21" spans="2:65">
      <c r="B21" s="63" t="s">
        <v>95</v>
      </c>
      <c r="C21" s="12" t="s">
        <v>780</v>
      </c>
      <c r="D21" s="12">
        <v>2</v>
      </c>
      <c r="E21" s="12" t="s">
        <v>142</v>
      </c>
      <c r="F21" s="12" t="s">
        <v>56</v>
      </c>
      <c r="G21" s="13" t="s">
        <v>56</v>
      </c>
      <c r="H21" s="358"/>
      <c r="I21" s="367"/>
      <c r="J21" s="376"/>
      <c r="K21" s="72"/>
      <c r="L21" s="72"/>
      <c r="M21" s="72"/>
      <c r="N21" s="385"/>
      <c r="O21" s="72"/>
      <c r="P21" s="72"/>
      <c r="Q21" s="72"/>
      <c r="R21" s="60">
        <f>COUNTA(DC[[#This Row],[G28 cp]],DC[[#This Row],[G20 cp]],DC[[#This Row],[G16 cp]],DC[[#This Row],[G11 cp]],DC[[#This Row],[G7 cp]],DC[[#This Row],[G3 cp]])</f>
        <v>1</v>
      </c>
      <c r="S21" s="262">
        <f>MAX(DC[[#This Row],[G28 cp]],DC[[#This Row],[G20 cp]],DC[[#This Row],[G16 cp]],DC[[#This Row],[G11 cp]],DC[[#This Row],[G7 cp]],DC[[#This Row],[G3 cp]])</f>
        <v>30</v>
      </c>
      <c r="T21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1" s="83">
        <f>MIN(DC[[#This Row],[G28 cp]],DC[[#This Row],[G20 cp]],DC[[#This Row],[G16 cp]],DC[[#This Row],[G11 cp]],DC[[#This Row],[G7 cp]],DC[[#This Row],[G3 cp]])</f>
        <v>30</v>
      </c>
      <c r="V21" s="72">
        <f>DC[[#This Row],[G28 cp]]</f>
        <v>0</v>
      </c>
      <c r="W21" s="72">
        <f>DC[[#This Row],[G20 cp]]</f>
        <v>0</v>
      </c>
      <c r="X21" s="72">
        <f>DC[[#This Row],[G16 cp]]</f>
        <v>30</v>
      </c>
      <c r="Y21" s="72">
        <f>DC[[#This Row],[G11 cp]]</f>
        <v>0</v>
      </c>
      <c r="Z21" s="72">
        <f>DC[[#This Row],[G7 cp]]</f>
        <v>0</v>
      </c>
      <c r="AA21" s="72">
        <f>DC[[#This Row],[G3 cp]]</f>
        <v>0</v>
      </c>
      <c r="AB21" s="60"/>
      <c r="AC21" s="72"/>
      <c r="AD21" s="72"/>
      <c r="AE21" s="72"/>
      <c r="AF21" s="72"/>
      <c r="AG21" s="72"/>
      <c r="AH21" s="72"/>
      <c r="AI21" s="72"/>
      <c r="AJ21" s="83"/>
      <c r="AK21" s="60"/>
      <c r="AL21" s="72"/>
      <c r="AM21" s="72"/>
      <c r="AN21" s="72"/>
      <c r="AO21" s="72" t="s">
        <v>1085</v>
      </c>
      <c r="AP21" s="83"/>
      <c r="AQ21" s="60">
        <v>11</v>
      </c>
      <c r="AR21" s="72"/>
      <c r="AS21" s="72"/>
      <c r="AT21" s="72"/>
      <c r="AU21" s="72" t="s">
        <v>801</v>
      </c>
      <c r="AV21" s="83">
        <v>30</v>
      </c>
      <c r="AW21" s="60"/>
      <c r="AX21" s="72"/>
      <c r="AY21" s="72"/>
      <c r="AZ21" s="72"/>
      <c r="BA21" s="83"/>
      <c r="BB21" s="60"/>
      <c r="BC21" s="72"/>
      <c r="BD21" s="72"/>
      <c r="BE21" s="72"/>
      <c r="BF21" s="83"/>
      <c r="BG21" s="60"/>
      <c r="BH21" s="72"/>
      <c r="BI21" s="72"/>
      <c r="BJ21" s="72"/>
      <c r="BK21" s="83"/>
      <c r="BL21" s="14" t="s">
        <v>70</v>
      </c>
      <c r="BM21" s="13" t="s">
        <v>79</v>
      </c>
    </row>
    <row r="22" spans="2:65">
      <c r="B22" s="99" t="s">
        <v>95</v>
      </c>
      <c r="C22" s="26" t="s">
        <v>46</v>
      </c>
      <c r="D22" s="26">
        <v>0.2</v>
      </c>
      <c r="E22" s="26" t="s">
        <v>703</v>
      </c>
      <c r="F22" s="26" t="s">
        <v>54</v>
      </c>
      <c r="G22" s="29" t="s">
        <v>75</v>
      </c>
      <c r="H22" s="604"/>
      <c r="I22" s="583"/>
      <c r="J22" s="587"/>
      <c r="K22" s="84"/>
      <c r="L22" s="84"/>
      <c r="M22" s="84"/>
      <c r="N22" s="591"/>
      <c r="O22" s="84"/>
      <c r="P22" s="84"/>
      <c r="Q22" s="84"/>
      <c r="R22" s="85">
        <f>COUNTA(DC[[#This Row],[G28 cp]],DC[[#This Row],[G20 cp]],DC[[#This Row],[G16 cp]],DC[[#This Row],[G11 cp]],DC[[#This Row],[G7 cp]],DC[[#This Row],[G3 cp]])</f>
        <v>3</v>
      </c>
      <c r="S22" s="261">
        <f>MAX(DC[[#This Row],[G28 cp]],DC[[#This Row],[G20 cp]],DC[[#This Row],[G16 cp]],DC[[#This Row],[G11 cp]],DC[[#This Row],[G7 cp]],DC[[#This Row],[G3 cp]])</f>
        <v>36</v>
      </c>
      <c r="T22" s="261">
        <f>( SUM(DC[[#This Row],[G28 cp]],DC[[#This Row],[G20 cp]],DC[[#This Row],[G16 cp]],DC[[#This Row],[G11 cp]],DC[[#This Row],[G7 cp]],DC[[#This Row],[G3 cp]])-DC[[#This Row],[Max.]]) / (DC[[#This Row],[Innings]]-1)</f>
        <v>14</v>
      </c>
      <c r="U22" s="86">
        <f>MIN(DC[[#This Row],[G28 cp]],DC[[#This Row],[G20 cp]],DC[[#This Row],[G16 cp]],DC[[#This Row],[G11 cp]],DC[[#This Row],[G7 cp]],DC[[#This Row],[G3 cp]])</f>
        <v>3</v>
      </c>
      <c r="V22" s="84">
        <f>DC[[#This Row],[G28 cp]]</f>
        <v>0</v>
      </c>
      <c r="W22" s="84">
        <f>DC[[#This Row],[G20 cp]]</f>
        <v>0</v>
      </c>
      <c r="X22" s="84">
        <f>DC[[#This Row],[G16 cp]]</f>
        <v>3</v>
      </c>
      <c r="Y22" s="84">
        <f>DC[[#This Row],[G11 cp]]</f>
        <v>0</v>
      </c>
      <c r="Z22" s="84">
        <f>DC[[#This Row],[G7 cp]]</f>
        <v>36</v>
      </c>
      <c r="AA22" s="84">
        <f>DC[[#This Row],[G3 cp]]</f>
        <v>25</v>
      </c>
      <c r="AB22" s="85"/>
      <c r="AC22" s="84"/>
      <c r="AD22" s="84"/>
      <c r="AE22" s="84"/>
      <c r="AF22" s="84"/>
      <c r="AG22" s="84"/>
      <c r="AH22" s="84"/>
      <c r="AI22" s="84"/>
      <c r="AJ22" s="86"/>
      <c r="AK22" s="85"/>
      <c r="AL22" s="84"/>
      <c r="AM22" s="84"/>
      <c r="AN22" s="84"/>
      <c r="AO22" s="84"/>
      <c r="AP22" s="86"/>
      <c r="AQ22" s="85">
        <v>15</v>
      </c>
      <c r="AR22" s="84"/>
      <c r="AS22" s="84"/>
      <c r="AT22" s="84"/>
      <c r="AU22" s="84"/>
      <c r="AV22" s="86">
        <v>3</v>
      </c>
      <c r="AW22" s="85"/>
      <c r="AX22" s="84"/>
      <c r="AY22" s="84"/>
      <c r="AZ22" s="84"/>
      <c r="BA22" s="86"/>
      <c r="BB22" s="85">
        <v>4</v>
      </c>
      <c r="BC22" s="84" t="s">
        <v>341</v>
      </c>
      <c r="BD22" s="84" t="s">
        <v>340</v>
      </c>
      <c r="BE22" s="84"/>
      <c r="BF22" s="86">
        <v>36</v>
      </c>
      <c r="BG22" s="85">
        <v>4</v>
      </c>
      <c r="BH22" s="84" t="s">
        <v>320</v>
      </c>
      <c r="BI22" s="84" t="s">
        <v>319</v>
      </c>
      <c r="BJ22" s="84"/>
      <c r="BK22" s="86">
        <v>25</v>
      </c>
      <c r="BL22" s="30" t="s">
        <v>60</v>
      </c>
      <c r="BM22" s="29"/>
    </row>
    <row r="23" spans="2:65" s="1" customFormat="1">
      <c r="B23" s="63" t="s">
        <v>95</v>
      </c>
      <c r="C23" s="12" t="s">
        <v>784</v>
      </c>
      <c r="D23" s="12">
        <v>0.5</v>
      </c>
      <c r="E23" s="12" t="s">
        <v>782</v>
      </c>
      <c r="F23" s="12" t="s">
        <v>56</v>
      </c>
      <c r="G23" s="13" t="s">
        <v>56</v>
      </c>
      <c r="H23" s="358"/>
      <c r="I23" s="367"/>
      <c r="J23" s="376"/>
      <c r="K23" s="72"/>
      <c r="L23" s="72"/>
      <c r="M23" s="72"/>
      <c r="N23" s="385"/>
      <c r="O23" s="72"/>
      <c r="P23" s="72"/>
      <c r="Q23" s="72"/>
      <c r="R23" s="60">
        <f>COUNTA(DC[[#This Row],[G28 cp]],DC[[#This Row],[G20 cp]],DC[[#This Row],[G16 cp]],DC[[#This Row],[G11 cp]],DC[[#This Row],[G7 cp]],DC[[#This Row],[G3 cp]])</f>
        <v>1</v>
      </c>
      <c r="S23" s="262">
        <f>MAX(DC[[#This Row],[G28 cp]],DC[[#This Row],[G20 cp]],DC[[#This Row],[G16 cp]],DC[[#This Row],[G11 cp]],DC[[#This Row],[G7 cp]],DC[[#This Row],[G3 cp]])</f>
        <v>3</v>
      </c>
      <c r="T23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3" s="83">
        <f>MIN(DC[[#This Row],[G28 cp]],DC[[#This Row],[G20 cp]],DC[[#This Row],[G16 cp]],DC[[#This Row],[G11 cp]],DC[[#This Row],[G7 cp]],DC[[#This Row],[G3 cp]])</f>
        <v>3</v>
      </c>
      <c r="V23" s="72">
        <f>DC[[#This Row],[G28 cp]]</f>
        <v>0</v>
      </c>
      <c r="W23" s="72">
        <f>DC[[#This Row],[G20 cp]]</f>
        <v>0</v>
      </c>
      <c r="X23" s="72">
        <f>DC[[#This Row],[G16 cp]]</f>
        <v>3</v>
      </c>
      <c r="Y23" s="72">
        <f>DC[[#This Row],[G11 cp]]</f>
        <v>0</v>
      </c>
      <c r="Z23" s="72">
        <f>DC[[#This Row],[G7 cp]]</f>
        <v>0</v>
      </c>
      <c r="AA23" s="72">
        <f>DC[[#This Row],[G3 cp]]</f>
        <v>0</v>
      </c>
      <c r="AB23" s="60"/>
      <c r="AC23" s="72"/>
      <c r="AD23" s="72"/>
      <c r="AE23" s="72"/>
      <c r="AF23" s="72"/>
      <c r="AG23" s="72"/>
      <c r="AH23" s="72"/>
      <c r="AI23" s="72"/>
      <c r="AJ23" s="83"/>
      <c r="AK23" s="60"/>
      <c r="AL23" s="72"/>
      <c r="AM23" s="72"/>
      <c r="AN23" s="72"/>
      <c r="AO23" s="72"/>
      <c r="AP23" s="83"/>
      <c r="AQ23" s="60">
        <v>15</v>
      </c>
      <c r="AR23" s="72"/>
      <c r="AS23" s="72"/>
      <c r="AT23" s="72"/>
      <c r="AU23" s="72"/>
      <c r="AV23" s="83">
        <v>3</v>
      </c>
      <c r="AW23" s="60"/>
      <c r="AX23" s="72"/>
      <c r="AY23" s="72"/>
      <c r="AZ23" s="72"/>
      <c r="BA23" s="83"/>
      <c r="BB23" s="60"/>
      <c r="BC23" s="72"/>
      <c r="BD23" s="72"/>
      <c r="BE23" s="72"/>
      <c r="BF23" s="83"/>
      <c r="BG23" s="60"/>
      <c r="BH23" s="72"/>
      <c r="BI23" s="72"/>
      <c r="BJ23" s="72"/>
      <c r="BK23" s="83"/>
      <c r="BL23" s="14"/>
      <c r="BM23" s="13"/>
    </row>
    <row r="24" spans="2:65">
      <c r="B24" s="146" t="s">
        <v>95</v>
      </c>
      <c r="C24" s="97" t="s">
        <v>52</v>
      </c>
      <c r="D24" s="97">
        <v>4.5999999999999996</v>
      </c>
      <c r="E24" s="97" t="s">
        <v>616</v>
      </c>
      <c r="F24" s="97" t="s">
        <v>54</v>
      </c>
      <c r="G24" s="145" t="s">
        <v>54</v>
      </c>
      <c r="H24" s="606" t="s">
        <v>1007</v>
      </c>
      <c r="I24" s="582"/>
      <c r="J24" s="586"/>
      <c r="K24" s="144"/>
      <c r="L24" s="144"/>
      <c r="M24" s="144"/>
      <c r="N24" s="590"/>
      <c r="O24" s="144"/>
      <c r="P24" s="144"/>
      <c r="Q24" s="144"/>
      <c r="R24" s="193">
        <f>COUNTA(DC[[#This Row],[G28 cp]],DC[[#This Row],[G20 cp]],DC[[#This Row],[G16 cp]],DC[[#This Row],[G11 cp]],DC[[#This Row],[G7 cp]],DC[[#This Row],[G3 cp]])</f>
        <v>3</v>
      </c>
      <c r="S24" s="274">
        <f>MAX(DC[[#This Row],[G28 cp]],DC[[#This Row],[G20 cp]],DC[[#This Row],[G16 cp]],DC[[#This Row],[G11 cp]],DC[[#This Row],[G7 cp]],DC[[#This Row],[G3 cp]])</f>
        <v>39</v>
      </c>
      <c r="T24" s="274">
        <f>( SUM(DC[[#This Row],[G28 cp]],DC[[#This Row],[G20 cp]],DC[[#This Row],[G16 cp]],DC[[#This Row],[G11 cp]],DC[[#This Row],[G7 cp]],DC[[#This Row],[G3 cp]])-DC[[#This Row],[Max.]]) / (DC[[#This Row],[Innings]]-1)</f>
        <v>11.5</v>
      </c>
      <c r="U24" s="194">
        <f>MIN(DC[[#This Row],[G28 cp]],DC[[#This Row],[G20 cp]],DC[[#This Row],[G16 cp]],DC[[#This Row],[G11 cp]],DC[[#This Row],[G7 cp]],DC[[#This Row],[G3 cp]])</f>
        <v>2</v>
      </c>
      <c r="V24" s="144">
        <f>DC[[#This Row],[G28 cp]]</f>
        <v>0</v>
      </c>
      <c r="W24" s="144">
        <f>DC[[#This Row],[G20 cp]]</f>
        <v>0</v>
      </c>
      <c r="X24" s="144">
        <f>DC[[#This Row],[G16 cp]]</f>
        <v>0</v>
      </c>
      <c r="Y24" s="144">
        <f>DC[[#This Row],[G11 cp]]</f>
        <v>21</v>
      </c>
      <c r="Z24" s="144">
        <f>DC[[#This Row],[G7 cp]]</f>
        <v>2</v>
      </c>
      <c r="AA24" s="144">
        <f>DC[[#This Row],[G3 cp]]</f>
        <v>39</v>
      </c>
      <c r="AB24" s="193"/>
      <c r="AC24" s="144"/>
      <c r="AD24" s="144"/>
      <c r="AE24" s="144"/>
      <c r="AF24" s="144"/>
      <c r="AG24" s="144"/>
      <c r="AH24" s="144"/>
      <c r="AI24" s="144"/>
      <c r="AJ24" s="194"/>
      <c r="AK24" s="193"/>
      <c r="AL24" s="144"/>
      <c r="AM24" s="144"/>
      <c r="AN24" s="144"/>
      <c r="AO24" s="144"/>
      <c r="AP24" s="194"/>
      <c r="AQ24" s="193">
        <v>24</v>
      </c>
      <c r="AR24" s="144"/>
      <c r="AS24" s="144"/>
      <c r="AT24" s="144"/>
      <c r="AU24" s="144"/>
      <c r="AV24" s="194"/>
      <c r="AW24" s="193">
        <v>4</v>
      </c>
      <c r="AX24" s="144" t="s">
        <v>518</v>
      </c>
      <c r="AY24" s="144" t="s">
        <v>710</v>
      </c>
      <c r="AZ24" s="144"/>
      <c r="BA24" s="194">
        <v>21</v>
      </c>
      <c r="BB24" s="193">
        <v>5</v>
      </c>
      <c r="BC24" s="144" t="s">
        <v>336</v>
      </c>
      <c r="BD24" s="144" t="s">
        <v>280</v>
      </c>
      <c r="BE24" s="144"/>
      <c r="BF24" s="194">
        <v>2</v>
      </c>
      <c r="BG24" s="193">
        <v>5</v>
      </c>
      <c r="BH24" s="144" t="s">
        <v>283</v>
      </c>
      <c r="BI24" s="144" t="s">
        <v>322</v>
      </c>
      <c r="BJ24" s="144"/>
      <c r="BK24" s="194">
        <v>39</v>
      </c>
      <c r="BL24" s="142"/>
      <c r="BM24" s="145"/>
    </row>
    <row r="25" spans="2:65">
      <c r="B25" s="163" t="s">
        <v>95</v>
      </c>
      <c r="C25" s="159" t="s">
        <v>49</v>
      </c>
      <c r="D25" s="159">
        <v>0.5</v>
      </c>
      <c r="E25" s="159" t="s">
        <v>616</v>
      </c>
      <c r="F25" s="159" t="s">
        <v>56</v>
      </c>
      <c r="G25" s="162" t="s">
        <v>56</v>
      </c>
      <c r="H25" s="359" t="s">
        <v>1004</v>
      </c>
      <c r="I25" s="368"/>
      <c r="J25" s="377"/>
      <c r="K25" s="161"/>
      <c r="L25" s="161"/>
      <c r="M25" s="161"/>
      <c r="N25" s="386"/>
      <c r="O25" s="161"/>
      <c r="P25" s="161"/>
      <c r="Q25" s="161"/>
      <c r="R25" s="195">
        <f>COUNTA(DC[[#This Row],[G28 cp]],DC[[#This Row],[G20 cp]],DC[[#This Row],[G16 cp]],DC[[#This Row],[G11 cp]],DC[[#This Row],[G7 cp]],DC[[#This Row],[G3 cp]])</f>
        <v>0</v>
      </c>
      <c r="S25" s="273">
        <f>MAX(DC[[#This Row],[G28 cp]],DC[[#This Row],[G20 cp]],DC[[#This Row],[G16 cp]],DC[[#This Row],[G11 cp]],DC[[#This Row],[G7 cp]],DC[[#This Row],[G3 cp]])</f>
        <v>0</v>
      </c>
      <c r="T25" s="273">
        <f>( SUM(DC[[#This Row],[G28 cp]],DC[[#This Row],[G20 cp]],DC[[#This Row],[G16 cp]],DC[[#This Row],[G11 cp]],DC[[#This Row],[G7 cp]],DC[[#This Row],[G3 cp]])-DC[[#This Row],[Max.]]) / (DC[[#This Row],[Innings]]-1)</f>
        <v>0</v>
      </c>
      <c r="U25" s="196">
        <f>MIN(DC[[#This Row],[G28 cp]],DC[[#This Row],[G20 cp]],DC[[#This Row],[G16 cp]],DC[[#This Row],[G11 cp]],DC[[#This Row],[G7 cp]],DC[[#This Row],[G3 cp]])</f>
        <v>0</v>
      </c>
      <c r="V25" s="161">
        <f>DC[[#This Row],[G28 cp]]</f>
        <v>0</v>
      </c>
      <c r="W25" s="161">
        <f>DC[[#This Row],[G20 cp]]</f>
        <v>0</v>
      </c>
      <c r="X25" s="161">
        <f>DC[[#This Row],[G16 cp]]</f>
        <v>0</v>
      </c>
      <c r="Y25" s="161">
        <f>DC[[#This Row],[G11 cp]]</f>
        <v>0</v>
      </c>
      <c r="Z25" s="161">
        <f>DC[[#This Row],[G7 cp]]</f>
        <v>0</v>
      </c>
      <c r="AA25" s="161">
        <f>DC[[#This Row],[G3 cp]]</f>
        <v>0</v>
      </c>
      <c r="AB25" s="195"/>
      <c r="AC25" s="161"/>
      <c r="AD25" s="161"/>
      <c r="AE25" s="161"/>
      <c r="AF25" s="161"/>
      <c r="AG25" s="161"/>
      <c r="AH25" s="161"/>
      <c r="AI25" s="161"/>
      <c r="AJ25" s="196"/>
      <c r="AK25" s="195"/>
      <c r="AL25" s="161"/>
      <c r="AM25" s="161"/>
      <c r="AN25" s="161"/>
      <c r="AO25" s="161"/>
      <c r="AP25" s="196"/>
      <c r="AQ25" s="195">
        <v>24</v>
      </c>
      <c r="AR25" s="161"/>
      <c r="AS25" s="161"/>
      <c r="AT25" s="161"/>
      <c r="AU25" s="161"/>
      <c r="AV25" s="196"/>
      <c r="AW25" s="195">
        <v>24</v>
      </c>
      <c r="AX25" s="161"/>
      <c r="AY25" s="161"/>
      <c r="AZ25" s="161"/>
      <c r="BA25" s="196"/>
      <c r="BB25" s="195">
        <v>24</v>
      </c>
      <c r="BC25" s="161"/>
      <c r="BD25" s="161"/>
      <c r="BE25" s="161"/>
      <c r="BF25" s="196"/>
      <c r="BG25" s="195">
        <v>24</v>
      </c>
      <c r="BH25" s="161"/>
      <c r="BI25" s="161"/>
      <c r="BJ25" s="161"/>
      <c r="BK25" s="196"/>
      <c r="BL25" s="158"/>
      <c r="BM25" s="162"/>
    </row>
    <row r="26" spans="2:65">
      <c r="B26" s="63" t="s">
        <v>95</v>
      </c>
      <c r="C26" s="12" t="s">
        <v>714</v>
      </c>
      <c r="D26" s="12">
        <v>0.2</v>
      </c>
      <c r="E26" s="12" t="s">
        <v>142</v>
      </c>
      <c r="F26" s="12" t="s">
        <v>56</v>
      </c>
      <c r="G26" s="13" t="s">
        <v>56</v>
      </c>
      <c r="H26" s="358"/>
      <c r="I26" s="367"/>
      <c r="J26" s="376"/>
      <c r="K26" s="72"/>
      <c r="L26" s="72"/>
      <c r="M26" s="72"/>
      <c r="N26" s="385"/>
      <c r="O26" s="72"/>
      <c r="P26" s="72"/>
      <c r="Q26" s="72"/>
      <c r="R26" s="60">
        <f>COUNTA(DC[[#This Row],[G28 cp]],DC[[#This Row],[G20 cp]],DC[[#This Row],[G16 cp]],DC[[#This Row],[G11 cp]],DC[[#This Row],[G7 cp]],DC[[#This Row],[G3 cp]])</f>
        <v>3</v>
      </c>
      <c r="S26" s="262">
        <f>MAX(DC[[#This Row],[G28 cp]],DC[[#This Row],[G20 cp]],DC[[#This Row],[G16 cp]],DC[[#This Row],[G11 cp]],DC[[#This Row],[G7 cp]],DC[[#This Row],[G3 cp]])</f>
        <v>54</v>
      </c>
      <c r="T26" s="262">
        <f>( SUM(DC[[#This Row],[G28 cp]],DC[[#This Row],[G20 cp]],DC[[#This Row],[G16 cp]],DC[[#This Row],[G11 cp]],DC[[#This Row],[G7 cp]],DC[[#This Row],[G3 cp]])-DC[[#This Row],[Max.]]) / (DC[[#This Row],[Innings]]-1)</f>
        <v>14</v>
      </c>
      <c r="U26" s="83">
        <f>MIN(DC[[#This Row],[G28 cp]],DC[[#This Row],[G20 cp]],DC[[#This Row],[G16 cp]],DC[[#This Row],[G11 cp]],DC[[#This Row],[G7 cp]],DC[[#This Row],[G3 cp]])</f>
        <v>0</v>
      </c>
      <c r="V26" s="72">
        <f>DC[[#This Row],[G28 cp]]</f>
        <v>0</v>
      </c>
      <c r="W26" s="72">
        <f>DC[[#This Row],[G20 cp]]</f>
        <v>0</v>
      </c>
      <c r="X26" s="72">
        <f>DC[[#This Row],[G16 cp]]</f>
        <v>0</v>
      </c>
      <c r="Y26" s="72">
        <f>DC[[#This Row],[G11 cp]]</f>
        <v>0</v>
      </c>
      <c r="Z26" s="72">
        <f>DC[[#This Row],[G7 cp]]</f>
        <v>28</v>
      </c>
      <c r="AA26" s="72">
        <f>DC[[#This Row],[G3 cp]]</f>
        <v>54</v>
      </c>
      <c r="AB26" s="60"/>
      <c r="AC26" s="72"/>
      <c r="AD26" s="72"/>
      <c r="AE26" s="72"/>
      <c r="AF26" s="72"/>
      <c r="AG26" s="72"/>
      <c r="AH26" s="72"/>
      <c r="AI26" s="72"/>
      <c r="AJ26" s="83"/>
      <c r="AK26" s="60"/>
      <c r="AL26" s="72"/>
      <c r="AM26" s="72"/>
      <c r="AN26" s="72"/>
      <c r="AO26" s="72"/>
      <c r="AP26" s="83"/>
      <c r="AQ26" s="60"/>
      <c r="AR26" s="72"/>
      <c r="AS26" s="72"/>
      <c r="AT26" s="72"/>
      <c r="AU26" s="72"/>
      <c r="AV26" s="83"/>
      <c r="AW26" s="60">
        <v>12</v>
      </c>
      <c r="AX26" s="72"/>
      <c r="AY26" s="72"/>
      <c r="AZ26" s="72" t="s">
        <v>715</v>
      </c>
      <c r="BA26" s="83">
        <v>0</v>
      </c>
      <c r="BB26" s="60">
        <v>12</v>
      </c>
      <c r="BC26" s="72"/>
      <c r="BD26" s="72"/>
      <c r="BE26" s="72" t="s">
        <v>333</v>
      </c>
      <c r="BF26" s="83">
        <v>28</v>
      </c>
      <c r="BG26" s="60">
        <v>12</v>
      </c>
      <c r="BH26" s="72"/>
      <c r="BI26" s="72"/>
      <c r="BJ26" s="72" t="s">
        <v>330</v>
      </c>
      <c r="BK26" s="83">
        <v>54</v>
      </c>
      <c r="BL26" s="14"/>
      <c r="BM26" s="13"/>
    </row>
    <row r="27" spans="2:65">
      <c r="B27" s="63" t="s">
        <v>95</v>
      </c>
      <c r="C27" s="12" t="s">
        <v>779</v>
      </c>
      <c r="D27" s="12">
        <v>4.2</v>
      </c>
      <c r="E27" s="12" t="s">
        <v>641</v>
      </c>
      <c r="F27" s="12" t="s">
        <v>56</v>
      </c>
      <c r="G27" s="13" t="s">
        <v>56</v>
      </c>
      <c r="H27" s="358"/>
      <c r="I27" s="367"/>
      <c r="J27" s="376"/>
      <c r="K27" s="72"/>
      <c r="L27" s="72"/>
      <c r="M27" s="72"/>
      <c r="N27" s="385"/>
      <c r="O27" s="72"/>
      <c r="P27" s="72"/>
      <c r="Q27" s="72"/>
      <c r="R27" s="60">
        <f>COUNTA(DC[[#This Row],[G28 cp]],DC[[#This Row],[G20 cp]],DC[[#This Row],[G16 cp]],DC[[#This Row],[G11 cp]],DC[[#This Row],[G7 cp]],DC[[#This Row],[G3 cp]])</f>
        <v>1</v>
      </c>
      <c r="S27" s="262">
        <f>MAX(DC[[#This Row],[G28 cp]],DC[[#This Row],[G20 cp]],DC[[#This Row],[G16 cp]],DC[[#This Row],[G11 cp]],DC[[#This Row],[G7 cp]],DC[[#This Row],[G3 cp]])</f>
        <v>54</v>
      </c>
      <c r="T27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7" s="83">
        <f>MIN(DC[[#This Row],[G28 cp]],DC[[#This Row],[G20 cp]],DC[[#This Row],[G16 cp]],DC[[#This Row],[G11 cp]],DC[[#This Row],[G7 cp]],DC[[#This Row],[G3 cp]])</f>
        <v>54</v>
      </c>
      <c r="V27" s="72">
        <f>DC[[#This Row],[G28 cp]]</f>
        <v>0</v>
      </c>
      <c r="W27" s="72">
        <f>DC[[#This Row],[G20 cp]]</f>
        <v>0</v>
      </c>
      <c r="X27" s="72">
        <f>DC[[#This Row],[G16 cp]]</f>
        <v>0</v>
      </c>
      <c r="Y27" s="72">
        <f>DC[[#This Row],[G11 cp]]</f>
        <v>0</v>
      </c>
      <c r="Z27" s="72">
        <f>DC[[#This Row],[G7 cp]]</f>
        <v>0</v>
      </c>
      <c r="AA27" s="72">
        <f>DC[[#This Row],[G3 cp]]</f>
        <v>54</v>
      </c>
      <c r="AB27" s="60"/>
      <c r="AC27" s="72"/>
      <c r="AD27" s="72"/>
      <c r="AE27" s="72"/>
      <c r="AF27" s="72"/>
      <c r="AG27" s="72"/>
      <c r="AH27" s="72"/>
      <c r="AI27" s="72"/>
      <c r="AJ27" s="83"/>
      <c r="AK27" s="60"/>
      <c r="AL27" s="72"/>
      <c r="AM27" s="72"/>
      <c r="AN27" s="72"/>
      <c r="AO27" s="72"/>
      <c r="AP27" s="83"/>
      <c r="AQ27" s="60"/>
      <c r="AR27" s="72"/>
      <c r="AS27" s="72"/>
      <c r="AT27" s="72"/>
      <c r="AU27" s="72"/>
      <c r="AV27" s="83"/>
      <c r="AW27" s="60"/>
      <c r="AX27" s="72"/>
      <c r="AY27" s="72"/>
      <c r="AZ27" s="72"/>
      <c r="BA27" s="83"/>
      <c r="BB27" s="60"/>
      <c r="BC27" s="72"/>
      <c r="BD27" s="72"/>
      <c r="BE27" s="72"/>
      <c r="BF27" s="83"/>
      <c r="BG27" s="60">
        <v>10</v>
      </c>
      <c r="BH27" s="72" t="s">
        <v>320</v>
      </c>
      <c r="BI27" s="72" t="s">
        <v>328</v>
      </c>
      <c r="BJ27" s="72" t="s">
        <v>332</v>
      </c>
      <c r="BK27" s="83">
        <v>54</v>
      </c>
      <c r="BL27" s="14"/>
      <c r="BM27" s="13" t="s">
        <v>80</v>
      </c>
    </row>
    <row r="28" spans="2:65">
      <c r="B28" s="63" t="s">
        <v>95</v>
      </c>
      <c r="C28" s="12" t="s">
        <v>781</v>
      </c>
      <c r="D28" s="12">
        <v>1.1000000000000001</v>
      </c>
      <c r="E28" s="12" t="s">
        <v>782</v>
      </c>
      <c r="F28" s="12" t="s">
        <v>56</v>
      </c>
      <c r="G28" s="13" t="s">
        <v>56</v>
      </c>
      <c r="H28" s="358"/>
      <c r="I28" s="367"/>
      <c r="J28" s="376"/>
      <c r="K28" s="72"/>
      <c r="L28" s="72"/>
      <c r="M28" s="72"/>
      <c r="N28" s="385"/>
      <c r="O28" s="72"/>
      <c r="P28" s="72"/>
      <c r="Q28" s="72"/>
      <c r="R28" s="60">
        <f>COUNTA(DC[[#This Row],[G28 cp]],DC[[#This Row],[G20 cp]],DC[[#This Row],[G16 cp]],DC[[#This Row],[G11 cp]],DC[[#This Row],[G7 cp]],DC[[#This Row],[G3 cp]])</f>
        <v>0</v>
      </c>
      <c r="S28" s="262">
        <f>MAX(DC[[#This Row],[G28 cp]],DC[[#This Row],[G20 cp]],DC[[#This Row],[G16 cp]],DC[[#This Row],[G11 cp]],DC[[#This Row],[G7 cp]],DC[[#This Row],[G3 cp]])</f>
        <v>0</v>
      </c>
      <c r="T28" s="262">
        <f>( SUM(DC[[#This Row],[G28 cp]],DC[[#This Row],[G20 cp]],DC[[#This Row],[G16 cp]],DC[[#This Row],[G11 cp]],DC[[#This Row],[G7 cp]],DC[[#This Row],[G3 cp]])-DC[[#This Row],[Max.]]) / (DC[[#This Row],[Innings]]-1)</f>
        <v>0</v>
      </c>
      <c r="U28" s="83">
        <f>MIN(DC[[#This Row],[G28 cp]],DC[[#This Row],[G20 cp]],DC[[#This Row],[G16 cp]],DC[[#This Row],[G11 cp]],DC[[#This Row],[G7 cp]],DC[[#This Row],[G3 cp]])</f>
        <v>0</v>
      </c>
      <c r="V28" s="72">
        <f>DC[[#This Row],[G28 cp]]</f>
        <v>0</v>
      </c>
      <c r="W28" s="72">
        <f>DC[[#This Row],[G20 cp]]</f>
        <v>0</v>
      </c>
      <c r="X28" s="72">
        <f>DC[[#This Row],[G16 cp]]</f>
        <v>0</v>
      </c>
      <c r="Y28" s="72">
        <f>DC[[#This Row],[G11 cp]]</f>
        <v>0</v>
      </c>
      <c r="Z28" s="72">
        <f>DC[[#This Row],[G7 cp]]</f>
        <v>0</v>
      </c>
      <c r="AA28" s="72">
        <f>DC[[#This Row],[G3 cp]]</f>
        <v>0</v>
      </c>
      <c r="AB28" s="60"/>
      <c r="AC28" s="72"/>
      <c r="AD28" s="72"/>
      <c r="AE28" s="72"/>
      <c r="AF28" s="72"/>
      <c r="AG28" s="72"/>
      <c r="AH28" s="72"/>
      <c r="AI28" s="72"/>
      <c r="AJ28" s="83"/>
      <c r="AK28" s="60"/>
      <c r="AL28" s="72"/>
      <c r="AM28" s="72"/>
      <c r="AN28" s="72"/>
      <c r="AO28" s="72"/>
      <c r="AP28" s="83"/>
      <c r="AQ28" s="60"/>
      <c r="AR28" s="72"/>
      <c r="AS28" s="72"/>
      <c r="AT28" s="72"/>
      <c r="AU28" s="72"/>
      <c r="AV28" s="83"/>
      <c r="AW28" s="60"/>
      <c r="AX28" s="72"/>
      <c r="AY28" s="72"/>
      <c r="AZ28" s="72"/>
      <c r="BA28" s="83"/>
      <c r="BB28" s="60"/>
      <c r="BC28" s="72"/>
      <c r="BD28" s="72"/>
      <c r="BE28" s="72"/>
      <c r="BF28" s="83"/>
      <c r="BG28" s="60"/>
      <c r="BH28" s="72"/>
      <c r="BI28" s="72"/>
      <c r="BJ28" s="72"/>
      <c r="BK28" s="83"/>
      <c r="BL28" s="14"/>
      <c r="BM28" s="13"/>
    </row>
    <row r="29" spans="2:65">
      <c r="B29" s="99" t="s">
        <v>95</v>
      </c>
      <c r="C29" s="26" t="s">
        <v>47</v>
      </c>
      <c r="D29" s="26">
        <v>0.2</v>
      </c>
      <c r="E29" s="26" t="s">
        <v>631</v>
      </c>
      <c r="F29" s="26" t="s">
        <v>54</v>
      </c>
      <c r="G29" s="29" t="s">
        <v>54</v>
      </c>
      <c r="H29" s="604"/>
      <c r="I29" s="583"/>
      <c r="J29" s="587"/>
      <c r="K29" s="84"/>
      <c r="L29" s="84"/>
      <c r="M29" s="84"/>
      <c r="N29" s="591"/>
      <c r="O29" s="84"/>
      <c r="P29" s="84"/>
      <c r="Q29" s="84"/>
      <c r="R29" s="85">
        <f>COUNTA(DC[[#This Row],[G28 cp]],DC[[#This Row],[G20 cp]],DC[[#This Row],[G16 cp]],DC[[#This Row],[G11 cp]],DC[[#This Row],[G7 cp]],DC[[#This Row],[G3 cp]])</f>
        <v>0</v>
      </c>
      <c r="S29" s="261">
        <f>MAX(DC[[#This Row],[G28 cp]],DC[[#This Row],[G20 cp]],DC[[#This Row],[G16 cp]],DC[[#This Row],[G11 cp]],DC[[#This Row],[G7 cp]],DC[[#This Row],[G3 cp]])</f>
        <v>0</v>
      </c>
      <c r="T29" s="261">
        <f>( SUM(DC[[#This Row],[G28 cp]],DC[[#This Row],[G20 cp]],DC[[#This Row],[G16 cp]],DC[[#This Row],[G11 cp]],DC[[#This Row],[G7 cp]],DC[[#This Row],[G3 cp]])-DC[[#This Row],[Max.]]) / (DC[[#This Row],[Innings]]-1)</f>
        <v>0</v>
      </c>
      <c r="U29" s="86">
        <f>MIN(DC[[#This Row],[G28 cp]],DC[[#This Row],[G20 cp]],DC[[#This Row],[G16 cp]],DC[[#This Row],[G11 cp]],DC[[#This Row],[G7 cp]],DC[[#This Row],[G3 cp]])</f>
        <v>0</v>
      </c>
      <c r="V29" s="84">
        <f>DC[[#This Row],[G28 cp]]</f>
        <v>0</v>
      </c>
      <c r="W29" s="84">
        <f>DC[[#This Row],[G20 cp]]</f>
        <v>0</v>
      </c>
      <c r="X29" s="84">
        <f>DC[[#This Row],[G16 cp]]</f>
        <v>0</v>
      </c>
      <c r="Y29" s="84">
        <f>DC[[#This Row],[G11 cp]]</f>
        <v>0</v>
      </c>
      <c r="Z29" s="84">
        <f>DC[[#This Row],[G7 cp]]</f>
        <v>0</v>
      </c>
      <c r="AA29" s="84">
        <f>DC[[#This Row],[G3 cp]]</f>
        <v>0</v>
      </c>
      <c r="AB29" s="85"/>
      <c r="AC29" s="84"/>
      <c r="AD29" s="84"/>
      <c r="AE29" s="84"/>
      <c r="AF29" s="84"/>
      <c r="AG29" s="84"/>
      <c r="AH29" s="84"/>
      <c r="AI29" s="84"/>
      <c r="AJ29" s="86"/>
      <c r="AK29" s="85"/>
      <c r="AL29" s="84"/>
      <c r="AM29" s="84"/>
      <c r="AN29" s="84"/>
      <c r="AO29" s="84"/>
      <c r="AP29" s="86"/>
      <c r="AQ29" s="85"/>
      <c r="AR29" s="84"/>
      <c r="AS29" s="84"/>
      <c r="AT29" s="84"/>
      <c r="AU29" s="84"/>
      <c r="AV29" s="86"/>
      <c r="AW29" s="85"/>
      <c r="AX29" s="84"/>
      <c r="AY29" s="84"/>
      <c r="AZ29" s="84"/>
      <c r="BA29" s="86"/>
      <c r="BB29" s="85"/>
      <c r="BC29" s="84"/>
      <c r="BD29" s="84"/>
      <c r="BE29" s="84"/>
      <c r="BF29" s="86"/>
      <c r="BG29" s="85"/>
      <c r="BH29" s="84"/>
      <c r="BI29" s="84"/>
      <c r="BJ29" s="84"/>
      <c r="BK29" s="86"/>
      <c r="BL29" s="30"/>
      <c r="BM29" s="29"/>
    </row>
    <row r="30" spans="2:65" ht="15" thickBot="1">
      <c r="B30" s="713" t="s">
        <v>95</v>
      </c>
      <c r="C30" s="714" t="s">
        <v>786</v>
      </c>
      <c r="D30" s="714">
        <v>0.2</v>
      </c>
      <c r="E30" s="714" t="s">
        <v>349</v>
      </c>
      <c r="F30" s="714" t="s">
        <v>56</v>
      </c>
      <c r="G30" s="715" t="s">
        <v>56</v>
      </c>
      <c r="H30" s="717"/>
      <c r="I30" s="718"/>
      <c r="J30" s="719"/>
      <c r="K30" s="716"/>
      <c r="L30" s="716"/>
      <c r="M30" s="716"/>
      <c r="N30" s="720"/>
      <c r="O30" s="716"/>
      <c r="P30" s="716"/>
      <c r="Q30" s="716"/>
      <c r="R30" s="726">
        <f>COUNTA(DC[[#This Row],[G28 cp]],DC[[#This Row],[G20 cp]],DC[[#This Row],[G16 cp]],DC[[#This Row],[G11 cp]],DC[[#This Row],[G7 cp]],DC[[#This Row],[G3 cp]])</f>
        <v>0</v>
      </c>
      <c r="S30" s="724">
        <f>MAX(DC[[#This Row],[G28 cp]],DC[[#This Row],[G20 cp]],DC[[#This Row],[G16 cp]],DC[[#This Row],[G11 cp]],DC[[#This Row],[G7 cp]],DC[[#This Row],[G3 cp]])</f>
        <v>0</v>
      </c>
      <c r="T30" s="724">
        <f>( SUM(DC[[#This Row],[G28 cp]],DC[[#This Row],[G20 cp]],DC[[#This Row],[G16 cp]],DC[[#This Row],[G11 cp]],DC[[#This Row],[G7 cp]],DC[[#This Row],[G3 cp]])-DC[[#This Row],[Max.]]) / (DC[[#This Row],[Innings]]-1)</f>
        <v>0</v>
      </c>
      <c r="U30" s="727">
        <f>MIN(DC[[#This Row],[G28 cp]],DC[[#This Row],[G20 cp]],DC[[#This Row],[G16 cp]],DC[[#This Row],[G11 cp]],DC[[#This Row],[G7 cp]],DC[[#This Row],[G3 cp]])</f>
        <v>0</v>
      </c>
      <c r="V30" s="716">
        <f>DC[[#This Row],[G28 cp]]</f>
        <v>0</v>
      </c>
      <c r="W30" s="716">
        <f>DC[[#This Row],[G20 cp]]</f>
        <v>0</v>
      </c>
      <c r="X30" s="716">
        <f>DC[[#This Row],[G16 cp]]</f>
        <v>0</v>
      </c>
      <c r="Y30" s="716">
        <f>DC[[#This Row],[G11 cp]]</f>
        <v>0</v>
      </c>
      <c r="Z30" s="716">
        <f>DC[[#This Row],[G7 cp]]</f>
        <v>0</v>
      </c>
      <c r="AA30" s="716">
        <f>DC[[#This Row],[G3 cp]]</f>
        <v>0</v>
      </c>
      <c r="AB30" s="115"/>
      <c r="AC30" s="117"/>
      <c r="AD30" s="117"/>
      <c r="AE30" s="117"/>
      <c r="AF30" s="117"/>
      <c r="AG30" s="117"/>
      <c r="AH30" s="117"/>
      <c r="AI30" s="117"/>
      <c r="AJ30" s="116"/>
      <c r="AK30" s="726"/>
      <c r="AL30" s="716"/>
      <c r="AM30" s="716"/>
      <c r="AN30" s="716"/>
      <c r="AO30" s="716"/>
      <c r="AP30" s="727"/>
      <c r="AQ30" s="726"/>
      <c r="AR30" s="716"/>
      <c r="AS30" s="716"/>
      <c r="AT30" s="716"/>
      <c r="AU30" s="716"/>
      <c r="AV30" s="727"/>
      <c r="AW30" s="726"/>
      <c r="AX30" s="716"/>
      <c r="AY30" s="716"/>
      <c r="AZ30" s="716"/>
      <c r="BA30" s="727"/>
      <c r="BB30" s="726"/>
      <c r="BC30" s="716"/>
      <c r="BD30" s="716"/>
      <c r="BE30" s="716"/>
      <c r="BF30" s="727"/>
      <c r="BG30" s="726"/>
      <c r="BH30" s="716"/>
      <c r="BI30" s="716"/>
      <c r="BJ30" s="716"/>
      <c r="BK30" s="727"/>
      <c r="BL30" s="721"/>
      <c r="BM30" s="715"/>
    </row>
  </sheetData>
  <sortState xmlns:xlrd2="http://schemas.microsoft.com/office/spreadsheetml/2017/richdata2" ref="B6:BM30">
    <sortCondition ref="AK6:AK30"/>
    <sortCondition ref="AQ6:AQ30"/>
    <sortCondition ref="AW6:AW30"/>
    <sortCondition ref="BB6:BB30"/>
    <sortCondition ref="BG6:BG30"/>
    <sortCondition descending="1" ref="D6:D30"/>
  </sortState>
  <phoneticPr fontId="26" type="noConversion"/>
  <conditionalFormatting sqref="S6:S30">
    <cfRule type="colorScale" priority="3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2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1">
      <colorScale>
        <cfvo type="min"/>
        <cfvo type="max"/>
        <color rgb="FFFCFCFF"/>
        <color rgb="FF63BE7B"/>
      </colorScale>
    </cfRule>
  </conditionalFormatting>
  <conditionalFormatting sqref="V6:W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6:AA30">
    <cfRule type="colorScale" priority="28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6F6F-C174-4D9D-8A5D-4F6F2EC86AB8}">
  <dimension ref="B2:BY34"/>
  <sheetViews>
    <sheetView showGridLines="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C19" sqref="C19"/>
    </sheetView>
  </sheetViews>
  <sheetFormatPr defaultRowHeight="14.4"/>
  <cols>
    <col min="1" max="1" width="3.44140625" customWidth="1"/>
    <col min="2" max="2" width="7.6640625" customWidth="1"/>
    <col min="3" max="3" width="19.6640625" bestFit="1" customWidth="1"/>
    <col min="4" max="4" width="9.5546875" bestFit="1" customWidth="1"/>
    <col min="5" max="5" width="10.6640625" bestFit="1" customWidth="1"/>
    <col min="6" max="7" width="7.5546875" style="217" customWidth="1"/>
    <col min="8" max="8" width="8.77734375" style="447" bestFit="1" customWidth="1"/>
    <col min="9" max="9" width="10.88671875" style="452" customWidth="1"/>
    <col min="10" max="10" width="8.6640625" style="459" customWidth="1"/>
    <col min="11" max="13" width="6.5546875" style="217" customWidth="1"/>
    <col min="14" max="14" width="6.77734375" style="466" customWidth="1"/>
    <col min="15" max="15" width="6.77734375" style="217" customWidth="1"/>
    <col min="16" max="17" width="5.77734375" style="217" customWidth="1"/>
    <col min="18" max="18" width="6.77734375" style="217" customWidth="1"/>
    <col min="20" max="20" width="9.33203125" customWidth="1"/>
    <col min="21" max="22" width="6.77734375" customWidth="1"/>
    <col min="23" max="24" width="9.88671875" customWidth="1"/>
    <col min="25" max="25" width="8.88671875" customWidth="1"/>
    <col min="26" max="37" width="9" customWidth="1"/>
    <col min="38" max="45" width="8.21875" style="217" customWidth="1"/>
    <col min="46" max="46" width="9" customWidth="1"/>
    <col min="47" max="48" width="8.44140625" customWidth="1"/>
    <col min="49" max="49" width="7.6640625" customWidth="1"/>
    <col min="50" max="50" width="7.77734375" customWidth="1"/>
    <col min="51" max="51" width="9.44140625" customWidth="1"/>
    <col min="52" max="52" width="9.88671875" customWidth="1"/>
    <col min="53" max="53" width="6.5546875" customWidth="1"/>
    <col min="54" max="54" width="8.6640625" customWidth="1"/>
    <col min="55" max="55" width="6.77734375" customWidth="1"/>
    <col min="56" max="56" width="9.5546875" bestFit="1" customWidth="1"/>
    <col min="57" max="57" width="9.44140625" customWidth="1"/>
    <col min="58" max="58" width="9.5546875" customWidth="1"/>
    <col min="59" max="59" width="7" customWidth="1"/>
    <col min="60" max="60" width="6.77734375" customWidth="1"/>
    <col min="61" max="61" width="8.77734375" bestFit="1" customWidth="1"/>
    <col min="62" max="62" width="7.109375" customWidth="1"/>
    <col min="63" max="63" width="9.44140625" customWidth="1"/>
    <col min="64" max="64" width="8.109375" customWidth="1"/>
    <col min="65" max="65" width="6.109375" bestFit="1" customWidth="1"/>
    <col min="67" max="67" width="9.6640625" bestFit="1" customWidth="1"/>
    <col min="68" max="68" width="8.44140625" bestFit="1" customWidth="1"/>
    <col min="69" max="69" width="8.77734375" customWidth="1"/>
    <col min="70" max="70" width="8.6640625" customWidth="1"/>
    <col min="71" max="71" width="6.109375" customWidth="1"/>
  </cols>
  <sheetData>
    <row r="2" spans="2:77">
      <c r="V2" s="734" t="s">
        <v>1132</v>
      </c>
      <c r="W2" s="734" t="s">
        <v>1132</v>
      </c>
      <c r="X2" s="734" t="s">
        <v>933</v>
      </c>
      <c r="Y2" s="734" t="s">
        <v>933</v>
      </c>
      <c r="Z2" s="735" t="s">
        <v>1132</v>
      </c>
      <c r="AA2" s="734" t="s">
        <v>933</v>
      </c>
      <c r="AB2" s="734"/>
      <c r="AC2" s="734"/>
      <c r="AD2" s="734"/>
      <c r="AE2" s="734"/>
      <c r="AF2" s="734"/>
      <c r="AG2" s="734"/>
      <c r="AH2" s="734"/>
      <c r="AI2" s="734"/>
    </row>
    <row r="3" spans="2:77">
      <c r="V3" s="734" t="s">
        <v>1181</v>
      </c>
      <c r="W3" s="734" t="s">
        <v>1096</v>
      </c>
      <c r="X3" s="734" t="s">
        <v>1110</v>
      </c>
      <c r="Y3" s="734" t="s">
        <v>1158</v>
      </c>
      <c r="Z3" s="735" t="s">
        <v>1158</v>
      </c>
      <c r="AA3" s="734" t="s">
        <v>1130</v>
      </c>
      <c r="AB3" s="734"/>
      <c r="AC3" s="734"/>
      <c r="AD3" s="734"/>
      <c r="AE3" s="734"/>
      <c r="AF3" s="734"/>
      <c r="AG3" s="734"/>
      <c r="AH3" s="734"/>
      <c r="AI3" s="734"/>
    </row>
    <row r="4" spans="2:77" ht="15" thickBot="1">
      <c r="V4" s="734" t="s">
        <v>1197</v>
      </c>
      <c r="W4" s="734" t="s">
        <v>1176</v>
      </c>
      <c r="X4" s="734" t="s">
        <v>1177</v>
      </c>
      <c r="Y4" s="734" t="s">
        <v>1178</v>
      </c>
      <c r="Z4" s="735" t="s">
        <v>1179</v>
      </c>
      <c r="AA4" s="734" t="s">
        <v>1180</v>
      </c>
      <c r="AB4" s="734"/>
      <c r="AC4" s="734"/>
      <c r="AD4" s="734"/>
      <c r="AE4" s="734"/>
      <c r="AF4" s="734"/>
      <c r="AG4" s="734"/>
      <c r="AH4" s="734"/>
      <c r="AI4" s="734"/>
      <c r="AL4" s="733" t="s">
        <v>1182</v>
      </c>
      <c r="AM4" s="733"/>
      <c r="AN4" s="283" t="s">
        <v>1183</v>
      </c>
      <c r="AU4" s="283" t="s">
        <v>1170</v>
      </c>
      <c r="AV4" s="283"/>
      <c r="AW4" s="283" t="s">
        <v>998</v>
      </c>
      <c r="BA4" s="275"/>
      <c r="BB4" s="275" t="s">
        <v>1168</v>
      </c>
      <c r="BC4" s="275"/>
      <c r="BD4" s="275" t="s">
        <v>1169</v>
      </c>
      <c r="BG4" s="275"/>
      <c r="BH4" s="275" t="s">
        <v>1160</v>
      </c>
      <c r="BI4" s="275"/>
      <c r="BJ4" s="275" t="s">
        <v>1159</v>
      </c>
      <c r="BM4" s="282"/>
      <c r="BN4" s="282" t="s">
        <v>1161</v>
      </c>
      <c r="BO4" s="282"/>
      <c r="BP4" s="282" t="s">
        <v>934</v>
      </c>
      <c r="BS4" s="275"/>
      <c r="BT4" s="275" t="s">
        <v>1162</v>
      </c>
      <c r="BU4" s="275"/>
      <c r="BV4" s="275" t="s">
        <v>935</v>
      </c>
    </row>
    <row r="5" spans="2:77" ht="31.2" thickBot="1">
      <c r="B5" s="798" t="s">
        <v>93</v>
      </c>
      <c r="C5" s="799" t="s">
        <v>0</v>
      </c>
      <c r="D5" s="800" t="s">
        <v>866</v>
      </c>
      <c r="E5" s="799" t="s">
        <v>858</v>
      </c>
      <c r="F5" s="800" t="s">
        <v>119</v>
      </c>
      <c r="G5" s="800" t="s">
        <v>206</v>
      </c>
      <c r="H5" s="352" t="s">
        <v>989</v>
      </c>
      <c r="I5" s="348" t="s">
        <v>990</v>
      </c>
      <c r="J5" s="349" t="s">
        <v>991</v>
      </c>
      <c r="K5" s="349" t="s">
        <v>1223</v>
      </c>
      <c r="L5" s="349" t="s">
        <v>1224</v>
      </c>
      <c r="M5" s="349" t="s">
        <v>1219</v>
      </c>
      <c r="N5" s="350" t="s">
        <v>993</v>
      </c>
      <c r="O5" s="350" t="s">
        <v>1216</v>
      </c>
      <c r="P5" s="801" t="s">
        <v>1217</v>
      </c>
      <c r="Q5" s="801" t="s">
        <v>1218</v>
      </c>
      <c r="R5" s="802" t="s">
        <v>1198</v>
      </c>
      <c r="S5" s="803" t="s">
        <v>367</v>
      </c>
      <c r="T5" s="803" t="s">
        <v>776</v>
      </c>
      <c r="U5" s="803" t="s">
        <v>778</v>
      </c>
      <c r="V5" s="804" t="s">
        <v>1213</v>
      </c>
      <c r="W5" s="805" t="s">
        <v>1212</v>
      </c>
      <c r="X5" s="805" t="s">
        <v>1205</v>
      </c>
      <c r="Y5" s="805" t="s">
        <v>1206</v>
      </c>
      <c r="Z5" s="805" t="s">
        <v>1207</v>
      </c>
      <c r="AA5" s="806" t="s">
        <v>889</v>
      </c>
      <c r="AB5" s="802" t="s">
        <v>1199</v>
      </c>
      <c r="AC5" s="803" t="s">
        <v>1200</v>
      </c>
      <c r="AD5" s="803" t="s">
        <v>1201</v>
      </c>
      <c r="AE5" s="807" t="s">
        <v>1202</v>
      </c>
      <c r="AF5" s="808" t="s">
        <v>1208</v>
      </c>
      <c r="AG5" s="808" t="s">
        <v>1209</v>
      </c>
      <c r="AH5" s="808" t="s">
        <v>1210</v>
      </c>
      <c r="AI5" s="808" t="s">
        <v>1211</v>
      </c>
      <c r="AJ5" s="809" t="s">
        <v>1175</v>
      </c>
      <c r="AK5" s="810" t="s">
        <v>1204</v>
      </c>
      <c r="AL5" s="811" t="s">
        <v>1144</v>
      </c>
      <c r="AM5" s="812" t="s">
        <v>1185</v>
      </c>
      <c r="AN5" s="812" t="s">
        <v>1186</v>
      </c>
      <c r="AO5" s="812" t="s">
        <v>1187</v>
      </c>
      <c r="AP5" s="812" t="s">
        <v>1188</v>
      </c>
      <c r="AQ5" s="812" t="s">
        <v>1189</v>
      </c>
      <c r="AR5" s="812" t="s">
        <v>1190</v>
      </c>
      <c r="AS5" s="812" t="s">
        <v>1191</v>
      </c>
      <c r="AT5" s="812" t="s">
        <v>1192</v>
      </c>
      <c r="AU5" s="809" t="s">
        <v>1171</v>
      </c>
      <c r="AV5" s="813" t="s">
        <v>1172</v>
      </c>
      <c r="AW5" s="814" t="s">
        <v>1173</v>
      </c>
      <c r="AX5" s="814" t="s">
        <v>996</v>
      </c>
      <c r="AY5" s="814" t="s">
        <v>1174</v>
      </c>
      <c r="AZ5" s="814" t="s">
        <v>997</v>
      </c>
      <c r="BA5" s="810" t="s">
        <v>1203</v>
      </c>
      <c r="BB5" s="798" t="s">
        <v>1163</v>
      </c>
      <c r="BC5" s="800" t="s">
        <v>1164</v>
      </c>
      <c r="BD5" s="799" t="s">
        <v>1165</v>
      </c>
      <c r="BE5" s="799" t="s">
        <v>1166</v>
      </c>
      <c r="BF5" s="800" t="s">
        <v>1167</v>
      </c>
      <c r="BG5" s="800" t="s">
        <v>1193</v>
      </c>
      <c r="BH5" s="815" t="s">
        <v>727</v>
      </c>
      <c r="BI5" s="816" t="s">
        <v>867</v>
      </c>
      <c r="BJ5" s="816" t="s">
        <v>868</v>
      </c>
      <c r="BK5" s="816" t="s">
        <v>729</v>
      </c>
      <c r="BL5" s="816" t="s">
        <v>730</v>
      </c>
      <c r="BM5" s="816" t="s">
        <v>1194</v>
      </c>
      <c r="BN5" s="809" t="s">
        <v>350</v>
      </c>
      <c r="BO5" s="814" t="s">
        <v>359</v>
      </c>
      <c r="BP5" s="814" t="s">
        <v>869</v>
      </c>
      <c r="BQ5" s="814" t="s">
        <v>870</v>
      </c>
      <c r="BR5" s="814" t="s">
        <v>360</v>
      </c>
      <c r="BS5" s="814" t="s">
        <v>1195</v>
      </c>
      <c r="BT5" s="817" t="s">
        <v>353</v>
      </c>
      <c r="BU5" s="818" t="s">
        <v>365</v>
      </c>
      <c r="BV5" s="818" t="s">
        <v>871</v>
      </c>
      <c r="BW5" s="818" t="s">
        <v>872</v>
      </c>
      <c r="BX5" s="818" t="s">
        <v>361</v>
      </c>
      <c r="BY5" s="819" t="s">
        <v>1196</v>
      </c>
    </row>
    <row r="6" spans="2:77">
      <c r="B6" s="786" t="s">
        <v>205</v>
      </c>
      <c r="C6" s="787" t="s">
        <v>887</v>
      </c>
      <c r="D6" s="787">
        <v>4</v>
      </c>
      <c r="E6" s="787" t="s">
        <v>782</v>
      </c>
      <c r="F6" s="788" t="s">
        <v>54</v>
      </c>
      <c r="G6" s="788" t="s">
        <v>54</v>
      </c>
      <c r="H6" s="789"/>
      <c r="I6" s="790"/>
      <c r="J6" s="791"/>
      <c r="K6" s="792"/>
      <c r="L6" s="792"/>
      <c r="M6" s="792"/>
      <c r="N6" s="793"/>
      <c r="O6" s="792"/>
      <c r="P6" s="792"/>
      <c r="Q6" s="792"/>
      <c r="R6" s="794">
        <f>COUNTA(RR[[#This Row],[G26 cp]],RR[[#This Row],[G23 cp]],RR[[#This Row],[G17 cp]],RR[[#This Row],[G11 cp]],RR[[#This Row],[G8 cp]],RR[[#This Row],[G4 cp]])</f>
        <v>6</v>
      </c>
      <c r="S6" s="795">
        <f>MAX(RR[[#This Row],[G26 cp]],RR[[#This Row],[G23 cp]],RR[[#This Row],[G17 cp]],RR[[#This Row],[G11 cp]],RR[[#This Row],[G8 cp]],RR[[#This Row],[G4 cp]])</f>
        <v>90</v>
      </c>
      <c r="T6" s="795">
        <f>(SUM(RR[[#This Row],[G26 cp]],RR[[#This Row],[G23 cp]],RR[[#This Row],[G17 cp]],RR[[#This Row],[G11 cp]],RR[[#This Row],[G8 cp]],RR[[#This Row],[G4 cp]])-RR[[#This Row],[Max.]]) / (RR[[#This Row],[Innings]]-1)</f>
        <v>39.200000000000003</v>
      </c>
      <c r="U6" s="787">
        <f>MIN(RR[[#This Row],[G26 cp]],RR[[#This Row],[G23 cp]],RR[[#This Row],[G17 cp]],RR[[#This Row],[G11 cp]],RR[[#This Row],[G8 cp]],RR[[#This Row],[G4 cp]])</f>
        <v>13</v>
      </c>
      <c r="V6" s="794">
        <f>RR[[#This Row],[G26 cp]]</f>
        <v>56</v>
      </c>
      <c r="W6" s="786">
        <f>RR[[#This Row],[G23 cp]]</f>
        <v>13</v>
      </c>
      <c r="X6" s="786">
        <f>RR[[#This Row],[G17 cp]]</f>
        <v>32</v>
      </c>
      <c r="Y6" s="786">
        <f>RR[[#This Row],[G11 cp]]</f>
        <v>90</v>
      </c>
      <c r="Z6" s="786">
        <f>RR[[#This Row],[G8 cp]]</f>
        <v>18</v>
      </c>
      <c r="AA6" s="796">
        <f>RR[[#This Row],[G4 cp]]</f>
        <v>77</v>
      </c>
      <c r="AB6" s="794">
        <f>COUNTA(RR[[#This Row],[G17 cp]],RR[[#This Row],[G11 cp]],RR[[#This Row],[G4 cp]])</f>
        <v>3</v>
      </c>
      <c r="AC6" s="786">
        <f>MAX(RR[[#This Row],[G17 cp]],RR[[#This Row],[G11 cp]],RR[[#This Row],[G4 cp]])</f>
        <v>90</v>
      </c>
      <c r="AD6" s="797">
        <f>( SUM(RR[[#This Row],[G17 cp]],RR[[#This Row],[G11 cp]],RR[[#This Row],[G4 cp]]) -RR[[#This Row],[Max B1]]) / (RR[[#This Row],[Innings B1]] - 1)</f>
        <v>54.5</v>
      </c>
      <c r="AE6" s="796">
        <f>MIN(RR[[#This Row],[G17 cp]],RR[[#This Row],[G11 cp]],RR[[#This Row],[G4 cp]])</f>
        <v>32</v>
      </c>
      <c r="AF6" s="786">
        <f>COUNTA(RR[[#This Row],[G26 cp]],RR[[#This Row],[G11 cp]],RR[[#This Row],[G8 cp]])</f>
        <v>3</v>
      </c>
      <c r="AG6" s="786">
        <f>MAX(RR[[#This Row],[G26 cp]],RR[[#This Row],[G23 cp]],RR[[#This Row],[G8 cp]])</f>
        <v>56</v>
      </c>
      <c r="AH6" s="797">
        <f>( SUM(RR[[#This Row],[G26 cp]],RR[[#This Row],[G23 cp]],RR[[#This Row],[G8 cp]]) -RR[[#This Row],[Max CHS]]) / (RR[[#This Row],[Innings CHS]] - 1)</f>
        <v>15.5</v>
      </c>
      <c r="AI6" s="786">
        <f>MIN(RR[[#This Row],[G26 cp]],RR[[#This Row],[G23 cp]],RR[[#This Row],[G8 cp]])</f>
        <v>13</v>
      </c>
      <c r="AJ6" s="794"/>
      <c r="AK6" s="796"/>
      <c r="AL6" s="792">
        <v>1</v>
      </c>
      <c r="AM6" s="792"/>
      <c r="AN6" s="792" t="s">
        <v>321</v>
      </c>
      <c r="AO6" s="792">
        <v>44</v>
      </c>
      <c r="AP6" s="792">
        <v>35</v>
      </c>
      <c r="AQ6" s="792"/>
      <c r="AR6" s="792"/>
      <c r="AS6" s="792"/>
      <c r="AT6" s="786">
        <v>56</v>
      </c>
      <c r="AU6" s="794">
        <v>1</v>
      </c>
      <c r="AV6" s="786"/>
      <c r="AW6" s="786" t="s">
        <v>999</v>
      </c>
      <c r="AX6" s="786">
        <v>1</v>
      </c>
      <c r="AY6" s="786">
        <v>7</v>
      </c>
      <c r="AZ6" s="786"/>
      <c r="BA6" s="796">
        <v>13</v>
      </c>
      <c r="BB6" s="794">
        <v>1</v>
      </c>
      <c r="BC6" s="786" t="s">
        <v>417</v>
      </c>
      <c r="BD6" s="786">
        <v>10</v>
      </c>
      <c r="BE6" s="786">
        <v>8</v>
      </c>
      <c r="BF6" s="786"/>
      <c r="BG6" s="786">
        <v>32</v>
      </c>
      <c r="BH6" s="794">
        <v>1</v>
      </c>
      <c r="BI6" s="786">
        <v>60</v>
      </c>
      <c r="BJ6" s="786">
        <v>31</v>
      </c>
      <c r="BK6" s="786" t="s">
        <v>718</v>
      </c>
      <c r="BL6" s="786"/>
      <c r="BM6" s="786">
        <v>90</v>
      </c>
      <c r="BN6" s="794">
        <v>1</v>
      </c>
      <c r="BO6" s="787" t="s">
        <v>355</v>
      </c>
      <c r="BP6" s="787">
        <v>11</v>
      </c>
      <c r="BQ6" s="787">
        <v>8</v>
      </c>
      <c r="BR6" s="787"/>
      <c r="BS6" s="787">
        <v>18</v>
      </c>
      <c r="BT6" s="794">
        <v>1</v>
      </c>
      <c r="BU6" s="787" t="s">
        <v>362</v>
      </c>
      <c r="BV6" s="787">
        <v>54</v>
      </c>
      <c r="BW6" s="787">
        <v>37</v>
      </c>
      <c r="BX6" s="787"/>
      <c r="BY6" s="787">
        <v>77</v>
      </c>
    </row>
    <row r="7" spans="2:77">
      <c r="B7" s="392" t="s">
        <v>205</v>
      </c>
      <c r="C7" s="388" t="s">
        <v>97</v>
      </c>
      <c r="D7" s="388">
        <v>10</v>
      </c>
      <c r="E7" s="388" t="s">
        <v>615</v>
      </c>
      <c r="F7" s="389" t="s">
        <v>75</v>
      </c>
      <c r="G7" s="389" t="s">
        <v>75</v>
      </c>
      <c r="H7" s="473" t="s">
        <v>1005</v>
      </c>
      <c r="I7" s="453"/>
      <c r="J7" s="460"/>
      <c r="K7" s="441"/>
      <c r="L7" s="441"/>
      <c r="M7" s="441"/>
      <c r="N7" s="467"/>
      <c r="O7" s="441"/>
      <c r="P7" s="441"/>
      <c r="Q7" s="441"/>
      <c r="R7" s="390">
        <f>COUNTA(RR[[#This Row],[G26 cp]],RR[[#This Row],[G23 cp]],RR[[#This Row],[G17 cp]],RR[[#This Row],[G11 cp]],RR[[#This Row],[G8 cp]],RR[[#This Row],[G4 cp]])</f>
        <v>6</v>
      </c>
      <c r="S7" s="391">
        <f>MAX(RR[[#This Row],[G26 cp]],RR[[#This Row],[G23 cp]],RR[[#This Row],[G17 cp]],RR[[#This Row],[G11 cp]],RR[[#This Row],[G8 cp]],RR[[#This Row],[G4 cp]])</f>
        <v>120</v>
      </c>
      <c r="T7" s="391">
        <f>(SUM(RR[[#This Row],[G26 cp]],RR[[#This Row],[G23 cp]],RR[[#This Row],[G17 cp]],RR[[#This Row],[G11 cp]],RR[[#This Row],[G8 cp]],RR[[#This Row],[G4 cp]])-RR[[#This Row],[Max.]]) / (RR[[#This Row],[Innings]]-1)</f>
        <v>57</v>
      </c>
      <c r="U7" s="388">
        <f>MIN(RR[[#This Row],[G26 cp]],RR[[#This Row],[G23 cp]],RR[[#This Row],[G17 cp]],RR[[#This Row],[G11 cp]],RR[[#This Row],[G8 cp]],RR[[#This Row],[G4 cp]])</f>
        <v>22</v>
      </c>
      <c r="V7" s="390">
        <f>RR[[#This Row],[G26 cp]]</f>
        <v>58</v>
      </c>
      <c r="W7" s="392">
        <f>RR[[#This Row],[G23 cp]]</f>
        <v>22</v>
      </c>
      <c r="X7" s="392">
        <f>RR[[#This Row],[G17 cp]]</f>
        <v>71</v>
      </c>
      <c r="Y7" s="392">
        <f>RR[[#This Row],[G11 cp]]</f>
        <v>120</v>
      </c>
      <c r="Z7" s="392">
        <f>RR[[#This Row],[G8 cp]]</f>
        <v>48</v>
      </c>
      <c r="AA7" s="393">
        <f>RR[[#This Row],[G4 cp]]</f>
        <v>86</v>
      </c>
      <c r="AB7" s="390">
        <f>COUNTA(RR[[#This Row],[G17 cp]],RR[[#This Row],[G11 cp]],RR[[#This Row],[G4 cp]])</f>
        <v>3</v>
      </c>
      <c r="AC7" s="392">
        <f>MAX(RR[[#This Row],[G17 cp]],RR[[#This Row],[G11 cp]],RR[[#This Row],[G4 cp]])</f>
        <v>120</v>
      </c>
      <c r="AD7" s="762">
        <f>( SUM(RR[[#This Row],[G17 cp]],RR[[#This Row],[G11 cp]],RR[[#This Row],[G4 cp]]) -RR[[#This Row],[Max B1]]) / (RR[[#This Row],[Innings B1]] - 1)</f>
        <v>78.5</v>
      </c>
      <c r="AE7" s="393">
        <f>MIN(RR[[#This Row],[G17 cp]],RR[[#This Row],[G11 cp]],RR[[#This Row],[G4 cp]])</f>
        <v>71</v>
      </c>
      <c r="AF7" s="392">
        <f>COUNTA(RR[[#This Row],[G26 cp]],RR[[#This Row],[G11 cp]],RR[[#This Row],[G8 cp]])</f>
        <v>3</v>
      </c>
      <c r="AG7" s="392">
        <f>MAX(RR[[#This Row],[G26 cp]],RR[[#This Row],[G23 cp]],RR[[#This Row],[G8 cp]])</f>
        <v>58</v>
      </c>
      <c r="AH7" s="762">
        <f>( SUM(RR[[#This Row],[G26 cp]],RR[[#This Row],[G23 cp]],RR[[#This Row],[G8 cp]]) -RR[[#This Row],[Max CHS]]) / (RR[[#This Row],[Innings CHS]] - 1)</f>
        <v>35</v>
      </c>
      <c r="AI7" s="392">
        <f>MIN(RR[[#This Row],[G26 cp]],RR[[#This Row],[G23 cp]],RR[[#This Row],[G8 cp]])</f>
        <v>22</v>
      </c>
      <c r="AJ7" s="390"/>
      <c r="AK7" s="393"/>
      <c r="AL7" s="441">
        <v>2</v>
      </c>
      <c r="AM7" s="441"/>
      <c r="AN7" s="441" t="s">
        <v>1184</v>
      </c>
      <c r="AO7" s="441">
        <v>40</v>
      </c>
      <c r="AP7" s="441">
        <v>41</v>
      </c>
      <c r="AQ7" s="441"/>
      <c r="AR7" s="441"/>
      <c r="AS7" s="441"/>
      <c r="AT7" s="392">
        <v>58</v>
      </c>
      <c r="AU7" s="390">
        <v>2</v>
      </c>
      <c r="AV7" s="392"/>
      <c r="AW7" s="392" t="s">
        <v>339</v>
      </c>
      <c r="AX7" s="392">
        <v>0</v>
      </c>
      <c r="AY7" s="392">
        <v>5</v>
      </c>
      <c r="AZ7" s="392"/>
      <c r="BA7" s="393">
        <v>22</v>
      </c>
      <c r="BB7" s="390">
        <v>2</v>
      </c>
      <c r="BC7" s="392" t="s">
        <v>662</v>
      </c>
      <c r="BD7" s="392">
        <v>52</v>
      </c>
      <c r="BE7" s="392">
        <v>36</v>
      </c>
      <c r="BF7" s="392"/>
      <c r="BG7" s="392">
        <v>71</v>
      </c>
      <c r="BH7" s="390">
        <v>2</v>
      </c>
      <c r="BI7" s="392">
        <v>79</v>
      </c>
      <c r="BJ7" s="392">
        <v>51</v>
      </c>
      <c r="BK7" s="392" t="s">
        <v>718</v>
      </c>
      <c r="BL7" s="392"/>
      <c r="BM7" s="392">
        <v>120</v>
      </c>
      <c r="BN7" s="390">
        <v>3</v>
      </c>
      <c r="BO7" s="394" t="s">
        <v>356</v>
      </c>
      <c r="BP7" s="388">
        <v>19</v>
      </c>
      <c r="BQ7" s="394">
        <v>11</v>
      </c>
      <c r="BR7" s="394"/>
      <c r="BS7" s="388">
        <v>48</v>
      </c>
      <c r="BT7" s="390">
        <v>2</v>
      </c>
      <c r="BU7" s="388" t="s">
        <v>362</v>
      </c>
      <c r="BV7" s="388">
        <v>54</v>
      </c>
      <c r="BW7" s="388">
        <v>22</v>
      </c>
      <c r="BX7" s="388"/>
      <c r="BY7" s="388">
        <v>86</v>
      </c>
    </row>
    <row r="8" spans="2:77">
      <c r="B8" s="400" t="s">
        <v>205</v>
      </c>
      <c r="C8" s="396" t="s">
        <v>96</v>
      </c>
      <c r="D8" s="396">
        <v>14</v>
      </c>
      <c r="E8" s="396" t="s">
        <v>142</v>
      </c>
      <c r="F8" s="397" t="s">
        <v>75</v>
      </c>
      <c r="G8" s="397" t="s">
        <v>75</v>
      </c>
      <c r="H8" s="448"/>
      <c r="I8" s="454"/>
      <c r="J8" s="461"/>
      <c r="K8" s="442"/>
      <c r="L8" s="442"/>
      <c r="M8" s="442"/>
      <c r="N8" s="468"/>
      <c r="O8" s="442"/>
      <c r="P8" s="442"/>
      <c r="Q8" s="442"/>
      <c r="R8" s="398">
        <f>COUNTA(RR[[#This Row],[G26 cp]],RR[[#This Row],[G23 cp]],RR[[#This Row],[G17 cp]],RR[[#This Row],[G11 cp]],RR[[#This Row],[G8 cp]],RR[[#This Row],[G4 cp]])</f>
        <v>6</v>
      </c>
      <c r="S8" s="399">
        <f>MAX(RR[[#This Row],[G26 cp]],RR[[#This Row],[G23 cp]],RR[[#This Row],[G17 cp]],RR[[#This Row],[G11 cp]],RR[[#This Row],[G8 cp]],RR[[#This Row],[G4 cp]])</f>
        <v>93</v>
      </c>
      <c r="T8" s="399">
        <f>(SUM(RR[[#This Row],[G26 cp]],RR[[#This Row],[G23 cp]],RR[[#This Row],[G17 cp]],RR[[#This Row],[G11 cp]],RR[[#This Row],[G8 cp]],RR[[#This Row],[G4 cp]])-RR[[#This Row],[Max.]]) / (RR[[#This Row],[Innings]]-1)</f>
        <v>36.799999999999997</v>
      </c>
      <c r="U8" s="396">
        <f>MIN(RR[[#This Row],[G26 cp]],RR[[#This Row],[G23 cp]],RR[[#This Row],[G17 cp]],RR[[#This Row],[G11 cp]],RR[[#This Row],[G8 cp]],RR[[#This Row],[G4 cp]])</f>
        <v>-2</v>
      </c>
      <c r="V8" s="398">
        <f>RR[[#This Row],[G26 cp]]</f>
        <v>32</v>
      </c>
      <c r="W8" s="400">
        <f>RR[[#This Row],[G23 cp]]</f>
        <v>93</v>
      </c>
      <c r="X8" s="400">
        <f>RR[[#This Row],[G17 cp]]</f>
        <v>2</v>
      </c>
      <c r="Y8" s="400">
        <f>RR[[#This Row],[G11 cp]]</f>
        <v>-2</v>
      </c>
      <c r="Z8" s="400">
        <f>RR[[#This Row],[G8 cp]]</f>
        <v>61</v>
      </c>
      <c r="AA8" s="401">
        <f>RR[[#This Row],[G4 cp]]</f>
        <v>91</v>
      </c>
      <c r="AB8" s="398">
        <f>COUNTA(RR[[#This Row],[G17 cp]],RR[[#This Row],[G11 cp]],RR[[#This Row],[G4 cp]])</f>
        <v>3</v>
      </c>
      <c r="AC8" s="400">
        <f>MAX(RR[[#This Row],[G17 cp]],RR[[#This Row],[G11 cp]],RR[[#This Row],[G4 cp]])</f>
        <v>91</v>
      </c>
      <c r="AD8" s="763">
        <f>( SUM(RR[[#This Row],[G17 cp]],RR[[#This Row],[G11 cp]],RR[[#This Row],[G4 cp]]) -RR[[#This Row],[Max B1]]) / (RR[[#This Row],[Innings B1]] - 1)</f>
        <v>0</v>
      </c>
      <c r="AE8" s="401">
        <f>MIN(RR[[#This Row],[G17 cp]],RR[[#This Row],[G11 cp]],RR[[#This Row],[G4 cp]])</f>
        <v>-2</v>
      </c>
      <c r="AF8" s="400">
        <f>COUNTA(RR[[#This Row],[G26 cp]],RR[[#This Row],[G11 cp]],RR[[#This Row],[G8 cp]])</f>
        <v>3</v>
      </c>
      <c r="AG8" s="400">
        <f>MAX(RR[[#This Row],[G26 cp]],RR[[#This Row],[G23 cp]],RR[[#This Row],[G8 cp]])</f>
        <v>93</v>
      </c>
      <c r="AH8" s="763">
        <f>( SUM(RR[[#This Row],[G26 cp]],RR[[#This Row],[G23 cp]],RR[[#This Row],[G8 cp]]) -RR[[#This Row],[Max CHS]]) / (RR[[#This Row],[Innings CHS]] - 1)</f>
        <v>46.5</v>
      </c>
      <c r="AI8" s="400">
        <f>MIN(RR[[#This Row],[G26 cp]],RR[[#This Row],[G23 cp]],RR[[#This Row],[G8 cp]])</f>
        <v>32</v>
      </c>
      <c r="AJ8" s="398"/>
      <c r="AK8" s="401"/>
      <c r="AL8" s="440">
        <v>3</v>
      </c>
      <c r="AM8" s="442"/>
      <c r="AN8" s="442" t="s">
        <v>799</v>
      </c>
      <c r="AO8" s="442">
        <v>2</v>
      </c>
      <c r="AP8" s="442">
        <v>4</v>
      </c>
      <c r="AQ8" s="442"/>
      <c r="AR8" s="442"/>
      <c r="AS8" s="442"/>
      <c r="AT8" s="400">
        <v>32</v>
      </c>
      <c r="AU8" s="398">
        <v>4</v>
      </c>
      <c r="AV8" s="400"/>
      <c r="AW8" s="400" t="s">
        <v>1000</v>
      </c>
      <c r="AX8" s="400">
        <v>60</v>
      </c>
      <c r="AY8" s="400">
        <v>32</v>
      </c>
      <c r="AZ8" s="400"/>
      <c r="BA8" s="401">
        <v>93</v>
      </c>
      <c r="BB8" s="398">
        <v>4</v>
      </c>
      <c r="BC8" s="400" t="s">
        <v>418</v>
      </c>
      <c r="BD8" s="400">
        <v>0</v>
      </c>
      <c r="BE8" s="400">
        <v>2</v>
      </c>
      <c r="BF8" s="400"/>
      <c r="BG8" s="400">
        <v>2</v>
      </c>
      <c r="BH8" s="398">
        <v>3</v>
      </c>
      <c r="BI8" s="400">
        <v>0</v>
      </c>
      <c r="BJ8" s="400">
        <v>4</v>
      </c>
      <c r="BK8" s="400" t="s">
        <v>605</v>
      </c>
      <c r="BL8" s="400"/>
      <c r="BM8" s="400">
        <v>-2</v>
      </c>
      <c r="BN8" s="398">
        <v>4</v>
      </c>
      <c r="BO8" s="395" t="s">
        <v>356</v>
      </c>
      <c r="BP8" s="396">
        <v>42</v>
      </c>
      <c r="BQ8" s="395">
        <v>25</v>
      </c>
      <c r="BR8" s="395"/>
      <c r="BS8" s="396">
        <v>61</v>
      </c>
      <c r="BT8" s="398">
        <v>3</v>
      </c>
      <c r="BU8" s="396" t="s">
        <v>363</v>
      </c>
      <c r="BV8" s="396">
        <v>55</v>
      </c>
      <c r="BW8" s="396">
        <v>33</v>
      </c>
      <c r="BX8" s="396"/>
      <c r="BY8" s="396">
        <v>91</v>
      </c>
    </row>
    <row r="9" spans="2:77">
      <c r="B9" s="737" t="s">
        <v>205</v>
      </c>
      <c r="C9" s="738" t="s">
        <v>888</v>
      </c>
      <c r="D9" s="738">
        <v>7.75</v>
      </c>
      <c r="E9" s="738" t="s">
        <v>844</v>
      </c>
      <c r="F9" s="739" t="s">
        <v>54</v>
      </c>
      <c r="G9" s="739" t="s">
        <v>54</v>
      </c>
      <c r="H9" s="740"/>
      <c r="I9" s="741"/>
      <c r="J9" s="742"/>
      <c r="K9" s="743"/>
      <c r="L9" s="743"/>
      <c r="M9" s="743"/>
      <c r="N9" s="744"/>
      <c r="O9" s="743"/>
      <c r="P9" s="743"/>
      <c r="Q9" s="743"/>
      <c r="R9" s="745">
        <f>COUNTA(RR[[#This Row],[G26 cp]],RR[[#This Row],[G23 cp]],RR[[#This Row],[G17 cp]],RR[[#This Row],[G11 cp]],RR[[#This Row],[G8 cp]],RR[[#This Row],[G4 cp]])</f>
        <v>5</v>
      </c>
      <c r="S9" s="746">
        <f>MAX(RR[[#This Row],[G26 cp]],RR[[#This Row],[G23 cp]],RR[[#This Row],[G17 cp]],RR[[#This Row],[G11 cp]],RR[[#This Row],[G8 cp]],RR[[#This Row],[G4 cp]])</f>
        <v>47</v>
      </c>
      <c r="T9" s="746">
        <f>(SUM(RR[[#This Row],[G26 cp]],RR[[#This Row],[G23 cp]],RR[[#This Row],[G17 cp]],RR[[#This Row],[G11 cp]],RR[[#This Row],[G8 cp]],RR[[#This Row],[G4 cp]])-RR[[#This Row],[Max.]]) / (RR[[#This Row],[Innings]]-1)</f>
        <v>25</v>
      </c>
      <c r="U9" s="738">
        <f>MIN(RR[[#This Row],[G26 cp]],RR[[#This Row],[G23 cp]],RR[[#This Row],[G17 cp]],RR[[#This Row],[G11 cp]],RR[[#This Row],[G8 cp]],RR[[#This Row],[G4 cp]])</f>
        <v>6</v>
      </c>
      <c r="V9" s="745">
        <f>RR[[#This Row],[G26 cp]]</f>
        <v>33</v>
      </c>
      <c r="W9" s="737">
        <f>RR[[#This Row],[G23 cp]]</f>
        <v>35</v>
      </c>
      <c r="X9" s="737">
        <f>RR[[#This Row],[G17 cp]]</f>
        <v>47</v>
      </c>
      <c r="Y9" s="737">
        <f>RR[[#This Row],[G11 cp]]</f>
        <v>0</v>
      </c>
      <c r="Z9" s="737">
        <f>RR[[#This Row],[G8 cp]]</f>
        <v>26</v>
      </c>
      <c r="AA9" s="747">
        <f>RR[[#This Row],[G4 cp]]</f>
        <v>6</v>
      </c>
      <c r="AB9" s="745">
        <f>COUNTA(RR[[#This Row],[G17 cp]],RR[[#This Row],[G11 cp]],RR[[#This Row],[G4 cp]])</f>
        <v>2</v>
      </c>
      <c r="AC9" s="737">
        <f>MAX(RR[[#This Row],[G17 cp]],RR[[#This Row],[G11 cp]],RR[[#This Row],[G4 cp]])</f>
        <v>47</v>
      </c>
      <c r="AD9" s="761">
        <f>( SUM(RR[[#This Row],[G17 cp]],RR[[#This Row],[G11 cp]],RR[[#This Row],[G4 cp]]) -RR[[#This Row],[Max B1]]) / (RR[[#This Row],[Innings B1]] - 1)</f>
        <v>6</v>
      </c>
      <c r="AE9" s="747">
        <f>MIN(RR[[#This Row],[G17 cp]],RR[[#This Row],[G11 cp]],RR[[#This Row],[G4 cp]])</f>
        <v>6</v>
      </c>
      <c r="AF9" s="737">
        <f>COUNTA(RR[[#This Row],[G26 cp]],RR[[#This Row],[G11 cp]],RR[[#This Row],[G8 cp]])</f>
        <v>2</v>
      </c>
      <c r="AG9" s="737">
        <f>MAX(RR[[#This Row],[G26 cp]],RR[[#This Row],[G23 cp]],RR[[#This Row],[G8 cp]])</f>
        <v>35</v>
      </c>
      <c r="AH9" s="761">
        <f>( SUM(RR[[#This Row],[G26 cp]],RR[[#This Row],[G23 cp]],RR[[#This Row],[G8 cp]]) -RR[[#This Row],[Max CHS]]) / (RR[[#This Row],[Innings CHS]] - 1)</f>
        <v>59</v>
      </c>
      <c r="AI9" s="737">
        <f>MIN(RR[[#This Row],[G26 cp]],RR[[#This Row],[G23 cp]],RR[[#This Row],[G8 cp]])</f>
        <v>26</v>
      </c>
      <c r="AJ9" s="745"/>
      <c r="AK9" s="747"/>
      <c r="AL9" s="743">
        <v>4</v>
      </c>
      <c r="AM9" s="743"/>
      <c r="AN9" s="743" t="s">
        <v>321</v>
      </c>
      <c r="AO9" s="743">
        <v>26</v>
      </c>
      <c r="AP9" s="743">
        <v>21</v>
      </c>
      <c r="AQ9" s="743"/>
      <c r="AR9" s="743"/>
      <c r="AS9" s="743"/>
      <c r="AT9" s="737">
        <v>33</v>
      </c>
      <c r="AU9" s="745">
        <v>3</v>
      </c>
      <c r="AV9" s="737"/>
      <c r="AW9" s="737" t="s">
        <v>341</v>
      </c>
      <c r="AX9" s="737">
        <v>26</v>
      </c>
      <c r="AY9" s="737">
        <v>25</v>
      </c>
      <c r="AZ9" s="737"/>
      <c r="BA9" s="747">
        <v>35</v>
      </c>
      <c r="BB9" s="745">
        <v>3</v>
      </c>
      <c r="BC9" s="737" t="s">
        <v>418</v>
      </c>
      <c r="BD9" s="737">
        <v>38</v>
      </c>
      <c r="BE9" s="737">
        <v>26</v>
      </c>
      <c r="BF9" s="737"/>
      <c r="BG9" s="737">
        <v>47</v>
      </c>
      <c r="BH9" s="745"/>
      <c r="BI9" s="737"/>
      <c r="BJ9" s="737"/>
      <c r="BK9" s="737"/>
      <c r="BL9" s="737"/>
      <c r="BM9" s="737"/>
      <c r="BN9" s="745">
        <v>5</v>
      </c>
      <c r="BO9" s="738" t="s">
        <v>356</v>
      </c>
      <c r="BP9" s="738"/>
      <c r="BQ9" s="738"/>
      <c r="BR9" s="738"/>
      <c r="BS9" s="738">
        <v>26</v>
      </c>
      <c r="BT9" s="745">
        <v>4</v>
      </c>
      <c r="BU9" s="738" t="s">
        <v>364</v>
      </c>
      <c r="BV9" s="738">
        <v>2</v>
      </c>
      <c r="BW9" s="738">
        <v>5</v>
      </c>
      <c r="BX9" s="738"/>
      <c r="BY9" s="738">
        <v>6</v>
      </c>
    </row>
    <row r="10" spans="2:77">
      <c r="B10" s="748" t="s">
        <v>205</v>
      </c>
      <c r="C10" s="749" t="s">
        <v>99</v>
      </c>
      <c r="D10" s="749">
        <v>8.5</v>
      </c>
      <c r="E10" s="749" t="s">
        <v>613</v>
      </c>
      <c r="F10" s="750" t="s">
        <v>54</v>
      </c>
      <c r="G10" s="750" t="s">
        <v>54</v>
      </c>
      <c r="H10" s="751" t="s">
        <v>1005</v>
      </c>
      <c r="I10" s="752"/>
      <c r="J10" s="753"/>
      <c r="K10" s="754"/>
      <c r="L10" s="754"/>
      <c r="M10" s="754"/>
      <c r="N10" s="755"/>
      <c r="O10" s="754"/>
      <c r="P10" s="754"/>
      <c r="Q10" s="754"/>
      <c r="R10" s="756">
        <f>COUNTA(RR[[#This Row],[G26 cp]],RR[[#This Row],[G23 cp]],RR[[#This Row],[G17 cp]],RR[[#This Row],[G11 cp]],RR[[#This Row],[G8 cp]],RR[[#This Row],[G4 cp]])</f>
        <v>6</v>
      </c>
      <c r="S10" s="757">
        <f>MAX(RR[[#This Row],[G26 cp]],RR[[#This Row],[G23 cp]],RR[[#This Row],[G17 cp]],RR[[#This Row],[G11 cp]],RR[[#This Row],[G8 cp]],RR[[#This Row],[G4 cp]])</f>
        <v>70</v>
      </c>
      <c r="T10" s="757">
        <f>(SUM(RR[[#This Row],[G26 cp]],RR[[#This Row],[G23 cp]],RR[[#This Row],[G17 cp]],RR[[#This Row],[G11 cp]],RR[[#This Row],[G8 cp]],RR[[#This Row],[G4 cp]])-RR[[#This Row],[Max.]]) / (RR[[#This Row],[Innings]]-1)</f>
        <v>42.8</v>
      </c>
      <c r="U10" s="749">
        <f>MIN(RR[[#This Row],[G26 cp]],RR[[#This Row],[G23 cp]],RR[[#This Row],[G17 cp]],RR[[#This Row],[G11 cp]],RR[[#This Row],[G8 cp]],RR[[#This Row],[G4 cp]])</f>
        <v>20</v>
      </c>
      <c r="V10" s="756">
        <f>RR[[#This Row],[G26 cp]]</f>
        <v>20</v>
      </c>
      <c r="W10" s="748">
        <f>RR[[#This Row],[G23 cp]]</f>
        <v>70</v>
      </c>
      <c r="X10" s="748">
        <f>RR[[#This Row],[G17 cp]]</f>
        <v>48</v>
      </c>
      <c r="Y10" s="748">
        <f>RR[[#This Row],[G11 cp]]</f>
        <v>50</v>
      </c>
      <c r="Z10" s="748">
        <f>RR[[#This Row],[G8 cp]]</f>
        <v>57</v>
      </c>
      <c r="AA10" s="758">
        <f>RR[[#This Row],[G4 cp]]</f>
        <v>39</v>
      </c>
      <c r="AB10" s="756">
        <f>COUNTA(RR[[#This Row],[G17 cp]],RR[[#This Row],[G11 cp]],RR[[#This Row],[G4 cp]])</f>
        <v>3</v>
      </c>
      <c r="AC10" s="748">
        <f>MAX(RR[[#This Row],[G17 cp]],RR[[#This Row],[G11 cp]],RR[[#This Row],[G4 cp]])</f>
        <v>50</v>
      </c>
      <c r="AD10" s="764">
        <f>( SUM(RR[[#This Row],[G17 cp]],RR[[#This Row],[G11 cp]],RR[[#This Row],[G4 cp]]) -RR[[#This Row],[Max B1]]) / (RR[[#This Row],[Innings B1]] - 1)</f>
        <v>43.5</v>
      </c>
      <c r="AE10" s="758">
        <f>MIN(RR[[#This Row],[G17 cp]],RR[[#This Row],[G11 cp]],RR[[#This Row],[G4 cp]])</f>
        <v>39</v>
      </c>
      <c r="AF10" s="748">
        <f>COUNTA(RR[[#This Row],[G26 cp]],RR[[#This Row],[G11 cp]],RR[[#This Row],[G8 cp]])</f>
        <v>3</v>
      </c>
      <c r="AG10" s="748">
        <f>MAX(RR[[#This Row],[G26 cp]],RR[[#This Row],[G23 cp]],RR[[#This Row],[G8 cp]])</f>
        <v>70</v>
      </c>
      <c r="AH10" s="764">
        <f>( SUM(RR[[#This Row],[G26 cp]],RR[[#This Row],[G23 cp]],RR[[#This Row],[G8 cp]]) -RR[[#This Row],[Max CHS]]) / (RR[[#This Row],[Innings CHS]] - 1)</f>
        <v>38.5</v>
      </c>
      <c r="AI10" s="748">
        <f>MIN(RR[[#This Row],[G26 cp]],RR[[#This Row],[G23 cp]],RR[[#This Row],[G8 cp]])</f>
        <v>20</v>
      </c>
      <c r="AJ10" s="756"/>
      <c r="AK10" s="758"/>
      <c r="AL10" s="754">
        <v>5</v>
      </c>
      <c r="AM10" s="754"/>
      <c r="AN10" s="754" t="s">
        <v>321</v>
      </c>
      <c r="AO10" s="754">
        <v>2</v>
      </c>
      <c r="AP10" s="754">
        <v>5</v>
      </c>
      <c r="AQ10" s="754"/>
      <c r="AR10" s="754"/>
      <c r="AS10" s="754"/>
      <c r="AT10" s="748">
        <v>20</v>
      </c>
      <c r="AU10" s="756">
        <v>6</v>
      </c>
      <c r="AV10" s="748"/>
      <c r="AW10" s="748" t="s">
        <v>876</v>
      </c>
      <c r="AX10" s="748">
        <v>56</v>
      </c>
      <c r="AY10" s="748">
        <v>26</v>
      </c>
      <c r="AZ10" s="748"/>
      <c r="BA10" s="758">
        <v>70</v>
      </c>
      <c r="BB10" s="756">
        <v>6</v>
      </c>
      <c r="BC10" s="748" t="s">
        <v>876</v>
      </c>
      <c r="BD10" s="748">
        <v>30</v>
      </c>
      <c r="BE10" s="748">
        <v>18</v>
      </c>
      <c r="BF10" s="748"/>
      <c r="BG10" s="748">
        <v>48</v>
      </c>
      <c r="BH10" s="756">
        <v>5</v>
      </c>
      <c r="BI10" s="748">
        <v>39</v>
      </c>
      <c r="BJ10" s="748">
        <v>21</v>
      </c>
      <c r="BK10" s="748" t="s">
        <v>327</v>
      </c>
      <c r="BL10" s="748"/>
      <c r="BM10" s="748">
        <v>50</v>
      </c>
      <c r="BN10" s="756">
        <v>7</v>
      </c>
      <c r="BO10" s="749" t="s">
        <v>357</v>
      </c>
      <c r="BP10" s="749">
        <v>36</v>
      </c>
      <c r="BQ10" s="749">
        <v>18</v>
      </c>
      <c r="BR10" s="749"/>
      <c r="BS10" s="749">
        <v>57</v>
      </c>
      <c r="BT10" s="756">
        <v>6</v>
      </c>
      <c r="BU10" s="749"/>
      <c r="BV10" s="749"/>
      <c r="BW10" s="749"/>
      <c r="BX10" s="749" t="s">
        <v>209</v>
      </c>
      <c r="BY10" s="749">
        <v>39</v>
      </c>
    </row>
    <row r="11" spans="2:77">
      <c r="B11" s="405" t="s">
        <v>205</v>
      </c>
      <c r="C11" s="395" t="s">
        <v>837</v>
      </c>
      <c r="D11" s="395">
        <v>3.8</v>
      </c>
      <c r="E11" s="395" t="s">
        <v>838</v>
      </c>
      <c r="F11" s="402" t="s">
        <v>55</v>
      </c>
      <c r="G11" s="402" t="s">
        <v>55</v>
      </c>
      <c r="H11" s="449"/>
      <c r="I11" s="455"/>
      <c r="J11" s="462"/>
      <c r="K11" s="443"/>
      <c r="L11" s="443"/>
      <c r="M11" s="443"/>
      <c r="N11" s="469"/>
      <c r="O11" s="443"/>
      <c r="P11" s="443"/>
      <c r="Q11" s="443"/>
      <c r="R11" s="403">
        <f>COUNTA(RR[[#This Row],[G26 cp]],RR[[#This Row],[G23 cp]],RR[[#This Row],[G17 cp]],RR[[#This Row],[G11 cp]],RR[[#This Row],[G8 cp]],RR[[#This Row],[G4 cp]])</f>
        <v>5</v>
      </c>
      <c r="S11" s="404">
        <f>MAX(RR[[#This Row],[G26 cp]],RR[[#This Row],[G23 cp]],RR[[#This Row],[G17 cp]],RR[[#This Row],[G11 cp]],RR[[#This Row],[G8 cp]],RR[[#This Row],[G4 cp]])</f>
        <v>41</v>
      </c>
      <c r="T11" s="404">
        <f>(SUM(RR[[#This Row],[G26 cp]],RR[[#This Row],[G23 cp]],RR[[#This Row],[G17 cp]],RR[[#This Row],[G11 cp]],RR[[#This Row],[G8 cp]],RR[[#This Row],[G4 cp]])-RR[[#This Row],[Max.]]) / (RR[[#This Row],[Innings]]-1)</f>
        <v>12</v>
      </c>
      <c r="U11" s="395">
        <f>MIN(RR[[#This Row],[G26 cp]],RR[[#This Row],[G23 cp]],RR[[#This Row],[G17 cp]],RR[[#This Row],[G11 cp]],RR[[#This Row],[G8 cp]],RR[[#This Row],[G4 cp]])</f>
        <v>7</v>
      </c>
      <c r="V11" s="403">
        <f>RR[[#This Row],[G26 cp]]</f>
        <v>22</v>
      </c>
      <c r="W11" s="405">
        <f>RR[[#This Row],[G23 cp]]</f>
        <v>9</v>
      </c>
      <c r="X11" s="405">
        <f>RR[[#This Row],[G17 cp]]</f>
        <v>0</v>
      </c>
      <c r="Y11" s="405">
        <f>RR[[#This Row],[G11 cp]]</f>
        <v>7</v>
      </c>
      <c r="Z11" s="405">
        <f>RR[[#This Row],[G8 cp]]</f>
        <v>41</v>
      </c>
      <c r="AA11" s="406">
        <f>RR[[#This Row],[G4 cp]]</f>
        <v>10</v>
      </c>
      <c r="AB11" s="403">
        <f>COUNTA(RR[[#This Row],[G17 cp]],RR[[#This Row],[G11 cp]],RR[[#This Row],[G4 cp]])</f>
        <v>2</v>
      </c>
      <c r="AC11" s="405">
        <f>MAX(RR[[#This Row],[G17 cp]],RR[[#This Row],[G11 cp]],RR[[#This Row],[G4 cp]])</f>
        <v>10</v>
      </c>
      <c r="AD11" s="765">
        <f>( SUM(RR[[#This Row],[G17 cp]],RR[[#This Row],[G11 cp]],RR[[#This Row],[G4 cp]]) -RR[[#This Row],[Max B1]]) / (RR[[#This Row],[Innings B1]] - 1)</f>
        <v>7</v>
      </c>
      <c r="AE11" s="406">
        <f>MIN(RR[[#This Row],[G17 cp]],RR[[#This Row],[G11 cp]],RR[[#This Row],[G4 cp]])</f>
        <v>7</v>
      </c>
      <c r="AF11" s="405">
        <f>COUNTA(RR[[#This Row],[G26 cp]],RR[[#This Row],[G11 cp]],RR[[#This Row],[G8 cp]])</f>
        <v>3</v>
      </c>
      <c r="AG11" s="405">
        <f>MAX(RR[[#This Row],[G26 cp]],RR[[#This Row],[G23 cp]],RR[[#This Row],[G8 cp]])</f>
        <v>41</v>
      </c>
      <c r="AH11" s="765">
        <f>( SUM(RR[[#This Row],[G26 cp]],RR[[#This Row],[G23 cp]],RR[[#This Row],[G8 cp]]) -RR[[#This Row],[Max CHS]]) / (RR[[#This Row],[Innings CHS]] - 1)</f>
        <v>15.5</v>
      </c>
      <c r="AI11" s="405">
        <f>MIN(RR[[#This Row],[G26 cp]],RR[[#This Row],[G23 cp]],RR[[#This Row],[G8 cp]])</f>
        <v>9</v>
      </c>
      <c r="AJ11" s="403"/>
      <c r="AK11" s="406"/>
      <c r="AL11" s="443">
        <v>6</v>
      </c>
      <c r="AM11" s="443"/>
      <c r="AN11" s="443" t="s">
        <v>876</v>
      </c>
      <c r="AO11" s="443">
        <v>15</v>
      </c>
      <c r="AP11" s="443">
        <v>12</v>
      </c>
      <c r="AQ11" s="443"/>
      <c r="AR11" s="443"/>
      <c r="AS11" s="443"/>
      <c r="AT11" s="405">
        <v>22</v>
      </c>
      <c r="AU11" s="403">
        <v>5</v>
      </c>
      <c r="AV11" s="405"/>
      <c r="AW11" s="405" t="s">
        <v>341</v>
      </c>
      <c r="AX11" s="405">
        <v>5</v>
      </c>
      <c r="AY11" s="405">
        <v>7</v>
      </c>
      <c r="AZ11" s="405"/>
      <c r="BA11" s="406">
        <v>9</v>
      </c>
      <c r="BB11" s="403">
        <v>15</v>
      </c>
      <c r="BC11" s="405"/>
      <c r="BD11" s="405"/>
      <c r="BE11" s="405"/>
      <c r="BF11" s="405"/>
      <c r="BG11" s="405"/>
      <c r="BH11" s="403">
        <v>4</v>
      </c>
      <c r="BI11" s="405">
        <v>7</v>
      </c>
      <c r="BJ11" s="405">
        <v>11</v>
      </c>
      <c r="BK11" s="405" t="s">
        <v>720</v>
      </c>
      <c r="BL11" s="405"/>
      <c r="BM11" s="405">
        <v>7</v>
      </c>
      <c r="BN11" s="403">
        <v>6</v>
      </c>
      <c r="BO11" s="395" t="s">
        <v>356</v>
      </c>
      <c r="BP11" s="395">
        <v>20</v>
      </c>
      <c r="BQ11" s="395">
        <v>12</v>
      </c>
      <c r="BR11" s="395"/>
      <c r="BS11" s="395">
        <v>41</v>
      </c>
      <c r="BT11" s="403">
        <v>5</v>
      </c>
      <c r="BU11" s="395" t="s">
        <v>363</v>
      </c>
      <c r="BV11" s="395">
        <v>7</v>
      </c>
      <c r="BW11" s="395">
        <v>6</v>
      </c>
      <c r="BX11" s="395"/>
      <c r="BY11" s="395">
        <v>10</v>
      </c>
    </row>
    <row r="12" spans="2:77">
      <c r="B12" s="400" t="s">
        <v>205</v>
      </c>
      <c r="C12" s="396" t="s">
        <v>101</v>
      </c>
      <c r="D12" s="396">
        <v>0.2</v>
      </c>
      <c r="E12" s="396" t="s">
        <v>839</v>
      </c>
      <c r="F12" s="397" t="s">
        <v>75</v>
      </c>
      <c r="G12" s="397" t="s">
        <v>75</v>
      </c>
      <c r="H12" s="448"/>
      <c r="I12" s="454"/>
      <c r="J12" s="461"/>
      <c r="K12" s="442"/>
      <c r="L12" s="442"/>
      <c r="M12" s="442"/>
      <c r="N12" s="468"/>
      <c r="O12" s="442"/>
      <c r="P12" s="442"/>
      <c r="Q12" s="442"/>
      <c r="R12" s="398">
        <f>COUNTA(RR[[#This Row],[G26 cp]],RR[[#This Row],[G23 cp]],RR[[#This Row],[G17 cp]],RR[[#This Row],[G11 cp]],RR[[#This Row],[G8 cp]],RR[[#This Row],[G4 cp]])</f>
        <v>5</v>
      </c>
      <c r="S12" s="399">
        <f>MAX(RR[[#This Row],[G26 cp]],RR[[#This Row],[G23 cp]],RR[[#This Row],[G17 cp]],RR[[#This Row],[G11 cp]],RR[[#This Row],[G8 cp]],RR[[#This Row],[G4 cp]])</f>
        <v>53</v>
      </c>
      <c r="T12" s="399">
        <f>(SUM(RR[[#This Row],[G26 cp]],RR[[#This Row],[G23 cp]],RR[[#This Row],[G17 cp]],RR[[#This Row],[G11 cp]],RR[[#This Row],[G8 cp]],RR[[#This Row],[G4 cp]])-RR[[#This Row],[Max.]]) / (RR[[#This Row],[Innings]]-1)</f>
        <v>12</v>
      </c>
      <c r="U12" s="396">
        <f>MIN(RR[[#This Row],[G26 cp]],RR[[#This Row],[G23 cp]],RR[[#This Row],[G17 cp]],RR[[#This Row],[G11 cp]],RR[[#This Row],[G8 cp]],RR[[#This Row],[G4 cp]])</f>
        <v>2</v>
      </c>
      <c r="V12" s="398">
        <f>RR[[#This Row],[G26 cp]]</f>
        <v>2</v>
      </c>
      <c r="W12" s="400">
        <f>RR[[#This Row],[G23 cp]]</f>
        <v>26</v>
      </c>
      <c r="X12" s="400">
        <f>RR[[#This Row],[G17 cp]]</f>
        <v>8</v>
      </c>
      <c r="Y12" s="400">
        <f>RR[[#This Row],[G11 cp]]</f>
        <v>12</v>
      </c>
      <c r="Z12" s="400">
        <f>RR[[#This Row],[G8 cp]]</f>
        <v>53</v>
      </c>
      <c r="AA12" s="401">
        <f>RR[[#This Row],[G4 cp]]</f>
        <v>0</v>
      </c>
      <c r="AB12" s="398">
        <f>COUNTA(RR[[#This Row],[G17 cp]],RR[[#This Row],[G11 cp]],RR[[#This Row],[G4 cp]])</f>
        <v>2</v>
      </c>
      <c r="AC12" s="400">
        <f>MAX(RR[[#This Row],[G17 cp]],RR[[#This Row],[G11 cp]],RR[[#This Row],[G4 cp]])</f>
        <v>12</v>
      </c>
      <c r="AD12" s="763">
        <f>( SUM(RR[[#This Row],[G17 cp]],RR[[#This Row],[G11 cp]],RR[[#This Row],[G4 cp]]) -RR[[#This Row],[Max B1]]) / (RR[[#This Row],[Innings B1]] - 1)</f>
        <v>8</v>
      </c>
      <c r="AE12" s="401">
        <f>MIN(RR[[#This Row],[G17 cp]],RR[[#This Row],[G11 cp]],RR[[#This Row],[G4 cp]])</f>
        <v>8</v>
      </c>
      <c r="AF12" s="400">
        <f>COUNTA(RR[[#This Row],[G26 cp]],RR[[#This Row],[G11 cp]],RR[[#This Row],[G8 cp]])</f>
        <v>3</v>
      </c>
      <c r="AG12" s="400">
        <f>MAX(RR[[#This Row],[G26 cp]],RR[[#This Row],[G23 cp]],RR[[#This Row],[G8 cp]])</f>
        <v>53</v>
      </c>
      <c r="AH12" s="763">
        <f>( SUM(RR[[#This Row],[G26 cp]],RR[[#This Row],[G23 cp]],RR[[#This Row],[G8 cp]]) -RR[[#This Row],[Max CHS]]) / (RR[[#This Row],[Innings CHS]] - 1)</f>
        <v>14</v>
      </c>
      <c r="AI12" s="400">
        <f>MIN(RR[[#This Row],[G26 cp]],RR[[#This Row],[G23 cp]],RR[[#This Row],[G8 cp]])</f>
        <v>2</v>
      </c>
      <c r="AJ12" s="398"/>
      <c r="AK12" s="401"/>
      <c r="AL12" s="442">
        <v>7</v>
      </c>
      <c r="AM12" s="442"/>
      <c r="AN12" s="442" t="s">
        <v>321</v>
      </c>
      <c r="AO12" s="442">
        <v>0</v>
      </c>
      <c r="AP12" s="442">
        <v>1</v>
      </c>
      <c r="AQ12" s="442"/>
      <c r="AR12" s="442"/>
      <c r="AS12" s="442"/>
      <c r="AT12" s="400">
        <v>2</v>
      </c>
      <c r="AU12" s="398">
        <v>7</v>
      </c>
      <c r="AV12" s="400"/>
      <c r="AW12" s="400" t="s">
        <v>339</v>
      </c>
      <c r="AX12" s="400">
        <v>18</v>
      </c>
      <c r="AY12" s="400">
        <v>10</v>
      </c>
      <c r="AZ12" s="400"/>
      <c r="BA12" s="401">
        <v>26</v>
      </c>
      <c r="BB12" s="398">
        <v>7</v>
      </c>
      <c r="BC12" s="400" t="s">
        <v>355</v>
      </c>
      <c r="BD12" s="400">
        <v>4</v>
      </c>
      <c r="BE12" s="400">
        <v>6</v>
      </c>
      <c r="BF12" s="400"/>
      <c r="BG12" s="400">
        <v>8</v>
      </c>
      <c r="BH12" s="398">
        <v>6</v>
      </c>
      <c r="BI12" s="400">
        <v>8</v>
      </c>
      <c r="BJ12" s="400">
        <v>3</v>
      </c>
      <c r="BK12" s="400" t="s">
        <v>327</v>
      </c>
      <c r="BL12" s="400"/>
      <c r="BM12" s="400">
        <v>12</v>
      </c>
      <c r="BN12" s="398">
        <v>12</v>
      </c>
      <c r="BO12" s="395" t="s">
        <v>327</v>
      </c>
      <c r="BP12" s="396">
        <v>32</v>
      </c>
      <c r="BQ12" s="395">
        <v>15</v>
      </c>
      <c r="BR12" s="395"/>
      <c r="BS12" s="396">
        <v>53</v>
      </c>
      <c r="BT12" s="398"/>
      <c r="BU12" s="396"/>
      <c r="BV12" s="396"/>
      <c r="BW12" s="396"/>
      <c r="BX12" s="396"/>
      <c r="BY12" s="396"/>
    </row>
    <row r="13" spans="2:77">
      <c r="B13" s="405" t="s">
        <v>205</v>
      </c>
      <c r="C13" s="395" t="s">
        <v>841</v>
      </c>
      <c r="D13" s="395">
        <v>5</v>
      </c>
      <c r="E13" s="395" t="s">
        <v>142</v>
      </c>
      <c r="F13" s="402" t="s">
        <v>55</v>
      </c>
      <c r="G13" s="402" t="s">
        <v>55</v>
      </c>
      <c r="H13" s="449"/>
      <c r="I13" s="455"/>
      <c r="J13" s="462"/>
      <c r="K13" s="443"/>
      <c r="L13" s="443"/>
      <c r="M13" s="443"/>
      <c r="N13" s="469"/>
      <c r="O13" s="443"/>
      <c r="P13" s="443"/>
      <c r="Q13" s="443"/>
      <c r="R13" s="403">
        <f>COUNTA(RR[[#This Row],[G26 cp]],RR[[#This Row],[G23 cp]],RR[[#This Row],[G17 cp]],RR[[#This Row],[G11 cp]],RR[[#This Row],[G8 cp]],RR[[#This Row],[G4 cp]])</f>
        <v>6</v>
      </c>
      <c r="S13" s="404">
        <f>MAX(RR[[#This Row],[G26 cp]],RR[[#This Row],[G23 cp]],RR[[#This Row],[G17 cp]],RR[[#This Row],[G11 cp]],RR[[#This Row],[G8 cp]],RR[[#This Row],[G4 cp]])</f>
        <v>89</v>
      </c>
      <c r="T13" s="404">
        <f>(SUM(RR[[#This Row],[G26 cp]],RR[[#This Row],[G23 cp]],RR[[#This Row],[G17 cp]],RR[[#This Row],[G11 cp]],RR[[#This Row],[G8 cp]],RR[[#This Row],[G4 cp]])-RR[[#This Row],[Max.]]) / (RR[[#This Row],[Innings]]-1)</f>
        <v>41.4</v>
      </c>
      <c r="U13" s="395">
        <f>MIN(RR[[#This Row],[G26 cp]],RR[[#This Row],[G23 cp]],RR[[#This Row],[G17 cp]],RR[[#This Row],[G11 cp]],RR[[#This Row],[G8 cp]],RR[[#This Row],[G4 cp]])</f>
        <v>17</v>
      </c>
      <c r="V13" s="403">
        <f>RR[[#This Row],[G26 cp]]</f>
        <v>59</v>
      </c>
      <c r="W13" s="405">
        <f>RR[[#This Row],[G23 cp]]</f>
        <v>17</v>
      </c>
      <c r="X13" s="405">
        <f>RR[[#This Row],[G17 cp]]</f>
        <v>89</v>
      </c>
      <c r="Y13" s="405">
        <f>RR[[#This Row],[G11 cp]]</f>
        <v>60</v>
      </c>
      <c r="Z13" s="405">
        <f>RR[[#This Row],[G8 cp]]</f>
        <v>39</v>
      </c>
      <c r="AA13" s="406">
        <f>RR[[#This Row],[G4 cp]]</f>
        <v>32</v>
      </c>
      <c r="AB13" s="403">
        <f>COUNTA(RR[[#This Row],[G17 cp]],RR[[#This Row],[G11 cp]],RR[[#This Row],[G4 cp]])</f>
        <v>3</v>
      </c>
      <c r="AC13" s="405">
        <f>MAX(RR[[#This Row],[G17 cp]],RR[[#This Row],[G11 cp]],RR[[#This Row],[G4 cp]])</f>
        <v>89</v>
      </c>
      <c r="AD13" s="765">
        <f>( SUM(RR[[#This Row],[G17 cp]],RR[[#This Row],[G11 cp]],RR[[#This Row],[G4 cp]]) -RR[[#This Row],[Max B1]]) / (RR[[#This Row],[Innings B1]] - 1)</f>
        <v>46</v>
      </c>
      <c r="AE13" s="406">
        <f>MIN(RR[[#This Row],[G17 cp]],RR[[#This Row],[G11 cp]],RR[[#This Row],[G4 cp]])</f>
        <v>32</v>
      </c>
      <c r="AF13" s="405">
        <f>COUNTA(RR[[#This Row],[G26 cp]],RR[[#This Row],[G11 cp]],RR[[#This Row],[G8 cp]])</f>
        <v>3</v>
      </c>
      <c r="AG13" s="405">
        <f>MAX(RR[[#This Row],[G26 cp]],RR[[#This Row],[G23 cp]],RR[[#This Row],[G8 cp]])</f>
        <v>59</v>
      </c>
      <c r="AH13" s="765">
        <f>( SUM(RR[[#This Row],[G26 cp]],RR[[#This Row],[G23 cp]],RR[[#This Row],[G8 cp]]) -RR[[#This Row],[Max CHS]]) / (RR[[#This Row],[Innings CHS]] - 1)</f>
        <v>28</v>
      </c>
      <c r="AI13" s="405">
        <f>MIN(RR[[#This Row],[G26 cp]],RR[[#This Row],[G23 cp]],RR[[#This Row],[G8 cp]])</f>
        <v>17</v>
      </c>
      <c r="AJ13" s="403"/>
      <c r="AK13" s="406"/>
      <c r="AL13" s="443">
        <v>8</v>
      </c>
      <c r="AM13" s="443"/>
      <c r="AN13" s="443" t="s">
        <v>876</v>
      </c>
      <c r="AO13" s="443">
        <v>3</v>
      </c>
      <c r="AP13" s="443">
        <v>2</v>
      </c>
      <c r="AQ13" s="443">
        <v>2</v>
      </c>
      <c r="AR13" s="443">
        <v>23</v>
      </c>
      <c r="AS13" s="443">
        <v>4</v>
      </c>
      <c r="AT13" s="405">
        <v>59</v>
      </c>
      <c r="AU13" s="403">
        <v>8</v>
      </c>
      <c r="AV13" s="405"/>
      <c r="AW13" s="405" t="s">
        <v>339</v>
      </c>
      <c r="AX13" s="405">
        <v>10</v>
      </c>
      <c r="AY13" s="405">
        <v>3</v>
      </c>
      <c r="AZ13" s="405" t="s">
        <v>1003</v>
      </c>
      <c r="BA13" s="406">
        <v>17</v>
      </c>
      <c r="BB13" s="403">
        <v>5</v>
      </c>
      <c r="BC13" s="405" t="s">
        <v>355</v>
      </c>
      <c r="BD13" s="405">
        <v>30</v>
      </c>
      <c r="BE13" s="405">
        <v>22</v>
      </c>
      <c r="BF13" s="405" t="s">
        <v>884</v>
      </c>
      <c r="BG13" s="405">
        <v>89</v>
      </c>
      <c r="BH13" s="403">
        <v>9</v>
      </c>
      <c r="BI13" s="405"/>
      <c r="BJ13" s="405"/>
      <c r="BK13" s="405"/>
      <c r="BL13" s="405" t="s">
        <v>724</v>
      </c>
      <c r="BM13" s="405">
        <v>60</v>
      </c>
      <c r="BN13" s="403">
        <v>2</v>
      </c>
      <c r="BO13" s="395" t="s">
        <v>355</v>
      </c>
      <c r="BP13" s="395">
        <v>0</v>
      </c>
      <c r="BQ13" s="395">
        <v>4</v>
      </c>
      <c r="BR13" s="395" t="s">
        <v>358</v>
      </c>
      <c r="BS13" s="395">
        <v>39</v>
      </c>
      <c r="BT13" s="403">
        <v>7</v>
      </c>
      <c r="BU13" s="395"/>
      <c r="BV13" s="395">
        <v>1</v>
      </c>
      <c r="BW13" s="395">
        <v>2</v>
      </c>
      <c r="BX13" s="395" t="s">
        <v>232</v>
      </c>
      <c r="BY13" s="395">
        <v>32</v>
      </c>
    </row>
    <row r="14" spans="2:77">
      <c r="B14" s="424" t="s">
        <v>205</v>
      </c>
      <c r="C14" s="394" t="s">
        <v>840</v>
      </c>
      <c r="D14" s="394">
        <v>5.75</v>
      </c>
      <c r="E14" s="394" t="s">
        <v>613</v>
      </c>
      <c r="F14" s="421" t="s">
        <v>55</v>
      </c>
      <c r="G14" s="421" t="s">
        <v>55</v>
      </c>
      <c r="H14" s="474" t="s">
        <v>1007</v>
      </c>
      <c r="I14" s="458"/>
      <c r="J14" s="465"/>
      <c r="K14" s="446"/>
      <c r="L14" s="446"/>
      <c r="M14" s="446"/>
      <c r="N14" s="472"/>
      <c r="O14" s="446"/>
      <c r="P14" s="446"/>
      <c r="Q14" s="446"/>
      <c r="R14" s="422">
        <f>COUNTA(RR[[#This Row],[G26 cp]],RR[[#This Row],[G23 cp]],RR[[#This Row],[G17 cp]],RR[[#This Row],[G11 cp]],RR[[#This Row],[G8 cp]],RR[[#This Row],[G4 cp]])</f>
        <v>5</v>
      </c>
      <c r="S14" s="423">
        <f>MAX(RR[[#This Row],[G26 cp]],RR[[#This Row],[G23 cp]],RR[[#This Row],[G17 cp]],RR[[#This Row],[G11 cp]],RR[[#This Row],[G8 cp]],RR[[#This Row],[G4 cp]])</f>
        <v>55</v>
      </c>
      <c r="T14" s="423">
        <f>(SUM(RR[[#This Row],[G26 cp]],RR[[#This Row],[G23 cp]],RR[[#This Row],[G17 cp]],RR[[#This Row],[G11 cp]],RR[[#This Row],[G8 cp]],RR[[#This Row],[G4 cp]])-RR[[#This Row],[Max.]]) / (RR[[#This Row],[Innings]]-1)</f>
        <v>19</v>
      </c>
      <c r="U14" s="394">
        <f>MIN(RR[[#This Row],[G26 cp]],RR[[#This Row],[G23 cp]],RR[[#This Row],[G17 cp]],RR[[#This Row],[G11 cp]],RR[[#This Row],[G8 cp]],RR[[#This Row],[G4 cp]])</f>
        <v>2</v>
      </c>
      <c r="V14" s="422">
        <f>RR[[#This Row],[G26 cp]]</f>
        <v>29</v>
      </c>
      <c r="W14" s="424">
        <f>RR[[#This Row],[G23 cp]]</f>
        <v>0</v>
      </c>
      <c r="X14" s="424">
        <f>RR[[#This Row],[G17 cp]]</f>
        <v>2</v>
      </c>
      <c r="Y14" s="424">
        <f>RR[[#This Row],[G11 cp]]</f>
        <v>4</v>
      </c>
      <c r="Z14" s="424">
        <f>RR[[#This Row],[G8 cp]]</f>
        <v>55</v>
      </c>
      <c r="AA14" s="425">
        <f>RR[[#This Row],[G4 cp]]</f>
        <v>41</v>
      </c>
      <c r="AB14" s="422">
        <f>COUNTA(RR[[#This Row],[G17 cp]],RR[[#This Row],[G11 cp]],RR[[#This Row],[G4 cp]])</f>
        <v>3</v>
      </c>
      <c r="AC14" s="424">
        <f>MAX(RR[[#This Row],[G17 cp]],RR[[#This Row],[G11 cp]],RR[[#This Row],[G4 cp]])</f>
        <v>41</v>
      </c>
      <c r="AD14" s="766">
        <f>( SUM(RR[[#This Row],[G17 cp]],RR[[#This Row],[G11 cp]],RR[[#This Row],[G4 cp]]) -RR[[#This Row],[Max B1]]) / (RR[[#This Row],[Innings B1]] - 1)</f>
        <v>3</v>
      </c>
      <c r="AE14" s="425">
        <f>MIN(RR[[#This Row],[G17 cp]],RR[[#This Row],[G11 cp]],RR[[#This Row],[G4 cp]])</f>
        <v>2</v>
      </c>
      <c r="AF14" s="424">
        <f>COUNTA(RR[[#This Row],[G26 cp]],RR[[#This Row],[G11 cp]],RR[[#This Row],[G8 cp]])</f>
        <v>3</v>
      </c>
      <c r="AG14" s="424">
        <f>MAX(RR[[#This Row],[G26 cp]],RR[[#This Row],[G23 cp]],RR[[#This Row],[G8 cp]])</f>
        <v>55</v>
      </c>
      <c r="AH14" s="766">
        <f>( SUM(RR[[#This Row],[G26 cp]],RR[[#This Row],[G23 cp]],RR[[#This Row],[G8 cp]]) -RR[[#This Row],[Max CHS]]) / (RR[[#This Row],[Innings CHS]] - 1)</f>
        <v>14.5</v>
      </c>
      <c r="AI14" s="424">
        <f>MIN(RR[[#This Row],[G26 cp]],RR[[#This Row],[G23 cp]],RR[[#This Row],[G8 cp]])</f>
        <v>29</v>
      </c>
      <c r="AJ14" s="422"/>
      <c r="AK14" s="425"/>
      <c r="AL14" s="446">
        <v>9</v>
      </c>
      <c r="AM14" s="446"/>
      <c r="AN14" s="446"/>
      <c r="AO14" s="446"/>
      <c r="AP14" s="446"/>
      <c r="AQ14" s="446">
        <v>1</v>
      </c>
      <c r="AR14" s="446">
        <v>38</v>
      </c>
      <c r="AS14" s="446">
        <v>4</v>
      </c>
      <c r="AT14" s="424">
        <v>29</v>
      </c>
      <c r="AU14" s="422"/>
      <c r="AV14" s="424"/>
      <c r="AW14" s="424"/>
      <c r="AX14" s="424"/>
      <c r="AY14" s="424"/>
      <c r="AZ14" s="424"/>
      <c r="BA14" s="425"/>
      <c r="BB14" s="422">
        <v>8</v>
      </c>
      <c r="BC14" s="424" t="s">
        <v>417</v>
      </c>
      <c r="BD14" s="424">
        <v>0</v>
      </c>
      <c r="BE14" s="424">
        <v>1</v>
      </c>
      <c r="BF14" s="424" t="s">
        <v>883</v>
      </c>
      <c r="BG14" s="424">
        <v>2</v>
      </c>
      <c r="BH14" s="422">
        <v>7</v>
      </c>
      <c r="BI14" s="424"/>
      <c r="BJ14" s="424"/>
      <c r="BK14" s="424"/>
      <c r="BL14" s="424" t="s">
        <v>723</v>
      </c>
      <c r="BM14" s="424">
        <v>4</v>
      </c>
      <c r="BN14" s="422">
        <v>8</v>
      </c>
      <c r="BO14" s="394" t="s">
        <v>327</v>
      </c>
      <c r="BP14" s="394">
        <v>1</v>
      </c>
      <c r="BQ14" s="394">
        <v>1</v>
      </c>
      <c r="BR14" s="394" t="s">
        <v>266</v>
      </c>
      <c r="BS14" s="394">
        <v>55</v>
      </c>
      <c r="BT14" s="422">
        <v>8</v>
      </c>
      <c r="BU14" s="394"/>
      <c r="BV14" s="394"/>
      <c r="BW14" s="394"/>
      <c r="BX14" s="394" t="s">
        <v>212</v>
      </c>
      <c r="BY14" s="394">
        <v>41</v>
      </c>
    </row>
    <row r="15" spans="2:77">
      <c r="B15" s="411" t="s">
        <v>205</v>
      </c>
      <c r="C15" s="407" t="s">
        <v>845</v>
      </c>
      <c r="D15" s="407">
        <v>8</v>
      </c>
      <c r="E15" s="407" t="s">
        <v>634</v>
      </c>
      <c r="F15" s="408" t="s">
        <v>56</v>
      </c>
      <c r="G15" s="408" t="s">
        <v>56</v>
      </c>
      <c r="H15" s="450" t="s">
        <v>1005</v>
      </c>
      <c r="I15" s="456"/>
      <c r="J15" s="463"/>
      <c r="K15" s="444"/>
      <c r="L15" s="444"/>
      <c r="M15" s="444"/>
      <c r="N15" s="470"/>
      <c r="O15" s="444"/>
      <c r="P15" s="444"/>
      <c r="Q15" s="444"/>
      <c r="R15" s="409">
        <f>COUNTA(RR[[#This Row],[G26 cp]],RR[[#This Row],[G23 cp]],RR[[#This Row],[G17 cp]],RR[[#This Row],[G11 cp]],RR[[#This Row],[G8 cp]],RR[[#This Row],[G4 cp]])</f>
        <v>5</v>
      </c>
      <c r="S15" s="410">
        <f>MAX(RR[[#This Row],[G26 cp]],RR[[#This Row],[G23 cp]],RR[[#This Row],[G17 cp]],RR[[#This Row],[G11 cp]],RR[[#This Row],[G8 cp]],RR[[#This Row],[G4 cp]])</f>
        <v>80</v>
      </c>
      <c r="T15" s="410">
        <f>(SUM(RR[[#This Row],[G26 cp]],RR[[#This Row],[G23 cp]],RR[[#This Row],[G17 cp]],RR[[#This Row],[G11 cp]],RR[[#This Row],[G8 cp]],RR[[#This Row],[G4 cp]])-RR[[#This Row],[Max.]]) / (RR[[#This Row],[Innings]]-1)</f>
        <v>40</v>
      </c>
      <c r="U15" s="407">
        <f>MIN(RR[[#This Row],[G26 cp]],RR[[#This Row],[G23 cp]],RR[[#This Row],[G17 cp]],RR[[#This Row],[G11 cp]],RR[[#This Row],[G8 cp]],RR[[#This Row],[G4 cp]])</f>
        <v>4</v>
      </c>
      <c r="V15" s="409">
        <f>RR[[#This Row],[G26 cp]]</f>
        <v>41</v>
      </c>
      <c r="W15" s="411">
        <f>RR[[#This Row],[G23 cp]]</f>
        <v>37</v>
      </c>
      <c r="X15" s="411">
        <f>RR[[#This Row],[G17 cp]]</f>
        <v>0</v>
      </c>
      <c r="Y15" s="411">
        <f>RR[[#This Row],[G11 cp]]</f>
        <v>80</v>
      </c>
      <c r="Z15" s="411">
        <f>RR[[#This Row],[G8 cp]]</f>
        <v>4</v>
      </c>
      <c r="AA15" s="412">
        <f>RR[[#This Row],[G4 cp]]</f>
        <v>78</v>
      </c>
      <c r="AB15" s="409">
        <f>COUNTA(RR[[#This Row],[G17 cp]],RR[[#This Row],[G11 cp]],RR[[#This Row],[G4 cp]])</f>
        <v>2</v>
      </c>
      <c r="AC15" s="411">
        <f>MAX(RR[[#This Row],[G17 cp]],RR[[#This Row],[G11 cp]],RR[[#This Row],[G4 cp]])</f>
        <v>80</v>
      </c>
      <c r="AD15" s="767">
        <f>( SUM(RR[[#This Row],[G17 cp]],RR[[#This Row],[G11 cp]],RR[[#This Row],[G4 cp]]) -RR[[#This Row],[Max B1]]) / (RR[[#This Row],[Innings B1]] - 1)</f>
        <v>78</v>
      </c>
      <c r="AE15" s="412">
        <f>MIN(RR[[#This Row],[G17 cp]],RR[[#This Row],[G11 cp]],RR[[#This Row],[G4 cp]])</f>
        <v>78</v>
      </c>
      <c r="AF15" s="411">
        <f>COUNTA(RR[[#This Row],[G26 cp]],RR[[#This Row],[G11 cp]],RR[[#This Row],[G8 cp]])</f>
        <v>3</v>
      </c>
      <c r="AG15" s="411">
        <f>MAX(RR[[#This Row],[G26 cp]],RR[[#This Row],[G23 cp]],RR[[#This Row],[G8 cp]])</f>
        <v>41</v>
      </c>
      <c r="AH15" s="767">
        <f>( SUM(RR[[#This Row],[G26 cp]],RR[[#This Row],[G23 cp]],RR[[#This Row],[G8 cp]]) -RR[[#This Row],[Max CHS]]) / (RR[[#This Row],[Innings CHS]] - 1)</f>
        <v>20.5</v>
      </c>
      <c r="AI15" s="411">
        <f>MIN(RR[[#This Row],[G26 cp]],RR[[#This Row],[G23 cp]],RR[[#This Row],[G8 cp]])</f>
        <v>4</v>
      </c>
      <c r="AJ15" s="409"/>
      <c r="AK15" s="412"/>
      <c r="AL15" s="444">
        <v>10</v>
      </c>
      <c r="AM15" s="444"/>
      <c r="AN15" s="444"/>
      <c r="AO15" s="444"/>
      <c r="AP15" s="444"/>
      <c r="AQ15" s="444">
        <v>1</v>
      </c>
      <c r="AR15" s="444">
        <v>16</v>
      </c>
      <c r="AS15" s="444">
        <v>4</v>
      </c>
      <c r="AT15" s="411">
        <v>41</v>
      </c>
      <c r="AU15" s="409">
        <v>9</v>
      </c>
      <c r="AV15" s="411"/>
      <c r="AW15" s="411" t="s">
        <v>876</v>
      </c>
      <c r="AX15" s="411">
        <v>0</v>
      </c>
      <c r="AY15" s="411">
        <v>1</v>
      </c>
      <c r="AZ15" s="411" t="s">
        <v>1001</v>
      </c>
      <c r="BA15" s="412">
        <v>37</v>
      </c>
      <c r="BB15" s="409">
        <v>24</v>
      </c>
      <c r="BC15" s="411"/>
      <c r="BD15" s="411"/>
      <c r="BE15" s="411"/>
      <c r="BF15" s="411"/>
      <c r="BG15" s="411"/>
      <c r="BH15" s="409">
        <v>11</v>
      </c>
      <c r="BI15" s="411"/>
      <c r="BJ15" s="411"/>
      <c r="BK15" s="411"/>
      <c r="BL15" s="411" t="s">
        <v>721</v>
      </c>
      <c r="BM15" s="411">
        <v>80</v>
      </c>
      <c r="BN15" s="409">
        <v>10</v>
      </c>
      <c r="BO15" s="394"/>
      <c r="BP15" s="394"/>
      <c r="BQ15" s="394"/>
      <c r="BR15" s="407" t="s">
        <v>240</v>
      </c>
      <c r="BS15" s="407">
        <v>4</v>
      </c>
      <c r="BT15" s="409">
        <v>10</v>
      </c>
      <c r="BU15" s="407"/>
      <c r="BV15" s="407"/>
      <c r="BW15" s="407"/>
      <c r="BX15" s="407" t="s">
        <v>208</v>
      </c>
      <c r="BY15" s="407">
        <v>78</v>
      </c>
    </row>
    <row r="16" spans="2:77">
      <c r="B16" s="417" t="s">
        <v>205</v>
      </c>
      <c r="C16" s="413" t="s">
        <v>843</v>
      </c>
      <c r="D16" s="413">
        <v>0.5</v>
      </c>
      <c r="E16" s="413" t="s">
        <v>844</v>
      </c>
      <c r="F16" s="414"/>
      <c r="G16" s="414"/>
      <c r="H16" s="451"/>
      <c r="I16" s="457"/>
      <c r="J16" s="464"/>
      <c r="K16" s="445"/>
      <c r="L16" s="445"/>
      <c r="M16" s="445"/>
      <c r="N16" s="471"/>
      <c r="O16" s="445"/>
      <c r="P16" s="445"/>
      <c r="Q16" s="445"/>
      <c r="R16" s="415">
        <f>COUNTA(RR[[#This Row],[G26 cp]],RR[[#This Row],[G23 cp]],RR[[#This Row],[G17 cp]],RR[[#This Row],[G11 cp]],RR[[#This Row],[G8 cp]],RR[[#This Row],[G4 cp]])</f>
        <v>4</v>
      </c>
      <c r="S16" s="416">
        <f>MAX(RR[[#This Row],[G26 cp]],RR[[#This Row],[G23 cp]],RR[[#This Row],[G17 cp]],RR[[#This Row],[G11 cp]],RR[[#This Row],[G8 cp]],RR[[#This Row],[G4 cp]])</f>
        <v>60</v>
      </c>
      <c r="T16" s="416">
        <f>(SUM(RR[[#This Row],[G26 cp]],RR[[#This Row],[G23 cp]],RR[[#This Row],[G17 cp]],RR[[#This Row],[G11 cp]],RR[[#This Row],[G8 cp]],RR[[#This Row],[G4 cp]])-RR[[#This Row],[Max.]]) / (RR[[#This Row],[Innings]]-1)</f>
        <v>30.333333333333332</v>
      </c>
      <c r="U16" s="413">
        <f>MIN(RR[[#This Row],[G26 cp]],RR[[#This Row],[G23 cp]],RR[[#This Row],[G17 cp]],RR[[#This Row],[G11 cp]],RR[[#This Row],[G8 cp]],RR[[#This Row],[G4 cp]])</f>
        <v>25</v>
      </c>
      <c r="V16" s="415">
        <f>RR[[#This Row],[G26 cp]]</f>
        <v>29</v>
      </c>
      <c r="W16" s="417">
        <f>RR[[#This Row],[G23 cp]]</f>
        <v>60</v>
      </c>
      <c r="X16" s="417">
        <f>RR[[#This Row],[G17 cp]]</f>
        <v>37</v>
      </c>
      <c r="Y16" s="417">
        <f>RR[[#This Row],[G11 cp]]</f>
        <v>25</v>
      </c>
      <c r="Z16" s="417">
        <f>RR[[#This Row],[G8 cp]]</f>
        <v>0</v>
      </c>
      <c r="AA16" s="418">
        <f>RR[[#This Row],[G4 cp]]</f>
        <v>0</v>
      </c>
      <c r="AB16" s="415">
        <f>COUNTA(RR[[#This Row],[G17 cp]],RR[[#This Row],[G11 cp]],RR[[#This Row],[G4 cp]])</f>
        <v>2</v>
      </c>
      <c r="AC16" s="417">
        <f>MAX(RR[[#This Row],[G17 cp]],RR[[#This Row],[G11 cp]],RR[[#This Row],[G4 cp]])</f>
        <v>37</v>
      </c>
      <c r="AD16" s="768">
        <f>( SUM(RR[[#This Row],[G17 cp]],RR[[#This Row],[G11 cp]],RR[[#This Row],[G4 cp]]) -RR[[#This Row],[Max B1]]) / (RR[[#This Row],[Innings B1]] - 1)</f>
        <v>25</v>
      </c>
      <c r="AE16" s="418">
        <f>MIN(RR[[#This Row],[G17 cp]],RR[[#This Row],[G11 cp]],RR[[#This Row],[G4 cp]])</f>
        <v>25</v>
      </c>
      <c r="AF16" s="417">
        <f>COUNTA(RR[[#This Row],[G26 cp]],RR[[#This Row],[G11 cp]],RR[[#This Row],[G8 cp]])</f>
        <v>2</v>
      </c>
      <c r="AG16" s="417">
        <f>MAX(RR[[#This Row],[G26 cp]],RR[[#This Row],[G23 cp]],RR[[#This Row],[G8 cp]])</f>
        <v>60</v>
      </c>
      <c r="AH16" s="768">
        <f>( SUM(RR[[#This Row],[G26 cp]],RR[[#This Row],[G23 cp]],RR[[#This Row],[G8 cp]]) -RR[[#This Row],[Max CHS]]) / (RR[[#This Row],[Innings CHS]] - 1)</f>
        <v>29</v>
      </c>
      <c r="AI16" s="417">
        <f>MIN(RR[[#This Row],[G26 cp]],RR[[#This Row],[G23 cp]],RR[[#This Row],[G8 cp]])</f>
        <v>29</v>
      </c>
      <c r="AJ16" s="415"/>
      <c r="AK16" s="418"/>
      <c r="AL16" s="445">
        <v>11</v>
      </c>
      <c r="AM16" s="445"/>
      <c r="AN16" s="445"/>
      <c r="AO16" s="445"/>
      <c r="AP16" s="445"/>
      <c r="AQ16" s="445">
        <v>1</v>
      </c>
      <c r="AR16" s="445">
        <v>32</v>
      </c>
      <c r="AS16" s="445">
        <v>4</v>
      </c>
      <c r="AT16" s="417">
        <v>29</v>
      </c>
      <c r="AU16" s="415">
        <v>10</v>
      </c>
      <c r="AV16" s="417"/>
      <c r="AW16" s="417"/>
      <c r="AX16" s="417"/>
      <c r="AY16" s="417"/>
      <c r="AZ16" s="417" t="s">
        <v>884</v>
      </c>
      <c r="BA16" s="418">
        <v>60</v>
      </c>
      <c r="BB16" s="415">
        <v>10</v>
      </c>
      <c r="BC16" s="417"/>
      <c r="BD16" s="417"/>
      <c r="BE16" s="417"/>
      <c r="BF16" s="417" t="s">
        <v>881</v>
      </c>
      <c r="BG16" s="417">
        <v>37</v>
      </c>
      <c r="BH16" s="415">
        <v>12</v>
      </c>
      <c r="BI16" s="417"/>
      <c r="BJ16" s="417"/>
      <c r="BK16" s="417"/>
      <c r="BL16" s="417" t="s">
        <v>722</v>
      </c>
      <c r="BM16" s="417">
        <v>25</v>
      </c>
      <c r="BN16" s="415"/>
      <c r="BO16" s="395"/>
      <c r="BP16" s="395"/>
      <c r="BQ16" s="395"/>
      <c r="BR16" s="413"/>
      <c r="BS16" s="413"/>
      <c r="BT16" s="415"/>
      <c r="BU16" s="413"/>
      <c r="BV16" s="413"/>
      <c r="BW16" s="413"/>
      <c r="BX16" s="413"/>
      <c r="BY16" s="413"/>
    </row>
    <row r="17" spans="2:77">
      <c r="B17" s="417" t="s">
        <v>205</v>
      </c>
      <c r="C17" s="413" t="s">
        <v>842</v>
      </c>
      <c r="D17" s="413">
        <v>6.5</v>
      </c>
      <c r="E17" s="413" t="s">
        <v>142</v>
      </c>
      <c r="F17" s="414" t="s">
        <v>56</v>
      </c>
      <c r="G17" s="414" t="s">
        <v>56</v>
      </c>
      <c r="H17" s="451"/>
      <c r="I17" s="457"/>
      <c r="J17" s="464"/>
      <c r="K17" s="445"/>
      <c r="L17" s="445"/>
      <c r="M17" s="445"/>
      <c r="N17" s="471"/>
      <c r="O17" s="445"/>
      <c r="P17" s="445"/>
      <c r="Q17" s="445"/>
      <c r="R17" s="415">
        <f>COUNTA(RR[[#This Row],[G26 cp]],RR[[#This Row],[G23 cp]],RR[[#This Row],[G17 cp]],RR[[#This Row],[G11 cp]],RR[[#This Row],[G8 cp]],RR[[#This Row],[G4 cp]])</f>
        <v>6</v>
      </c>
      <c r="S17" s="416">
        <f>MAX(RR[[#This Row],[G26 cp]],RR[[#This Row],[G23 cp]],RR[[#This Row],[G17 cp]],RR[[#This Row],[G11 cp]],RR[[#This Row],[G8 cp]],RR[[#This Row],[G4 cp]])</f>
        <v>134</v>
      </c>
      <c r="T17" s="416">
        <f>(SUM(RR[[#This Row],[G26 cp]],RR[[#This Row],[G23 cp]],RR[[#This Row],[G17 cp]],RR[[#This Row],[G11 cp]],RR[[#This Row],[G8 cp]],RR[[#This Row],[G4 cp]])-RR[[#This Row],[Max.]]) / (RR[[#This Row],[Innings]]-1)</f>
        <v>38</v>
      </c>
      <c r="U17" s="413">
        <f>MIN(RR[[#This Row],[G26 cp]],RR[[#This Row],[G23 cp]],RR[[#This Row],[G17 cp]],RR[[#This Row],[G11 cp]],RR[[#This Row],[G8 cp]],RR[[#This Row],[G4 cp]])</f>
        <v>4</v>
      </c>
      <c r="V17" s="415">
        <f>RR[[#This Row],[G26 cp]]</f>
        <v>4</v>
      </c>
      <c r="W17" s="417">
        <f>RR[[#This Row],[G23 cp]]</f>
        <v>29</v>
      </c>
      <c r="X17" s="417">
        <f>RR[[#This Row],[G17 cp]]</f>
        <v>54</v>
      </c>
      <c r="Y17" s="417">
        <f>RR[[#This Row],[G11 cp]]</f>
        <v>80</v>
      </c>
      <c r="Z17" s="417">
        <f>RR[[#This Row],[G8 cp]]</f>
        <v>23</v>
      </c>
      <c r="AA17" s="418">
        <f>RR[[#This Row],[G4 cp]]</f>
        <v>134</v>
      </c>
      <c r="AB17" s="415">
        <f>COUNTA(RR[[#This Row],[G17 cp]],RR[[#This Row],[G11 cp]],RR[[#This Row],[G4 cp]])</f>
        <v>3</v>
      </c>
      <c r="AC17" s="417">
        <f>MAX(RR[[#This Row],[G17 cp]],RR[[#This Row],[G11 cp]],RR[[#This Row],[G4 cp]])</f>
        <v>134</v>
      </c>
      <c r="AD17" s="768">
        <f>( SUM(RR[[#This Row],[G17 cp]],RR[[#This Row],[G11 cp]],RR[[#This Row],[G4 cp]]) -RR[[#This Row],[Max B1]]) / (RR[[#This Row],[Innings B1]] - 1)</f>
        <v>67</v>
      </c>
      <c r="AE17" s="418">
        <f>MIN(RR[[#This Row],[G17 cp]],RR[[#This Row],[G11 cp]],RR[[#This Row],[G4 cp]])</f>
        <v>54</v>
      </c>
      <c r="AF17" s="417">
        <f>COUNTA(RR[[#This Row],[G26 cp]],RR[[#This Row],[G11 cp]],RR[[#This Row],[G8 cp]])</f>
        <v>3</v>
      </c>
      <c r="AG17" s="417">
        <f>MAX(RR[[#This Row],[G26 cp]],RR[[#This Row],[G23 cp]],RR[[#This Row],[G8 cp]])</f>
        <v>29</v>
      </c>
      <c r="AH17" s="768">
        <f>( SUM(RR[[#This Row],[G26 cp]],RR[[#This Row],[G23 cp]],RR[[#This Row],[G8 cp]]) -RR[[#This Row],[Max CHS]]) / (RR[[#This Row],[Innings CHS]] - 1)</f>
        <v>13.5</v>
      </c>
      <c r="AI17" s="417">
        <f>MIN(RR[[#This Row],[G26 cp]],RR[[#This Row],[G23 cp]],RR[[#This Row],[G8 cp]])</f>
        <v>4</v>
      </c>
      <c r="AJ17" s="415"/>
      <c r="AK17" s="418"/>
      <c r="AL17" s="445">
        <v>12</v>
      </c>
      <c r="AM17" s="445"/>
      <c r="AN17" s="445"/>
      <c r="AO17" s="445"/>
      <c r="AP17" s="445"/>
      <c r="AQ17" s="445">
        <v>0</v>
      </c>
      <c r="AR17" s="445">
        <v>41</v>
      </c>
      <c r="AS17" s="445">
        <v>4</v>
      </c>
      <c r="AT17" s="417">
        <v>4</v>
      </c>
      <c r="AU17" s="415">
        <v>12</v>
      </c>
      <c r="AV17" s="417"/>
      <c r="AW17" s="417"/>
      <c r="AX17" s="417"/>
      <c r="AY17" s="417"/>
      <c r="AZ17" s="417" t="s">
        <v>914</v>
      </c>
      <c r="BA17" s="418">
        <v>29</v>
      </c>
      <c r="BB17" s="415">
        <v>11</v>
      </c>
      <c r="BC17" s="417"/>
      <c r="BD17" s="417"/>
      <c r="BE17" s="417"/>
      <c r="BF17" s="417" t="s">
        <v>885</v>
      </c>
      <c r="BG17" s="417">
        <v>54</v>
      </c>
      <c r="BH17" s="415">
        <v>10</v>
      </c>
      <c r="BI17" s="417"/>
      <c r="BJ17" s="417"/>
      <c r="BK17" s="417"/>
      <c r="BL17" s="417" t="s">
        <v>725</v>
      </c>
      <c r="BM17" s="417">
        <v>80</v>
      </c>
      <c r="BN17" s="415">
        <v>11</v>
      </c>
      <c r="BO17" s="395"/>
      <c r="BP17" s="395"/>
      <c r="BQ17" s="395"/>
      <c r="BR17" s="413" t="s">
        <v>242</v>
      </c>
      <c r="BS17" s="413">
        <v>23</v>
      </c>
      <c r="BT17" s="415">
        <v>11</v>
      </c>
      <c r="BU17" s="413"/>
      <c r="BV17" s="413"/>
      <c r="BW17" s="413"/>
      <c r="BX17" s="413" t="s">
        <v>210</v>
      </c>
      <c r="BY17" s="413">
        <v>134</v>
      </c>
    </row>
    <row r="18" spans="2:77">
      <c r="B18" s="417" t="s">
        <v>205</v>
      </c>
      <c r="C18" s="413" t="s">
        <v>856</v>
      </c>
      <c r="D18" s="413">
        <v>0.2</v>
      </c>
      <c r="E18" s="413"/>
      <c r="F18" s="414" t="s">
        <v>56</v>
      </c>
      <c r="G18" s="414" t="s">
        <v>56</v>
      </c>
      <c r="H18" s="451"/>
      <c r="I18" s="457"/>
      <c r="J18" s="464"/>
      <c r="K18" s="445"/>
      <c r="L18" s="445"/>
      <c r="M18" s="445"/>
      <c r="N18" s="471"/>
      <c r="O18" s="445"/>
      <c r="P18" s="445"/>
      <c r="Q18" s="445"/>
      <c r="R18" s="415">
        <f>COUNTA(RR[[#This Row],[G26 cp]],RR[[#This Row],[G23 cp]],RR[[#This Row],[G17 cp]],RR[[#This Row],[G11 cp]],RR[[#This Row],[G8 cp]],RR[[#This Row],[G4 cp]])</f>
        <v>1</v>
      </c>
      <c r="S18" s="416">
        <f>MAX(RR[[#This Row],[G26 cp]],RR[[#This Row],[G23 cp]],RR[[#This Row],[G17 cp]],RR[[#This Row],[G11 cp]],RR[[#This Row],[G8 cp]],RR[[#This Row],[G4 cp]])</f>
        <v>8</v>
      </c>
      <c r="T18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18" s="413">
        <f>MIN(RR[[#This Row],[G26 cp]],RR[[#This Row],[G23 cp]],RR[[#This Row],[G17 cp]],RR[[#This Row],[G11 cp]],RR[[#This Row],[G8 cp]],RR[[#This Row],[G4 cp]])</f>
        <v>8</v>
      </c>
      <c r="V18" s="415">
        <f>RR[[#This Row],[G26 cp]]</f>
        <v>0</v>
      </c>
      <c r="W18" s="417">
        <f>RR[[#This Row],[G23 cp]]</f>
        <v>0</v>
      </c>
      <c r="X18" s="417">
        <f>RR[[#This Row],[G17 cp]]</f>
        <v>8</v>
      </c>
      <c r="Y18" s="417">
        <f>RR[[#This Row],[G11 cp]]</f>
        <v>0</v>
      </c>
      <c r="Z18" s="417">
        <f>RR[[#This Row],[G8 cp]]</f>
        <v>0</v>
      </c>
      <c r="AA18" s="418">
        <f>RR[[#This Row],[G4 cp]]</f>
        <v>0</v>
      </c>
      <c r="AB18" s="415">
        <f>COUNTA(RR[[#This Row],[G17 cp]],RR[[#This Row],[G11 cp]],RR[[#This Row],[G4 cp]])</f>
        <v>1</v>
      </c>
      <c r="AC18" s="417">
        <f>MAX(RR[[#This Row],[G17 cp]],RR[[#This Row],[G11 cp]],RR[[#This Row],[G4 cp]])</f>
        <v>8</v>
      </c>
      <c r="AD18" s="768" t="e">
        <f>( SUM(RR[[#This Row],[G17 cp]],RR[[#This Row],[G11 cp]],RR[[#This Row],[G4 cp]]) -RR[[#This Row],[Max B1]]) / (RR[[#This Row],[Innings B1]] - 1)</f>
        <v>#DIV/0!</v>
      </c>
      <c r="AE18" s="418">
        <f>MIN(RR[[#This Row],[G17 cp]],RR[[#This Row],[G11 cp]],RR[[#This Row],[G4 cp]])</f>
        <v>8</v>
      </c>
      <c r="AF18" s="417">
        <f>COUNTA(RR[[#This Row],[G26 cp]],RR[[#This Row],[G11 cp]],RR[[#This Row],[G8 cp]])</f>
        <v>0</v>
      </c>
      <c r="AG18" s="417">
        <f>MAX(RR[[#This Row],[G26 cp]],RR[[#This Row],[G23 cp]],RR[[#This Row],[G8 cp]])</f>
        <v>0</v>
      </c>
      <c r="AH18" s="768">
        <f>( SUM(RR[[#This Row],[G26 cp]],RR[[#This Row],[G23 cp]],RR[[#This Row],[G8 cp]]) -RR[[#This Row],[Max CHS]]) / (RR[[#This Row],[Innings CHS]] - 1)</f>
        <v>0</v>
      </c>
      <c r="AI18" s="417">
        <f>MIN(RR[[#This Row],[G26 cp]],RR[[#This Row],[G23 cp]],RR[[#This Row],[G8 cp]])</f>
        <v>0</v>
      </c>
      <c r="AJ18" s="415"/>
      <c r="AK18" s="418"/>
      <c r="AL18" s="445"/>
      <c r="AM18" s="445"/>
      <c r="AN18" s="445"/>
      <c r="AO18" s="445"/>
      <c r="AP18" s="445"/>
      <c r="AQ18" s="445"/>
      <c r="AR18" s="445"/>
      <c r="AS18" s="445"/>
      <c r="AT18" s="417"/>
      <c r="AU18" s="415"/>
      <c r="AV18" s="417"/>
      <c r="AW18" s="417"/>
      <c r="AX18" s="417"/>
      <c r="AY18" s="417"/>
      <c r="AZ18" s="417"/>
      <c r="BA18" s="418"/>
      <c r="BB18" s="415">
        <v>9</v>
      </c>
      <c r="BC18" s="417"/>
      <c r="BD18" s="417"/>
      <c r="BE18" s="417"/>
      <c r="BF18" s="426" t="s">
        <v>882</v>
      </c>
      <c r="BG18" s="417">
        <v>8</v>
      </c>
      <c r="BH18" s="415"/>
      <c r="BI18" s="417"/>
      <c r="BJ18" s="417"/>
      <c r="BK18" s="417"/>
      <c r="BL18" s="417"/>
      <c r="BM18" s="417"/>
      <c r="BN18" s="415"/>
      <c r="BO18" s="413"/>
      <c r="BP18" s="413"/>
      <c r="BQ18" s="413"/>
      <c r="BR18" s="413"/>
      <c r="BS18" s="413"/>
      <c r="BT18" s="415"/>
      <c r="BU18" s="413"/>
      <c r="BV18" s="413"/>
      <c r="BW18" s="413"/>
      <c r="BX18" s="413"/>
      <c r="BY18" s="413"/>
    </row>
    <row r="19" spans="2:77">
      <c r="B19" s="411" t="s">
        <v>205</v>
      </c>
      <c r="C19" s="407" t="s">
        <v>851</v>
      </c>
      <c r="D19" s="407">
        <v>1.5</v>
      </c>
      <c r="E19" s="407" t="s">
        <v>614</v>
      </c>
      <c r="F19" s="408" t="s">
        <v>56</v>
      </c>
      <c r="G19" s="408" t="s">
        <v>56</v>
      </c>
      <c r="H19" s="450" t="s">
        <v>1006</v>
      </c>
      <c r="I19" s="456"/>
      <c r="J19" s="463"/>
      <c r="K19" s="444"/>
      <c r="L19" s="444"/>
      <c r="M19" s="444"/>
      <c r="N19" s="470"/>
      <c r="O19" s="444"/>
      <c r="P19" s="444"/>
      <c r="Q19" s="444"/>
      <c r="R19" s="409">
        <f>COUNTA(RR[[#This Row],[G26 cp]],RR[[#This Row],[G23 cp]],RR[[#This Row],[G17 cp]],RR[[#This Row],[G11 cp]],RR[[#This Row],[G8 cp]],RR[[#This Row],[G4 cp]])</f>
        <v>2</v>
      </c>
      <c r="S19" s="410">
        <f>MAX(RR[[#This Row],[G26 cp]],RR[[#This Row],[G23 cp]],RR[[#This Row],[G17 cp]],RR[[#This Row],[G11 cp]],RR[[#This Row],[G8 cp]],RR[[#This Row],[G4 cp]])</f>
        <v>29</v>
      </c>
      <c r="T19" s="410">
        <f>(SUM(RR[[#This Row],[G26 cp]],RR[[#This Row],[G23 cp]],RR[[#This Row],[G17 cp]],RR[[#This Row],[G11 cp]],RR[[#This Row],[G8 cp]],RR[[#This Row],[G4 cp]])-RR[[#This Row],[Max.]]) / (RR[[#This Row],[Innings]]-1)</f>
        <v>29</v>
      </c>
      <c r="U19" s="407">
        <f>MIN(RR[[#This Row],[G26 cp]],RR[[#This Row],[G23 cp]],RR[[#This Row],[G17 cp]],RR[[#This Row],[G11 cp]],RR[[#This Row],[G8 cp]],RR[[#This Row],[G4 cp]])</f>
        <v>29</v>
      </c>
      <c r="V19" s="409">
        <f>RR[[#This Row],[G26 cp]]</f>
        <v>0</v>
      </c>
      <c r="W19" s="411">
        <f>RR[[#This Row],[G23 cp]]</f>
        <v>29</v>
      </c>
      <c r="X19" s="411">
        <f>RR[[#This Row],[G17 cp]]</f>
        <v>29</v>
      </c>
      <c r="Y19" s="411">
        <f>RR[[#This Row],[G11 cp]]</f>
        <v>0</v>
      </c>
      <c r="Z19" s="411">
        <f>RR[[#This Row],[G8 cp]]</f>
        <v>0</v>
      </c>
      <c r="AA19" s="412">
        <f>RR[[#This Row],[G4 cp]]</f>
        <v>0</v>
      </c>
      <c r="AB19" s="409">
        <f>COUNTA(RR[[#This Row],[G17 cp]],RR[[#This Row],[G11 cp]],RR[[#This Row],[G4 cp]])</f>
        <v>1</v>
      </c>
      <c r="AC19" s="411">
        <f>MAX(RR[[#This Row],[G17 cp]],RR[[#This Row],[G11 cp]],RR[[#This Row],[G4 cp]])</f>
        <v>29</v>
      </c>
      <c r="AD19" s="767" t="e">
        <f>( SUM(RR[[#This Row],[G17 cp]],RR[[#This Row],[G11 cp]],RR[[#This Row],[G4 cp]]) -RR[[#This Row],[Max B1]]) / (RR[[#This Row],[Innings B1]] - 1)</f>
        <v>#DIV/0!</v>
      </c>
      <c r="AE19" s="412">
        <f>MIN(RR[[#This Row],[G17 cp]],RR[[#This Row],[G11 cp]],RR[[#This Row],[G4 cp]])</f>
        <v>29</v>
      </c>
      <c r="AF19" s="411">
        <f>COUNTA(RR[[#This Row],[G26 cp]],RR[[#This Row],[G11 cp]],RR[[#This Row],[G8 cp]])</f>
        <v>0</v>
      </c>
      <c r="AG19" s="411">
        <f>MAX(RR[[#This Row],[G26 cp]],RR[[#This Row],[G23 cp]],RR[[#This Row],[G8 cp]])</f>
        <v>29</v>
      </c>
      <c r="AH19" s="767">
        <f>( SUM(RR[[#This Row],[G26 cp]],RR[[#This Row],[G23 cp]],RR[[#This Row],[G8 cp]]) -RR[[#This Row],[Max CHS]]) / (RR[[#This Row],[Innings CHS]] - 1)</f>
        <v>0</v>
      </c>
      <c r="AI19" s="411">
        <f>MIN(RR[[#This Row],[G26 cp]],RR[[#This Row],[G23 cp]],RR[[#This Row],[G8 cp]])</f>
        <v>29</v>
      </c>
      <c r="AJ19" s="409"/>
      <c r="AK19" s="412"/>
      <c r="AL19" s="444"/>
      <c r="AM19" s="444"/>
      <c r="AN19" s="444"/>
      <c r="AO19" s="444"/>
      <c r="AP19" s="444"/>
      <c r="AQ19" s="444"/>
      <c r="AR19" s="444"/>
      <c r="AS19" s="444"/>
      <c r="AT19" s="411"/>
      <c r="AU19" s="409">
        <v>11</v>
      </c>
      <c r="AV19" s="411"/>
      <c r="AW19" s="411"/>
      <c r="AX19" s="411"/>
      <c r="AY19" s="411"/>
      <c r="AZ19" s="411" t="s">
        <v>942</v>
      </c>
      <c r="BA19" s="412">
        <v>29</v>
      </c>
      <c r="BB19" s="409">
        <v>12</v>
      </c>
      <c r="BC19" s="411" t="s">
        <v>799</v>
      </c>
      <c r="BD19" s="411">
        <v>1</v>
      </c>
      <c r="BE19" s="411">
        <v>1</v>
      </c>
      <c r="BF19" s="411" t="s">
        <v>810</v>
      </c>
      <c r="BG19" s="411">
        <v>29</v>
      </c>
      <c r="BH19" s="409">
        <v>24</v>
      </c>
      <c r="BI19" s="411"/>
      <c r="BJ19" s="411"/>
      <c r="BK19" s="411"/>
      <c r="BL19" s="411"/>
      <c r="BM19" s="411"/>
      <c r="BN19" s="419"/>
      <c r="BO19" s="420"/>
      <c r="BP19" s="420"/>
      <c r="BQ19" s="420"/>
      <c r="BR19" s="420"/>
      <c r="BS19" s="420"/>
      <c r="BT19" s="419"/>
      <c r="BU19" s="420"/>
      <c r="BV19" s="420"/>
      <c r="BW19" s="420"/>
      <c r="BX19" s="420"/>
      <c r="BY19" s="420"/>
    </row>
    <row r="20" spans="2:77">
      <c r="B20" s="748" t="s">
        <v>205</v>
      </c>
      <c r="C20" s="749" t="s">
        <v>852</v>
      </c>
      <c r="D20" s="749">
        <v>1</v>
      </c>
      <c r="E20" s="749" t="s">
        <v>615</v>
      </c>
      <c r="F20" s="750" t="s">
        <v>54</v>
      </c>
      <c r="G20" s="750" t="s">
        <v>54</v>
      </c>
      <c r="H20" s="751" t="s">
        <v>1006</v>
      </c>
      <c r="I20" s="752"/>
      <c r="J20" s="753"/>
      <c r="K20" s="754"/>
      <c r="L20" s="754"/>
      <c r="M20" s="754"/>
      <c r="N20" s="755"/>
      <c r="O20" s="754"/>
      <c r="P20" s="754"/>
      <c r="Q20" s="754"/>
      <c r="R20" s="756">
        <f>COUNTA(RR[[#This Row],[G26 cp]],RR[[#This Row],[G23 cp]],RR[[#This Row],[G17 cp]],RR[[#This Row],[G11 cp]],RR[[#This Row],[G8 cp]],RR[[#This Row],[G4 cp]])</f>
        <v>0</v>
      </c>
      <c r="S20" s="757">
        <f>MAX(RR[[#This Row],[G26 cp]],RR[[#This Row],[G23 cp]],RR[[#This Row],[G17 cp]],RR[[#This Row],[G11 cp]],RR[[#This Row],[G8 cp]],RR[[#This Row],[G4 cp]])</f>
        <v>0</v>
      </c>
      <c r="T20" s="757">
        <f>(SUM(RR[[#This Row],[G26 cp]],RR[[#This Row],[G23 cp]],RR[[#This Row],[G17 cp]],RR[[#This Row],[G11 cp]],RR[[#This Row],[G8 cp]],RR[[#This Row],[G4 cp]])-RR[[#This Row],[Max.]]) / (RR[[#This Row],[Innings]]-1)</f>
        <v>0</v>
      </c>
      <c r="U20" s="749">
        <f>MIN(RR[[#This Row],[G26 cp]],RR[[#This Row],[G23 cp]],RR[[#This Row],[G17 cp]],RR[[#This Row],[G11 cp]],RR[[#This Row],[G8 cp]],RR[[#This Row],[G4 cp]])</f>
        <v>0</v>
      </c>
      <c r="V20" s="756">
        <f>RR[[#This Row],[G26 cp]]</f>
        <v>0</v>
      </c>
      <c r="W20" s="748">
        <f>RR[[#This Row],[G23 cp]]</f>
        <v>0</v>
      </c>
      <c r="X20" s="748">
        <f>RR[[#This Row],[G17 cp]]</f>
        <v>0</v>
      </c>
      <c r="Y20" s="748">
        <f>RR[[#This Row],[G11 cp]]</f>
        <v>0</v>
      </c>
      <c r="Z20" s="748">
        <f>RR[[#This Row],[G8 cp]]</f>
        <v>0</v>
      </c>
      <c r="AA20" s="758">
        <f>RR[[#This Row],[G4 cp]]</f>
        <v>0</v>
      </c>
      <c r="AB20" s="756">
        <f>COUNTA(RR[[#This Row],[G17 cp]],RR[[#This Row],[G11 cp]],RR[[#This Row],[G4 cp]])</f>
        <v>0</v>
      </c>
      <c r="AC20" s="748">
        <f>MAX(RR[[#This Row],[G17 cp]],RR[[#This Row],[G11 cp]],RR[[#This Row],[G4 cp]])</f>
        <v>0</v>
      </c>
      <c r="AD20" s="764">
        <f>( SUM(RR[[#This Row],[G17 cp]],RR[[#This Row],[G11 cp]],RR[[#This Row],[G4 cp]]) -RR[[#This Row],[Max B1]]) / (RR[[#This Row],[Innings B1]] - 1)</f>
        <v>0</v>
      </c>
      <c r="AE20" s="758">
        <f>MIN(RR[[#This Row],[G17 cp]],RR[[#This Row],[G11 cp]],RR[[#This Row],[G4 cp]])</f>
        <v>0</v>
      </c>
      <c r="AF20" s="748">
        <f>COUNTA(RR[[#This Row],[G26 cp]],RR[[#This Row],[G11 cp]],RR[[#This Row],[G8 cp]])</f>
        <v>0</v>
      </c>
      <c r="AG20" s="748">
        <f>MAX(RR[[#This Row],[G26 cp]],RR[[#This Row],[G23 cp]],RR[[#This Row],[G8 cp]])</f>
        <v>0</v>
      </c>
      <c r="AH20" s="764">
        <f>( SUM(RR[[#This Row],[G26 cp]],RR[[#This Row],[G23 cp]],RR[[#This Row],[G8 cp]]) -RR[[#This Row],[Max CHS]]) / (RR[[#This Row],[Innings CHS]] - 1)</f>
        <v>0</v>
      </c>
      <c r="AI20" s="748">
        <f>MIN(RR[[#This Row],[G26 cp]],RR[[#This Row],[G23 cp]],RR[[#This Row],[G8 cp]])</f>
        <v>0</v>
      </c>
      <c r="AJ20" s="756"/>
      <c r="AK20" s="758"/>
      <c r="AL20" s="754"/>
      <c r="AM20" s="754"/>
      <c r="AN20" s="754"/>
      <c r="AO20" s="754"/>
      <c r="AP20" s="754"/>
      <c r="AQ20" s="754"/>
      <c r="AR20" s="754"/>
      <c r="AS20" s="754"/>
      <c r="AT20" s="748"/>
      <c r="AU20" s="756"/>
      <c r="AV20" s="748"/>
      <c r="AW20" s="748"/>
      <c r="AX20" s="748"/>
      <c r="AY20" s="748"/>
      <c r="AZ20" s="748"/>
      <c r="BA20" s="758"/>
      <c r="BB20" s="756">
        <v>15</v>
      </c>
      <c r="BC20" s="748"/>
      <c r="BD20" s="748"/>
      <c r="BE20" s="748"/>
      <c r="BF20" s="748"/>
      <c r="BG20" s="748"/>
      <c r="BH20" s="756">
        <v>24</v>
      </c>
      <c r="BI20" s="748"/>
      <c r="BJ20" s="748"/>
      <c r="BK20" s="748"/>
      <c r="BL20" s="748"/>
      <c r="BM20" s="748"/>
      <c r="BN20" s="759"/>
      <c r="BO20" s="760"/>
      <c r="BP20" s="760"/>
      <c r="BQ20" s="760"/>
      <c r="BR20" s="760"/>
      <c r="BS20" s="760"/>
      <c r="BT20" s="759"/>
      <c r="BU20" s="760"/>
      <c r="BV20" s="760"/>
      <c r="BW20" s="760"/>
      <c r="BX20" s="760"/>
      <c r="BY20" s="760"/>
    </row>
    <row r="21" spans="2:77">
      <c r="B21" s="405" t="s">
        <v>205</v>
      </c>
      <c r="C21" s="395" t="s">
        <v>847</v>
      </c>
      <c r="D21" s="395">
        <v>0.3</v>
      </c>
      <c r="E21" s="395" t="s">
        <v>848</v>
      </c>
      <c r="F21" s="402" t="s">
        <v>55</v>
      </c>
      <c r="G21" s="402" t="s">
        <v>55</v>
      </c>
      <c r="H21" s="449"/>
      <c r="I21" s="455"/>
      <c r="J21" s="462"/>
      <c r="K21" s="443"/>
      <c r="L21" s="443"/>
      <c r="M21" s="443"/>
      <c r="N21" s="469"/>
      <c r="O21" s="443"/>
      <c r="P21" s="443"/>
      <c r="Q21" s="443"/>
      <c r="R21" s="403">
        <f>COUNTA(RR[[#This Row],[G26 cp]],RR[[#This Row],[G23 cp]],RR[[#This Row],[G17 cp]],RR[[#This Row],[G11 cp]],RR[[#This Row],[G8 cp]],RR[[#This Row],[G4 cp]])</f>
        <v>2</v>
      </c>
      <c r="S21" s="404">
        <f>MAX(RR[[#This Row],[G26 cp]],RR[[#This Row],[G23 cp]],RR[[#This Row],[G17 cp]],RR[[#This Row],[G11 cp]],RR[[#This Row],[G8 cp]],RR[[#This Row],[G4 cp]])</f>
        <v>10</v>
      </c>
      <c r="T21" s="404">
        <f>(SUM(RR[[#This Row],[G26 cp]],RR[[#This Row],[G23 cp]],RR[[#This Row],[G17 cp]],RR[[#This Row],[G11 cp]],RR[[#This Row],[G8 cp]],RR[[#This Row],[G4 cp]])-RR[[#This Row],[Max.]]) / (RR[[#This Row],[Innings]]-1)</f>
        <v>-2</v>
      </c>
      <c r="U21" s="395">
        <f>MIN(RR[[#This Row],[G26 cp]],RR[[#This Row],[G23 cp]],RR[[#This Row],[G17 cp]],RR[[#This Row],[G11 cp]],RR[[#This Row],[G8 cp]],RR[[#This Row],[G4 cp]])</f>
        <v>-2</v>
      </c>
      <c r="V21" s="403">
        <f>RR[[#This Row],[G26 cp]]</f>
        <v>0</v>
      </c>
      <c r="W21" s="405">
        <f>RR[[#This Row],[G23 cp]]</f>
        <v>0</v>
      </c>
      <c r="X21" s="405">
        <f>RR[[#This Row],[G17 cp]]</f>
        <v>0</v>
      </c>
      <c r="Y21" s="405">
        <f>RR[[#This Row],[G11 cp]]</f>
        <v>0</v>
      </c>
      <c r="Z21" s="405">
        <f>RR[[#This Row],[G8 cp]]</f>
        <v>-2</v>
      </c>
      <c r="AA21" s="406">
        <f>RR[[#This Row],[G4 cp]]</f>
        <v>10</v>
      </c>
      <c r="AB21" s="403">
        <f>COUNTA(RR[[#This Row],[G17 cp]],RR[[#This Row],[G11 cp]],RR[[#This Row],[G4 cp]])</f>
        <v>1</v>
      </c>
      <c r="AC21" s="405">
        <f>MAX(RR[[#This Row],[G17 cp]],RR[[#This Row],[G11 cp]],RR[[#This Row],[G4 cp]])</f>
        <v>10</v>
      </c>
      <c r="AD21" s="765" t="e">
        <f>( SUM(RR[[#This Row],[G17 cp]],RR[[#This Row],[G11 cp]],RR[[#This Row],[G4 cp]]) -RR[[#This Row],[Max B1]]) / (RR[[#This Row],[Innings B1]] - 1)</f>
        <v>#DIV/0!</v>
      </c>
      <c r="AE21" s="406">
        <f>MIN(RR[[#This Row],[G17 cp]],RR[[#This Row],[G11 cp]],RR[[#This Row],[G4 cp]])</f>
        <v>10</v>
      </c>
      <c r="AF21" s="405">
        <f>COUNTA(RR[[#This Row],[G26 cp]],RR[[#This Row],[G11 cp]],RR[[#This Row],[G8 cp]])</f>
        <v>1</v>
      </c>
      <c r="AG21" s="405">
        <f>MAX(RR[[#This Row],[G26 cp]],RR[[#This Row],[G23 cp]],RR[[#This Row],[G8 cp]])</f>
        <v>-2</v>
      </c>
      <c r="AH21" s="765" t="e">
        <f>( SUM(RR[[#This Row],[G26 cp]],RR[[#This Row],[G23 cp]],RR[[#This Row],[G8 cp]]) -RR[[#This Row],[Max CHS]]) / (RR[[#This Row],[Innings CHS]] - 1)</f>
        <v>#DIV/0!</v>
      </c>
      <c r="AI21" s="405">
        <f>MIN(RR[[#This Row],[G26 cp]],RR[[#This Row],[G23 cp]],RR[[#This Row],[G8 cp]])</f>
        <v>-2</v>
      </c>
      <c r="AJ21" s="403"/>
      <c r="AK21" s="406"/>
      <c r="AL21" s="443"/>
      <c r="AM21" s="443"/>
      <c r="AN21" s="443"/>
      <c r="AO21" s="443"/>
      <c r="AP21" s="443"/>
      <c r="AQ21" s="443"/>
      <c r="AR21" s="443"/>
      <c r="AS21" s="443"/>
      <c r="AT21" s="405"/>
      <c r="AU21" s="403"/>
      <c r="AV21" s="405"/>
      <c r="AW21" s="405"/>
      <c r="AX21" s="405"/>
      <c r="AY21" s="405"/>
      <c r="AZ21" s="405"/>
      <c r="BA21" s="406"/>
      <c r="BB21" s="403">
        <v>15</v>
      </c>
      <c r="BC21" s="405"/>
      <c r="BD21" s="405"/>
      <c r="BE21" s="405"/>
      <c r="BF21" s="405"/>
      <c r="BG21" s="405"/>
      <c r="BH21" s="403"/>
      <c r="BI21" s="405"/>
      <c r="BJ21" s="405"/>
      <c r="BK21" s="405"/>
      <c r="BL21" s="405"/>
      <c r="BM21" s="405"/>
      <c r="BN21" s="403">
        <v>9</v>
      </c>
      <c r="BO21" s="395"/>
      <c r="BP21" s="395"/>
      <c r="BQ21" s="395"/>
      <c r="BR21" s="395" t="s">
        <v>241</v>
      </c>
      <c r="BS21" s="395">
        <v>-2</v>
      </c>
      <c r="BT21" s="403">
        <v>9</v>
      </c>
      <c r="BU21" s="395"/>
      <c r="BV21" s="395"/>
      <c r="BW21" s="395"/>
      <c r="BX21" s="395" t="s">
        <v>213</v>
      </c>
      <c r="BY21" s="395">
        <v>10</v>
      </c>
    </row>
    <row r="22" spans="2:77">
      <c r="B22" s="417" t="s">
        <v>205</v>
      </c>
      <c r="C22" s="413" t="s">
        <v>854</v>
      </c>
      <c r="D22" s="413">
        <v>0.5</v>
      </c>
      <c r="E22" s="413"/>
      <c r="F22" s="414" t="s">
        <v>75</v>
      </c>
      <c r="G22" s="414" t="s">
        <v>75</v>
      </c>
      <c r="H22" s="451"/>
      <c r="I22" s="457"/>
      <c r="J22" s="464"/>
      <c r="K22" s="445"/>
      <c r="L22" s="445"/>
      <c r="M22" s="445"/>
      <c r="N22" s="471"/>
      <c r="O22" s="445"/>
      <c r="P22" s="445"/>
      <c r="Q22" s="445"/>
      <c r="R22" s="415">
        <f>COUNTA(RR[[#This Row],[G26 cp]],RR[[#This Row],[G23 cp]],RR[[#This Row],[G17 cp]],RR[[#This Row],[G11 cp]],RR[[#This Row],[G8 cp]],RR[[#This Row],[G4 cp]])</f>
        <v>0</v>
      </c>
      <c r="S22" s="416">
        <f>MAX(RR[[#This Row],[G26 cp]],RR[[#This Row],[G23 cp]],RR[[#This Row],[G17 cp]],RR[[#This Row],[G11 cp]],RR[[#This Row],[G8 cp]],RR[[#This Row],[G4 cp]])</f>
        <v>0</v>
      </c>
      <c r="T22" s="416">
        <f>(SUM(RR[[#This Row],[G26 cp]],RR[[#This Row],[G23 cp]],RR[[#This Row],[G17 cp]],RR[[#This Row],[G11 cp]],RR[[#This Row],[G8 cp]],RR[[#This Row],[G4 cp]])-RR[[#This Row],[Max.]]) / (RR[[#This Row],[Innings]]-1)</f>
        <v>0</v>
      </c>
      <c r="U22" s="413">
        <f>MIN(RR[[#This Row],[G26 cp]],RR[[#This Row],[G23 cp]],RR[[#This Row],[G17 cp]],RR[[#This Row],[G11 cp]],RR[[#This Row],[G8 cp]],RR[[#This Row],[G4 cp]])</f>
        <v>0</v>
      </c>
      <c r="V22" s="415">
        <f>RR[[#This Row],[G26 cp]]</f>
        <v>0</v>
      </c>
      <c r="W22" s="417">
        <f>RR[[#This Row],[G23 cp]]</f>
        <v>0</v>
      </c>
      <c r="X22" s="417">
        <f>RR[[#This Row],[G17 cp]]</f>
        <v>0</v>
      </c>
      <c r="Y22" s="417">
        <f>RR[[#This Row],[G11 cp]]</f>
        <v>0</v>
      </c>
      <c r="Z22" s="417">
        <f>RR[[#This Row],[G8 cp]]</f>
        <v>0</v>
      </c>
      <c r="AA22" s="418">
        <f>RR[[#This Row],[G4 cp]]</f>
        <v>0</v>
      </c>
      <c r="AB22" s="415">
        <f>COUNTA(RR[[#This Row],[G17 cp]],RR[[#This Row],[G11 cp]],RR[[#This Row],[G4 cp]])</f>
        <v>0</v>
      </c>
      <c r="AC22" s="417">
        <f>MAX(RR[[#This Row],[G17 cp]],RR[[#This Row],[G11 cp]],RR[[#This Row],[G4 cp]])</f>
        <v>0</v>
      </c>
      <c r="AD22" s="768">
        <f>( SUM(RR[[#This Row],[G17 cp]],RR[[#This Row],[G11 cp]],RR[[#This Row],[G4 cp]]) -RR[[#This Row],[Max B1]]) / (RR[[#This Row],[Innings B1]] - 1)</f>
        <v>0</v>
      </c>
      <c r="AE22" s="418">
        <f>MIN(RR[[#This Row],[G17 cp]],RR[[#This Row],[G11 cp]],RR[[#This Row],[G4 cp]])</f>
        <v>0</v>
      </c>
      <c r="AF22" s="417">
        <f>COUNTA(RR[[#This Row],[G26 cp]],RR[[#This Row],[G11 cp]],RR[[#This Row],[G8 cp]])</f>
        <v>0</v>
      </c>
      <c r="AG22" s="417">
        <f>MAX(RR[[#This Row],[G26 cp]],RR[[#This Row],[G23 cp]],RR[[#This Row],[G8 cp]])</f>
        <v>0</v>
      </c>
      <c r="AH22" s="768">
        <f>( SUM(RR[[#This Row],[G26 cp]],RR[[#This Row],[G23 cp]],RR[[#This Row],[G8 cp]]) -RR[[#This Row],[Max CHS]]) / (RR[[#This Row],[Innings CHS]] - 1)</f>
        <v>0</v>
      </c>
      <c r="AI22" s="417">
        <f>MIN(RR[[#This Row],[G26 cp]],RR[[#This Row],[G23 cp]],RR[[#This Row],[G8 cp]])</f>
        <v>0</v>
      </c>
      <c r="AJ22" s="415"/>
      <c r="AK22" s="418"/>
      <c r="AL22" s="445"/>
      <c r="AM22" s="445"/>
      <c r="AN22" s="445"/>
      <c r="AO22" s="445"/>
      <c r="AP22" s="445"/>
      <c r="AQ22" s="445"/>
      <c r="AR22" s="445"/>
      <c r="AS22" s="445"/>
      <c r="AT22" s="417"/>
      <c r="AU22" s="415"/>
      <c r="AV22" s="417"/>
      <c r="AW22" s="417"/>
      <c r="AX22" s="417"/>
      <c r="AY22" s="417"/>
      <c r="AZ22" s="417"/>
      <c r="BA22" s="418"/>
      <c r="BB22" s="415">
        <v>15</v>
      </c>
      <c r="BC22" s="417"/>
      <c r="BD22" s="417"/>
      <c r="BE22" s="417"/>
      <c r="BF22" s="417"/>
      <c r="BG22" s="417"/>
      <c r="BH22" s="415"/>
      <c r="BI22" s="417"/>
      <c r="BJ22" s="417"/>
      <c r="BK22" s="417"/>
      <c r="BL22" s="417"/>
      <c r="BM22" s="417"/>
      <c r="BN22" s="415"/>
      <c r="BO22" s="413"/>
      <c r="BP22" s="413"/>
      <c r="BQ22" s="413"/>
      <c r="BR22" s="413"/>
      <c r="BS22" s="413"/>
      <c r="BT22" s="415"/>
      <c r="BU22" s="413"/>
      <c r="BV22" s="413"/>
      <c r="BW22" s="413"/>
      <c r="BX22" s="413"/>
      <c r="BY22" s="413"/>
    </row>
    <row r="23" spans="2:77">
      <c r="B23" s="411" t="s">
        <v>205</v>
      </c>
      <c r="C23" s="407" t="s">
        <v>853</v>
      </c>
      <c r="D23" s="407">
        <v>0.75</v>
      </c>
      <c r="E23" s="407" t="s">
        <v>613</v>
      </c>
      <c r="F23" s="408" t="s">
        <v>56</v>
      </c>
      <c r="G23" s="408" t="s">
        <v>56</v>
      </c>
      <c r="H23" s="450" t="s">
        <v>1004</v>
      </c>
      <c r="I23" s="456"/>
      <c r="J23" s="463"/>
      <c r="K23" s="444"/>
      <c r="L23" s="444"/>
      <c r="M23" s="444"/>
      <c r="N23" s="470"/>
      <c r="O23" s="444"/>
      <c r="P23" s="444"/>
      <c r="Q23" s="444"/>
      <c r="R23" s="409">
        <f>COUNTA(RR[[#This Row],[G26 cp]],RR[[#This Row],[G23 cp]],RR[[#This Row],[G17 cp]],RR[[#This Row],[G11 cp]],RR[[#This Row],[G8 cp]],RR[[#This Row],[G4 cp]])</f>
        <v>0</v>
      </c>
      <c r="S23" s="410">
        <f>MAX(RR[[#This Row],[G26 cp]],RR[[#This Row],[G23 cp]],RR[[#This Row],[G17 cp]],RR[[#This Row],[G11 cp]],RR[[#This Row],[G8 cp]],RR[[#This Row],[G4 cp]])</f>
        <v>0</v>
      </c>
      <c r="T23" s="410">
        <f>(SUM(RR[[#This Row],[G26 cp]],RR[[#This Row],[G23 cp]],RR[[#This Row],[G17 cp]],RR[[#This Row],[G11 cp]],RR[[#This Row],[G8 cp]],RR[[#This Row],[G4 cp]])-RR[[#This Row],[Max.]]) / (RR[[#This Row],[Innings]]-1)</f>
        <v>0</v>
      </c>
      <c r="U23" s="407">
        <f>MIN(RR[[#This Row],[G26 cp]],RR[[#This Row],[G23 cp]],RR[[#This Row],[G17 cp]],RR[[#This Row],[G11 cp]],RR[[#This Row],[G8 cp]],RR[[#This Row],[G4 cp]])</f>
        <v>0</v>
      </c>
      <c r="V23" s="409">
        <f>RR[[#This Row],[G26 cp]]</f>
        <v>0</v>
      </c>
      <c r="W23" s="411">
        <f>RR[[#This Row],[G23 cp]]</f>
        <v>0</v>
      </c>
      <c r="X23" s="411">
        <f>RR[[#This Row],[G17 cp]]</f>
        <v>0</v>
      </c>
      <c r="Y23" s="411">
        <f>RR[[#This Row],[G11 cp]]</f>
        <v>0</v>
      </c>
      <c r="Z23" s="411">
        <f>RR[[#This Row],[G8 cp]]</f>
        <v>0</v>
      </c>
      <c r="AA23" s="412">
        <f>RR[[#This Row],[G4 cp]]</f>
        <v>0</v>
      </c>
      <c r="AB23" s="409">
        <f>COUNTA(RR[[#This Row],[G17 cp]],RR[[#This Row],[G11 cp]],RR[[#This Row],[G4 cp]])</f>
        <v>0</v>
      </c>
      <c r="AC23" s="411">
        <f>MAX(RR[[#This Row],[G17 cp]],RR[[#This Row],[G11 cp]],RR[[#This Row],[G4 cp]])</f>
        <v>0</v>
      </c>
      <c r="AD23" s="767">
        <f>( SUM(RR[[#This Row],[G17 cp]],RR[[#This Row],[G11 cp]],RR[[#This Row],[G4 cp]]) -RR[[#This Row],[Max B1]]) / (RR[[#This Row],[Innings B1]] - 1)</f>
        <v>0</v>
      </c>
      <c r="AE23" s="412">
        <f>MIN(RR[[#This Row],[G17 cp]],RR[[#This Row],[G11 cp]],RR[[#This Row],[G4 cp]])</f>
        <v>0</v>
      </c>
      <c r="AF23" s="411">
        <f>COUNTA(RR[[#This Row],[G26 cp]],RR[[#This Row],[G11 cp]],RR[[#This Row],[G8 cp]])</f>
        <v>0</v>
      </c>
      <c r="AG23" s="411">
        <f>MAX(RR[[#This Row],[G26 cp]],RR[[#This Row],[G23 cp]],RR[[#This Row],[G8 cp]])</f>
        <v>0</v>
      </c>
      <c r="AH23" s="767">
        <f>( SUM(RR[[#This Row],[G26 cp]],RR[[#This Row],[G23 cp]],RR[[#This Row],[G8 cp]]) -RR[[#This Row],[Max CHS]]) / (RR[[#This Row],[Innings CHS]] - 1)</f>
        <v>0</v>
      </c>
      <c r="AI23" s="411">
        <f>MIN(RR[[#This Row],[G26 cp]],RR[[#This Row],[G23 cp]],RR[[#This Row],[G8 cp]])</f>
        <v>0</v>
      </c>
      <c r="AJ23" s="409"/>
      <c r="AK23" s="412"/>
      <c r="AL23" s="444"/>
      <c r="AM23" s="444"/>
      <c r="AN23" s="444"/>
      <c r="AO23" s="444"/>
      <c r="AP23" s="444"/>
      <c r="AQ23" s="444"/>
      <c r="AR23" s="444"/>
      <c r="AS23" s="444"/>
      <c r="AT23" s="411"/>
      <c r="AU23" s="409"/>
      <c r="AV23" s="411"/>
      <c r="AW23" s="411"/>
      <c r="AX23" s="411"/>
      <c r="AY23" s="411"/>
      <c r="AZ23" s="411"/>
      <c r="BA23" s="412"/>
      <c r="BB23" s="409">
        <v>24</v>
      </c>
      <c r="BC23" s="411"/>
      <c r="BD23" s="411"/>
      <c r="BE23" s="411"/>
      <c r="BF23" s="411"/>
      <c r="BG23" s="411"/>
      <c r="BH23" s="409">
        <v>24</v>
      </c>
      <c r="BI23" s="411"/>
      <c r="BJ23" s="411"/>
      <c r="BK23" s="411"/>
      <c r="BL23" s="411"/>
      <c r="BM23" s="411"/>
      <c r="BN23" s="409"/>
      <c r="BO23" s="407"/>
      <c r="BP23" s="407"/>
      <c r="BQ23" s="407"/>
      <c r="BR23" s="407"/>
      <c r="BS23" s="407"/>
      <c r="BT23" s="409"/>
      <c r="BU23" s="407"/>
      <c r="BV23" s="407"/>
      <c r="BW23" s="407"/>
      <c r="BX23" s="407"/>
      <c r="BY23" s="407"/>
    </row>
    <row r="24" spans="2:77">
      <c r="B24" s="417" t="s">
        <v>205</v>
      </c>
      <c r="C24" s="413" t="s">
        <v>849</v>
      </c>
      <c r="D24" s="413">
        <v>0.2</v>
      </c>
      <c r="E24" s="413" t="s">
        <v>846</v>
      </c>
      <c r="F24" s="414" t="s">
        <v>56</v>
      </c>
      <c r="G24" s="414" t="s">
        <v>56</v>
      </c>
      <c r="H24" s="451"/>
      <c r="I24" s="457"/>
      <c r="J24" s="464"/>
      <c r="K24" s="445"/>
      <c r="L24" s="445"/>
      <c r="M24" s="445"/>
      <c r="N24" s="471"/>
      <c r="O24" s="445"/>
      <c r="P24" s="445"/>
      <c r="Q24" s="445"/>
      <c r="R24" s="415">
        <f>COUNTA(RR[[#This Row],[G26 cp]],RR[[#This Row],[G23 cp]],RR[[#This Row],[G17 cp]],RR[[#This Row],[G11 cp]],RR[[#This Row],[G8 cp]],RR[[#This Row],[G4 cp]])</f>
        <v>1</v>
      </c>
      <c r="S24" s="416">
        <f>MAX(RR[[#This Row],[G26 cp]],RR[[#This Row],[G23 cp]],RR[[#This Row],[G17 cp]],RR[[#This Row],[G11 cp]],RR[[#This Row],[G8 cp]],RR[[#This Row],[G4 cp]])</f>
        <v>12</v>
      </c>
      <c r="T24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24" s="413">
        <f>MIN(RR[[#This Row],[G26 cp]],RR[[#This Row],[G23 cp]],RR[[#This Row],[G17 cp]],RR[[#This Row],[G11 cp]],RR[[#This Row],[G8 cp]],RR[[#This Row],[G4 cp]])</f>
        <v>12</v>
      </c>
      <c r="V24" s="415">
        <f>RR[[#This Row],[G26 cp]]</f>
        <v>0</v>
      </c>
      <c r="W24" s="417">
        <f>RR[[#This Row],[G23 cp]]</f>
        <v>0</v>
      </c>
      <c r="X24" s="417">
        <f>RR[[#This Row],[G17 cp]]</f>
        <v>0</v>
      </c>
      <c r="Y24" s="417">
        <f>RR[[#This Row],[G11 cp]]</f>
        <v>12</v>
      </c>
      <c r="Z24" s="417">
        <f>RR[[#This Row],[G8 cp]]</f>
        <v>0</v>
      </c>
      <c r="AA24" s="418">
        <f>RR[[#This Row],[G4 cp]]</f>
        <v>0</v>
      </c>
      <c r="AB24" s="415">
        <f>COUNTA(RR[[#This Row],[G17 cp]],RR[[#This Row],[G11 cp]],RR[[#This Row],[G4 cp]])</f>
        <v>1</v>
      </c>
      <c r="AC24" s="417">
        <f>MAX(RR[[#This Row],[G17 cp]],RR[[#This Row],[G11 cp]],RR[[#This Row],[G4 cp]])</f>
        <v>12</v>
      </c>
      <c r="AD24" s="768" t="e">
        <f>( SUM(RR[[#This Row],[G17 cp]],RR[[#This Row],[G11 cp]],RR[[#This Row],[G4 cp]]) -RR[[#This Row],[Max B1]]) / (RR[[#This Row],[Innings B1]] - 1)</f>
        <v>#DIV/0!</v>
      </c>
      <c r="AE24" s="418">
        <f>MIN(RR[[#This Row],[G17 cp]],RR[[#This Row],[G11 cp]],RR[[#This Row],[G4 cp]])</f>
        <v>12</v>
      </c>
      <c r="AF24" s="417">
        <f>COUNTA(RR[[#This Row],[G26 cp]],RR[[#This Row],[G11 cp]],RR[[#This Row],[G8 cp]])</f>
        <v>1</v>
      </c>
      <c r="AG24" s="417">
        <f>MAX(RR[[#This Row],[G26 cp]],RR[[#This Row],[G23 cp]],RR[[#This Row],[G8 cp]])</f>
        <v>0</v>
      </c>
      <c r="AH24" s="768" t="e">
        <f>( SUM(RR[[#This Row],[G26 cp]],RR[[#This Row],[G23 cp]],RR[[#This Row],[G8 cp]]) -RR[[#This Row],[Max CHS]]) / (RR[[#This Row],[Innings CHS]] - 1)</f>
        <v>#DIV/0!</v>
      </c>
      <c r="AI24" s="417">
        <f>MIN(RR[[#This Row],[G26 cp]],RR[[#This Row],[G23 cp]],RR[[#This Row],[G8 cp]])</f>
        <v>0</v>
      </c>
      <c r="AJ24" s="415"/>
      <c r="AK24" s="418"/>
      <c r="AL24" s="445"/>
      <c r="AM24" s="445"/>
      <c r="AN24" s="445"/>
      <c r="AO24" s="445"/>
      <c r="AP24" s="445"/>
      <c r="AQ24" s="445"/>
      <c r="AR24" s="445"/>
      <c r="AS24" s="445"/>
      <c r="AT24" s="417"/>
      <c r="AU24" s="415"/>
      <c r="AV24" s="417"/>
      <c r="AW24" s="417"/>
      <c r="AX24" s="417"/>
      <c r="AY24" s="417"/>
      <c r="AZ24" s="417"/>
      <c r="BA24" s="418"/>
      <c r="BB24" s="415"/>
      <c r="BC24" s="417"/>
      <c r="BD24" s="417"/>
      <c r="BE24" s="417"/>
      <c r="BF24" s="417"/>
      <c r="BG24" s="417"/>
      <c r="BH24" s="415">
        <v>12</v>
      </c>
      <c r="BI24" s="417"/>
      <c r="BJ24" s="417"/>
      <c r="BK24" s="417"/>
      <c r="BL24" s="417" t="s">
        <v>726</v>
      </c>
      <c r="BM24" s="417">
        <v>12</v>
      </c>
      <c r="BN24" s="419"/>
      <c r="BO24" s="420"/>
      <c r="BP24" s="420"/>
      <c r="BQ24" s="420"/>
      <c r="BR24" s="420"/>
      <c r="BS24" s="420"/>
      <c r="BT24" s="419"/>
      <c r="BU24" s="420"/>
      <c r="BV24" s="420"/>
      <c r="BW24" s="420"/>
      <c r="BX24" s="420"/>
      <c r="BY24" s="420"/>
    </row>
    <row r="25" spans="2:77">
      <c r="B25" s="417" t="s">
        <v>205</v>
      </c>
      <c r="C25" s="413" t="s">
        <v>850</v>
      </c>
      <c r="D25" s="413">
        <v>2.6</v>
      </c>
      <c r="E25" s="413" t="s">
        <v>142</v>
      </c>
      <c r="F25" s="414" t="s">
        <v>56</v>
      </c>
      <c r="G25" s="414" t="s">
        <v>56</v>
      </c>
      <c r="H25" s="451"/>
      <c r="I25" s="457"/>
      <c r="J25" s="464"/>
      <c r="K25" s="445"/>
      <c r="L25" s="445"/>
      <c r="M25" s="445"/>
      <c r="N25" s="471"/>
      <c r="O25" s="445"/>
      <c r="P25" s="445"/>
      <c r="Q25" s="445"/>
      <c r="R25" s="415">
        <f>COUNTA(RR[[#This Row],[G26 cp]],RR[[#This Row],[G23 cp]],RR[[#This Row],[G17 cp]],RR[[#This Row],[G11 cp]],RR[[#This Row],[G8 cp]],RR[[#This Row],[G4 cp]])</f>
        <v>1</v>
      </c>
      <c r="S25" s="416">
        <f>MAX(RR[[#This Row],[G26 cp]],RR[[#This Row],[G23 cp]],RR[[#This Row],[G17 cp]],RR[[#This Row],[G11 cp]],RR[[#This Row],[G8 cp]],RR[[#This Row],[G4 cp]])</f>
        <v>10</v>
      </c>
      <c r="T25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25" s="413">
        <f>MIN(RR[[#This Row],[G26 cp]],RR[[#This Row],[G23 cp]],RR[[#This Row],[G17 cp]],RR[[#This Row],[G11 cp]],RR[[#This Row],[G8 cp]],RR[[#This Row],[G4 cp]])</f>
        <v>10</v>
      </c>
      <c r="V25" s="415">
        <f>RR[[#This Row],[G26 cp]]</f>
        <v>0</v>
      </c>
      <c r="W25" s="417">
        <f>RR[[#This Row],[G23 cp]]</f>
        <v>0</v>
      </c>
      <c r="X25" s="417">
        <f>RR[[#This Row],[G17 cp]]</f>
        <v>0</v>
      </c>
      <c r="Y25" s="417">
        <f>RR[[#This Row],[G11 cp]]</f>
        <v>0</v>
      </c>
      <c r="Z25" s="417">
        <f>RR[[#This Row],[G8 cp]]</f>
        <v>0</v>
      </c>
      <c r="AA25" s="418">
        <f>RR[[#This Row],[G4 cp]]</f>
        <v>10</v>
      </c>
      <c r="AB25" s="415">
        <f>COUNTA(RR[[#This Row],[G17 cp]],RR[[#This Row],[G11 cp]],RR[[#This Row],[G4 cp]])</f>
        <v>1</v>
      </c>
      <c r="AC25" s="417">
        <f>MAX(RR[[#This Row],[G17 cp]],RR[[#This Row],[G11 cp]],RR[[#This Row],[G4 cp]])</f>
        <v>10</v>
      </c>
      <c r="AD25" s="768" t="e">
        <f>( SUM(RR[[#This Row],[G17 cp]],RR[[#This Row],[G11 cp]],RR[[#This Row],[G4 cp]]) -RR[[#This Row],[Max B1]]) / (RR[[#This Row],[Innings B1]] - 1)</f>
        <v>#DIV/0!</v>
      </c>
      <c r="AE25" s="418">
        <f>MIN(RR[[#This Row],[G17 cp]],RR[[#This Row],[G11 cp]],RR[[#This Row],[G4 cp]])</f>
        <v>10</v>
      </c>
      <c r="AF25" s="417">
        <f>COUNTA(RR[[#This Row],[G26 cp]],RR[[#This Row],[G11 cp]],RR[[#This Row],[G8 cp]])</f>
        <v>0</v>
      </c>
      <c r="AG25" s="417">
        <f>MAX(RR[[#This Row],[G26 cp]],RR[[#This Row],[G23 cp]],RR[[#This Row],[G8 cp]])</f>
        <v>0</v>
      </c>
      <c r="AH25" s="768">
        <f>( SUM(RR[[#This Row],[G26 cp]],RR[[#This Row],[G23 cp]],RR[[#This Row],[G8 cp]]) -RR[[#This Row],[Max CHS]]) / (RR[[#This Row],[Innings CHS]] - 1)</f>
        <v>0</v>
      </c>
      <c r="AI25" s="417">
        <f>MIN(RR[[#This Row],[G26 cp]],RR[[#This Row],[G23 cp]],RR[[#This Row],[G8 cp]])</f>
        <v>0</v>
      </c>
      <c r="AJ25" s="415"/>
      <c r="AK25" s="418"/>
      <c r="AL25" s="445"/>
      <c r="AM25" s="445"/>
      <c r="AN25" s="445"/>
      <c r="AO25" s="445"/>
      <c r="AP25" s="445"/>
      <c r="AQ25" s="445"/>
      <c r="AR25" s="445"/>
      <c r="AS25" s="445"/>
      <c r="AT25" s="417"/>
      <c r="AU25" s="415"/>
      <c r="AV25" s="417"/>
      <c r="AW25" s="417"/>
      <c r="AX25" s="417"/>
      <c r="AY25" s="417"/>
      <c r="AZ25" s="417"/>
      <c r="BA25" s="418"/>
      <c r="BB25" s="415"/>
      <c r="BC25" s="417"/>
      <c r="BD25" s="417"/>
      <c r="BE25" s="417"/>
      <c r="BF25" s="417"/>
      <c r="BG25" s="417"/>
      <c r="BH25" s="415"/>
      <c r="BI25" s="417"/>
      <c r="BJ25" s="417"/>
      <c r="BK25" s="417"/>
      <c r="BL25" s="417"/>
      <c r="BM25" s="417"/>
      <c r="BN25" s="415"/>
      <c r="BO25" s="413"/>
      <c r="BP25" s="413"/>
      <c r="BQ25" s="413"/>
      <c r="BR25" s="413"/>
      <c r="BS25" s="413"/>
      <c r="BT25" s="415">
        <v>12</v>
      </c>
      <c r="BU25" s="413"/>
      <c r="BV25" s="413"/>
      <c r="BW25" s="413"/>
      <c r="BX25" s="413" t="s">
        <v>211</v>
      </c>
      <c r="BY25" s="413">
        <v>10</v>
      </c>
    </row>
    <row r="26" spans="2:77">
      <c r="B26" s="417" t="s">
        <v>205</v>
      </c>
      <c r="C26" s="413" t="s">
        <v>855</v>
      </c>
      <c r="D26" s="413">
        <v>0.3</v>
      </c>
      <c r="E26" s="413"/>
      <c r="F26" s="414" t="s">
        <v>56</v>
      </c>
      <c r="G26" s="414" t="s">
        <v>56</v>
      </c>
      <c r="H26" s="451"/>
      <c r="I26" s="457"/>
      <c r="J26" s="464"/>
      <c r="K26" s="445"/>
      <c r="L26" s="445"/>
      <c r="M26" s="445"/>
      <c r="N26" s="471"/>
      <c r="O26" s="445"/>
      <c r="P26" s="445"/>
      <c r="Q26" s="445"/>
      <c r="R26" s="415">
        <f>COUNTA(RR[[#This Row],[G26 cp]],RR[[#This Row],[G23 cp]],RR[[#This Row],[G17 cp]],RR[[#This Row],[G11 cp]],RR[[#This Row],[G8 cp]],RR[[#This Row],[G4 cp]])</f>
        <v>0</v>
      </c>
      <c r="S26" s="416">
        <f>MAX(RR[[#This Row],[G26 cp]],RR[[#This Row],[G23 cp]],RR[[#This Row],[G17 cp]],RR[[#This Row],[G11 cp]],RR[[#This Row],[G8 cp]],RR[[#This Row],[G4 cp]])</f>
        <v>0</v>
      </c>
      <c r="T26" s="416">
        <f>(SUM(RR[[#This Row],[G26 cp]],RR[[#This Row],[G23 cp]],RR[[#This Row],[G17 cp]],RR[[#This Row],[G11 cp]],RR[[#This Row],[G8 cp]],RR[[#This Row],[G4 cp]])-RR[[#This Row],[Max.]]) / (RR[[#This Row],[Innings]]-1)</f>
        <v>0</v>
      </c>
      <c r="U26" s="413">
        <f>MIN(RR[[#This Row],[G26 cp]],RR[[#This Row],[G23 cp]],RR[[#This Row],[G17 cp]],RR[[#This Row],[G11 cp]],RR[[#This Row],[G8 cp]],RR[[#This Row],[G4 cp]])</f>
        <v>0</v>
      </c>
      <c r="V26" s="415">
        <f>RR[[#This Row],[G26 cp]]</f>
        <v>0</v>
      </c>
      <c r="W26" s="417">
        <f>RR[[#This Row],[G23 cp]]</f>
        <v>0</v>
      </c>
      <c r="X26" s="417">
        <f>RR[[#This Row],[G17 cp]]</f>
        <v>0</v>
      </c>
      <c r="Y26" s="417">
        <f>RR[[#This Row],[G11 cp]]</f>
        <v>0</v>
      </c>
      <c r="Z26" s="417">
        <f>RR[[#This Row],[G8 cp]]</f>
        <v>0</v>
      </c>
      <c r="AA26" s="418">
        <f>RR[[#This Row],[G4 cp]]</f>
        <v>0</v>
      </c>
      <c r="AB26" s="415">
        <f>COUNTA(RR[[#This Row],[G17 cp]],RR[[#This Row],[G11 cp]],RR[[#This Row],[G4 cp]])</f>
        <v>0</v>
      </c>
      <c r="AC26" s="417">
        <f>MAX(RR[[#This Row],[G17 cp]],RR[[#This Row],[G11 cp]],RR[[#This Row],[G4 cp]])</f>
        <v>0</v>
      </c>
      <c r="AD26" s="768">
        <f>( SUM(RR[[#This Row],[G17 cp]],RR[[#This Row],[G11 cp]],RR[[#This Row],[G4 cp]]) -RR[[#This Row],[Max B1]]) / (RR[[#This Row],[Innings B1]] - 1)</f>
        <v>0</v>
      </c>
      <c r="AE26" s="418">
        <f>MIN(RR[[#This Row],[G17 cp]],RR[[#This Row],[G11 cp]],RR[[#This Row],[G4 cp]])</f>
        <v>0</v>
      </c>
      <c r="AF26" s="417">
        <f>COUNTA(RR[[#This Row],[G26 cp]],RR[[#This Row],[G11 cp]],RR[[#This Row],[G8 cp]])</f>
        <v>0</v>
      </c>
      <c r="AG26" s="417">
        <f>MAX(RR[[#This Row],[G26 cp]],RR[[#This Row],[G23 cp]],RR[[#This Row],[G8 cp]])</f>
        <v>0</v>
      </c>
      <c r="AH26" s="768">
        <f>( SUM(RR[[#This Row],[G26 cp]],RR[[#This Row],[G23 cp]],RR[[#This Row],[G8 cp]]) -RR[[#This Row],[Max CHS]]) / (RR[[#This Row],[Innings CHS]] - 1)</f>
        <v>0</v>
      </c>
      <c r="AI26" s="417">
        <f>MIN(RR[[#This Row],[G26 cp]],RR[[#This Row],[G23 cp]],RR[[#This Row],[G8 cp]])</f>
        <v>0</v>
      </c>
      <c r="AJ26" s="415"/>
      <c r="AK26" s="418"/>
      <c r="AL26" s="445"/>
      <c r="AM26" s="445"/>
      <c r="AN26" s="445"/>
      <c r="AO26" s="445"/>
      <c r="AP26" s="445"/>
      <c r="AQ26" s="445"/>
      <c r="AR26" s="445"/>
      <c r="AS26" s="445"/>
      <c r="AT26" s="417"/>
      <c r="AU26" s="415"/>
      <c r="AV26" s="417"/>
      <c r="AW26" s="417"/>
      <c r="AX26" s="417"/>
      <c r="AY26" s="417"/>
      <c r="AZ26" s="417"/>
      <c r="BA26" s="418"/>
      <c r="BB26" s="415"/>
      <c r="BC26" s="417"/>
      <c r="BD26" s="417"/>
      <c r="BE26" s="417"/>
      <c r="BF26" s="417"/>
      <c r="BG26" s="417"/>
      <c r="BH26" s="415"/>
      <c r="BI26" s="417"/>
      <c r="BJ26" s="417"/>
      <c r="BK26" s="417"/>
      <c r="BL26" s="417"/>
      <c r="BM26" s="417"/>
      <c r="BN26" s="415"/>
      <c r="BO26" s="413"/>
      <c r="BP26" s="413"/>
      <c r="BQ26" s="413"/>
      <c r="BR26" s="413"/>
      <c r="BS26" s="413"/>
      <c r="BT26" s="415"/>
      <c r="BU26" s="413"/>
      <c r="BV26" s="413"/>
      <c r="BW26" s="413"/>
      <c r="BX26" s="413"/>
      <c r="BY26" s="413"/>
    </row>
    <row r="27" spans="2:77">
      <c r="B27" s="405" t="s">
        <v>205</v>
      </c>
      <c r="C27" s="395" t="s">
        <v>103</v>
      </c>
      <c r="D27" s="395">
        <v>0.2</v>
      </c>
      <c r="E27" s="395" t="s">
        <v>349</v>
      </c>
      <c r="F27" s="402" t="s">
        <v>55</v>
      </c>
      <c r="G27" s="402" t="s">
        <v>55</v>
      </c>
      <c r="H27" s="449"/>
      <c r="I27" s="455"/>
      <c r="J27" s="462"/>
      <c r="K27" s="443"/>
      <c r="L27" s="443"/>
      <c r="M27" s="443"/>
      <c r="N27" s="469"/>
      <c r="O27" s="443"/>
      <c r="P27" s="443"/>
      <c r="Q27" s="443"/>
      <c r="R27" s="403">
        <f>COUNTA(RR[[#This Row],[G26 cp]],RR[[#This Row],[G23 cp]],RR[[#This Row],[G17 cp]],RR[[#This Row],[G11 cp]],RR[[#This Row],[G8 cp]],RR[[#This Row],[G4 cp]])</f>
        <v>0</v>
      </c>
      <c r="S27" s="404">
        <f>MAX(RR[[#This Row],[G26 cp]],RR[[#This Row],[G23 cp]],RR[[#This Row],[G17 cp]],RR[[#This Row],[G11 cp]],RR[[#This Row],[G8 cp]],RR[[#This Row],[G4 cp]])</f>
        <v>0</v>
      </c>
      <c r="T27" s="404">
        <f>(SUM(RR[[#This Row],[G26 cp]],RR[[#This Row],[G23 cp]],RR[[#This Row],[G17 cp]],RR[[#This Row],[G11 cp]],RR[[#This Row],[G8 cp]],RR[[#This Row],[G4 cp]])-RR[[#This Row],[Max.]]) / (RR[[#This Row],[Innings]]-1)</f>
        <v>0</v>
      </c>
      <c r="U27" s="395">
        <f>MIN(RR[[#This Row],[G26 cp]],RR[[#This Row],[G23 cp]],RR[[#This Row],[G17 cp]],RR[[#This Row],[G11 cp]],RR[[#This Row],[G8 cp]],RR[[#This Row],[G4 cp]])</f>
        <v>0</v>
      </c>
      <c r="V27" s="403">
        <f>RR[[#This Row],[G26 cp]]</f>
        <v>0</v>
      </c>
      <c r="W27" s="405">
        <f>RR[[#This Row],[G23 cp]]</f>
        <v>0</v>
      </c>
      <c r="X27" s="405">
        <f>RR[[#This Row],[G17 cp]]</f>
        <v>0</v>
      </c>
      <c r="Y27" s="405">
        <f>RR[[#This Row],[G11 cp]]</f>
        <v>0</v>
      </c>
      <c r="Z27" s="405">
        <f>RR[[#This Row],[G8 cp]]</f>
        <v>0</v>
      </c>
      <c r="AA27" s="406">
        <f>RR[[#This Row],[G4 cp]]</f>
        <v>0</v>
      </c>
      <c r="AB27" s="403">
        <f>COUNTA(RR[[#This Row],[G17 cp]],RR[[#This Row],[G11 cp]],RR[[#This Row],[G4 cp]])</f>
        <v>0</v>
      </c>
      <c r="AC27" s="405">
        <f>MAX(RR[[#This Row],[G17 cp]],RR[[#This Row],[G11 cp]],RR[[#This Row],[G4 cp]])</f>
        <v>0</v>
      </c>
      <c r="AD27" s="765">
        <f>( SUM(RR[[#This Row],[G17 cp]],RR[[#This Row],[G11 cp]],RR[[#This Row],[G4 cp]]) -RR[[#This Row],[Max B1]]) / (RR[[#This Row],[Innings B1]] - 1)</f>
        <v>0</v>
      </c>
      <c r="AE27" s="406">
        <f>MIN(RR[[#This Row],[G17 cp]],RR[[#This Row],[G11 cp]],RR[[#This Row],[G4 cp]])</f>
        <v>0</v>
      </c>
      <c r="AF27" s="405">
        <f>COUNTA(RR[[#This Row],[G26 cp]],RR[[#This Row],[G11 cp]],RR[[#This Row],[G8 cp]])</f>
        <v>0</v>
      </c>
      <c r="AG27" s="405">
        <f>MAX(RR[[#This Row],[G26 cp]],RR[[#This Row],[G23 cp]],RR[[#This Row],[G8 cp]])</f>
        <v>0</v>
      </c>
      <c r="AH27" s="765">
        <f>( SUM(RR[[#This Row],[G26 cp]],RR[[#This Row],[G23 cp]],RR[[#This Row],[G8 cp]]) -RR[[#This Row],[Max CHS]]) / (RR[[#This Row],[Innings CHS]] - 1)</f>
        <v>0</v>
      </c>
      <c r="AI27" s="405">
        <f>MIN(RR[[#This Row],[G26 cp]],RR[[#This Row],[G23 cp]],RR[[#This Row],[G8 cp]])</f>
        <v>0</v>
      </c>
      <c r="AJ27" s="403"/>
      <c r="AK27" s="406"/>
      <c r="AL27" s="443"/>
      <c r="AM27" s="443"/>
      <c r="AN27" s="443"/>
      <c r="AO27" s="443"/>
      <c r="AP27" s="443"/>
      <c r="AQ27" s="443"/>
      <c r="AR27" s="443"/>
      <c r="AS27" s="443"/>
      <c r="AT27" s="405"/>
      <c r="AU27" s="403"/>
      <c r="AV27" s="405"/>
      <c r="AW27" s="405"/>
      <c r="AX27" s="405"/>
      <c r="AY27" s="405"/>
      <c r="AZ27" s="405"/>
      <c r="BA27" s="406"/>
      <c r="BB27" s="403"/>
      <c r="BC27" s="405"/>
      <c r="BD27" s="405"/>
      <c r="BE27" s="405"/>
      <c r="BF27" s="405"/>
      <c r="BG27" s="405"/>
      <c r="BH27" s="403"/>
      <c r="BI27" s="405"/>
      <c r="BJ27" s="405"/>
      <c r="BK27" s="405"/>
      <c r="BL27" s="405"/>
      <c r="BM27" s="405"/>
      <c r="BN27" s="427"/>
      <c r="BO27" s="428"/>
      <c r="BP27" s="428"/>
      <c r="BQ27" s="428"/>
      <c r="BR27" s="428"/>
      <c r="BS27" s="428"/>
      <c r="BT27" s="427"/>
      <c r="BU27" s="428"/>
      <c r="BV27" s="428"/>
      <c r="BW27" s="428"/>
      <c r="BX27" s="428"/>
      <c r="BY27" s="428"/>
    </row>
    <row r="28" spans="2:77">
      <c r="B28" s="737" t="s">
        <v>205</v>
      </c>
      <c r="C28" s="738" t="s">
        <v>104</v>
      </c>
      <c r="D28" s="738">
        <v>0.2</v>
      </c>
      <c r="E28" s="738" t="s">
        <v>349</v>
      </c>
      <c r="F28" s="739" t="s">
        <v>54</v>
      </c>
      <c r="G28" s="739" t="s">
        <v>54</v>
      </c>
      <c r="H28" s="740"/>
      <c r="I28" s="741"/>
      <c r="J28" s="742"/>
      <c r="K28" s="743"/>
      <c r="L28" s="743"/>
      <c r="M28" s="743"/>
      <c r="N28" s="744"/>
      <c r="O28" s="743"/>
      <c r="P28" s="743"/>
      <c r="Q28" s="743"/>
      <c r="R28" s="745">
        <f>COUNTA(RR[[#This Row],[G26 cp]],RR[[#This Row],[G23 cp]],RR[[#This Row],[G17 cp]],RR[[#This Row],[G11 cp]],RR[[#This Row],[G8 cp]],RR[[#This Row],[G4 cp]])</f>
        <v>0</v>
      </c>
      <c r="S28" s="746">
        <f>MAX(RR[[#This Row],[G26 cp]],RR[[#This Row],[G23 cp]],RR[[#This Row],[G17 cp]],RR[[#This Row],[G11 cp]],RR[[#This Row],[G8 cp]],RR[[#This Row],[G4 cp]])</f>
        <v>0</v>
      </c>
      <c r="T28" s="746">
        <f>(SUM(RR[[#This Row],[G26 cp]],RR[[#This Row],[G23 cp]],RR[[#This Row],[G17 cp]],RR[[#This Row],[G11 cp]],RR[[#This Row],[G8 cp]],RR[[#This Row],[G4 cp]])-RR[[#This Row],[Max.]]) / (RR[[#This Row],[Innings]]-1)</f>
        <v>0</v>
      </c>
      <c r="U28" s="738">
        <f>MIN(RR[[#This Row],[G26 cp]],RR[[#This Row],[G23 cp]],RR[[#This Row],[G17 cp]],RR[[#This Row],[G11 cp]],RR[[#This Row],[G8 cp]],RR[[#This Row],[G4 cp]])</f>
        <v>0</v>
      </c>
      <c r="V28" s="745">
        <f>RR[[#This Row],[G26 cp]]</f>
        <v>0</v>
      </c>
      <c r="W28" s="737">
        <f>RR[[#This Row],[G23 cp]]</f>
        <v>0</v>
      </c>
      <c r="X28" s="737">
        <f>RR[[#This Row],[G17 cp]]</f>
        <v>0</v>
      </c>
      <c r="Y28" s="737">
        <f>RR[[#This Row],[G11 cp]]</f>
        <v>0</v>
      </c>
      <c r="Z28" s="737">
        <f>RR[[#This Row],[G8 cp]]</f>
        <v>0</v>
      </c>
      <c r="AA28" s="747">
        <f>RR[[#This Row],[G4 cp]]</f>
        <v>0</v>
      </c>
      <c r="AB28" s="745">
        <f>COUNTA(RR[[#This Row],[G17 cp]],RR[[#This Row],[G11 cp]],RR[[#This Row],[G4 cp]])</f>
        <v>0</v>
      </c>
      <c r="AC28" s="737">
        <f>MAX(RR[[#This Row],[G17 cp]],RR[[#This Row],[G11 cp]],RR[[#This Row],[G4 cp]])</f>
        <v>0</v>
      </c>
      <c r="AD28" s="761">
        <f>( SUM(RR[[#This Row],[G17 cp]],RR[[#This Row],[G11 cp]],RR[[#This Row],[G4 cp]]) -RR[[#This Row],[Max B1]]) / (RR[[#This Row],[Innings B1]] - 1)</f>
        <v>0</v>
      </c>
      <c r="AE28" s="747">
        <f>MIN(RR[[#This Row],[G17 cp]],RR[[#This Row],[G11 cp]],RR[[#This Row],[G4 cp]])</f>
        <v>0</v>
      </c>
      <c r="AF28" s="737">
        <f>COUNTA(RR[[#This Row],[G26 cp]],RR[[#This Row],[G11 cp]],RR[[#This Row],[G8 cp]])</f>
        <v>0</v>
      </c>
      <c r="AG28" s="737">
        <f>MAX(RR[[#This Row],[G26 cp]],RR[[#This Row],[G23 cp]],RR[[#This Row],[G8 cp]])</f>
        <v>0</v>
      </c>
      <c r="AH28" s="761">
        <f>( SUM(RR[[#This Row],[G26 cp]],RR[[#This Row],[G23 cp]],RR[[#This Row],[G8 cp]]) -RR[[#This Row],[Max CHS]]) / (RR[[#This Row],[Innings CHS]] - 1)</f>
        <v>0</v>
      </c>
      <c r="AI28" s="737">
        <f>MIN(RR[[#This Row],[G26 cp]],RR[[#This Row],[G23 cp]],RR[[#This Row],[G8 cp]])</f>
        <v>0</v>
      </c>
      <c r="AJ28" s="745"/>
      <c r="AK28" s="747"/>
      <c r="AL28" s="743"/>
      <c r="AM28" s="743"/>
      <c r="AN28" s="743"/>
      <c r="AO28" s="743"/>
      <c r="AP28" s="743"/>
      <c r="AQ28" s="743"/>
      <c r="AR28" s="743"/>
      <c r="AS28" s="743"/>
      <c r="AT28" s="737"/>
      <c r="AU28" s="745"/>
      <c r="AV28" s="737"/>
      <c r="AW28" s="737"/>
      <c r="AX28" s="737"/>
      <c r="AY28" s="737"/>
      <c r="AZ28" s="737"/>
      <c r="BA28" s="747"/>
      <c r="BB28" s="745"/>
      <c r="BC28" s="737"/>
      <c r="BD28" s="737"/>
      <c r="BE28" s="737"/>
      <c r="BF28" s="737"/>
      <c r="BG28" s="737"/>
      <c r="BH28" s="745"/>
      <c r="BI28" s="737"/>
      <c r="BJ28" s="737"/>
      <c r="BK28" s="737"/>
      <c r="BL28" s="737"/>
      <c r="BM28" s="737"/>
      <c r="BN28" s="759"/>
      <c r="BO28" s="760"/>
      <c r="BP28" s="760"/>
      <c r="BQ28" s="760"/>
      <c r="BR28" s="760"/>
      <c r="BS28" s="760"/>
      <c r="BT28" s="759"/>
      <c r="BU28" s="760"/>
      <c r="BV28" s="760"/>
      <c r="BW28" s="760"/>
      <c r="BX28" s="760"/>
      <c r="BY28" s="760"/>
    </row>
    <row r="29" spans="2:77">
      <c r="B29" s="417" t="s">
        <v>205</v>
      </c>
      <c r="C29" s="413" t="s">
        <v>857</v>
      </c>
      <c r="D29" s="413">
        <v>0.2</v>
      </c>
      <c r="E29" s="413" t="s">
        <v>142</v>
      </c>
      <c r="F29" s="414" t="s">
        <v>56</v>
      </c>
      <c r="G29" s="414" t="s">
        <v>56</v>
      </c>
      <c r="H29" s="451"/>
      <c r="I29" s="457"/>
      <c r="J29" s="464"/>
      <c r="K29" s="445"/>
      <c r="L29" s="445"/>
      <c r="M29" s="445"/>
      <c r="N29" s="471"/>
      <c r="O29" s="445"/>
      <c r="P29" s="445"/>
      <c r="Q29" s="445"/>
      <c r="R29" s="415">
        <f>COUNTA(RR[[#This Row],[G26 cp]],RR[[#This Row],[G23 cp]],RR[[#This Row],[G17 cp]],RR[[#This Row],[G11 cp]],RR[[#This Row],[G8 cp]],RR[[#This Row],[G4 cp]])</f>
        <v>0</v>
      </c>
      <c r="S29" s="416">
        <f>MAX(RR[[#This Row],[G26 cp]],RR[[#This Row],[G23 cp]],RR[[#This Row],[G17 cp]],RR[[#This Row],[G11 cp]],RR[[#This Row],[G8 cp]],RR[[#This Row],[G4 cp]])</f>
        <v>0</v>
      </c>
      <c r="T29" s="416">
        <f>(SUM(RR[[#This Row],[G26 cp]],RR[[#This Row],[G23 cp]],RR[[#This Row],[G17 cp]],RR[[#This Row],[G11 cp]],RR[[#This Row],[G8 cp]],RR[[#This Row],[G4 cp]])-RR[[#This Row],[Max.]]) / (RR[[#This Row],[Innings]]-1)</f>
        <v>0</v>
      </c>
      <c r="U29" s="413">
        <f>MIN(RR[[#This Row],[G26 cp]],RR[[#This Row],[G23 cp]],RR[[#This Row],[G17 cp]],RR[[#This Row],[G11 cp]],RR[[#This Row],[G8 cp]],RR[[#This Row],[G4 cp]])</f>
        <v>0</v>
      </c>
      <c r="V29" s="415">
        <f>RR[[#This Row],[G26 cp]]</f>
        <v>0</v>
      </c>
      <c r="W29" s="417">
        <f>RR[[#This Row],[G23 cp]]</f>
        <v>0</v>
      </c>
      <c r="X29" s="417">
        <f>RR[[#This Row],[G17 cp]]</f>
        <v>0</v>
      </c>
      <c r="Y29" s="417">
        <f>RR[[#This Row],[G11 cp]]</f>
        <v>0</v>
      </c>
      <c r="Z29" s="417">
        <f>RR[[#This Row],[G8 cp]]</f>
        <v>0</v>
      </c>
      <c r="AA29" s="418">
        <f>RR[[#This Row],[G4 cp]]</f>
        <v>0</v>
      </c>
      <c r="AB29" s="415">
        <f>COUNTA(RR[[#This Row],[G17 cp]],RR[[#This Row],[G11 cp]],RR[[#This Row],[G4 cp]])</f>
        <v>0</v>
      </c>
      <c r="AC29" s="417">
        <f>MAX(RR[[#This Row],[G17 cp]],RR[[#This Row],[G11 cp]],RR[[#This Row],[G4 cp]])</f>
        <v>0</v>
      </c>
      <c r="AD29" s="768">
        <f>( SUM(RR[[#This Row],[G17 cp]],RR[[#This Row],[G11 cp]],RR[[#This Row],[G4 cp]]) -RR[[#This Row],[Max B1]]) / (RR[[#This Row],[Innings B1]] - 1)</f>
        <v>0</v>
      </c>
      <c r="AE29" s="418">
        <f>MIN(RR[[#This Row],[G17 cp]],RR[[#This Row],[G11 cp]],RR[[#This Row],[G4 cp]])</f>
        <v>0</v>
      </c>
      <c r="AF29" s="417">
        <f>COUNTA(RR[[#This Row],[G26 cp]],RR[[#This Row],[G11 cp]],RR[[#This Row],[G8 cp]])</f>
        <v>0</v>
      </c>
      <c r="AG29" s="417">
        <f>MAX(RR[[#This Row],[G26 cp]],RR[[#This Row],[G23 cp]],RR[[#This Row],[G8 cp]])</f>
        <v>0</v>
      </c>
      <c r="AH29" s="768">
        <f>( SUM(RR[[#This Row],[G26 cp]],RR[[#This Row],[G23 cp]],RR[[#This Row],[G8 cp]]) -RR[[#This Row],[Max CHS]]) / (RR[[#This Row],[Innings CHS]] - 1)</f>
        <v>0</v>
      </c>
      <c r="AI29" s="417">
        <f>MIN(RR[[#This Row],[G26 cp]],RR[[#This Row],[G23 cp]],RR[[#This Row],[G8 cp]])</f>
        <v>0</v>
      </c>
      <c r="AJ29" s="415"/>
      <c r="AK29" s="418"/>
      <c r="AL29" s="445"/>
      <c r="AM29" s="445"/>
      <c r="AN29" s="445"/>
      <c r="AO29" s="445"/>
      <c r="AP29" s="445"/>
      <c r="AQ29" s="445"/>
      <c r="AR29" s="445"/>
      <c r="AS29" s="445"/>
      <c r="AT29" s="417"/>
      <c r="AU29" s="415"/>
      <c r="AV29" s="417"/>
      <c r="AW29" s="417"/>
      <c r="AX29" s="417"/>
      <c r="AY29" s="417"/>
      <c r="AZ29" s="417"/>
      <c r="BA29" s="418"/>
      <c r="BB29" s="415"/>
      <c r="BC29" s="417"/>
      <c r="BD29" s="417"/>
      <c r="BE29" s="417"/>
      <c r="BF29" s="417"/>
      <c r="BG29" s="417"/>
      <c r="BH29" s="415"/>
      <c r="BI29" s="417"/>
      <c r="BJ29" s="417"/>
      <c r="BK29" s="417"/>
      <c r="BL29" s="417"/>
      <c r="BM29" s="417"/>
      <c r="BN29" s="415"/>
      <c r="BO29" s="413"/>
      <c r="BP29" s="413"/>
      <c r="BQ29" s="413"/>
      <c r="BR29" s="413"/>
      <c r="BS29" s="413"/>
      <c r="BT29" s="415"/>
      <c r="BU29" s="413"/>
      <c r="BV29" s="413"/>
      <c r="BW29" s="413"/>
      <c r="BX29" s="413"/>
      <c r="BY29" s="413"/>
    </row>
    <row r="30" spans="2:77" ht="15" thickBot="1">
      <c r="B30" s="731" t="s">
        <v>205</v>
      </c>
      <c r="C30" s="429" t="s">
        <v>102</v>
      </c>
      <c r="D30" s="429">
        <v>0.2</v>
      </c>
      <c r="E30" s="429" t="s">
        <v>349</v>
      </c>
      <c r="F30" s="430" t="s">
        <v>75</v>
      </c>
      <c r="G30" s="430" t="s">
        <v>75</v>
      </c>
      <c r="H30" s="448"/>
      <c r="I30" s="454"/>
      <c r="J30" s="461"/>
      <c r="K30" s="442"/>
      <c r="L30" s="442"/>
      <c r="M30" s="442"/>
      <c r="N30" s="468"/>
      <c r="O30" s="442"/>
      <c r="P30" s="442"/>
      <c r="Q30" s="442"/>
      <c r="R30" s="431">
        <f>COUNTA(RR[[#This Row],[G26 cp]],RR[[#This Row],[G23 cp]],RR[[#This Row],[G17 cp]],RR[[#This Row],[G11 cp]],RR[[#This Row],[G8 cp]],RR[[#This Row],[G4 cp]])</f>
        <v>0</v>
      </c>
      <c r="S30" s="432">
        <f>MAX(RR[[#This Row],[G26 cp]],RR[[#This Row],[G23 cp]],RR[[#This Row],[G17 cp]],RR[[#This Row],[G11 cp]],RR[[#This Row],[G8 cp]],RR[[#This Row],[G4 cp]])</f>
        <v>0</v>
      </c>
      <c r="T30" s="432">
        <f>(SUM(RR[[#This Row],[G26 cp]],RR[[#This Row],[G23 cp]],RR[[#This Row],[G17 cp]],RR[[#This Row],[G11 cp]],RR[[#This Row],[G8 cp]],RR[[#This Row],[G4 cp]])-RR[[#This Row],[Max.]]) / (RR[[#This Row],[Innings]]-1)</f>
        <v>0</v>
      </c>
      <c r="U30" s="433">
        <f>MIN(RR[[#This Row],[G26 cp]],RR[[#This Row],[G23 cp]],RR[[#This Row],[G17 cp]],RR[[#This Row],[G11 cp]],RR[[#This Row],[G8 cp]],RR[[#This Row],[G4 cp]])</f>
        <v>0</v>
      </c>
      <c r="V30" s="431">
        <f>RR[[#This Row],[G26 cp]]</f>
        <v>0</v>
      </c>
      <c r="W30" s="434">
        <f>RR[[#This Row],[G23 cp]]</f>
        <v>0</v>
      </c>
      <c r="X30" s="434">
        <f>RR[[#This Row],[G17 cp]]</f>
        <v>0</v>
      </c>
      <c r="Y30" s="434">
        <f>RR[[#This Row],[G11 cp]]</f>
        <v>0</v>
      </c>
      <c r="Z30" s="434">
        <f>RR[[#This Row],[G8 cp]]</f>
        <v>0</v>
      </c>
      <c r="AA30" s="435">
        <f>RR[[#This Row],[G4 cp]]</f>
        <v>0</v>
      </c>
      <c r="AB30" s="431">
        <f>COUNTA(RR[[#This Row],[G17 cp]],RR[[#This Row],[G11 cp]],RR[[#This Row],[G4 cp]])</f>
        <v>0</v>
      </c>
      <c r="AC30" s="434">
        <f>MAX(RR[[#This Row],[G17 cp]],RR[[#This Row],[G11 cp]],RR[[#This Row],[G4 cp]])</f>
        <v>0</v>
      </c>
      <c r="AD30" s="769">
        <f>( SUM(RR[[#This Row],[G17 cp]],RR[[#This Row],[G11 cp]],RR[[#This Row],[G4 cp]]) -RR[[#This Row],[Max B1]]) / (RR[[#This Row],[Innings B1]] - 1)</f>
        <v>0</v>
      </c>
      <c r="AE30" s="435">
        <f>MIN(RR[[#This Row],[G17 cp]],RR[[#This Row],[G11 cp]],RR[[#This Row],[G4 cp]])</f>
        <v>0</v>
      </c>
      <c r="AF30" s="434">
        <f>COUNTA(RR[[#This Row],[G26 cp]],RR[[#This Row],[G11 cp]],RR[[#This Row],[G8 cp]])</f>
        <v>0</v>
      </c>
      <c r="AG30" s="434">
        <f>MAX(RR[[#This Row],[G26 cp]],RR[[#This Row],[G23 cp]],RR[[#This Row],[G8 cp]])</f>
        <v>0</v>
      </c>
      <c r="AH30" s="769">
        <f>( SUM(RR[[#This Row],[G26 cp]],RR[[#This Row],[G23 cp]],RR[[#This Row],[G8 cp]]) -RR[[#This Row],[Max CHS]]) / (RR[[#This Row],[Innings CHS]] - 1)</f>
        <v>0</v>
      </c>
      <c r="AI30" s="434">
        <f>MIN(RR[[#This Row],[G26 cp]],RR[[#This Row],[G23 cp]],RR[[#This Row],[G8 cp]])</f>
        <v>0</v>
      </c>
      <c r="AJ30" s="431"/>
      <c r="AK30" s="435"/>
      <c r="AL30" s="732"/>
      <c r="AM30" s="732"/>
      <c r="AN30" s="732"/>
      <c r="AO30" s="732"/>
      <c r="AP30" s="732"/>
      <c r="AQ30" s="732"/>
      <c r="AR30" s="732"/>
      <c r="AS30" s="732"/>
      <c r="AT30" s="434"/>
      <c r="AU30" s="431"/>
      <c r="AV30" s="434"/>
      <c r="AW30" s="434"/>
      <c r="AX30" s="434"/>
      <c r="AY30" s="434"/>
      <c r="AZ30" s="434"/>
      <c r="BA30" s="435"/>
      <c r="BB30" s="431"/>
      <c r="BC30" s="434"/>
      <c r="BD30" s="434"/>
      <c r="BE30" s="434"/>
      <c r="BF30" s="434"/>
      <c r="BG30" s="434"/>
      <c r="BH30" s="431"/>
      <c r="BI30" s="434"/>
      <c r="BJ30" s="434"/>
      <c r="BK30" s="434"/>
      <c r="BL30" s="434"/>
      <c r="BM30" s="434"/>
      <c r="BN30" s="436"/>
      <c r="BO30" s="437"/>
      <c r="BP30" s="437"/>
      <c r="BQ30" s="437"/>
      <c r="BR30" s="437"/>
      <c r="BS30" s="437"/>
      <c r="BT30" s="436"/>
      <c r="BU30" s="437"/>
      <c r="BV30" s="437"/>
      <c r="BW30" s="437"/>
      <c r="BX30" s="437"/>
      <c r="BY30" s="437"/>
    </row>
    <row r="32" spans="2:77">
      <c r="W32" s="283"/>
      <c r="X32" s="283"/>
      <c r="Y32" s="283"/>
      <c r="Z32" s="276"/>
      <c r="AA32" s="283"/>
      <c r="AB32" s="283"/>
      <c r="AC32" s="283"/>
      <c r="AD32" s="283"/>
      <c r="AE32" s="283"/>
      <c r="AF32" s="283"/>
      <c r="AG32" s="283"/>
      <c r="AH32" s="283"/>
      <c r="AI32" s="283"/>
    </row>
    <row r="33" spans="23:35">
      <c r="W33" s="283"/>
      <c r="X33" s="283"/>
      <c r="Y33" s="283"/>
      <c r="Z33" s="276"/>
      <c r="AA33" s="283"/>
      <c r="AB33" s="283"/>
      <c r="AC33" s="283"/>
      <c r="AD33" s="283"/>
      <c r="AE33" s="283"/>
      <c r="AF33" s="283"/>
      <c r="AG33" s="283"/>
      <c r="AH33" s="283"/>
      <c r="AI33" s="283"/>
    </row>
    <row r="34" spans="23:35">
      <c r="W34" s="283"/>
      <c r="X34" s="283"/>
      <c r="Y34" s="283"/>
      <c r="Z34" s="276"/>
      <c r="AA34" s="283"/>
      <c r="AB34" s="283"/>
      <c r="AC34" s="283"/>
      <c r="AD34" s="283"/>
      <c r="AE34" s="283"/>
      <c r="AF34" s="283"/>
      <c r="AG34" s="283"/>
      <c r="AH34" s="283"/>
      <c r="AI34" s="283"/>
    </row>
  </sheetData>
  <sortState xmlns:xlrd2="http://schemas.microsoft.com/office/spreadsheetml/2017/richdata2" ref="B6:BY30">
    <sortCondition ref="AU6:AU30"/>
    <sortCondition ref="BB6:BB30"/>
    <sortCondition ref="BN6:BN30"/>
    <sortCondition ref="BT6:BT30"/>
    <sortCondition descending="1" ref="D6:D30"/>
  </sortState>
  <phoneticPr fontId="26" type="noConversion"/>
  <conditionalFormatting sqref="S6:S30">
    <cfRule type="colorScale" priority="6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9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8">
      <colorScale>
        <cfvo type="min"/>
        <cfvo type="max"/>
        <color rgb="FFFCFCFF"/>
        <color rgb="FF63BE7B"/>
      </colorScale>
    </cfRule>
  </conditionalFormatting>
  <conditionalFormatting sqref="U6:AA30 AJ6:AK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V6:V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W6:W30">
    <cfRule type="colorScale" priority="11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16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5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6:AA30 AJ6:AK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D6:AD30">
    <cfRule type="colorScale" priority="3">
      <colorScale>
        <cfvo type="min"/>
        <cfvo type="max"/>
        <color rgb="FFFCFCFF"/>
        <color rgb="FF63BE7B"/>
      </colorScale>
    </cfRule>
  </conditionalFormatting>
  <conditionalFormatting sqref="AE6:AE30 AG6:AI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I6:AI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A611-C645-4C6F-9FC8-0E4ADAAAEAA1}">
  <dimension ref="B3:BE29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8" sqref="C18"/>
    </sheetView>
  </sheetViews>
  <sheetFormatPr defaultRowHeight="14.4"/>
  <cols>
    <col min="1" max="1" width="3.88671875" customWidth="1"/>
    <col min="2" max="2" width="6.109375" bestFit="1" customWidth="1"/>
    <col min="3" max="3" width="17.44140625" bestFit="1" customWidth="1"/>
    <col min="4" max="4" width="18.21875" bestFit="1" customWidth="1"/>
    <col min="5" max="5" width="10" bestFit="1" customWidth="1"/>
    <col min="6" max="6" width="7.33203125" customWidth="1"/>
    <col min="7" max="7" width="10.21875" bestFit="1" customWidth="1"/>
    <col min="8" max="8" width="7.6640625" customWidth="1"/>
    <col min="9" max="9" width="9.5546875" customWidth="1"/>
    <col min="10" max="10" width="7.5546875" customWidth="1"/>
    <col min="11" max="11" width="8.77734375" style="351" bestFit="1" customWidth="1"/>
    <col min="12" max="12" width="7.5546875" style="361" customWidth="1"/>
    <col min="13" max="13" width="7.5546875" style="370" customWidth="1"/>
    <col min="14" max="14" width="7.5546875" customWidth="1"/>
    <col min="15" max="15" width="7.5546875" style="379" customWidth="1"/>
    <col min="16" max="16" width="7.5546875" customWidth="1"/>
    <col min="17" max="17" width="4.88671875" customWidth="1"/>
    <col min="18" max="18" width="6" bestFit="1" customWidth="1"/>
    <col min="19" max="25" width="6" customWidth="1"/>
    <col min="26" max="26" width="2.33203125" bestFit="1" customWidth="1"/>
    <col min="27" max="27" width="7.44140625" bestFit="1" customWidth="1"/>
    <col min="28" max="29" width="6" customWidth="1"/>
    <col min="30" max="30" width="6.5546875" bestFit="1" customWidth="1"/>
    <col min="31" max="31" width="6" customWidth="1"/>
    <col min="32" max="32" width="4.88671875" customWidth="1"/>
    <col min="33" max="36" width="8.21875" customWidth="1"/>
    <col min="37" max="37" width="5" bestFit="1" customWidth="1"/>
    <col min="38" max="38" width="6.88671875" bestFit="1" customWidth="1"/>
    <col min="39" max="39" width="7.21875" bestFit="1" customWidth="1"/>
    <col min="40" max="40" width="7.44140625" bestFit="1" customWidth="1"/>
    <col min="41" max="41" width="6.6640625" bestFit="1" customWidth="1"/>
    <col min="42" max="43" width="6.6640625" customWidth="1"/>
    <col min="44" max="44" width="11" bestFit="1" customWidth="1"/>
    <col min="45" max="46" width="6.6640625" customWidth="1"/>
    <col min="47" max="47" width="5.88671875" customWidth="1"/>
    <col min="48" max="48" width="8.44140625" bestFit="1" customWidth="1"/>
    <col min="49" max="49" width="8" customWidth="1"/>
    <col min="50" max="50" width="6.6640625" bestFit="1" customWidth="1"/>
    <col min="51" max="51" width="5.88671875" customWidth="1"/>
    <col min="52" max="52" width="4.77734375" customWidth="1"/>
    <col min="53" max="53" width="19.5546875" bestFit="1" customWidth="1"/>
    <col min="54" max="54" width="17.33203125" bestFit="1" customWidth="1"/>
    <col min="55" max="55" width="16.88671875" bestFit="1" customWidth="1"/>
    <col min="56" max="56" width="17.33203125" bestFit="1" customWidth="1"/>
    <col min="57" max="57" width="16.88671875" bestFit="1" customWidth="1"/>
    <col min="58" max="58" width="12.109375" bestFit="1" customWidth="1"/>
    <col min="59" max="59" width="17.77734375" bestFit="1" customWidth="1"/>
  </cols>
  <sheetData>
    <row r="3" spans="2:57" ht="15" thickBot="1">
      <c r="Y3" s="276" t="s">
        <v>1015</v>
      </c>
      <c r="Z3" s="276"/>
      <c r="AA3" s="276"/>
      <c r="AB3" s="276" t="s">
        <v>1016</v>
      </c>
      <c r="AF3" s="283" t="s">
        <v>1030</v>
      </c>
      <c r="AG3" s="283"/>
      <c r="AH3" s="283" t="s">
        <v>1031</v>
      </c>
      <c r="AK3" s="283" t="s">
        <v>1028</v>
      </c>
      <c r="AL3" s="283"/>
      <c r="AM3" s="283" t="s">
        <v>1029</v>
      </c>
      <c r="AN3" s="283"/>
      <c r="AP3" s="276" t="s">
        <v>1024</v>
      </c>
      <c r="AQ3" s="276"/>
      <c r="AR3" s="276" t="s">
        <v>1027</v>
      </c>
      <c r="AU3" s="283" t="s">
        <v>1022</v>
      </c>
      <c r="AV3" s="283"/>
      <c r="AW3" s="283" t="s">
        <v>1023</v>
      </c>
    </row>
    <row r="4" spans="2:57" ht="51.6" thickBot="1">
      <c r="B4" s="165" t="s">
        <v>93</v>
      </c>
      <c r="C4" s="166" t="s">
        <v>0</v>
      </c>
      <c r="D4" s="166" t="s">
        <v>1</v>
      </c>
      <c r="E4" s="166" t="s">
        <v>2</v>
      </c>
      <c r="F4" s="167" t="s">
        <v>143</v>
      </c>
      <c r="G4" s="166" t="s">
        <v>892</v>
      </c>
      <c r="H4" s="166" t="s">
        <v>622</v>
      </c>
      <c r="I4" s="167" t="s">
        <v>119</v>
      </c>
      <c r="J4" s="226" t="s">
        <v>159</v>
      </c>
      <c r="K4" s="352" t="s">
        <v>989</v>
      </c>
      <c r="L4" s="348" t="s">
        <v>990</v>
      </c>
      <c r="M4" s="349" t="s">
        <v>991</v>
      </c>
      <c r="N4" s="349" t="s">
        <v>992</v>
      </c>
      <c r="O4" s="350" t="s">
        <v>993</v>
      </c>
      <c r="P4" s="350" t="s">
        <v>993</v>
      </c>
      <c r="Q4" s="319" t="s">
        <v>367</v>
      </c>
      <c r="R4" s="192" t="s">
        <v>776</v>
      </c>
      <c r="S4" s="192" t="s">
        <v>778</v>
      </c>
      <c r="T4" s="438" t="str">
        <f t="shared" ref="T4:T29" si="0">AE4</f>
        <v>G21 Pts.</v>
      </c>
      <c r="U4" s="324" t="str">
        <f>AJ4</f>
        <v>G15 Pts</v>
      </c>
      <c r="V4" s="324" t="str">
        <f t="shared" ref="V4:V29" si="1">AO4</f>
        <v>G10 Pts</v>
      </c>
      <c r="W4" s="324" t="str">
        <f t="shared" ref="W4:W29" si="2">AT4</f>
        <v>G6 Pts</v>
      </c>
      <c r="X4" s="439" t="str">
        <f t="shared" ref="X4:X29" si="3">AY4</f>
        <v xml:space="preserve">
G3 vs DC pts.
</v>
      </c>
      <c r="Y4" s="176" t="s">
        <v>1008</v>
      </c>
      <c r="Z4" s="500" t="s">
        <v>1014</v>
      </c>
      <c r="AA4" s="177" t="s">
        <v>1009</v>
      </c>
      <c r="AB4" s="177" t="s">
        <v>1010</v>
      </c>
      <c r="AC4" s="177" t="s">
        <v>1011</v>
      </c>
      <c r="AD4" s="164" t="s">
        <v>1012</v>
      </c>
      <c r="AE4" s="164" t="s">
        <v>1013</v>
      </c>
      <c r="AF4" s="180" t="s">
        <v>674</v>
      </c>
      <c r="AG4" s="181" t="s">
        <v>675</v>
      </c>
      <c r="AH4" s="181" t="s">
        <v>676</v>
      </c>
      <c r="AI4" s="181" t="s">
        <v>677</v>
      </c>
      <c r="AJ4" s="182" t="s">
        <v>678</v>
      </c>
      <c r="AK4" s="168" t="s">
        <v>271</v>
      </c>
      <c r="AL4" s="169" t="s">
        <v>273</v>
      </c>
      <c r="AM4" s="169" t="s">
        <v>275</v>
      </c>
      <c r="AN4" s="169" t="s">
        <v>274</v>
      </c>
      <c r="AO4" s="170" t="s">
        <v>272</v>
      </c>
      <c r="AP4" s="176" t="s">
        <v>379</v>
      </c>
      <c r="AQ4" s="177" t="s">
        <v>671</v>
      </c>
      <c r="AR4" s="177" t="s">
        <v>1025</v>
      </c>
      <c r="AS4" s="177" t="s">
        <v>1026</v>
      </c>
      <c r="AT4" s="164" t="s">
        <v>672</v>
      </c>
      <c r="AU4" s="178" t="s">
        <v>262</v>
      </c>
      <c r="AV4" s="171" t="s">
        <v>612</v>
      </c>
      <c r="AW4" s="171" t="s">
        <v>316</v>
      </c>
      <c r="AX4" s="171" t="s">
        <v>329</v>
      </c>
      <c r="AY4" s="179" t="s">
        <v>264</v>
      </c>
      <c r="AZ4" s="172" t="s">
        <v>265</v>
      </c>
      <c r="BA4" s="173" t="s">
        <v>263</v>
      </c>
      <c r="BB4" s="174" t="s">
        <v>145</v>
      </c>
      <c r="BC4" s="174" t="s">
        <v>144</v>
      </c>
      <c r="BD4" s="174" t="s">
        <v>146</v>
      </c>
      <c r="BE4" s="175" t="s">
        <v>254</v>
      </c>
    </row>
    <row r="5" spans="2:57">
      <c r="B5" s="501" t="s">
        <v>94</v>
      </c>
      <c r="C5" s="502" t="s">
        <v>17</v>
      </c>
      <c r="D5" s="502" t="s">
        <v>18</v>
      </c>
      <c r="E5" s="502" t="s">
        <v>19</v>
      </c>
      <c r="F5" s="502">
        <v>15</v>
      </c>
      <c r="G5" s="502" t="s">
        <v>142</v>
      </c>
      <c r="H5" s="502"/>
      <c r="I5" s="502" t="s">
        <v>54</v>
      </c>
      <c r="J5" s="503" t="s">
        <v>75</v>
      </c>
      <c r="K5" s="521"/>
      <c r="L5" s="530"/>
      <c r="M5" s="539"/>
      <c r="N5" s="513"/>
      <c r="O5" s="548" t="s">
        <v>75</v>
      </c>
      <c r="P5" s="513" t="s">
        <v>994</v>
      </c>
      <c r="Q5" s="520">
        <f>MAX(AE5,AJ5,AO5,AT5,AY5)</f>
        <v>104</v>
      </c>
      <c r="R5" s="229">
        <f>( SUM(AE5,AJ5,AO5,AT5,AY5) - Q5 ) / ( COUNTA(AE5,AJ5,AO5,AT5,AY5) - 1 )</f>
        <v>40</v>
      </c>
      <c r="S5" s="237">
        <f>MIN(AE5,AJ5,AO5,AT5,AY5)</f>
        <v>10</v>
      </c>
      <c r="T5" s="505">
        <f t="shared" si="0"/>
        <v>104</v>
      </c>
      <c r="U5" s="507">
        <f>AJ5</f>
        <v>23</v>
      </c>
      <c r="V5" s="507">
        <f t="shared" si="1"/>
        <v>47</v>
      </c>
      <c r="W5" s="507">
        <f t="shared" si="2"/>
        <v>80</v>
      </c>
      <c r="X5" s="509">
        <f t="shared" si="3"/>
        <v>10</v>
      </c>
      <c r="Y5" s="507">
        <v>1</v>
      </c>
      <c r="Z5" s="507"/>
      <c r="AA5" s="507" t="s">
        <v>355</v>
      </c>
      <c r="AB5" s="507">
        <v>74</v>
      </c>
      <c r="AC5" s="507">
        <v>56</v>
      </c>
      <c r="AD5" s="507"/>
      <c r="AE5" s="507">
        <v>104</v>
      </c>
      <c r="AF5" s="511">
        <v>2</v>
      </c>
      <c r="AG5" s="513" t="s">
        <v>686</v>
      </c>
      <c r="AH5" s="513" t="s">
        <v>397</v>
      </c>
      <c r="AI5" s="513"/>
      <c r="AJ5" s="515">
        <v>23</v>
      </c>
      <c r="AK5" s="513">
        <v>2</v>
      </c>
      <c r="AL5" s="513" t="s">
        <v>300</v>
      </c>
      <c r="AM5" s="513" t="s">
        <v>301</v>
      </c>
      <c r="AN5" s="513"/>
      <c r="AO5" s="513">
        <v>47</v>
      </c>
      <c r="AP5" s="44">
        <v>1</v>
      </c>
      <c r="AQ5" s="45" t="s">
        <v>656</v>
      </c>
      <c r="AR5" s="45" t="s">
        <v>662</v>
      </c>
      <c r="AS5" s="45"/>
      <c r="AT5" s="46">
        <v>80</v>
      </c>
      <c r="AU5" s="501">
        <v>1</v>
      </c>
      <c r="AV5" s="502" t="s">
        <v>603</v>
      </c>
      <c r="AW5" s="502" t="s">
        <v>602</v>
      </c>
      <c r="AX5" s="502"/>
      <c r="AY5" s="517">
        <v>10</v>
      </c>
      <c r="AZ5" s="518">
        <v>1</v>
      </c>
      <c r="BA5" s="517" t="s">
        <v>255</v>
      </c>
      <c r="BB5" s="502" t="s">
        <v>67</v>
      </c>
      <c r="BC5" s="502" t="s">
        <v>77</v>
      </c>
      <c r="BD5" s="502">
        <v>1</v>
      </c>
      <c r="BE5" s="517" t="s">
        <v>147</v>
      </c>
    </row>
    <row r="6" spans="2:57">
      <c r="B6" s="121" t="s">
        <v>94</v>
      </c>
      <c r="C6" s="122" t="s">
        <v>700</v>
      </c>
      <c r="D6" s="122" t="s">
        <v>9</v>
      </c>
      <c r="E6" s="122" t="s">
        <v>14</v>
      </c>
      <c r="F6" s="122">
        <v>0.5</v>
      </c>
      <c r="G6" s="122" t="s">
        <v>613</v>
      </c>
      <c r="H6" s="122"/>
      <c r="I6" s="122" t="s">
        <v>54</v>
      </c>
      <c r="J6" s="504" t="s">
        <v>54</v>
      </c>
      <c r="K6" s="522" t="s">
        <v>1004</v>
      </c>
      <c r="L6" s="531"/>
      <c r="M6" s="540"/>
      <c r="N6" s="514"/>
      <c r="O6" s="549" t="s">
        <v>54</v>
      </c>
      <c r="P6" s="514" t="s">
        <v>994</v>
      </c>
      <c r="Q6" s="121">
        <f t="shared" ref="Q6:Q29" si="4">MAX(AE6,AJ6,AO6,AT6,AY6)</f>
        <v>109</v>
      </c>
      <c r="R6" s="228">
        <f t="shared" ref="R6:R29" si="5">( SUM(AE6,AJ6,AO6,AT6,AY6) - Q6 ) / ( COUNTA(AE6,AJ6,AO6,AT6,AY6) - 1 )</f>
        <v>22.75</v>
      </c>
      <c r="S6" s="236">
        <f t="shared" ref="S6:S29" si="6">MIN(AE6,AJ6,AO6,AT6,AY6)</f>
        <v>2</v>
      </c>
      <c r="T6" s="506">
        <f t="shared" si="0"/>
        <v>40</v>
      </c>
      <c r="U6" s="508">
        <f t="shared" ref="U6:U29" si="7">AJ6</f>
        <v>2</v>
      </c>
      <c r="V6" s="508">
        <f t="shared" si="1"/>
        <v>19</v>
      </c>
      <c r="W6" s="508">
        <f t="shared" si="2"/>
        <v>30</v>
      </c>
      <c r="X6" s="510">
        <f t="shared" si="3"/>
        <v>109</v>
      </c>
      <c r="Y6" s="508">
        <v>2</v>
      </c>
      <c r="Z6" s="508"/>
      <c r="AA6" s="508" t="s">
        <v>939</v>
      </c>
      <c r="AB6" s="508">
        <v>29</v>
      </c>
      <c r="AC6" s="508">
        <v>33</v>
      </c>
      <c r="AD6" s="508"/>
      <c r="AE6" s="508">
        <v>40</v>
      </c>
      <c r="AF6" s="512">
        <v>1</v>
      </c>
      <c r="AG6" s="514" t="s">
        <v>468</v>
      </c>
      <c r="AH6" s="514" t="s">
        <v>397</v>
      </c>
      <c r="AI6" s="514"/>
      <c r="AJ6" s="516">
        <v>2</v>
      </c>
      <c r="AK6" s="514">
        <v>1</v>
      </c>
      <c r="AL6" s="514" t="s">
        <v>298</v>
      </c>
      <c r="AM6" s="514" t="s">
        <v>299</v>
      </c>
      <c r="AN6" s="514" t="s">
        <v>291</v>
      </c>
      <c r="AO6" s="514">
        <v>19</v>
      </c>
      <c r="AP6" s="121">
        <v>2</v>
      </c>
      <c r="AQ6" s="122" t="s">
        <v>655</v>
      </c>
      <c r="AR6" s="122" t="s">
        <v>662</v>
      </c>
      <c r="AS6" s="122" t="s">
        <v>664</v>
      </c>
      <c r="AT6" s="123">
        <v>30</v>
      </c>
      <c r="AU6" s="121">
        <v>2</v>
      </c>
      <c r="AV6" s="122" t="s">
        <v>604</v>
      </c>
      <c r="AW6" s="122" t="s">
        <v>601</v>
      </c>
      <c r="AX6" s="122" t="s">
        <v>237</v>
      </c>
      <c r="AY6" s="123">
        <v>109</v>
      </c>
      <c r="AZ6" s="519"/>
      <c r="BA6" s="123"/>
      <c r="BB6" s="122"/>
      <c r="BC6" s="122"/>
      <c r="BD6" s="122">
        <v>2</v>
      </c>
      <c r="BE6" s="123" t="s">
        <v>153</v>
      </c>
    </row>
    <row r="7" spans="2:57">
      <c r="B7" s="36" t="s">
        <v>94</v>
      </c>
      <c r="C7" s="37" t="s">
        <v>627</v>
      </c>
      <c r="D7" s="37" t="s">
        <v>9</v>
      </c>
      <c r="E7" s="37" t="s">
        <v>25</v>
      </c>
      <c r="F7" s="37">
        <v>5.75</v>
      </c>
      <c r="G7" s="37" t="s">
        <v>142</v>
      </c>
      <c r="H7" s="37">
        <v>27</v>
      </c>
      <c r="I7" s="37" t="s">
        <v>55</v>
      </c>
      <c r="J7" s="94" t="s">
        <v>55</v>
      </c>
      <c r="K7" s="523"/>
      <c r="L7" s="532"/>
      <c r="M7" s="541"/>
      <c r="N7" s="69"/>
      <c r="O7" s="550"/>
      <c r="P7" s="69"/>
      <c r="Q7" s="36">
        <f t="shared" si="4"/>
        <v>35</v>
      </c>
      <c r="R7" s="230">
        <f t="shared" si="5"/>
        <v>11.5</v>
      </c>
      <c r="S7" s="238">
        <f t="shared" si="6"/>
        <v>5</v>
      </c>
      <c r="T7" s="481">
        <f t="shared" si="0"/>
        <v>6</v>
      </c>
      <c r="U7" s="475">
        <f t="shared" si="7"/>
        <v>14</v>
      </c>
      <c r="V7" s="475">
        <f t="shared" si="1"/>
        <v>35</v>
      </c>
      <c r="W7" s="475">
        <f t="shared" si="2"/>
        <v>5</v>
      </c>
      <c r="X7" s="482">
        <f t="shared" si="3"/>
        <v>21</v>
      </c>
      <c r="Y7" s="475">
        <v>3</v>
      </c>
      <c r="Z7" s="475"/>
      <c r="AA7" s="475" t="s">
        <v>451</v>
      </c>
      <c r="AB7" s="475">
        <v>2</v>
      </c>
      <c r="AC7" s="475">
        <v>3</v>
      </c>
      <c r="AD7" s="475"/>
      <c r="AE7" s="475">
        <v>6</v>
      </c>
      <c r="AF7" s="494">
        <v>3</v>
      </c>
      <c r="AG7" s="69" t="s">
        <v>687</v>
      </c>
      <c r="AH7" s="69" t="s">
        <v>693</v>
      </c>
      <c r="AI7" s="69"/>
      <c r="AJ7" s="66">
        <v>14</v>
      </c>
      <c r="AK7" s="69">
        <v>3</v>
      </c>
      <c r="AL7" s="69" t="s">
        <v>302</v>
      </c>
      <c r="AM7" s="69" t="s">
        <v>303</v>
      </c>
      <c r="AN7" s="69" t="s">
        <v>296</v>
      </c>
      <c r="AO7" s="69">
        <v>35</v>
      </c>
      <c r="AP7" s="36">
        <v>3</v>
      </c>
      <c r="AQ7" s="37" t="s">
        <v>657</v>
      </c>
      <c r="AR7" s="37" t="s">
        <v>663</v>
      </c>
      <c r="AS7" s="37" t="s">
        <v>666</v>
      </c>
      <c r="AT7" s="38">
        <v>5</v>
      </c>
      <c r="AU7" s="36">
        <v>3</v>
      </c>
      <c r="AV7" s="37" t="s">
        <v>497</v>
      </c>
      <c r="AW7" s="37" t="s">
        <v>605</v>
      </c>
      <c r="AX7" s="37"/>
      <c r="AY7" s="38">
        <v>21</v>
      </c>
      <c r="AZ7" s="39">
        <v>5</v>
      </c>
      <c r="BA7" s="38" t="s">
        <v>257</v>
      </c>
      <c r="BB7" s="37" t="s">
        <v>69</v>
      </c>
      <c r="BC7" s="37" t="s">
        <v>78</v>
      </c>
      <c r="BD7" s="37">
        <v>3</v>
      </c>
      <c r="BE7" s="38" t="s">
        <v>148</v>
      </c>
    </row>
    <row r="8" spans="2:57">
      <c r="B8" s="36" t="s">
        <v>94</v>
      </c>
      <c r="C8" s="37" t="s">
        <v>626</v>
      </c>
      <c r="D8" s="37" t="s">
        <v>9</v>
      </c>
      <c r="E8" s="37" t="s">
        <v>10</v>
      </c>
      <c r="F8" s="37">
        <v>8.25</v>
      </c>
      <c r="G8" s="37" t="s">
        <v>142</v>
      </c>
      <c r="H8" s="37">
        <v>32</v>
      </c>
      <c r="I8" s="37" t="s">
        <v>55</v>
      </c>
      <c r="J8" s="94" t="s">
        <v>55</v>
      </c>
      <c r="K8" s="523"/>
      <c r="L8" s="532"/>
      <c r="M8" s="541"/>
      <c r="N8" s="69"/>
      <c r="O8" s="550" t="s">
        <v>55</v>
      </c>
      <c r="P8" s="69" t="s">
        <v>994</v>
      </c>
      <c r="Q8" s="36">
        <f t="shared" si="4"/>
        <v>151</v>
      </c>
      <c r="R8" s="230">
        <f t="shared" si="5"/>
        <v>23.75</v>
      </c>
      <c r="S8" s="238">
        <f t="shared" si="6"/>
        <v>2</v>
      </c>
      <c r="T8" s="481">
        <f t="shared" si="0"/>
        <v>57</v>
      </c>
      <c r="U8" s="475">
        <f t="shared" si="7"/>
        <v>2</v>
      </c>
      <c r="V8" s="475">
        <f t="shared" si="1"/>
        <v>151</v>
      </c>
      <c r="W8" s="475">
        <f t="shared" si="2"/>
        <v>15</v>
      </c>
      <c r="X8" s="482">
        <f t="shared" si="3"/>
        <v>21</v>
      </c>
      <c r="Y8" s="475">
        <v>4</v>
      </c>
      <c r="Z8" s="475"/>
      <c r="AA8" s="475" t="s">
        <v>937</v>
      </c>
      <c r="AB8" s="475">
        <v>18</v>
      </c>
      <c r="AC8" s="475">
        <v>17</v>
      </c>
      <c r="AD8" s="475" t="s">
        <v>1002</v>
      </c>
      <c r="AE8" s="475">
        <v>57</v>
      </c>
      <c r="AF8" s="494">
        <v>4</v>
      </c>
      <c r="AG8" s="69" t="s">
        <v>471</v>
      </c>
      <c r="AH8" s="69" t="s">
        <v>693</v>
      </c>
      <c r="AI8" s="69" t="s">
        <v>695</v>
      </c>
      <c r="AJ8" s="66">
        <v>2</v>
      </c>
      <c r="AK8" s="69">
        <v>4</v>
      </c>
      <c r="AL8" s="69" t="s">
        <v>304</v>
      </c>
      <c r="AM8" s="69" t="s">
        <v>305</v>
      </c>
      <c r="AN8" s="69" t="s">
        <v>293</v>
      </c>
      <c r="AO8" s="69">
        <v>151</v>
      </c>
      <c r="AP8" s="36">
        <v>4</v>
      </c>
      <c r="AQ8" s="37" t="s">
        <v>658</v>
      </c>
      <c r="AR8" s="37" t="s">
        <v>662</v>
      </c>
      <c r="AS8" s="37"/>
      <c r="AT8" s="38">
        <v>15</v>
      </c>
      <c r="AU8" s="36">
        <v>4</v>
      </c>
      <c r="AV8" s="37" t="s">
        <v>611</v>
      </c>
      <c r="AW8" s="37" t="s">
        <v>372</v>
      </c>
      <c r="AX8" s="37"/>
      <c r="AY8" s="38">
        <v>21</v>
      </c>
      <c r="AZ8" s="39">
        <v>7</v>
      </c>
      <c r="BA8" s="38" t="s">
        <v>268</v>
      </c>
      <c r="BB8" s="37" t="s">
        <v>66</v>
      </c>
      <c r="BC8" s="37" t="s">
        <v>89</v>
      </c>
      <c r="BD8" s="37">
        <v>4</v>
      </c>
      <c r="BE8" s="38" t="s">
        <v>149</v>
      </c>
    </row>
    <row r="9" spans="2:57">
      <c r="B9" s="130" t="s">
        <v>94</v>
      </c>
      <c r="C9" s="131" t="s">
        <v>33</v>
      </c>
      <c r="D9" s="131" t="s">
        <v>16</v>
      </c>
      <c r="E9" s="131" t="s">
        <v>34</v>
      </c>
      <c r="F9" s="131">
        <v>16</v>
      </c>
      <c r="G9" s="131" t="s">
        <v>613</v>
      </c>
      <c r="H9" s="131"/>
      <c r="I9" s="131" t="s">
        <v>75</v>
      </c>
      <c r="J9" s="209" t="s">
        <v>75</v>
      </c>
      <c r="K9" s="524" t="s">
        <v>1005</v>
      </c>
      <c r="L9" s="533"/>
      <c r="M9" s="542"/>
      <c r="N9" s="134"/>
      <c r="O9" s="551" t="s">
        <v>75</v>
      </c>
      <c r="P9" s="134" t="s">
        <v>995</v>
      </c>
      <c r="Q9" s="130">
        <f t="shared" si="4"/>
        <v>92</v>
      </c>
      <c r="R9" s="232">
        <f t="shared" si="5"/>
        <v>37.75</v>
      </c>
      <c r="S9" s="240">
        <f t="shared" si="6"/>
        <v>10</v>
      </c>
      <c r="T9" s="485">
        <f t="shared" si="0"/>
        <v>10</v>
      </c>
      <c r="U9" s="477">
        <f t="shared" si="7"/>
        <v>92</v>
      </c>
      <c r="V9" s="477">
        <f t="shared" si="1"/>
        <v>35</v>
      </c>
      <c r="W9" s="477">
        <f t="shared" si="2"/>
        <v>50</v>
      </c>
      <c r="X9" s="486">
        <f t="shared" si="3"/>
        <v>56</v>
      </c>
      <c r="Y9" s="477">
        <v>5</v>
      </c>
      <c r="Z9" s="477"/>
      <c r="AA9" s="477" t="s">
        <v>937</v>
      </c>
      <c r="AB9" s="477">
        <v>0</v>
      </c>
      <c r="AC9" s="477">
        <v>1</v>
      </c>
      <c r="AD9" s="477"/>
      <c r="AE9" s="477">
        <v>10</v>
      </c>
      <c r="AF9" s="496">
        <v>6</v>
      </c>
      <c r="AG9" s="134" t="s">
        <v>689</v>
      </c>
      <c r="AH9" s="134" t="s">
        <v>397</v>
      </c>
      <c r="AI9" s="134"/>
      <c r="AJ9" s="133">
        <v>92</v>
      </c>
      <c r="AK9" s="134">
        <v>7</v>
      </c>
      <c r="AL9" s="134" t="s">
        <v>307</v>
      </c>
      <c r="AM9" s="128" t="s">
        <v>287</v>
      </c>
      <c r="AN9" s="134"/>
      <c r="AO9" s="134">
        <v>35</v>
      </c>
      <c r="AP9" s="130">
        <v>6</v>
      </c>
      <c r="AQ9" s="131" t="s">
        <v>659</v>
      </c>
      <c r="AR9" s="131" t="s">
        <v>417</v>
      </c>
      <c r="AS9" s="131"/>
      <c r="AT9" s="132">
        <v>50</v>
      </c>
      <c r="AU9" s="130">
        <v>6</v>
      </c>
      <c r="AV9" s="131" t="s">
        <v>609</v>
      </c>
      <c r="AW9" s="131" t="s">
        <v>439</v>
      </c>
      <c r="AX9" s="131"/>
      <c r="AY9" s="132">
        <v>56</v>
      </c>
      <c r="AZ9" s="135"/>
      <c r="BA9" s="132"/>
      <c r="BB9" s="131"/>
      <c r="BC9" s="131"/>
      <c r="BD9" s="131">
        <v>6</v>
      </c>
      <c r="BE9" s="132" t="s">
        <v>151</v>
      </c>
    </row>
    <row r="10" spans="2:57">
      <c r="B10" s="124" t="s">
        <v>94</v>
      </c>
      <c r="C10" s="125" t="s">
        <v>1421</v>
      </c>
      <c r="D10" s="125" t="s">
        <v>9</v>
      </c>
      <c r="E10" s="125" t="s">
        <v>20</v>
      </c>
      <c r="F10" s="125">
        <v>11</v>
      </c>
      <c r="G10" s="125" t="s">
        <v>614</v>
      </c>
      <c r="H10" s="125"/>
      <c r="I10" s="125" t="s">
        <v>55</v>
      </c>
      <c r="J10" s="210" t="s">
        <v>55</v>
      </c>
      <c r="K10" s="525" t="s">
        <v>1005</v>
      </c>
      <c r="L10" s="534"/>
      <c r="M10" s="543"/>
      <c r="N10" s="128"/>
      <c r="O10" s="552" t="s">
        <v>55</v>
      </c>
      <c r="P10" s="128" t="s">
        <v>994</v>
      </c>
      <c r="Q10" s="124">
        <f t="shared" si="4"/>
        <v>101</v>
      </c>
      <c r="R10" s="231">
        <f t="shared" si="5"/>
        <v>27.75</v>
      </c>
      <c r="S10" s="239">
        <f t="shared" si="6"/>
        <v>18</v>
      </c>
      <c r="T10" s="483">
        <f t="shared" si="0"/>
        <v>39</v>
      </c>
      <c r="U10" s="476">
        <f t="shared" si="7"/>
        <v>101</v>
      </c>
      <c r="V10" s="476">
        <f t="shared" si="1"/>
        <v>24</v>
      </c>
      <c r="W10" s="476">
        <f t="shared" si="2"/>
        <v>30</v>
      </c>
      <c r="X10" s="484">
        <f t="shared" si="3"/>
        <v>18</v>
      </c>
      <c r="Y10" s="476">
        <v>6</v>
      </c>
      <c r="Z10" s="476"/>
      <c r="AA10" s="476" t="s">
        <v>938</v>
      </c>
      <c r="AB10" s="476">
        <v>15</v>
      </c>
      <c r="AC10" s="476">
        <v>11</v>
      </c>
      <c r="AD10" s="476"/>
      <c r="AE10" s="476">
        <v>39</v>
      </c>
      <c r="AF10" s="495">
        <v>5</v>
      </c>
      <c r="AG10" s="128" t="s">
        <v>688</v>
      </c>
      <c r="AH10" s="128" t="s">
        <v>400</v>
      </c>
      <c r="AI10" s="128"/>
      <c r="AJ10" s="127">
        <v>101</v>
      </c>
      <c r="AK10" s="128">
        <v>5</v>
      </c>
      <c r="AL10" s="128" t="s">
        <v>306</v>
      </c>
      <c r="AM10" s="128" t="s">
        <v>287</v>
      </c>
      <c r="AN10" s="128"/>
      <c r="AO10" s="128">
        <v>24</v>
      </c>
      <c r="AP10" s="124">
        <v>5</v>
      </c>
      <c r="AQ10" s="125" t="s">
        <v>487</v>
      </c>
      <c r="AR10" s="125" t="s">
        <v>662</v>
      </c>
      <c r="AS10" s="125"/>
      <c r="AT10" s="126">
        <v>30</v>
      </c>
      <c r="AU10" s="124">
        <v>5</v>
      </c>
      <c r="AV10" s="125" t="s">
        <v>610</v>
      </c>
      <c r="AW10" s="125" t="s">
        <v>439</v>
      </c>
      <c r="AX10" s="125"/>
      <c r="AY10" s="126">
        <v>18</v>
      </c>
      <c r="AZ10" s="129"/>
      <c r="BA10" s="126"/>
      <c r="BB10" s="125"/>
      <c r="BC10" s="125" t="s">
        <v>92</v>
      </c>
      <c r="BD10" s="125">
        <v>5</v>
      </c>
      <c r="BE10" s="126" t="s">
        <v>150</v>
      </c>
    </row>
    <row r="11" spans="2:57">
      <c r="B11" s="32" t="s">
        <v>94</v>
      </c>
      <c r="C11" s="33" t="s">
        <v>625</v>
      </c>
      <c r="D11" s="33" t="s">
        <v>9</v>
      </c>
      <c r="E11" s="33" t="s">
        <v>11</v>
      </c>
      <c r="F11" s="33">
        <v>0.2</v>
      </c>
      <c r="G11" s="33" t="s">
        <v>618</v>
      </c>
      <c r="H11" s="33">
        <v>23</v>
      </c>
      <c r="I11" s="33" t="s">
        <v>54</v>
      </c>
      <c r="J11" s="93" t="s">
        <v>54</v>
      </c>
      <c r="K11" s="526"/>
      <c r="L11" s="535"/>
      <c r="M11" s="544"/>
      <c r="N11" s="68"/>
      <c r="O11" s="553"/>
      <c r="P11" s="68"/>
      <c r="Q11" s="32">
        <f t="shared" si="4"/>
        <v>40</v>
      </c>
      <c r="R11" s="233">
        <f t="shared" si="5"/>
        <v>19.25</v>
      </c>
      <c r="S11" s="241">
        <f t="shared" si="6"/>
        <v>4</v>
      </c>
      <c r="T11" s="487">
        <f t="shared" si="0"/>
        <v>9</v>
      </c>
      <c r="U11" s="478">
        <f t="shared" si="7"/>
        <v>37</v>
      </c>
      <c r="V11" s="478">
        <f t="shared" si="1"/>
        <v>4</v>
      </c>
      <c r="W11" s="478">
        <f t="shared" si="2"/>
        <v>40</v>
      </c>
      <c r="X11" s="488">
        <f t="shared" si="3"/>
        <v>27</v>
      </c>
      <c r="Y11" s="478">
        <v>7</v>
      </c>
      <c r="Z11" s="478"/>
      <c r="AA11" s="478" t="s">
        <v>876</v>
      </c>
      <c r="AB11" s="478">
        <v>5</v>
      </c>
      <c r="AC11" s="478">
        <v>6</v>
      </c>
      <c r="AD11" s="478"/>
      <c r="AE11" s="478">
        <v>9</v>
      </c>
      <c r="AF11" s="497">
        <v>7</v>
      </c>
      <c r="AG11" s="68" t="s">
        <v>690</v>
      </c>
      <c r="AH11" s="68" t="s">
        <v>693</v>
      </c>
      <c r="AI11" s="68"/>
      <c r="AJ11" s="65">
        <v>37</v>
      </c>
      <c r="AK11" s="68">
        <v>8</v>
      </c>
      <c r="AL11" s="68"/>
      <c r="AM11" s="68"/>
      <c r="AN11" s="68"/>
      <c r="AO11" s="68">
        <v>4</v>
      </c>
      <c r="AP11" s="32">
        <v>7</v>
      </c>
      <c r="AQ11" s="33" t="s">
        <v>660</v>
      </c>
      <c r="AR11" s="33" t="s">
        <v>417</v>
      </c>
      <c r="AS11" s="33"/>
      <c r="AT11" s="34">
        <v>40</v>
      </c>
      <c r="AU11" s="32">
        <v>7</v>
      </c>
      <c r="AV11" s="33" t="s">
        <v>608</v>
      </c>
      <c r="AW11" s="33" t="s">
        <v>602</v>
      </c>
      <c r="AX11" s="33"/>
      <c r="AY11" s="34">
        <v>27</v>
      </c>
      <c r="AZ11" s="35">
        <v>6</v>
      </c>
      <c r="BA11" s="34" t="s">
        <v>258</v>
      </c>
      <c r="BB11" s="33"/>
      <c r="BC11" s="33"/>
      <c r="BD11" s="33">
        <v>7</v>
      </c>
      <c r="BE11" s="34" t="s">
        <v>152</v>
      </c>
    </row>
    <row r="12" spans="2:57">
      <c r="B12" s="36" t="s">
        <v>94</v>
      </c>
      <c r="C12" s="37" t="s">
        <v>628</v>
      </c>
      <c r="D12" s="37" t="s">
        <v>9</v>
      </c>
      <c r="E12" s="37" t="s">
        <v>28</v>
      </c>
      <c r="F12" s="37">
        <v>0.9</v>
      </c>
      <c r="G12" s="37" t="s">
        <v>631</v>
      </c>
      <c r="H12" s="37">
        <v>34</v>
      </c>
      <c r="I12" s="37" t="s">
        <v>55</v>
      </c>
      <c r="J12" s="94" t="s">
        <v>55</v>
      </c>
      <c r="K12" s="523"/>
      <c r="L12" s="532"/>
      <c r="M12" s="541"/>
      <c r="N12" s="69"/>
      <c r="O12" s="550"/>
      <c r="P12" s="69"/>
      <c r="Q12" s="36">
        <f t="shared" si="4"/>
        <v>30</v>
      </c>
      <c r="R12" s="230">
        <f t="shared" si="5"/>
        <v>20</v>
      </c>
      <c r="S12" s="238">
        <f t="shared" si="6"/>
        <v>11</v>
      </c>
      <c r="T12" s="481">
        <f t="shared" si="0"/>
        <v>29</v>
      </c>
      <c r="U12" s="475">
        <f t="shared" si="7"/>
        <v>0</v>
      </c>
      <c r="V12" s="475">
        <f t="shared" si="1"/>
        <v>0</v>
      </c>
      <c r="W12" s="475">
        <f t="shared" si="2"/>
        <v>30</v>
      </c>
      <c r="X12" s="482">
        <f t="shared" si="3"/>
        <v>11</v>
      </c>
      <c r="Y12" s="475">
        <v>8</v>
      </c>
      <c r="Z12" s="475" t="s">
        <v>1014</v>
      </c>
      <c r="AA12" s="475" t="s">
        <v>938</v>
      </c>
      <c r="AB12" s="475">
        <v>1</v>
      </c>
      <c r="AC12" s="475">
        <v>2</v>
      </c>
      <c r="AD12" s="475" t="s">
        <v>941</v>
      </c>
      <c r="AE12" s="475">
        <v>29</v>
      </c>
      <c r="AF12" s="494">
        <v>16</v>
      </c>
      <c r="AG12" s="69"/>
      <c r="AH12" s="69"/>
      <c r="AI12" s="69"/>
      <c r="AJ12" s="66"/>
      <c r="AK12" s="69"/>
      <c r="AL12" s="69"/>
      <c r="AM12" s="69"/>
      <c r="AN12" s="69"/>
      <c r="AO12" s="69"/>
      <c r="AP12" s="36">
        <v>8</v>
      </c>
      <c r="AQ12" s="37" t="s">
        <v>661</v>
      </c>
      <c r="AR12" s="37" t="s">
        <v>327</v>
      </c>
      <c r="AS12" s="37" t="s">
        <v>667</v>
      </c>
      <c r="AT12" s="38">
        <v>30</v>
      </c>
      <c r="AU12" s="36">
        <v>8</v>
      </c>
      <c r="AV12" s="37" t="s">
        <v>607</v>
      </c>
      <c r="AW12" s="37" t="s">
        <v>372</v>
      </c>
      <c r="AX12" s="37" t="s">
        <v>606</v>
      </c>
      <c r="AY12" s="38">
        <v>11</v>
      </c>
      <c r="AZ12" s="39"/>
      <c r="BA12" s="38"/>
      <c r="BB12" s="37" t="s">
        <v>63</v>
      </c>
      <c r="BC12" s="37" t="s">
        <v>91</v>
      </c>
      <c r="BD12" s="37">
        <v>8</v>
      </c>
      <c r="BE12" s="38" t="s">
        <v>155</v>
      </c>
    </row>
    <row r="13" spans="2:57">
      <c r="B13" s="40" t="s">
        <v>94</v>
      </c>
      <c r="C13" s="41" t="s">
        <v>41</v>
      </c>
      <c r="D13" s="41" t="s">
        <v>9</v>
      </c>
      <c r="E13" s="41" t="s">
        <v>11</v>
      </c>
      <c r="F13" s="41">
        <v>0.2</v>
      </c>
      <c r="G13" s="41"/>
      <c r="H13" s="41"/>
      <c r="I13" s="41" t="s">
        <v>56</v>
      </c>
      <c r="J13" s="95" t="s">
        <v>56</v>
      </c>
      <c r="K13" s="527"/>
      <c r="L13" s="536"/>
      <c r="M13" s="545"/>
      <c r="N13" s="70"/>
      <c r="O13" s="554"/>
      <c r="P13" s="70"/>
      <c r="Q13" s="40">
        <f t="shared" si="4"/>
        <v>54</v>
      </c>
      <c r="R13" s="234" t="e">
        <f t="shared" si="5"/>
        <v>#DIV/0!</v>
      </c>
      <c r="S13" s="242">
        <f t="shared" si="6"/>
        <v>54</v>
      </c>
      <c r="T13" s="489">
        <f t="shared" si="0"/>
        <v>54</v>
      </c>
      <c r="U13" s="479">
        <f t="shared" si="7"/>
        <v>0</v>
      </c>
      <c r="V13" s="479">
        <f t="shared" si="1"/>
        <v>0</v>
      </c>
      <c r="W13" s="479">
        <f t="shared" si="2"/>
        <v>0</v>
      </c>
      <c r="X13" s="490">
        <f t="shared" si="3"/>
        <v>0</v>
      </c>
      <c r="Y13" s="479">
        <v>9</v>
      </c>
      <c r="Z13" s="479"/>
      <c r="AA13" s="479" t="s">
        <v>938</v>
      </c>
      <c r="AB13" s="479">
        <v>0</v>
      </c>
      <c r="AC13" s="479">
        <v>1</v>
      </c>
      <c r="AD13" s="479" t="s">
        <v>1017</v>
      </c>
      <c r="AE13" s="479">
        <v>54</v>
      </c>
      <c r="AF13" s="498"/>
      <c r="AG13" s="70"/>
      <c r="AH13" s="70"/>
      <c r="AI13" s="70"/>
      <c r="AJ13" s="67"/>
      <c r="AK13" s="70"/>
      <c r="AL13" s="70"/>
      <c r="AM13" s="70"/>
      <c r="AN13" s="70"/>
      <c r="AO13" s="70"/>
      <c r="AP13" s="40"/>
      <c r="AQ13" s="41"/>
      <c r="AR13" s="41"/>
      <c r="AS13" s="41"/>
      <c r="AT13" s="42"/>
      <c r="AU13" s="40"/>
      <c r="AV13" s="41"/>
      <c r="AW13" s="41"/>
      <c r="AX13" s="41"/>
      <c r="AY13" s="42"/>
      <c r="AZ13" s="43"/>
      <c r="BA13" s="42"/>
      <c r="BB13" s="41"/>
      <c r="BC13" s="41"/>
      <c r="BD13" s="41"/>
      <c r="BE13" s="42"/>
    </row>
    <row r="14" spans="2:57">
      <c r="B14" s="40" t="s">
        <v>94</v>
      </c>
      <c r="C14" s="41" t="s">
        <v>620</v>
      </c>
      <c r="D14" s="41" t="s">
        <v>4</v>
      </c>
      <c r="E14" s="41" t="s">
        <v>21</v>
      </c>
      <c r="F14" s="41">
        <v>4</v>
      </c>
      <c r="G14" s="41" t="s">
        <v>142</v>
      </c>
      <c r="H14" s="41">
        <v>40</v>
      </c>
      <c r="I14" s="41" t="s">
        <v>56</v>
      </c>
      <c r="J14" s="95" t="s">
        <v>56</v>
      </c>
      <c r="K14" s="527"/>
      <c r="L14" s="536"/>
      <c r="M14" s="545"/>
      <c r="N14" s="70"/>
      <c r="O14" s="554"/>
      <c r="P14" s="70" t="s">
        <v>1032</v>
      </c>
      <c r="Q14" s="40">
        <f t="shared" si="4"/>
        <v>80</v>
      </c>
      <c r="R14" s="234">
        <f t="shared" si="5"/>
        <v>38</v>
      </c>
      <c r="S14" s="242">
        <f t="shared" si="6"/>
        <v>4</v>
      </c>
      <c r="T14" s="489">
        <f t="shared" si="0"/>
        <v>59</v>
      </c>
      <c r="U14" s="479">
        <f t="shared" si="7"/>
        <v>4</v>
      </c>
      <c r="V14" s="479">
        <f t="shared" si="1"/>
        <v>35</v>
      </c>
      <c r="W14" s="479">
        <f t="shared" si="2"/>
        <v>80</v>
      </c>
      <c r="X14" s="490">
        <f t="shared" si="3"/>
        <v>54</v>
      </c>
      <c r="Y14" s="479">
        <v>10</v>
      </c>
      <c r="Z14" s="479"/>
      <c r="AA14" s="479" t="s">
        <v>876</v>
      </c>
      <c r="AB14" s="479">
        <v>3</v>
      </c>
      <c r="AC14" s="479">
        <v>1</v>
      </c>
      <c r="AD14" s="479" t="s">
        <v>1020</v>
      </c>
      <c r="AE14" s="479">
        <v>59</v>
      </c>
      <c r="AF14" s="498">
        <v>10</v>
      </c>
      <c r="AG14" s="70" t="s">
        <v>692</v>
      </c>
      <c r="AH14" s="70"/>
      <c r="AI14" s="70" t="s">
        <v>697</v>
      </c>
      <c r="AJ14" s="67">
        <v>4</v>
      </c>
      <c r="AK14" s="70">
        <v>11</v>
      </c>
      <c r="AL14" s="70"/>
      <c r="AM14" s="70"/>
      <c r="AN14" s="70" t="s">
        <v>295</v>
      </c>
      <c r="AO14" s="70">
        <v>35</v>
      </c>
      <c r="AP14" s="40">
        <v>11</v>
      </c>
      <c r="AQ14" s="41"/>
      <c r="AR14" s="41"/>
      <c r="AS14" s="41" t="s">
        <v>670</v>
      </c>
      <c r="AT14" s="42">
        <v>80</v>
      </c>
      <c r="AU14" s="40">
        <v>10</v>
      </c>
      <c r="AV14" s="41"/>
      <c r="AW14" s="41"/>
      <c r="AX14" s="41" t="s">
        <v>74</v>
      </c>
      <c r="AY14" s="42">
        <v>54</v>
      </c>
      <c r="AZ14" s="43">
        <v>10</v>
      </c>
      <c r="BA14" s="42" t="s">
        <v>270</v>
      </c>
      <c r="BB14" s="41" t="s">
        <v>65</v>
      </c>
      <c r="BC14" s="41" t="s">
        <v>90</v>
      </c>
      <c r="BD14" s="41">
        <v>10</v>
      </c>
      <c r="BE14" s="42" t="s">
        <v>158</v>
      </c>
    </row>
    <row r="15" spans="2:57">
      <c r="B15" s="40" t="s">
        <v>94</v>
      </c>
      <c r="C15" s="41" t="s">
        <v>629</v>
      </c>
      <c r="D15" s="41" t="s">
        <v>4</v>
      </c>
      <c r="E15" s="41" t="s">
        <v>26</v>
      </c>
      <c r="F15" s="41">
        <v>10</v>
      </c>
      <c r="G15" s="41" t="s">
        <v>654</v>
      </c>
      <c r="H15" s="41">
        <v>26</v>
      </c>
      <c r="I15" s="41" t="s">
        <v>56</v>
      </c>
      <c r="J15" s="95" t="s">
        <v>56</v>
      </c>
      <c r="K15" s="527"/>
      <c r="L15" s="536"/>
      <c r="M15" s="545"/>
      <c r="N15" s="70"/>
      <c r="O15" s="554"/>
      <c r="P15" s="70"/>
      <c r="Q15" s="40">
        <f t="shared" si="4"/>
        <v>54</v>
      </c>
      <c r="R15" s="234">
        <f t="shared" si="5"/>
        <v>15.333333333333334</v>
      </c>
      <c r="S15" s="242">
        <f t="shared" si="6"/>
        <v>4</v>
      </c>
      <c r="T15" s="489">
        <f t="shared" si="0"/>
        <v>12</v>
      </c>
      <c r="U15" s="479">
        <f t="shared" si="7"/>
        <v>4</v>
      </c>
      <c r="V15" s="479">
        <f t="shared" si="1"/>
        <v>0</v>
      </c>
      <c r="W15" s="479">
        <f t="shared" si="2"/>
        <v>30</v>
      </c>
      <c r="X15" s="490">
        <f t="shared" si="3"/>
        <v>54</v>
      </c>
      <c r="Y15" s="479">
        <v>11</v>
      </c>
      <c r="Z15" s="479"/>
      <c r="AA15" s="479"/>
      <c r="AB15" s="479"/>
      <c r="AC15" s="479"/>
      <c r="AD15" s="479" t="s">
        <v>1018</v>
      </c>
      <c r="AE15" s="479">
        <v>12</v>
      </c>
      <c r="AF15" s="498">
        <v>11</v>
      </c>
      <c r="AG15" s="70" t="s">
        <v>280</v>
      </c>
      <c r="AH15" s="70"/>
      <c r="AI15" s="70" t="s">
        <v>694</v>
      </c>
      <c r="AJ15" s="67">
        <v>4</v>
      </c>
      <c r="AK15" s="70"/>
      <c r="AL15" s="70"/>
      <c r="AM15" s="70"/>
      <c r="AN15" s="70"/>
      <c r="AO15" s="70"/>
      <c r="AP15" s="40">
        <v>12</v>
      </c>
      <c r="AQ15" s="41"/>
      <c r="AR15" s="41"/>
      <c r="AS15" s="41" t="s">
        <v>665</v>
      </c>
      <c r="AT15" s="42">
        <v>30</v>
      </c>
      <c r="AU15" s="40">
        <v>9</v>
      </c>
      <c r="AV15" s="41"/>
      <c r="AW15" s="41"/>
      <c r="AX15" s="41" t="s">
        <v>266</v>
      </c>
      <c r="AY15" s="42">
        <v>54</v>
      </c>
      <c r="AZ15" s="43">
        <v>11</v>
      </c>
      <c r="BA15" s="42" t="s">
        <v>269</v>
      </c>
      <c r="BB15" s="41" t="s">
        <v>64</v>
      </c>
      <c r="BC15" s="41"/>
      <c r="BD15" s="41">
        <v>9</v>
      </c>
      <c r="BE15" s="42" t="s">
        <v>156</v>
      </c>
    </row>
    <row r="16" spans="2:57">
      <c r="B16" s="136" t="s">
        <v>94</v>
      </c>
      <c r="C16" s="137" t="s">
        <v>630</v>
      </c>
      <c r="D16" s="137" t="s">
        <v>4</v>
      </c>
      <c r="E16" s="137" t="s">
        <v>27</v>
      </c>
      <c r="F16" s="137">
        <v>7.5</v>
      </c>
      <c r="G16" s="137" t="s">
        <v>615</v>
      </c>
      <c r="H16" s="137">
        <v>33</v>
      </c>
      <c r="I16" s="137" t="s">
        <v>56</v>
      </c>
      <c r="J16" s="211" t="s">
        <v>56</v>
      </c>
      <c r="K16" s="528" t="s">
        <v>1007</v>
      </c>
      <c r="L16" s="537"/>
      <c r="M16" s="546"/>
      <c r="N16" s="140"/>
      <c r="O16" s="555"/>
      <c r="P16" s="140" t="s">
        <v>994</v>
      </c>
      <c r="Q16" s="136">
        <f t="shared" si="4"/>
        <v>116</v>
      </c>
      <c r="R16" s="235">
        <f t="shared" si="5"/>
        <v>57.333333333333336</v>
      </c>
      <c r="S16" s="243">
        <f t="shared" si="6"/>
        <v>38</v>
      </c>
      <c r="T16" s="491">
        <f t="shared" si="0"/>
        <v>54</v>
      </c>
      <c r="U16" s="480">
        <f t="shared" si="7"/>
        <v>38</v>
      </c>
      <c r="V16" s="480">
        <f t="shared" si="1"/>
        <v>0</v>
      </c>
      <c r="W16" s="480">
        <f t="shared" si="2"/>
        <v>80</v>
      </c>
      <c r="X16" s="492">
        <f t="shared" si="3"/>
        <v>116</v>
      </c>
      <c r="Y16" s="480">
        <v>12</v>
      </c>
      <c r="Z16" s="480"/>
      <c r="AA16" s="480"/>
      <c r="AB16" s="480"/>
      <c r="AC16" s="480"/>
      <c r="AD16" s="480" t="s">
        <v>1019</v>
      </c>
      <c r="AE16" s="480">
        <v>54</v>
      </c>
      <c r="AF16" s="499">
        <v>9</v>
      </c>
      <c r="AG16" s="140" t="s">
        <v>366</v>
      </c>
      <c r="AH16" s="140" t="s">
        <v>401</v>
      </c>
      <c r="AI16" s="140" t="s">
        <v>696</v>
      </c>
      <c r="AJ16" s="139">
        <v>38</v>
      </c>
      <c r="AK16" s="140"/>
      <c r="AL16" s="140"/>
      <c r="AM16" s="140"/>
      <c r="AN16" s="140"/>
      <c r="AO16" s="140"/>
      <c r="AP16" s="136">
        <v>9</v>
      </c>
      <c r="AQ16" s="137" t="s">
        <v>425</v>
      </c>
      <c r="AR16" s="137" t="s">
        <v>327</v>
      </c>
      <c r="AS16" s="137" t="s">
        <v>668</v>
      </c>
      <c r="AT16" s="138">
        <v>80</v>
      </c>
      <c r="AU16" s="136">
        <v>12</v>
      </c>
      <c r="AV16" s="137"/>
      <c r="AW16" s="137"/>
      <c r="AX16" s="137" t="s">
        <v>267</v>
      </c>
      <c r="AY16" s="138">
        <v>116</v>
      </c>
      <c r="AZ16" s="141"/>
      <c r="BA16" s="138"/>
      <c r="BB16" s="137"/>
      <c r="BC16" s="137"/>
      <c r="BD16" s="137">
        <v>12</v>
      </c>
      <c r="BE16" s="138" t="s">
        <v>157</v>
      </c>
    </row>
    <row r="17" spans="2:57">
      <c r="B17" s="40" t="s">
        <v>94</v>
      </c>
      <c r="C17" s="41" t="s">
        <v>624</v>
      </c>
      <c r="D17" s="41" t="s">
        <v>4</v>
      </c>
      <c r="E17" s="41" t="s">
        <v>14</v>
      </c>
      <c r="F17" s="41">
        <v>0.5</v>
      </c>
      <c r="G17" s="41" t="s">
        <v>142</v>
      </c>
      <c r="H17" s="41">
        <v>31</v>
      </c>
      <c r="I17" s="41" t="s">
        <v>56</v>
      </c>
      <c r="J17" s="95" t="s">
        <v>56</v>
      </c>
      <c r="K17" s="527"/>
      <c r="L17" s="536"/>
      <c r="M17" s="545"/>
      <c r="N17" s="70"/>
      <c r="O17" s="554"/>
      <c r="P17" s="70"/>
      <c r="Q17" s="40">
        <f t="shared" si="4"/>
        <v>14</v>
      </c>
      <c r="R17" s="234">
        <f t="shared" si="5"/>
        <v>7</v>
      </c>
      <c r="S17" s="242">
        <f t="shared" si="6"/>
        <v>4</v>
      </c>
      <c r="T17" s="489">
        <f t="shared" si="0"/>
        <v>0</v>
      </c>
      <c r="U17" s="479">
        <f t="shared" si="7"/>
        <v>14</v>
      </c>
      <c r="V17" s="479">
        <f t="shared" si="1"/>
        <v>10</v>
      </c>
      <c r="W17" s="479">
        <f t="shared" si="2"/>
        <v>0</v>
      </c>
      <c r="X17" s="490">
        <f t="shared" si="3"/>
        <v>4</v>
      </c>
      <c r="Y17" s="479"/>
      <c r="Z17" s="479"/>
      <c r="AA17" s="479"/>
      <c r="AB17" s="479"/>
      <c r="AC17" s="479"/>
      <c r="AD17" s="479"/>
      <c r="AE17" s="479"/>
      <c r="AF17" s="498">
        <v>8</v>
      </c>
      <c r="AG17" s="70" t="s">
        <v>691</v>
      </c>
      <c r="AH17" s="70" t="s">
        <v>401</v>
      </c>
      <c r="AI17" s="70" t="s">
        <v>577</v>
      </c>
      <c r="AJ17" s="67">
        <v>14</v>
      </c>
      <c r="AK17" s="70">
        <v>9</v>
      </c>
      <c r="AL17" s="70"/>
      <c r="AM17" s="70"/>
      <c r="AN17" s="70" t="s">
        <v>292</v>
      </c>
      <c r="AO17" s="70">
        <v>10</v>
      </c>
      <c r="AP17" s="40">
        <v>15</v>
      </c>
      <c r="AQ17" s="41"/>
      <c r="AR17" s="41"/>
      <c r="AS17" s="41"/>
      <c r="AT17" s="42"/>
      <c r="AU17" s="40">
        <v>11</v>
      </c>
      <c r="AV17" s="41"/>
      <c r="AW17" s="41"/>
      <c r="AX17" s="41" t="s">
        <v>259</v>
      </c>
      <c r="AY17" s="42">
        <v>4</v>
      </c>
      <c r="AZ17" s="43"/>
      <c r="BA17" s="42"/>
      <c r="BB17" s="41"/>
      <c r="BC17" s="41"/>
      <c r="BD17" s="41">
        <v>11</v>
      </c>
      <c r="BE17" s="42" t="s">
        <v>154</v>
      </c>
    </row>
    <row r="18" spans="2:57">
      <c r="B18" s="40" t="s">
        <v>94</v>
      </c>
      <c r="C18" s="41" t="s">
        <v>621</v>
      </c>
      <c r="D18" s="41" t="s">
        <v>4</v>
      </c>
      <c r="E18" s="41" t="s">
        <v>14</v>
      </c>
      <c r="F18" s="41">
        <v>0.5</v>
      </c>
      <c r="G18" s="41" t="s">
        <v>142</v>
      </c>
      <c r="H18" s="41"/>
      <c r="I18" s="41" t="s">
        <v>56</v>
      </c>
      <c r="J18" s="95" t="s">
        <v>56</v>
      </c>
      <c r="K18" s="527"/>
      <c r="L18" s="536"/>
      <c r="M18" s="545"/>
      <c r="N18" s="70"/>
      <c r="O18" s="554"/>
      <c r="P18" s="70"/>
      <c r="Q18" s="40">
        <f t="shared" si="4"/>
        <v>66</v>
      </c>
      <c r="R18" s="234">
        <f t="shared" si="5"/>
        <v>29</v>
      </c>
      <c r="S18" s="242">
        <f t="shared" si="6"/>
        <v>29</v>
      </c>
      <c r="T18" s="489">
        <f t="shared" si="0"/>
        <v>0</v>
      </c>
      <c r="U18" s="479">
        <f t="shared" si="7"/>
        <v>29</v>
      </c>
      <c r="V18" s="479">
        <f t="shared" si="1"/>
        <v>66</v>
      </c>
      <c r="W18" s="479">
        <f t="shared" si="2"/>
        <v>0</v>
      </c>
      <c r="X18" s="490">
        <f t="shared" si="3"/>
        <v>0</v>
      </c>
      <c r="Y18" s="479"/>
      <c r="Z18" s="479"/>
      <c r="AA18" s="479"/>
      <c r="AB18" s="479"/>
      <c r="AC18" s="479"/>
      <c r="AD18" s="479"/>
      <c r="AE18" s="479"/>
      <c r="AF18" s="498">
        <v>12</v>
      </c>
      <c r="AG18" s="70"/>
      <c r="AH18" s="70"/>
      <c r="AI18" s="70" t="s">
        <v>698</v>
      </c>
      <c r="AJ18" s="67">
        <v>29</v>
      </c>
      <c r="AK18" s="70">
        <v>12</v>
      </c>
      <c r="AL18" s="70"/>
      <c r="AM18" s="70"/>
      <c r="AN18" s="70" t="s">
        <v>297</v>
      </c>
      <c r="AO18" s="70">
        <v>66</v>
      </c>
      <c r="AP18" s="40">
        <v>15</v>
      </c>
      <c r="AQ18" s="41"/>
      <c r="AR18" s="41"/>
      <c r="AS18" s="41"/>
      <c r="AT18" s="42"/>
      <c r="AU18" s="40"/>
      <c r="AV18" s="41"/>
      <c r="AW18" s="41"/>
      <c r="AX18" s="41"/>
      <c r="AY18" s="42"/>
      <c r="AZ18" s="43"/>
      <c r="BA18" s="42"/>
      <c r="BB18" s="41"/>
      <c r="BC18" s="41"/>
      <c r="BD18" s="41"/>
      <c r="BE18" s="42"/>
    </row>
    <row r="19" spans="2:57">
      <c r="B19" s="124" t="s">
        <v>94</v>
      </c>
      <c r="C19" s="125" t="s">
        <v>37</v>
      </c>
      <c r="D19" s="125" t="s">
        <v>9</v>
      </c>
      <c r="E19" s="125" t="s">
        <v>38</v>
      </c>
      <c r="F19" s="125">
        <v>0.75</v>
      </c>
      <c r="G19" s="125" t="s">
        <v>614</v>
      </c>
      <c r="H19" s="125"/>
      <c r="I19" s="125" t="s">
        <v>55</v>
      </c>
      <c r="J19" s="210" t="s">
        <v>55</v>
      </c>
      <c r="K19" s="525" t="s">
        <v>1004</v>
      </c>
      <c r="L19" s="534"/>
      <c r="M19" s="543"/>
      <c r="N19" s="128"/>
      <c r="O19" s="552"/>
      <c r="P19" s="128"/>
      <c r="Q19" s="124">
        <f t="shared" si="4"/>
        <v>0</v>
      </c>
      <c r="R19" s="231">
        <f t="shared" si="5"/>
        <v>0</v>
      </c>
      <c r="S19" s="239">
        <f t="shared" si="6"/>
        <v>0</v>
      </c>
      <c r="T19" s="483">
        <f t="shared" si="0"/>
        <v>0</v>
      </c>
      <c r="U19" s="476">
        <f t="shared" si="7"/>
        <v>0</v>
      </c>
      <c r="V19" s="476">
        <f t="shared" si="1"/>
        <v>0</v>
      </c>
      <c r="W19" s="476">
        <f t="shared" si="2"/>
        <v>0</v>
      </c>
      <c r="X19" s="484">
        <f t="shared" si="3"/>
        <v>0</v>
      </c>
      <c r="Y19" s="476"/>
      <c r="Z19" s="476"/>
      <c r="AA19" s="476"/>
      <c r="AB19" s="476"/>
      <c r="AC19" s="476"/>
      <c r="AD19" s="476"/>
      <c r="AE19" s="476"/>
      <c r="AF19" s="495">
        <v>16</v>
      </c>
      <c r="AG19" s="128"/>
      <c r="AH19" s="128"/>
      <c r="AI19" s="128"/>
      <c r="AJ19" s="127"/>
      <c r="AK19" s="128"/>
      <c r="AL19" s="128"/>
      <c r="AM19" s="128"/>
      <c r="AN19" s="128"/>
      <c r="AO19" s="128"/>
      <c r="AP19" s="124">
        <v>15</v>
      </c>
      <c r="AQ19" s="125"/>
      <c r="AR19" s="125"/>
      <c r="AS19" s="125"/>
      <c r="AT19" s="126"/>
      <c r="AU19" s="124"/>
      <c r="AV19" s="125"/>
      <c r="AW19" s="125"/>
      <c r="AX19" s="125"/>
      <c r="AY19" s="126"/>
      <c r="AZ19" s="129"/>
      <c r="BA19" s="126"/>
      <c r="BB19" s="125"/>
      <c r="BC19" s="125"/>
      <c r="BD19" s="125"/>
      <c r="BE19" s="126"/>
    </row>
    <row r="20" spans="2:57">
      <c r="B20" s="36" t="s">
        <v>94</v>
      </c>
      <c r="C20" s="37" t="s">
        <v>39</v>
      </c>
      <c r="D20" s="37" t="s">
        <v>9</v>
      </c>
      <c r="E20" s="37" t="s">
        <v>11</v>
      </c>
      <c r="F20" s="37">
        <v>0.2</v>
      </c>
      <c r="G20" s="37"/>
      <c r="H20" s="37"/>
      <c r="I20" s="37" t="s">
        <v>55</v>
      </c>
      <c r="J20" s="94" t="s">
        <v>55</v>
      </c>
      <c r="K20" s="523"/>
      <c r="L20" s="532"/>
      <c r="M20" s="541"/>
      <c r="N20" s="69"/>
      <c r="O20" s="550"/>
      <c r="P20" s="69"/>
      <c r="Q20" s="36">
        <f t="shared" si="4"/>
        <v>0</v>
      </c>
      <c r="R20" s="230">
        <f t="shared" si="5"/>
        <v>0</v>
      </c>
      <c r="S20" s="238">
        <f t="shared" si="6"/>
        <v>0</v>
      </c>
      <c r="T20" s="481">
        <f t="shared" si="0"/>
        <v>0</v>
      </c>
      <c r="U20" s="475">
        <f t="shared" si="7"/>
        <v>0</v>
      </c>
      <c r="V20" s="475">
        <f t="shared" si="1"/>
        <v>0</v>
      </c>
      <c r="W20" s="475">
        <f t="shared" si="2"/>
        <v>0</v>
      </c>
      <c r="X20" s="482">
        <f t="shared" si="3"/>
        <v>0</v>
      </c>
      <c r="Y20" s="475"/>
      <c r="Z20" s="475"/>
      <c r="AA20" s="475"/>
      <c r="AB20" s="475"/>
      <c r="AC20" s="475"/>
      <c r="AD20" s="475"/>
      <c r="AE20" s="475"/>
      <c r="AF20" s="494">
        <v>16</v>
      </c>
      <c r="AG20" s="69"/>
      <c r="AH20" s="69"/>
      <c r="AI20" s="69"/>
      <c r="AJ20" s="66"/>
      <c r="AK20" s="69"/>
      <c r="AL20" s="69"/>
      <c r="AM20" s="69"/>
      <c r="AN20" s="69"/>
      <c r="AO20" s="69"/>
      <c r="AP20" s="36">
        <v>15</v>
      </c>
      <c r="AQ20" s="37"/>
      <c r="AR20" s="37"/>
      <c r="AS20" s="37"/>
      <c r="AT20" s="38"/>
      <c r="AU20" s="36"/>
      <c r="AV20" s="37"/>
      <c r="AW20" s="37"/>
      <c r="AX20" s="37"/>
      <c r="AY20" s="38"/>
      <c r="AZ20" s="39"/>
      <c r="BA20" s="38"/>
      <c r="BB20" s="37"/>
      <c r="BC20" s="37"/>
      <c r="BD20" s="37"/>
      <c r="BE20" s="38"/>
    </row>
    <row r="21" spans="2:57">
      <c r="B21" s="36" t="s">
        <v>94</v>
      </c>
      <c r="C21" s="37" t="s">
        <v>40</v>
      </c>
      <c r="D21" s="37" t="s">
        <v>4</v>
      </c>
      <c r="E21" s="37" t="s">
        <v>11</v>
      </c>
      <c r="F21" s="37">
        <v>0.2</v>
      </c>
      <c r="G21" s="37"/>
      <c r="H21" s="37"/>
      <c r="I21" s="37" t="s">
        <v>55</v>
      </c>
      <c r="J21" s="94" t="s">
        <v>55</v>
      </c>
      <c r="K21" s="523"/>
      <c r="L21" s="532"/>
      <c r="M21" s="541"/>
      <c r="N21" s="69"/>
      <c r="O21" s="550"/>
      <c r="P21" s="69"/>
      <c r="Q21" s="36">
        <f t="shared" si="4"/>
        <v>0</v>
      </c>
      <c r="R21" s="230">
        <f t="shared" si="5"/>
        <v>0</v>
      </c>
      <c r="S21" s="238">
        <f t="shared" si="6"/>
        <v>0</v>
      </c>
      <c r="T21" s="481">
        <f t="shared" si="0"/>
        <v>0</v>
      </c>
      <c r="U21" s="475">
        <f t="shared" si="7"/>
        <v>0</v>
      </c>
      <c r="V21" s="475">
        <f t="shared" si="1"/>
        <v>0</v>
      </c>
      <c r="W21" s="475">
        <f t="shared" si="2"/>
        <v>0</v>
      </c>
      <c r="X21" s="482">
        <f t="shared" si="3"/>
        <v>0</v>
      </c>
      <c r="Y21" s="475"/>
      <c r="Z21" s="475"/>
      <c r="AA21" s="475"/>
      <c r="AB21" s="475"/>
      <c r="AC21" s="475"/>
      <c r="AD21" s="475"/>
      <c r="AE21" s="475"/>
      <c r="AF21" s="494">
        <v>16</v>
      </c>
      <c r="AG21" s="69"/>
      <c r="AH21" s="69"/>
      <c r="AI21" s="69"/>
      <c r="AJ21" s="66"/>
      <c r="AK21" s="69"/>
      <c r="AL21" s="69"/>
      <c r="AM21" s="69"/>
      <c r="AN21" s="69"/>
      <c r="AO21" s="69"/>
      <c r="AP21" s="36"/>
      <c r="AQ21" s="37"/>
      <c r="AR21" s="37"/>
      <c r="AS21" s="37"/>
      <c r="AT21" s="38"/>
      <c r="AU21" s="36"/>
      <c r="AV21" s="37"/>
      <c r="AW21" s="37"/>
      <c r="AX21" s="37"/>
      <c r="AY21" s="38"/>
      <c r="AZ21" s="39"/>
      <c r="BA21" s="38"/>
      <c r="BB21" s="37"/>
      <c r="BC21" s="37"/>
      <c r="BD21" s="37"/>
      <c r="BE21" s="38"/>
    </row>
    <row r="22" spans="2:57">
      <c r="B22" s="124" t="s">
        <v>94</v>
      </c>
      <c r="C22" s="125" t="s">
        <v>36</v>
      </c>
      <c r="D22" s="125" t="s">
        <v>9</v>
      </c>
      <c r="E22" s="125" t="s">
        <v>14</v>
      </c>
      <c r="F22" s="125">
        <v>0.5</v>
      </c>
      <c r="G22" s="125" t="s">
        <v>613</v>
      </c>
      <c r="H22" s="125"/>
      <c r="I22" s="125" t="s">
        <v>55</v>
      </c>
      <c r="J22" s="210" t="s">
        <v>55</v>
      </c>
      <c r="K22" s="525" t="s">
        <v>1004</v>
      </c>
      <c r="L22" s="534"/>
      <c r="M22" s="543"/>
      <c r="N22" s="128"/>
      <c r="O22" s="552"/>
      <c r="P22" s="128"/>
      <c r="Q22" s="124">
        <f t="shared" si="4"/>
        <v>2</v>
      </c>
      <c r="R22" s="231" t="e">
        <f t="shared" si="5"/>
        <v>#DIV/0!</v>
      </c>
      <c r="S22" s="239">
        <f t="shared" si="6"/>
        <v>2</v>
      </c>
      <c r="T22" s="483">
        <f t="shared" si="0"/>
        <v>0</v>
      </c>
      <c r="U22" s="476">
        <f t="shared" si="7"/>
        <v>0</v>
      </c>
      <c r="V22" s="476">
        <f t="shared" si="1"/>
        <v>2</v>
      </c>
      <c r="W22" s="476">
        <f t="shared" si="2"/>
        <v>0</v>
      </c>
      <c r="X22" s="484">
        <f t="shared" si="3"/>
        <v>0</v>
      </c>
      <c r="Y22" s="476"/>
      <c r="Z22" s="476"/>
      <c r="AA22" s="476"/>
      <c r="AB22" s="476"/>
      <c r="AC22" s="476"/>
      <c r="AD22" s="476"/>
      <c r="AE22" s="476"/>
      <c r="AF22" s="495"/>
      <c r="AG22" s="128"/>
      <c r="AH22" s="128"/>
      <c r="AI22" s="128"/>
      <c r="AJ22" s="127"/>
      <c r="AK22" s="128">
        <v>6</v>
      </c>
      <c r="AL22" s="128" t="s">
        <v>280</v>
      </c>
      <c r="AM22" s="128" t="s">
        <v>301</v>
      </c>
      <c r="AN22" s="128"/>
      <c r="AO22" s="128">
        <v>2</v>
      </c>
      <c r="AP22" s="124"/>
      <c r="AQ22" s="125"/>
      <c r="AR22" s="125"/>
      <c r="AS22" s="125"/>
      <c r="AT22" s="126"/>
      <c r="AU22" s="124"/>
      <c r="AV22" s="125"/>
      <c r="AW22" s="125"/>
      <c r="AX22" s="125"/>
      <c r="AY22" s="126"/>
      <c r="AZ22" s="129"/>
      <c r="BA22" s="126"/>
      <c r="BB22" s="125"/>
      <c r="BC22" s="125"/>
      <c r="BD22" s="125"/>
      <c r="BE22" s="126"/>
    </row>
    <row r="23" spans="2:57">
      <c r="B23" s="40" t="s">
        <v>94</v>
      </c>
      <c r="C23" s="41" t="s">
        <v>623</v>
      </c>
      <c r="D23" s="41" t="s">
        <v>4</v>
      </c>
      <c r="E23" s="41" t="s">
        <v>35</v>
      </c>
      <c r="F23" s="41">
        <v>0.45</v>
      </c>
      <c r="G23" s="41" t="s">
        <v>619</v>
      </c>
      <c r="H23" s="41">
        <v>24</v>
      </c>
      <c r="I23" s="41" t="s">
        <v>54</v>
      </c>
      <c r="J23" s="95" t="s">
        <v>56</v>
      </c>
      <c r="K23" s="527"/>
      <c r="L23" s="536"/>
      <c r="M23" s="545"/>
      <c r="N23" s="70"/>
      <c r="O23" s="554"/>
      <c r="P23" s="70"/>
      <c r="Q23" s="40">
        <f t="shared" si="4"/>
        <v>29</v>
      </c>
      <c r="R23" s="234">
        <f t="shared" si="5"/>
        <v>4</v>
      </c>
      <c r="S23" s="242">
        <f t="shared" si="6"/>
        <v>4</v>
      </c>
      <c r="T23" s="489">
        <f t="shared" si="0"/>
        <v>0</v>
      </c>
      <c r="U23" s="479">
        <f t="shared" si="7"/>
        <v>4</v>
      </c>
      <c r="V23" s="479">
        <f t="shared" si="1"/>
        <v>29</v>
      </c>
      <c r="W23" s="479">
        <f t="shared" si="2"/>
        <v>0</v>
      </c>
      <c r="X23" s="490">
        <f t="shared" si="3"/>
        <v>0</v>
      </c>
      <c r="Y23" s="479"/>
      <c r="Z23" s="479"/>
      <c r="AA23" s="479"/>
      <c r="AB23" s="479"/>
      <c r="AC23" s="479"/>
      <c r="AD23" s="479"/>
      <c r="AE23" s="479"/>
      <c r="AF23" s="498"/>
      <c r="AG23" s="70"/>
      <c r="AH23" s="70"/>
      <c r="AI23" s="70"/>
      <c r="AJ23" s="67">
        <v>4</v>
      </c>
      <c r="AK23" s="70">
        <v>10</v>
      </c>
      <c r="AL23" s="70"/>
      <c r="AM23" s="70"/>
      <c r="AN23" s="70" t="s">
        <v>294</v>
      </c>
      <c r="AO23" s="70">
        <v>29</v>
      </c>
      <c r="AP23" s="40">
        <v>10</v>
      </c>
      <c r="AQ23" s="41"/>
      <c r="AR23" s="41"/>
      <c r="AS23" s="41" t="s">
        <v>669</v>
      </c>
      <c r="AT23" s="42"/>
      <c r="AU23" s="40"/>
      <c r="AV23" s="41"/>
      <c r="AW23" s="41"/>
      <c r="AX23" s="41"/>
      <c r="AY23" s="42"/>
      <c r="AZ23" s="43"/>
      <c r="BA23" s="42"/>
      <c r="BB23" s="41"/>
      <c r="BC23" s="41"/>
      <c r="BD23" s="41"/>
      <c r="BE23" s="42"/>
    </row>
    <row r="24" spans="2:57">
      <c r="B24" s="130" t="s">
        <v>94</v>
      </c>
      <c r="C24" s="131" t="s">
        <v>22</v>
      </c>
      <c r="D24" s="131" t="s">
        <v>23</v>
      </c>
      <c r="E24" s="131" t="s">
        <v>24</v>
      </c>
      <c r="F24" s="131">
        <v>6.75</v>
      </c>
      <c r="G24" s="131" t="s">
        <v>616</v>
      </c>
      <c r="H24" s="131"/>
      <c r="I24" s="131" t="s">
        <v>75</v>
      </c>
      <c r="J24" s="209" t="s">
        <v>75</v>
      </c>
      <c r="K24" s="524" t="s">
        <v>1021</v>
      </c>
      <c r="L24" s="533"/>
      <c r="M24" s="542"/>
      <c r="N24" s="134"/>
      <c r="O24" s="551"/>
      <c r="P24" s="134"/>
      <c r="Q24" s="130">
        <f t="shared" si="4"/>
        <v>0</v>
      </c>
      <c r="R24" s="232">
        <f t="shared" si="5"/>
        <v>0</v>
      </c>
      <c r="S24" s="240">
        <f t="shared" si="6"/>
        <v>0</v>
      </c>
      <c r="T24" s="485">
        <f t="shared" si="0"/>
        <v>0</v>
      </c>
      <c r="U24" s="477">
        <f t="shared" si="7"/>
        <v>0</v>
      </c>
      <c r="V24" s="477">
        <f t="shared" si="1"/>
        <v>0</v>
      </c>
      <c r="W24" s="477">
        <f t="shared" si="2"/>
        <v>0</v>
      </c>
      <c r="X24" s="486">
        <f t="shared" si="3"/>
        <v>0</v>
      </c>
      <c r="Y24" s="477"/>
      <c r="Z24" s="477"/>
      <c r="AA24" s="477"/>
      <c r="AB24" s="477"/>
      <c r="AC24" s="477"/>
      <c r="AD24" s="477"/>
      <c r="AE24" s="477"/>
      <c r="AF24" s="496"/>
      <c r="AG24" s="134"/>
      <c r="AH24" s="134"/>
      <c r="AI24" s="134"/>
      <c r="AJ24" s="133"/>
      <c r="AK24" s="134"/>
      <c r="AL24" s="134"/>
      <c r="AM24" s="134"/>
      <c r="AN24" s="134"/>
      <c r="AO24" s="134"/>
      <c r="AP24" s="130"/>
      <c r="AQ24" s="131"/>
      <c r="AR24" s="131"/>
      <c r="AS24" s="131"/>
      <c r="AT24" s="132"/>
      <c r="AU24" s="130"/>
      <c r="AV24" s="131"/>
      <c r="AW24" s="131"/>
      <c r="AX24" s="131"/>
      <c r="AY24" s="132"/>
      <c r="AZ24" s="135"/>
      <c r="BA24" s="132"/>
      <c r="BB24" s="131" t="s">
        <v>68</v>
      </c>
      <c r="BC24" s="131" t="s">
        <v>76</v>
      </c>
      <c r="BD24" s="131"/>
      <c r="BE24" s="132"/>
    </row>
    <row r="25" spans="2:57">
      <c r="B25" s="136" t="s">
        <v>94</v>
      </c>
      <c r="C25" s="137" t="s">
        <v>1422</v>
      </c>
      <c r="D25" s="137" t="s">
        <v>4</v>
      </c>
      <c r="E25" s="137" t="s">
        <v>14</v>
      </c>
      <c r="F25" s="137">
        <v>0.5</v>
      </c>
      <c r="G25" s="137" t="s">
        <v>617</v>
      </c>
      <c r="H25" s="137"/>
      <c r="I25" s="137" t="s">
        <v>56</v>
      </c>
      <c r="J25" s="211" t="s">
        <v>56</v>
      </c>
      <c r="K25" s="528" t="s">
        <v>1004</v>
      </c>
      <c r="L25" s="537"/>
      <c r="M25" s="546"/>
      <c r="N25" s="140"/>
      <c r="O25" s="555"/>
      <c r="P25" s="140"/>
      <c r="Q25" s="136">
        <f t="shared" si="4"/>
        <v>0</v>
      </c>
      <c r="R25" s="235">
        <f t="shared" si="5"/>
        <v>0</v>
      </c>
      <c r="S25" s="243">
        <f t="shared" si="6"/>
        <v>0</v>
      </c>
      <c r="T25" s="491">
        <f t="shared" si="0"/>
        <v>0</v>
      </c>
      <c r="U25" s="480">
        <f t="shared" si="7"/>
        <v>0</v>
      </c>
      <c r="V25" s="480">
        <f t="shared" si="1"/>
        <v>0</v>
      </c>
      <c r="W25" s="480">
        <f t="shared" si="2"/>
        <v>0</v>
      </c>
      <c r="X25" s="492">
        <f t="shared" si="3"/>
        <v>0</v>
      </c>
      <c r="Y25" s="480"/>
      <c r="Z25" s="480"/>
      <c r="AA25" s="480"/>
      <c r="AB25" s="480"/>
      <c r="AC25" s="480"/>
      <c r="AD25" s="480"/>
      <c r="AE25" s="480"/>
      <c r="AF25" s="499"/>
      <c r="AG25" s="140"/>
      <c r="AH25" s="140"/>
      <c r="AI25" s="140"/>
      <c r="AJ25" s="139"/>
      <c r="AK25" s="140"/>
      <c r="AL25" s="140"/>
      <c r="AM25" s="140"/>
      <c r="AN25" s="140"/>
      <c r="AO25" s="140"/>
      <c r="AP25" s="136"/>
      <c r="AQ25" s="137"/>
      <c r="AR25" s="137"/>
      <c r="AS25" s="137"/>
      <c r="AT25" s="138"/>
      <c r="AU25" s="136"/>
      <c r="AV25" s="137"/>
      <c r="AW25" s="137"/>
      <c r="AX25" s="137"/>
      <c r="AY25" s="138"/>
      <c r="AZ25" s="141"/>
      <c r="BA25" s="138"/>
      <c r="BB25" s="137"/>
      <c r="BC25" s="137"/>
      <c r="BD25" s="137"/>
      <c r="BE25" s="138"/>
    </row>
    <row r="26" spans="2:57">
      <c r="B26" s="36" t="s">
        <v>94</v>
      </c>
      <c r="C26" s="37" t="s">
        <v>31</v>
      </c>
      <c r="D26" s="37" t="s">
        <v>9</v>
      </c>
      <c r="E26" s="37" t="s">
        <v>11</v>
      </c>
      <c r="F26" s="37">
        <v>0.2</v>
      </c>
      <c r="G26" s="37"/>
      <c r="H26" s="37"/>
      <c r="I26" s="37" t="s">
        <v>55</v>
      </c>
      <c r="J26" s="94" t="s">
        <v>55</v>
      </c>
      <c r="K26" s="523"/>
      <c r="L26" s="532"/>
      <c r="M26" s="541"/>
      <c r="N26" s="69"/>
      <c r="O26" s="550"/>
      <c r="P26" s="69"/>
      <c r="Q26" s="36">
        <f t="shared" si="4"/>
        <v>0</v>
      </c>
      <c r="R26" s="230">
        <f t="shared" si="5"/>
        <v>0</v>
      </c>
      <c r="S26" s="238">
        <f t="shared" si="6"/>
        <v>0</v>
      </c>
      <c r="T26" s="481">
        <f t="shared" si="0"/>
        <v>0</v>
      </c>
      <c r="U26" s="475">
        <f t="shared" si="7"/>
        <v>0</v>
      </c>
      <c r="V26" s="475">
        <f t="shared" si="1"/>
        <v>0</v>
      </c>
      <c r="W26" s="475">
        <f t="shared" si="2"/>
        <v>0</v>
      </c>
      <c r="X26" s="482">
        <f t="shared" si="3"/>
        <v>0</v>
      </c>
      <c r="Y26" s="475"/>
      <c r="Z26" s="475"/>
      <c r="AA26" s="475"/>
      <c r="AB26" s="475"/>
      <c r="AC26" s="475"/>
      <c r="AD26" s="475"/>
      <c r="AE26" s="475"/>
      <c r="AF26" s="494"/>
      <c r="AG26" s="69"/>
      <c r="AH26" s="69"/>
      <c r="AI26" s="69"/>
      <c r="AJ26" s="66"/>
      <c r="AK26" s="69"/>
      <c r="AL26" s="69"/>
      <c r="AM26" s="69"/>
      <c r="AN26" s="69"/>
      <c r="AO26" s="69"/>
      <c r="AP26" s="36"/>
      <c r="AQ26" s="37"/>
      <c r="AR26" s="37"/>
      <c r="AS26" s="37"/>
      <c r="AT26" s="38"/>
      <c r="AU26" s="36"/>
      <c r="AV26" s="37"/>
      <c r="AW26" s="37"/>
      <c r="AX26" s="37"/>
      <c r="AY26" s="38"/>
      <c r="AZ26" s="39"/>
      <c r="BA26" s="38"/>
      <c r="BB26" s="37"/>
      <c r="BC26" s="37"/>
      <c r="BD26" s="37"/>
      <c r="BE26" s="38"/>
    </row>
    <row r="27" spans="2:57">
      <c r="B27" s="32" t="s">
        <v>94</v>
      </c>
      <c r="C27" s="33" t="s">
        <v>29</v>
      </c>
      <c r="D27" s="33" t="s">
        <v>18</v>
      </c>
      <c r="E27" s="33" t="s">
        <v>11</v>
      </c>
      <c r="F27" s="33">
        <v>0.2</v>
      </c>
      <c r="G27" s="33" t="s">
        <v>632</v>
      </c>
      <c r="H27" s="33">
        <v>29</v>
      </c>
      <c r="I27" s="33" t="s">
        <v>54</v>
      </c>
      <c r="J27" s="93" t="s">
        <v>54</v>
      </c>
      <c r="K27" s="526"/>
      <c r="L27" s="535"/>
      <c r="M27" s="544"/>
      <c r="N27" s="68"/>
      <c r="O27" s="553"/>
      <c r="P27" s="68"/>
      <c r="Q27" s="32">
        <f t="shared" si="4"/>
        <v>0</v>
      </c>
      <c r="R27" s="233">
        <f t="shared" si="5"/>
        <v>0</v>
      </c>
      <c r="S27" s="241">
        <f t="shared" si="6"/>
        <v>0</v>
      </c>
      <c r="T27" s="487">
        <f t="shared" si="0"/>
        <v>0</v>
      </c>
      <c r="U27" s="478">
        <f t="shared" si="7"/>
        <v>0</v>
      </c>
      <c r="V27" s="478">
        <f t="shared" si="1"/>
        <v>0</v>
      </c>
      <c r="W27" s="478">
        <f t="shared" si="2"/>
        <v>0</v>
      </c>
      <c r="X27" s="488">
        <f t="shared" si="3"/>
        <v>0</v>
      </c>
      <c r="Y27" s="478"/>
      <c r="Z27" s="478"/>
      <c r="AA27" s="478"/>
      <c r="AB27" s="478"/>
      <c r="AC27" s="478"/>
      <c r="AD27" s="478"/>
      <c r="AE27" s="478"/>
      <c r="AF27" s="497"/>
      <c r="AG27" s="68"/>
      <c r="AH27" s="68"/>
      <c r="AI27" s="68"/>
      <c r="AJ27" s="65"/>
      <c r="AK27" s="68"/>
      <c r="AL27" s="68"/>
      <c r="AM27" s="68"/>
      <c r="AN27" s="68"/>
      <c r="AO27" s="68"/>
      <c r="AP27" s="32"/>
      <c r="AQ27" s="33"/>
      <c r="AR27" s="33"/>
      <c r="AS27" s="33"/>
      <c r="AT27" s="34"/>
      <c r="AU27" s="32"/>
      <c r="AV27" s="33"/>
      <c r="AW27" s="33"/>
      <c r="AX27" s="33"/>
      <c r="AY27" s="34"/>
      <c r="AZ27" s="35">
        <v>2</v>
      </c>
      <c r="BA27" s="34" t="s">
        <v>256</v>
      </c>
      <c r="BB27" s="33"/>
      <c r="BC27" s="33"/>
      <c r="BD27" s="33"/>
      <c r="BE27" s="34"/>
    </row>
    <row r="28" spans="2:57">
      <c r="B28" s="40" t="s">
        <v>94</v>
      </c>
      <c r="C28" s="41" t="s">
        <v>30</v>
      </c>
      <c r="D28" s="41" t="s">
        <v>4</v>
      </c>
      <c r="E28" s="41" t="s">
        <v>11</v>
      </c>
      <c r="F28" s="41">
        <v>0.2</v>
      </c>
      <c r="G28" s="41"/>
      <c r="H28" s="41"/>
      <c r="I28" s="41" t="s">
        <v>56</v>
      </c>
      <c r="J28" s="95" t="s">
        <v>56</v>
      </c>
      <c r="K28" s="527"/>
      <c r="L28" s="536"/>
      <c r="M28" s="545"/>
      <c r="N28" s="70"/>
      <c r="O28" s="554"/>
      <c r="P28" s="70"/>
      <c r="Q28" s="40">
        <f t="shared" si="4"/>
        <v>0</v>
      </c>
      <c r="R28" s="234">
        <f t="shared" si="5"/>
        <v>0</v>
      </c>
      <c r="S28" s="242">
        <f t="shared" si="6"/>
        <v>0</v>
      </c>
      <c r="T28" s="489">
        <f t="shared" si="0"/>
        <v>0</v>
      </c>
      <c r="U28" s="479">
        <f t="shared" si="7"/>
        <v>0</v>
      </c>
      <c r="V28" s="479">
        <f t="shared" si="1"/>
        <v>0</v>
      </c>
      <c r="W28" s="479">
        <f t="shared" si="2"/>
        <v>0</v>
      </c>
      <c r="X28" s="490">
        <f t="shared" si="3"/>
        <v>0</v>
      </c>
      <c r="Y28" s="479"/>
      <c r="Z28" s="479"/>
      <c r="AA28" s="479"/>
      <c r="AB28" s="479"/>
      <c r="AC28" s="479"/>
      <c r="AD28" s="479"/>
      <c r="AE28" s="479"/>
      <c r="AF28" s="498"/>
      <c r="AG28" s="70"/>
      <c r="AH28" s="70"/>
      <c r="AI28" s="70"/>
      <c r="AJ28" s="67"/>
      <c r="AK28" s="70"/>
      <c r="AL28" s="70"/>
      <c r="AM28" s="70"/>
      <c r="AN28" s="70"/>
      <c r="AO28" s="70"/>
      <c r="AP28" s="40"/>
      <c r="AQ28" s="41"/>
      <c r="AR28" s="41"/>
      <c r="AS28" s="41"/>
      <c r="AT28" s="42"/>
      <c r="AU28" s="40"/>
      <c r="AV28" s="41"/>
      <c r="AW28" s="41"/>
      <c r="AX28" s="41"/>
      <c r="AY28" s="42"/>
      <c r="AZ28" s="43"/>
      <c r="BA28" s="42"/>
      <c r="BB28" s="41"/>
      <c r="BC28" s="41" t="s">
        <v>88</v>
      </c>
      <c r="BD28" s="41"/>
      <c r="BE28" s="42"/>
    </row>
    <row r="29" spans="2:57" ht="15" thickBot="1">
      <c r="B29" s="183" t="s">
        <v>94</v>
      </c>
      <c r="C29" s="184" t="s">
        <v>32</v>
      </c>
      <c r="D29" s="184" t="s">
        <v>4</v>
      </c>
      <c r="E29" s="184" t="s">
        <v>11</v>
      </c>
      <c r="F29" s="184">
        <v>0.2</v>
      </c>
      <c r="G29" s="184"/>
      <c r="H29" s="184"/>
      <c r="I29" s="184" t="s">
        <v>56</v>
      </c>
      <c r="J29" s="227" t="s">
        <v>56</v>
      </c>
      <c r="K29" s="529"/>
      <c r="L29" s="538"/>
      <c r="M29" s="547"/>
      <c r="N29" s="187"/>
      <c r="O29" s="556"/>
      <c r="P29" s="187"/>
      <c r="Q29" s="183">
        <f t="shared" si="4"/>
        <v>0</v>
      </c>
      <c r="R29" s="244">
        <f t="shared" si="5"/>
        <v>0</v>
      </c>
      <c r="S29" s="245">
        <f t="shared" si="6"/>
        <v>0</v>
      </c>
      <c r="T29" s="314">
        <f t="shared" si="0"/>
        <v>0</v>
      </c>
      <c r="U29" s="315">
        <f t="shared" si="7"/>
        <v>0</v>
      </c>
      <c r="V29" s="315">
        <f t="shared" si="1"/>
        <v>0</v>
      </c>
      <c r="W29" s="315">
        <f t="shared" si="2"/>
        <v>0</v>
      </c>
      <c r="X29" s="493">
        <f t="shared" si="3"/>
        <v>0</v>
      </c>
      <c r="Y29" s="315"/>
      <c r="Z29" s="315"/>
      <c r="AA29" s="315"/>
      <c r="AB29" s="315"/>
      <c r="AC29" s="315"/>
      <c r="AD29" s="315"/>
      <c r="AE29" s="315"/>
      <c r="AF29" s="313"/>
      <c r="AG29" s="187"/>
      <c r="AH29" s="187"/>
      <c r="AI29" s="187"/>
      <c r="AJ29" s="186"/>
      <c r="AK29" s="187"/>
      <c r="AL29" s="187"/>
      <c r="AM29" s="187"/>
      <c r="AN29" s="187"/>
      <c r="AO29" s="187"/>
      <c r="AP29" s="183"/>
      <c r="AQ29" s="184"/>
      <c r="AR29" s="184"/>
      <c r="AS29" s="184"/>
      <c r="AT29" s="185"/>
      <c r="AU29" s="183"/>
      <c r="AV29" s="184"/>
      <c r="AW29" s="184"/>
      <c r="AX29" s="184"/>
      <c r="AY29" s="185"/>
      <c r="AZ29" s="188"/>
      <c r="BA29" s="185"/>
      <c r="BB29" s="184"/>
      <c r="BC29" s="184"/>
      <c r="BD29" s="184"/>
      <c r="BE29" s="185"/>
    </row>
  </sheetData>
  <sortState xmlns:xlrd2="http://schemas.microsoft.com/office/spreadsheetml/2017/richdata2" ref="B5:BE29">
    <sortCondition ref="Y5:Y29"/>
    <sortCondition ref="AF5:AF29"/>
    <sortCondition ref="AK5:AK29"/>
    <sortCondition ref="AP5:AP29"/>
    <sortCondition descending="1" ref="F5:F29"/>
    <sortCondition ref="D5:D29"/>
  </sortState>
  <conditionalFormatting sqref="Q5:Q29">
    <cfRule type="colorScale" priority="7">
      <colorScale>
        <cfvo type="min"/>
        <cfvo type="max"/>
        <color rgb="FFFFEF9C"/>
        <color rgb="FF63BE7B"/>
      </colorScale>
    </cfRule>
  </conditionalFormatting>
  <conditionalFormatting sqref="R5:R29">
    <cfRule type="colorScale" priority="6">
      <colorScale>
        <cfvo type="min"/>
        <cfvo type="max"/>
        <color rgb="FFFFEF9C"/>
        <color rgb="FF63BE7B"/>
      </colorScale>
    </cfRule>
  </conditionalFormatting>
  <conditionalFormatting sqref="S5:S29">
    <cfRule type="colorScale" priority="5">
      <colorScale>
        <cfvo type="min"/>
        <cfvo type="max"/>
        <color rgb="FFFFEF9C"/>
        <color rgb="FF63BE7B"/>
      </colorScale>
    </cfRule>
  </conditionalFormatting>
  <conditionalFormatting sqref="T5:U29">
    <cfRule type="colorScale" priority="4">
      <colorScale>
        <cfvo type="min"/>
        <cfvo type="max"/>
        <color rgb="FFFCFCFF"/>
        <color rgb="FF63BE7B"/>
      </colorScale>
    </cfRule>
  </conditionalFormatting>
  <conditionalFormatting sqref="V5:V29">
    <cfRule type="colorScale" priority="3">
      <colorScale>
        <cfvo type="min"/>
        <cfvo type="max"/>
        <color rgb="FFFCFCFF"/>
        <color rgb="FF63BE7B"/>
      </colorScale>
    </cfRule>
  </conditionalFormatting>
  <conditionalFormatting sqref="W5:W29">
    <cfRule type="colorScale" priority="2">
      <colorScale>
        <cfvo type="min"/>
        <cfvo type="max"/>
        <color rgb="FFFCFCFF"/>
        <color rgb="FF63BE7B"/>
      </colorScale>
    </cfRule>
  </conditionalFormatting>
  <conditionalFormatting sqref="X5:X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DA20-3533-4D9B-A06F-C6653F54DBBF}">
  <dimension ref="B1:BE27"/>
  <sheetViews>
    <sheetView showGridLines="0" workbookViewId="0">
      <pane xSplit="3" ySplit="3" topLeftCell="AL5" activePane="bottomRight" state="frozen"/>
      <selection pane="topRight" activeCell="D1" sqref="D1"/>
      <selection pane="bottomLeft" activeCell="A4" sqref="A4"/>
      <selection pane="bottomRight" activeCell="C7" sqref="C7"/>
    </sheetView>
  </sheetViews>
  <sheetFormatPr defaultRowHeight="14.4"/>
  <cols>
    <col min="2" max="2" width="7.21875" customWidth="1"/>
    <col min="3" max="3" width="20.5546875" bestFit="1" customWidth="1"/>
    <col min="4" max="4" width="16.88671875" hidden="1" customWidth="1"/>
    <col min="5" max="5" width="9.5546875" hidden="1" customWidth="1"/>
    <col min="6" max="7" width="13.21875" hidden="1" customWidth="1"/>
    <col min="8" max="8" width="0" hidden="1" customWidth="1"/>
    <col min="9" max="9" width="13.6640625" customWidth="1"/>
    <col min="10" max="10" width="17.5546875" customWidth="1"/>
    <col min="11" max="11" width="15.33203125" customWidth="1"/>
    <col min="12" max="12" width="19.44140625" customWidth="1"/>
    <col min="13" max="13" width="8.88671875" style="351"/>
    <col min="14" max="14" width="10.88671875" style="361" customWidth="1"/>
    <col min="15" max="15" width="8.88671875" style="370"/>
    <col min="17" max="17" width="8.88671875" style="379"/>
    <col min="19" max="19" width="6" customWidth="1"/>
    <col min="20" max="20" width="9.33203125" customWidth="1"/>
    <col min="21" max="21" width="7.6640625" customWidth="1"/>
    <col min="22" max="25" width="9.88671875" customWidth="1"/>
    <col min="26" max="28" width="9" customWidth="1"/>
    <col min="29" max="29" width="7.6640625" customWidth="1"/>
    <col min="30" max="30" width="9" customWidth="1"/>
    <col min="31" max="31" width="7.6640625" customWidth="1"/>
    <col min="32" max="32" width="11.21875" bestFit="1" customWidth="1"/>
    <col min="33" max="33" width="7.6640625" customWidth="1"/>
    <col min="34" max="34" width="7.77734375" customWidth="1"/>
    <col min="35" max="35" width="9.44140625" customWidth="1"/>
    <col min="36" max="36" width="9" customWidth="1"/>
    <col min="38" max="38" width="9.109375" bestFit="1" customWidth="1"/>
    <col min="39" max="39" width="6.77734375" customWidth="1"/>
    <col min="40" max="40" width="7.77734375" customWidth="1"/>
    <col min="41" max="41" width="9.44140625" customWidth="1"/>
    <col min="42" max="42" width="9" customWidth="1"/>
    <col min="44" max="44" width="9" customWidth="1"/>
    <col min="46" max="46" width="9.44140625" customWidth="1"/>
    <col min="47" max="47" width="9" customWidth="1"/>
    <col min="48" max="48" width="8.5546875" bestFit="1" customWidth="1"/>
    <col min="49" max="49" width="8.21875" customWidth="1"/>
    <col min="50" max="50" width="8.77734375" bestFit="1" customWidth="1"/>
    <col min="51" max="51" width="11.109375" bestFit="1" customWidth="1"/>
    <col min="52" max="52" width="10.6640625" bestFit="1" customWidth="1"/>
    <col min="53" max="53" width="6.109375" customWidth="1"/>
    <col min="54" max="54" width="10.6640625" bestFit="1" customWidth="1"/>
    <col min="55" max="55" width="13.21875" bestFit="1" customWidth="1"/>
    <col min="56" max="56" width="11.109375" bestFit="1" customWidth="1"/>
  </cols>
  <sheetData>
    <row r="1" spans="2:57">
      <c r="B1" s="1" t="s">
        <v>207</v>
      </c>
      <c r="V1" s="276" t="s">
        <v>993</v>
      </c>
      <c r="W1" s="602" t="s">
        <v>993</v>
      </c>
      <c r="X1" s="276" t="s">
        <v>933</v>
      </c>
      <c r="Y1" s="276" t="s">
        <v>933</v>
      </c>
      <c r="Z1" s="283" t="s">
        <v>933</v>
      </c>
      <c r="AA1" s="283" t="s">
        <v>933</v>
      </c>
    </row>
    <row r="2" spans="2:57">
      <c r="V2" s="276" t="s">
        <v>1097</v>
      </c>
      <c r="W2" s="602" t="s">
        <v>94</v>
      </c>
      <c r="X2" s="276" t="s">
        <v>179</v>
      </c>
      <c r="Y2" s="276" t="s">
        <v>214</v>
      </c>
      <c r="Z2" s="283" t="s">
        <v>205</v>
      </c>
      <c r="AA2" s="283" t="s">
        <v>231</v>
      </c>
      <c r="AB2" s="283"/>
      <c r="AC2" s="283"/>
      <c r="AD2" s="283"/>
      <c r="AE2" s="283" t="s">
        <v>1035</v>
      </c>
      <c r="AG2" s="283" t="s">
        <v>1036</v>
      </c>
      <c r="AK2" s="276" t="s">
        <v>1037</v>
      </c>
      <c r="AL2" s="276"/>
      <c r="AM2" s="276" t="s">
        <v>1038</v>
      </c>
      <c r="AQ2" s="276" t="s">
        <v>1039</v>
      </c>
      <c r="AR2" s="276"/>
      <c r="AS2" s="276" t="s">
        <v>1040</v>
      </c>
      <c r="AV2" s="283" t="s">
        <v>1041</v>
      </c>
      <c r="AW2" s="283"/>
      <c r="AX2" s="283" t="s">
        <v>1042</v>
      </c>
      <c r="BA2" s="283" t="s">
        <v>1043</v>
      </c>
      <c r="BB2" s="283"/>
      <c r="BC2" s="283" t="s">
        <v>1044</v>
      </c>
    </row>
    <row r="3" spans="2:57" ht="34.200000000000003" customHeight="1" thickBot="1">
      <c r="B3" s="688" t="s">
        <v>93</v>
      </c>
      <c r="C3" s="689" t="s">
        <v>0</v>
      </c>
      <c r="D3" s="689" t="s">
        <v>1</v>
      </c>
      <c r="E3" s="689" t="s">
        <v>2</v>
      </c>
      <c r="F3" s="689" t="s">
        <v>204</v>
      </c>
      <c r="G3" s="689" t="s">
        <v>719</v>
      </c>
      <c r="H3" s="689" t="s">
        <v>622</v>
      </c>
      <c r="I3" s="689" t="s">
        <v>119</v>
      </c>
      <c r="J3" s="690" t="s">
        <v>159</v>
      </c>
      <c r="K3" s="691" t="s">
        <v>1154</v>
      </c>
      <c r="L3" s="691" t="s">
        <v>1155</v>
      </c>
      <c r="M3" s="692" t="s">
        <v>989</v>
      </c>
      <c r="N3" s="693" t="s">
        <v>990</v>
      </c>
      <c r="O3" s="694" t="s">
        <v>991</v>
      </c>
      <c r="P3" s="694" t="s">
        <v>992</v>
      </c>
      <c r="Q3" s="695" t="s">
        <v>993</v>
      </c>
      <c r="R3" s="696" t="s">
        <v>1146</v>
      </c>
      <c r="S3" s="697" t="s">
        <v>479</v>
      </c>
      <c r="T3" s="698" t="s">
        <v>776</v>
      </c>
      <c r="U3" s="698" t="s">
        <v>777</v>
      </c>
      <c r="V3" s="699" t="s">
        <v>1145</v>
      </c>
      <c r="W3" s="699" t="s">
        <v>1013</v>
      </c>
      <c r="X3" s="700" t="s">
        <v>1147</v>
      </c>
      <c r="Y3" s="700" t="s">
        <v>1148</v>
      </c>
      <c r="Z3" s="700" t="s">
        <v>1149</v>
      </c>
      <c r="AA3" s="701" t="s">
        <v>1150</v>
      </c>
      <c r="AB3" s="702" t="s">
        <v>1153</v>
      </c>
      <c r="AC3" s="702" t="s">
        <v>1144</v>
      </c>
      <c r="AD3" s="703" t="s">
        <v>1151</v>
      </c>
      <c r="AE3" s="704" t="s">
        <v>1008</v>
      </c>
      <c r="AF3" s="705" t="s">
        <v>1033</v>
      </c>
      <c r="AG3" s="705" t="s">
        <v>1010</v>
      </c>
      <c r="AH3" s="705" t="s">
        <v>1011</v>
      </c>
      <c r="AI3" s="705" t="s">
        <v>1034</v>
      </c>
      <c r="AJ3" s="706" t="s">
        <v>1152</v>
      </c>
      <c r="AK3" s="702" t="s">
        <v>906</v>
      </c>
      <c r="AL3" s="703" t="s">
        <v>907</v>
      </c>
      <c r="AM3" s="703" t="s">
        <v>910</v>
      </c>
      <c r="AN3" s="703" t="s">
        <v>911</v>
      </c>
      <c r="AO3" s="703" t="s">
        <v>908</v>
      </c>
      <c r="AP3" s="707" t="s">
        <v>909</v>
      </c>
      <c r="AQ3" s="708" t="s">
        <v>536</v>
      </c>
      <c r="AR3" s="708" t="s">
        <v>539</v>
      </c>
      <c r="AS3" s="709" t="s">
        <v>537</v>
      </c>
      <c r="AT3" s="710" t="s">
        <v>538</v>
      </c>
      <c r="AU3" s="710" t="s">
        <v>540</v>
      </c>
      <c r="AV3" s="702" t="s">
        <v>350</v>
      </c>
      <c r="AW3" s="703" t="s">
        <v>351</v>
      </c>
      <c r="AX3" s="711" t="s">
        <v>504</v>
      </c>
      <c r="AY3" s="711" t="s">
        <v>360</v>
      </c>
      <c r="AZ3" s="707" t="s">
        <v>352</v>
      </c>
      <c r="BA3" s="712" t="s">
        <v>446</v>
      </c>
      <c r="BB3" s="709" t="s">
        <v>447</v>
      </c>
      <c r="BC3" s="710" t="s">
        <v>449</v>
      </c>
      <c r="BD3" s="710" t="s">
        <v>505</v>
      </c>
      <c r="BE3" s="710" t="s">
        <v>514</v>
      </c>
    </row>
    <row r="4" spans="2:57">
      <c r="B4" s="687" t="s">
        <v>1077</v>
      </c>
      <c r="C4" s="19" t="s">
        <v>195</v>
      </c>
      <c r="D4" s="19" t="s">
        <v>9</v>
      </c>
      <c r="E4" s="19" t="s">
        <v>11</v>
      </c>
      <c r="F4" s="19">
        <v>0.2</v>
      </c>
      <c r="G4" s="19"/>
      <c r="H4" s="19"/>
      <c r="I4" s="20" t="s">
        <v>54</v>
      </c>
      <c r="J4" s="20" t="s">
        <v>54</v>
      </c>
      <c r="K4" s="114"/>
      <c r="L4" s="114"/>
      <c r="M4" s="568"/>
      <c r="N4" s="571"/>
      <c r="O4" s="574"/>
      <c r="P4" s="114"/>
      <c r="Q4" s="577"/>
      <c r="R4" s="114"/>
      <c r="S4" s="729">
        <f t="shared" ref="S4:S27" si="0">MAX(AD4,AJ4,AP4,AU4,AZ4,BE4)</f>
        <v>25</v>
      </c>
      <c r="T4" s="247">
        <f t="shared" ref="T4:T27" si="1" xml:space="preserve"> ( SUM(AD4,AJ4,AP4,AU4,AZ4,BE4)-S4 ) / ( COUNTA(AD4,AJ4,AP4,AU4,AZ4,BE4)- 1 )</f>
        <v>2</v>
      </c>
      <c r="U4" s="254">
        <f t="shared" ref="U4:U27" si="2">MIN(AD4,AJ4,AP4,AU4,AZ4,BE4)</f>
        <v>2</v>
      </c>
      <c r="V4" s="557">
        <f>Table1[[#This Row],[G26 Pts.2]]</f>
        <v>25</v>
      </c>
      <c r="W4" s="557">
        <f t="shared" ref="W4:W27" si="3">AJ4</f>
        <v>2</v>
      </c>
      <c r="X4" s="557">
        <f t="shared" ref="X4:X27" si="4">AP4</f>
        <v>0</v>
      </c>
      <c r="Y4" s="557">
        <f t="shared" ref="Y4:Y27" si="5">AU4</f>
        <v>0</v>
      </c>
      <c r="Z4" s="557">
        <f t="shared" ref="Z4:Z27" si="6">AZ4</f>
        <v>0</v>
      </c>
      <c r="AA4" s="560">
        <f t="shared" ref="AA4:AA27" si="7">BE4</f>
        <v>0</v>
      </c>
      <c r="AB4" s="557"/>
      <c r="AC4" s="557">
        <v>1</v>
      </c>
      <c r="AD4" s="557">
        <v>25</v>
      </c>
      <c r="AE4" s="557">
        <v>1</v>
      </c>
      <c r="AF4" s="557" t="s">
        <v>1045</v>
      </c>
      <c r="AG4" s="557">
        <v>0</v>
      </c>
      <c r="AH4" s="557">
        <v>3</v>
      </c>
      <c r="AI4" s="557"/>
      <c r="AJ4" s="557">
        <v>2</v>
      </c>
      <c r="AK4" s="567">
        <v>15</v>
      </c>
      <c r="AL4" s="114"/>
      <c r="AM4" s="114"/>
      <c r="AN4" s="114"/>
      <c r="AO4" s="114"/>
      <c r="AP4" s="79"/>
      <c r="AQ4" s="114"/>
      <c r="AR4" s="114"/>
      <c r="AS4" s="114"/>
      <c r="AT4" s="114"/>
      <c r="AU4" s="114"/>
      <c r="AV4" s="21"/>
      <c r="AW4" s="19"/>
      <c r="AX4" s="20"/>
      <c r="AY4" s="20"/>
      <c r="AZ4" s="22"/>
      <c r="BA4" s="21">
        <v>16</v>
      </c>
      <c r="BB4" s="19"/>
      <c r="BC4" s="20"/>
      <c r="BD4" s="20"/>
      <c r="BE4" s="20"/>
    </row>
    <row r="5" spans="2:57">
      <c r="B5" s="100" t="s">
        <v>1077</v>
      </c>
      <c r="C5" s="2" t="s">
        <v>188</v>
      </c>
      <c r="D5" s="2" t="s">
        <v>23</v>
      </c>
      <c r="E5" s="2" t="s">
        <v>129</v>
      </c>
      <c r="F5" s="2">
        <v>0.6</v>
      </c>
      <c r="G5" s="2"/>
      <c r="H5" s="2"/>
      <c r="I5" s="3" t="s">
        <v>75</v>
      </c>
      <c r="J5" s="3" t="s">
        <v>75</v>
      </c>
      <c r="K5" s="78"/>
      <c r="L5" s="78"/>
      <c r="M5" s="569"/>
      <c r="N5" s="572"/>
      <c r="O5" s="575"/>
      <c r="P5" s="78"/>
      <c r="Q5" s="578"/>
      <c r="R5" s="78" t="s">
        <v>995</v>
      </c>
      <c r="S5" s="264">
        <f t="shared" si="0"/>
        <v>91</v>
      </c>
      <c r="T5" s="246">
        <f t="shared" si="1"/>
        <v>22.6</v>
      </c>
      <c r="U5" s="253">
        <f t="shared" si="2"/>
        <v>2</v>
      </c>
      <c r="V5" s="317">
        <f>Table1[[#This Row],[G26 Pts.2]]</f>
        <v>60</v>
      </c>
      <c r="W5" s="317">
        <f t="shared" si="3"/>
        <v>8</v>
      </c>
      <c r="X5" s="317">
        <f t="shared" si="4"/>
        <v>10</v>
      </c>
      <c r="Y5" s="317">
        <f t="shared" si="5"/>
        <v>2</v>
      </c>
      <c r="Z5" s="317">
        <f t="shared" si="6"/>
        <v>91</v>
      </c>
      <c r="AA5" s="559">
        <f t="shared" si="7"/>
        <v>33</v>
      </c>
      <c r="AB5" s="317"/>
      <c r="AC5" s="317">
        <v>2</v>
      </c>
      <c r="AD5" s="317">
        <v>60</v>
      </c>
      <c r="AE5" s="317">
        <v>2</v>
      </c>
      <c r="AF5" s="317" t="s">
        <v>1045</v>
      </c>
      <c r="AG5" s="317">
        <v>4</v>
      </c>
      <c r="AH5" s="317">
        <v>4</v>
      </c>
      <c r="AI5" s="317"/>
      <c r="AJ5" s="317">
        <v>8</v>
      </c>
      <c r="AK5" s="81">
        <v>1</v>
      </c>
      <c r="AL5" s="78" t="s">
        <v>339</v>
      </c>
      <c r="AM5" s="78">
        <v>0</v>
      </c>
      <c r="AN5" s="78">
        <v>2</v>
      </c>
      <c r="AO5" s="78"/>
      <c r="AP5" s="82">
        <v>10</v>
      </c>
      <c r="AQ5" s="78">
        <v>1</v>
      </c>
      <c r="AR5" s="78" t="s">
        <v>280</v>
      </c>
      <c r="AS5" s="78" t="s">
        <v>303</v>
      </c>
      <c r="AT5" s="78"/>
      <c r="AU5" s="78">
        <v>2</v>
      </c>
      <c r="AV5" s="4">
        <v>1</v>
      </c>
      <c r="AW5" s="2" t="s">
        <v>521</v>
      </c>
      <c r="AX5" s="3" t="s">
        <v>515</v>
      </c>
      <c r="AY5" s="3"/>
      <c r="AZ5" s="5">
        <v>91</v>
      </c>
      <c r="BA5" s="4">
        <v>1</v>
      </c>
      <c r="BB5" s="2" t="s">
        <v>490</v>
      </c>
      <c r="BC5" s="3" t="s">
        <v>506</v>
      </c>
      <c r="BD5" s="3"/>
      <c r="BE5" s="3">
        <v>33</v>
      </c>
    </row>
    <row r="6" spans="2:57">
      <c r="B6" s="152" t="s">
        <v>1077</v>
      </c>
      <c r="C6" s="148" t="s">
        <v>185</v>
      </c>
      <c r="D6" s="148" t="s">
        <v>9</v>
      </c>
      <c r="E6" s="148" t="s">
        <v>186</v>
      </c>
      <c r="F6" s="148">
        <v>0.2</v>
      </c>
      <c r="G6" s="148" t="s">
        <v>614</v>
      </c>
      <c r="H6" s="148"/>
      <c r="I6" s="151" t="s">
        <v>55</v>
      </c>
      <c r="J6" s="151" t="s">
        <v>55</v>
      </c>
      <c r="K6" s="150"/>
      <c r="L6" s="150"/>
      <c r="M6" s="357" t="s">
        <v>1004</v>
      </c>
      <c r="N6" s="366"/>
      <c r="O6" s="375"/>
      <c r="P6" s="150"/>
      <c r="Q6" s="384"/>
      <c r="R6" s="150"/>
      <c r="S6" s="269">
        <f t="shared" si="0"/>
        <v>56</v>
      </c>
      <c r="T6" s="248">
        <f t="shared" si="1"/>
        <v>22</v>
      </c>
      <c r="U6" s="255">
        <f t="shared" si="2"/>
        <v>5</v>
      </c>
      <c r="V6" s="272">
        <f>Table1[[#This Row],[G26 Pts.2]]</f>
        <v>14</v>
      </c>
      <c r="W6" s="272">
        <f t="shared" si="3"/>
        <v>47</v>
      </c>
      <c r="X6" s="272">
        <f t="shared" si="4"/>
        <v>56</v>
      </c>
      <c r="Y6" s="272">
        <f t="shared" si="5"/>
        <v>5</v>
      </c>
      <c r="Z6" s="272">
        <f t="shared" si="6"/>
        <v>0</v>
      </c>
      <c r="AA6" s="561">
        <f t="shared" si="7"/>
        <v>0</v>
      </c>
      <c r="AB6" s="272"/>
      <c r="AC6" s="272">
        <v>3</v>
      </c>
      <c r="AD6" s="272">
        <v>14</v>
      </c>
      <c r="AE6" s="272">
        <v>3</v>
      </c>
      <c r="AF6" s="272" t="s">
        <v>1046</v>
      </c>
      <c r="AG6" s="272">
        <v>34</v>
      </c>
      <c r="AH6" s="272">
        <v>22</v>
      </c>
      <c r="AI6" s="272" t="s">
        <v>1047</v>
      </c>
      <c r="AJ6" s="272">
        <v>47</v>
      </c>
      <c r="AK6" s="207">
        <v>3</v>
      </c>
      <c r="AL6" s="150" t="s">
        <v>341</v>
      </c>
      <c r="AM6" s="150">
        <v>36</v>
      </c>
      <c r="AN6" s="150">
        <v>24</v>
      </c>
      <c r="AO6" s="150" t="s">
        <v>918</v>
      </c>
      <c r="AP6" s="208">
        <v>56</v>
      </c>
      <c r="AQ6" s="150">
        <v>3</v>
      </c>
      <c r="AR6" s="150" t="s">
        <v>323</v>
      </c>
      <c r="AS6" s="150" t="s">
        <v>542</v>
      </c>
      <c r="AT6" s="150"/>
      <c r="AU6" s="150">
        <v>5</v>
      </c>
      <c r="AV6" s="147"/>
      <c r="AW6" s="148"/>
      <c r="AX6" s="151"/>
      <c r="AY6" s="151"/>
      <c r="AZ6" s="149"/>
      <c r="BA6" s="147">
        <v>16</v>
      </c>
      <c r="BB6" s="148"/>
      <c r="BC6" s="151"/>
      <c r="BD6" s="151"/>
      <c r="BE6" s="151"/>
    </row>
    <row r="7" spans="2:57">
      <c r="B7" s="152" t="s">
        <v>1077</v>
      </c>
      <c r="C7" s="148" t="s">
        <v>1443</v>
      </c>
      <c r="D7" s="148" t="s">
        <v>9</v>
      </c>
      <c r="E7" s="148" t="s">
        <v>190</v>
      </c>
      <c r="F7" s="148">
        <v>11.5</v>
      </c>
      <c r="G7" s="148" t="s">
        <v>615</v>
      </c>
      <c r="H7" s="148">
        <v>29</v>
      </c>
      <c r="I7" s="151" t="s">
        <v>55</v>
      </c>
      <c r="J7" s="151" t="s">
        <v>55</v>
      </c>
      <c r="K7" s="150"/>
      <c r="L7" s="150"/>
      <c r="M7" s="357" t="s">
        <v>1005</v>
      </c>
      <c r="N7" s="366"/>
      <c r="O7" s="375"/>
      <c r="P7" s="150"/>
      <c r="Q7" s="384"/>
      <c r="R7" s="150"/>
      <c r="S7" s="269">
        <f t="shared" si="0"/>
        <v>6</v>
      </c>
      <c r="T7" s="248" t="e">
        <f t="shared" si="1"/>
        <v>#DIV/0!</v>
      </c>
      <c r="U7" s="255">
        <f t="shared" si="2"/>
        <v>6</v>
      </c>
      <c r="V7" s="272">
        <f>Table1[[#This Row],[G26 Pts.2]]</f>
        <v>6</v>
      </c>
      <c r="W7" s="272">
        <f t="shared" si="3"/>
        <v>0</v>
      </c>
      <c r="X7" s="272">
        <f t="shared" si="4"/>
        <v>0</v>
      </c>
      <c r="Y7" s="272">
        <f t="shared" si="5"/>
        <v>0</v>
      </c>
      <c r="Z7" s="272">
        <f t="shared" si="6"/>
        <v>0</v>
      </c>
      <c r="AA7" s="561">
        <f t="shared" si="7"/>
        <v>0</v>
      </c>
      <c r="AB7" s="272"/>
      <c r="AC7" s="272">
        <v>4</v>
      </c>
      <c r="AD7" s="272">
        <v>6</v>
      </c>
      <c r="AE7" s="272"/>
      <c r="AF7" s="272"/>
      <c r="AG7" s="272"/>
      <c r="AH7" s="272"/>
      <c r="AI7" s="272"/>
      <c r="AJ7" s="272"/>
      <c r="AK7" s="207"/>
      <c r="AL7" s="150"/>
      <c r="AM7" s="150"/>
      <c r="AN7" s="150"/>
      <c r="AO7" s="150"/>
      <c r="AP7" s="208"/>
      <c r="AQ7" s="150"/>
      <c r="AR7" s="150"/>
      <c r="AS7" s="150"/>
      <c r="AT7" s="150"/>
      <c r="AU7" s="150"/>
      <c r="AV7" s="147"/>
      <c r="AW7" s="148"/>
      <c r="AX7" s="151"/>
      <c r="AY7" s="151"/>
      <c r="AZ7" s="149"/>
      <c r="BA7" s="147"/>
      <c r="BB7" s="148"/>
      <c r="BC7" s="151"/>
      <c r="BD7" s="151"/>
      <c r="BE7" s="151"/>
    </row>
    <row r="8" spans="2:57">
      <c r="B8" s="687" t="s">
        <v>1077</v>
      </c>
      <c r="C8" s="19" t="s">
        <v>199</v>
      </c>
      <c r="D8" s="19" t="s">
        <v>18</v>
      </c>
      <c r="E8" s="19" t="s">
        <v>200</v>
      </c>
      <c r="F8" s="19">
        <v>0.4</v>
      </c>
      <c r="G8" s="19"/>
      <c r="H8" s="19"/>
      <c r="I8" s="20" t="s">
        <v>54</v>
      </c>
      <c r="J8" s="20" t="s">
        <v>54</v>
      </c>
      <c r="K8" s="114"/>
      <c r="L8" s="114"/>
      <c r="M8" s="568"/>
      <c r="N8" s="571"/>
      <c r="O8" s="574"/>
      <c r="P8" s="114"/>
      <c r="Q8" s="577"/>
      <c r="R8" s="114"/>
      <c r="S8" s="729">
        <f t="shared" si="0"/>
        <v>37</v>
      </c>
      <c r="T8" s="247">
        <f t="shared" si="1"/>
        <v>20</v>
      </c>
      <c r="U8" s="254">
        <f t="shared" si="2"/>
        <v>20</v>
      </c>
      <c r="V8" s="557">
        <f>Table1[[#This Row],[G26 Pts.2]]</f>
        <v>20</v>
      </c>
      <c r="W8" s="557">
        <f t="shared" si="3"/>
        <v>37</v>
      </c>
      <c r="X8" s="557">
        <f t="shared" si="4"/>
        <v>0</v>
      </c>
      <c r="Y8" s="557">
        <f t="shared" si="5"/>
        <v>0</v>
      </c>
      <c r="Z8" s="557">
        <f t="shared" si="6"/>
        <v>0</v>
      </c>
      <c r="AA8" s="560">
        <f t="shared" si="7"/>
        <v>0</v>
      </c>
      <c r="AB8" s="557"/>
      <c r="AC8" s="557">
        <v>5</v>
      </c>
      <c r="AD8" s="557">
        <v>20</v>
      </c>
      <c r="AE8" s="557">
        <v>4</v>
      </c>
      <c r="AF8" s="557" t="s">
        <v>276</v>
      </c>
      <c r="AG8" s="557">
        <v>22</v>
      </c>
      <c r="AH8" s="557">
        <v>22</v>
      </c>
      <c r="AI8" s="557"/>
      <c r="AJ8" s="557">
        <v>37</v>
      </c>
      <c r="AK8" s="567"/>
      <c r="AL8" s="114"/>
      <c r="AM8" s="114"/>
      <c r="AN8" s="114"/>
      <c r="AO8" s="114"/>
      <c r="AP8" s="79"/>
      <c r="AQ8" s="114"/>
      <c r="AR8" s="114"/>
      <c r="AS8" s="114"/>
      <c r="AT8" s="114"/>
      <c r="AU8" s="114"/>
      <c r="AV8" s="21"/>
      <c r="AW8" s="19"/>
      <c r="AX8" s="20"/>
      <c r="AY8" s="20"/>
      <c r="AZ8" s="22"/>
      <c r="BA8" s="21">
        <v>16</v>
      </c>
      <c r="BB8" s="19"/>
      <c r="BC8" s="20"/>
      <c r="BD8" s="20"/>
      <c r="BE8" s="20"/>
    </row>
    <row r="9" spans="2:57">
      <c r="B9" s="152" t="s">
        <v>1077</v>
      </c>
      <c r="C9" s="148" t="s">
        <v>197</v>
      </c>
      <c r="D9" s="148" t="s">
        <v>1080</v>
      </c>
      <c r="E9" s="148" t="s">
        <v>198</v>
      </c>
      <c r="F9" s="148">
        <v>18.5</v>
      </c>
      <c r="G9" s="148" t="s">
        <v>615</v>
      </c>
      <c r="H9" s="148">
        <v>24</v>
      </c>
      <c r="I9" s="151" t="s">
        <v>55</v>
      </c>
      <c r="J9" s="151" t="s">
        <v>55</v>
      </c>
      <c r="K9" s="150"/>
      <c r="L9" s="150"/>
      <c r="M9" s="357" t="s">
        <v>1005</v>
      </c>
      <c r="N9" s="366" t="s">
        <v>55</v>
      </c>
      <c r="O9" s="375" t="s">
        <v>55</v>
      </c>
      <c r="P9" s="150" t="s">
        <v>1053</v>
      </c>
      <c r="Q9" s="384" t="s">
        <v>55</v>
      </c>
      <c r="R9" s="150" t="s">
        <v>995</v>
      </c>
      <c r="S9" s="269">
        <f t="shared" si="0"/>
        <v>86</v>
      </c>
      <c r="T9" s="248">
        <f t="shared" si="1"/>
        <v>41.6</v>
      </c>
      <c r="U9" s="255">
        <f t="shared" si="2"/>
        <v>7</v>
      </c>
      <c r="V9" s="272">
        <f>Table1[[#This Row],[G26 Pts.2]]</f>
        <v>23</v>
      </c>
      <c r="W9" s="272">
        <f t="shared" si="3"/>
        <v>86</v>
      </c>
      <c r="X9" s="272">
        <f t="shared" si="4"/>
        <v>64</v>
      </c>
      <c r="Y9" s="272">
        <f t="shared" si="5"/>
        <v>47</v>
      </c>
      <c r="Z9" s="272">
        <f t="shared" si="6"/>
        <v>7</v>
      </c>
      <c r="AA9" s="561">
        <f t="shared" si="7"/>
        <v>67</v>
      </c>
      <c r="AB9" s="272"/>
      <c r="AC9" s="272">
        <v>6</v>
      </c>
      <c r="AD9" s="272">
        <v>23</v>
      </c>
      <c r="AE9" s="272">
        <v>6</v>
      </c>
      <c r="AF9" s="272" t="s">
        <v>283</v>
      </c>
      <c r="AG9" s="272">
        <v>6</v>
      </c>
      <c r="AH9" s="272">
        <v>6</v>
      </c>
      <c r="AI9" s="272" t="s">
        <v>1049</v>
      </c>
      <c r="AJ9" s="272">
        <v>86</v>
      </c>
      <c r="AK9" s="207">
        <v>6</v>
      </c>
      <c r="AL9" s="150" t="s">
        <v>912</v>
      </c>
      <c r="AM9" s="150">
        <v>22</v>
      </c>
      <c r="AN9" s="150">
        <v>22</v>
      </c>
      <c r="AO9" s="150" t="s">
        <v>916</v>
      </c>
      <c r="AP9" s="208">
        <v>64</v>
      </c>
      <c r="AQ9" s="150">
        <v>5</v>
      </c>
      <c r="AR9" s="150" t="s">
        <v>543</v>
      </c>
      <c r="AS9" s="150" t="s">
        <v>544</v>
      </c>
      <c r="AT9" s="150" t="s">
        <v>548</v>
      </c>
      <c r="AU9" s="150">
        <v>47</v>
      </c>
      <c r="AV9" s="147">
        <v>7</v>
      </c>
      <c r="AW9" s="148" t="s">
        <v>338</v>
      </c>
      <c r="AX9" s="151" t="s">
        <v>327</v>
      </c>
      <c r="AY9" s="151" t="s">
        <v>80</v>
      </c>
      <c r="AZ9" s="149">
        <v>7</v>
      </c>
      <c r="BA9" s="147">
        <v>6</v>
      </c>
      <c r="BB9" s="148" t="s">
        <v>512</v>
      </c>
      <c r="BC9" s="151"/>
      <c r="BD9" s="151" t="s">
        <v>503</v>
      </c>
      <c r="BE9" s="151">
        <v>67</v>
      </c>
    </row>
    <row r="10" spans="2:57">
      <c r="B10" s="100" t="s">
        <v>1077</v>
      </c>
      <c r="C10" s="2" t="s">
        <v>189</v>
      </c>
      <c r="D10" s="2" t="s">
        <v>23</v>
      </c>
      <c r="E10" s="2" t="s">
        <v>11</v>
      </c>
      <c r="F10" s="2">
        <v>0.2</v>
      </c>
      <c r="G10" s="2"/>
      <c r="H10" s="2"/>
      <c r="I10" s="3" t="s">
        <v>75</v>
      </c>
      <c r="J10" s="3" t="s">
        <v>75</v>
      </c>
      <c r="K10" s="78"/>
      <c r="L10" s="78"/>
      <c r="M10" s="569"/>
      <c r="N10" s="572"/>
      <c r="O10" s="575"/>
      <c r="P10" s="78"/>
      <c r="Q10" s="578"/>
      <c r="R10" s="78"/>
      <c r="S10" s="264">
        <f t="shared" si="0"/>
        <v>61</v>
      </c>
      <c r="T10" s="246">
        <f t="shared" si="1"/>
        <v>25.2</v>
      </c>
      <c r="U10" s="253">
        <f t="shared" si="2"/>
        <v>9</v>
      </c>
      <c r="V10" s="317">
        <f>Table1[[#This Row],[G26 Pts.2]]</f>
        <v>61</v>
      </c>
      <c r="W10" s="317">
        <f t="shared" si="3"/>
        <v>14</v>
      </c>
      <c r="X10" s="317">
        <f t="shared" si="4"/>
        <v>34</v>
      </c>
      <c r="Y10" s="317">
        <f t="shared" si="5"/>
        <v>9</v>
      </c>
      <c r="Z10" s="317">
        <f t="shared" si="6"/>
        <v>39</v>
      </c>
      <c r="AA10" s="559">
        <f t="shared" si="7"/>
        <v>30</v>
      </c>
      <c r="AB10" s="317"/>
      <c r="AC10" s="317">
        <v>7</v>
      </c>
      <c r="AD10" s="317">
        <v>61</v>
      </c>
      <c r="AE10" s="317">
        <v>7</v>
      </c>
      <c r="AF10" s="317" t="s">
        <v>320</v>
      </c>
      <c r="AG10" s="317">
        <v>2</v>
      </c>
      <c r="AH10" s="317">
        <v>4</v>
      </c>
      <c r="AI10" s="317"/>
      <c r="AJ10" s="317">
        <v>14</v>
      </c>
      <c r="AK10" s="81">
        <v>5</v>
      </c>
      <c r="AL10" s="78" t="s">
        <v>912</v>
      </c>
      <c r="AM10" s="78">
        <v>25</v>
      </c>
      <c r="AN10" s="78">
        <v>23</v>
      </c>
      <c r="AO10" s="78"/>
      <c r="AP10" s="82">
        <v>34</v>
      </c>
      <c r="AQ10" s="78">
        <v>4</v>
      </c>
      <c r="AR10" s="78" t="s">
        <v>319</v>
      </c>
      <c r="AS10" s="78" t="s">
        <v>542</v>
      </c>
      <c r="AT10" s="78"/>
      <c r="AU10" s="78">
        <v>9</v>
      </c>
      <c r="AV10" s="4">
        <v>4</v>
      </c>
      <c r="AW10" s="2" t="s">
        <v>383</v>
      </c>
      <c r="AX10" s="3" t="s">
        <v>517</v>
      </c>
      <c r="AY10" s="3"/>
      <c r="AZ10" s="5">
        <v>39</v>
      </c>
      <c r="BA10" s="4">
        <v>4</v>
      </c>
      <c r="BB10" s="2" t="s">
        <v>508</v>
      </c>
      <c r="BC10" s="3" t="s">
        <v>506</v>
      </c>
      <c r="BD10" s="3"/>
      <c r="BE10" s="3">
        <v>30</v>
      </c>
    </row>
    <row r="11" spans="2:57">
      <c r="B11" s="687" t="s">
        <v>1077</v>
      </c>
      <c r="C11" s="19" t="s">
        <v>187</v>
      </c>
      <c r="D11" s="19" t="s">
        <v>9</v>
      </c>
      <c r="E11" s="19" t="s">
        <v>168</v>
      </c>
      <c r="F11" s="19">
        <v>9</v>
      </c>
      <c r="G11" s="19"/>
      <c r="H11" s="19"/>
      <c r="I11" s="20" t="s">
        <v>54</v>
      </c>
      <c r="J11" s="20" t="s">
        <v>54</v>
      </c>
      <c r="K11" s="114"/>
      <c r="L11" s="114"/>
      <c r="M11" s="568" t="s">
        <v>1054</v>
      </c>
      <c r="N11" s="571"/>
      <c r="O11" s="574"/>
      <c r="P11" s="114"/>
      <c r="Q11" s="577"/>
      <c r="R11" s="114"/>
      <c r="S11" s="729">
        <f t="shared" si="0"/>
        <v>47</v>
      </c>
      <c r="T11" s="247">
        <f t="shared" si="1"/>
        <v>20</v>
      </c>
      <c r="U11" s="254">
        <f t="shared" si="2"/>
        <v>9</v>
      </c>
      <c r="V11" s="557">
        <f>Table1[[#This Row],[G26 Pts.2]]</f>
        <v>13</v>
      </c>
      <c r="W11" s="557">
        <f t="shared" si="3"/>
        <v>47</v>
      </c>
      <c r="X11" s="557">
        <f t="shared" si="4"/>
        <v>31</v>
      </c>
      <c r="Y11" s="557">
        <f t="shared" si="5"/>
        <v>9</v>
      </c>
      <c r="Z11" s="557">
        <f t="shared" si="6"/>
        <v>30</v>
      </c>
      <c r="AA11" s="560">
        <f t="shared" si="7"/>
        <v>17</v>
      </c>
      <c r="AB11" s="557"/>
      <c r="AC11" s="557">
        <v>8</v>
      </c>
      <c r="AD11" s="557">
        <v>13</v>
      </c>
      <c r="AE11" s="557">
        <v>8</v>
      </c>
      <c r="AF11" s="557" t="s">
        <v>876</v>
      </c>
      <c r="AG11" s="557">
        <v>23</v>
      </c>
      <c r="AH11" s="557">
        <v>10</v>
      </c>
      <c r="AI11" s="557"/>
      <c r="AJ11" s="557">
        <v>47</v>
      </c>
      <c r="AK11" s="567">
        <v>7</v>
      </c>
      <c r="AL11" s="114" t="s">
        <v>799</v>
      </c>
      <c r="AM11" s="114">
        <v>22</v>
      </c>
      <c r="AN11" s="114">
        <v>9</v>
      </c>
      <c r="AO11" s="114"/>
      <c r="AP11" s="79">
        <v>31</v>
      </c>
      <c r="AQ11" s="114">
        <v>6</v>
      </c>
      <c r="AR11" s="114" t="s">
        <v>288</v>
      </c>
      <c r="AS11" s="114" t="s">
        <v>544</v>
      </c>
      <c r="AT11" s="114"/>
      <c r="AU11" s="114">
        <v>9</v>
      </c>
      <c r="AV11" s="21">
        <v>6</v>
      </c>
      <c r="AW11" s="19" t="s">
        <v>519</v>
      </c>
      <c r="AX11" s="20" t="s">
        <v>515</v>
      </c>
      <c r="AY11" s="19"/>
      <c r="AZ11" s="22">
        <v>30</v>
      </c>
      <c r="BA11" s="21">
        <v>7</v>
      </c>
      <c r="BB11" s="19" t="s">
        <v>513</v>
      </c>
      <c r="BC11" s="20" t="s">
        <v>372</v>
      </c>
      <c r="BD11" s="19"/>
      <c r="BE11" s="20">
        <v>17</v>
      </c>
    </row>
    <row r="12" spans="2:57">
      <c r="B12" s="63" t="s">
        <v>1077</v>
      </c>
      <c r="C12" s="12" t="s">
        <v>533</v>
      </c>
      <c r="D12" s="12" t="s">
        <v>18</v>
      </c>
      <c r="E12" s="12" t="s">
        <v>100</v>
      </c>
      <c r="F12" s="12">
        <v>3.8</v>
      </c>
      <c r="G12" s="12"/>
      <c r="H12" s="12"/>
      <c r="I12" s="13" t="s">
        <v>56</v>
      </c>
      <c r="J12" s="13" t="s">
        <v>56</v>
      </c>
      <c r="K12" s="72"/>
      <c r="L12" s="72"/>
      <c r="M12" s="358" t="s">
        <v>1055</v>
      </c>
      <c r="N12" s="367"/>
      <c r="O12" s="376"/>
      <c r="P12" s="72"/>
      <c r="Q12" s="385"/>
      <c r="R12" s="72"/>
      <c r="S12" s="268">
        <f t="shared" si="0"/>
        <v>68</v>
      </c>
      <c r="T12" s="250">
        <f t="shared" si="1"/>
        <v>18.399999999999999</v>
      </c>
      <c r="U12" s="257">
        <f t="shared" si="2"/>
        <v>4</v>
      </c>
      <c r="V12" s="262">
        <f>Table1[[#This Row],[G26 Pts.2]]</f>
        <v>68</v>
      </c>
      <c r="W12" s="262">
        <f t="shared" si="3"/>
        <v>38</v>
      </c>
      <c r="X12" s="262">
        <f t="shared" si="4"/>
        <v>41</v>
      </c>
      <c r="Y12" s="262">
        <f t="shared" si="5"/>
        <v>5</v>
      </c>
      <c r="Z12" s="262">
        <f t="shared" si="6"/>
        <v>4</v>
      </c>
      <c r="AA12" s="564">
        <f t="shared" si="7"/>
        <v>4</v>
      </c>
      <c r="AB12" s="262"/>
      <c r="AC12" s="262">
        <v>9</v>
      </c>
      <c r="AD12" s="262">
        <v>68</v>
      </c>
      <c r="AE12" s="262">
        <v>9</v>
      </c>
      <c r="AF12" s="262" t="s">
        <v>320</v>
      </c>
      <c r="AG12" s="262">
        <v>6</v>
      </c>
      <c r="AH12" s="262">
        <v>4</v>
      </c>
      <c r="AI12" s="262" t="s">
        <v>1050</v>
      </c>
      <c r="AJ12" s="262">
        <v>38</v>
      </c>
      <c r="AK12" s="60">
        <v>8</v>
      </c>
      <c r="AL12" s="72" t="s">
        <v>876</v>
      </c>
      <c r="AM12" s="72">
        <v>8</v>
      </c>
      <c r="AN12" s="72">
        <v>5</v>
      </c>
      <c r="AO12" s="72" t="s">
        <v>913</v>
      </c>
      <c r="AP12" s="83">
        <v>41</v>
      </c>
      <c r="AQ12" s="72">
        <v>7</v>
      </c>
      <c r="AR12" s="72" t="s">
        <v>366</v>
      </c>
      <c r="AS12" s="72" t="s">
        <v>305</v>
      </c>
      <c r="AT12" s="72" t="s">
        <v>292</v>
      </c>
      <c r="AU12" s="72">
        <v>5</v>
      </c>
      <c r="AV12" s="14">
        <v>8</v>
      </c>
      <c r="AW12" s="12"/>
      <c r="AX12" s="13"/>
      <c r="AY12" s="12" t="s">
        <v>244</v>
      </c>
      <c r="AZ12" s="15">
        <v>4</v>
      </c>
      <c r="BA12" s="14">
        <v>9</v>
      </c>
      <c r="BB12" s="12"/>
      <c r="BC12" s="13"/>
      <c r="BD12" s="12" t="s">
        <v>237</v>
      </c>
      <c r="BE12" s="13">
        <v>4</v>
      </c>
    </row>
    <row r="13" spans="2:57">
      <c r="B13" s="163" t="s">
        <v>1077</v>
      </c>
      <c r="C13" s="159" t="s">
        <v>532</v>
      </c>
      <c r="D13" s="159" t="s">
        <v>4</v>
      </c>
      <c r="E13" s="159" t="s">
        <v>38</v>
      </c>
      <c r="F13" s="159">
        <v>0.75</v>
      </c>
      <c r="G13" s="159" t="s">
        <v>614</v>
      </c>
      <c r="H13" s="159">
        <v>28</v>
      </c>
      <c r="I13" s="162" t="s">
        <v>56</v>
      </c>
      <c r="J13" s="162" t="s">
        <v>56</v>
      </c>
      <c r="K13" s="161"/>
      <c r="L13" s="161"/>
      <c r="M13" s="359" t="s">
        <v>1004</v>
      </c>
      <c r="N13" s="368"/>
      <c r="O13" s="377"/>
      <c r="P13" s="161"/>
      <c r="Q13" s="386" t="s">
        <v>56</v>
      </c>
      <c r="R13" s="161" t="s">
        <v>994</v>
      </c>
      <c r="S13" s="270">
        <f t="shared" si="0"/>
        <v>128</v>
      </c>
      <c r="T13" s="252">
        <f t="shared" si="1"/>
        <v>21</v>
      </c>
      <c r="U13" s="259">
        <f t="shared" si="2"/>
        <v>4</v>
      </c>
      <c r="V13" s="273">
        <f>Table1[[#This Row],[G26 Pts.2]]</f>
        <v>30</v>
      </c>
      <c r="W13" s="273">
        <f t="shared" si="3"/>
        <v>0</v>
      </c>
      <c r="X13" s="273">
        <f t="shared" si="4"/>
        <v>0</v>
      </c>
      <c r="Y13" s="273">
        <f t="shared" si="5"/>
        <v>4</v>
      </c>
      <c r="Z13" s="273">
        <f t="shared" si="6"/>
        <v>128</v>
      </c>
      <c r="AA13" s="566">
        <f t="shared" si="7"/>
        <v>29</v>
      </c>
      <c r="AB13" s="273"/>
      <c r="AC13" s="273">
        <v>10</v>
      </c>
      <c r="AD13" s="273">
        <v>30</v>
      </c>
      <c r="AE13" s="273"/>
      <c r="AF13" s="273"/>
      <c r="AG13" s="273"/>
      <c r="AH13" s="273"/>
      <c r="AI13" s="273"/>
      <c r="AJ13" s="273"/>
      <c r="AK13" s="195"/>
      <c r="AL13" s="161"/>
      <c r="AM13" s="161"/>
      <c r="AN13" s="161"/>
      <c r="AO13" s="161"/>
      <c r="AP13" s="196"/>
      <c r="AQ13" s="161">
        <v>9</v>
      </c>
      <c r="AR13" s="161" t="s">
        <v>547</v>
      </c>
      <c r="AS13" s="161" t="s">
        <v>544</v>
      </c>
      <c r="AT13" s="161" t="s">
        <v>427</v>
      </c>
      <c r="AU13" s="161">
        <v>4</v>
      </c>
      <c r="AV13" s="158">
        <v>10</v>
      </c>
      <c r="AW13" s="159"/>
      <c r="AX13" s="162"/>
      <c r="AY13" s="159" t="s">
        <v>245</v>
      </c>
      <c r="AZ13" s="160">
        <v>128</v>
      </c>
      <c r="BA13" s="158">
        <v>8</v>
      </c>
      <c r="BB13" s="159"/>
      <c r="BC13" s="162"/>
      <c r="BD13" s="159" t="s">
        <v>236</v>
      </c>
      <c r="BE13" s="162">
        <v>29</v>
      </c>
    </row>
    <row r="14" spans="2:57">
      <c r="B14" s="63" t="s">
        <v>1077</v>
      </c>
      <c r="C14" s="12" t="s">
        <v>535</v>
      </c>
      <c r="D14" s="12" t="s">
        <v>4</v>
      </c>
      <c r="E14" s="12" t="s">
        <v>98</v>
      </c>
      <c r="F14" s="12">
        <v>4</v>
      </c>
      <c r="G14" s="12"/>
      <c r="H14" s="12"/>
      <c r="I14" s="13" t="s">
        <v>56</v>
      </c>
      <c r="J14" s="13" t="s">
        <v>56</v>
      </c>
      <c r="K14" s="72"/>
      <c r="L14" s="72"/>
      <c r="M14" s="358" t="s">
        <v>1055</v>
      </c>
      <c r="N14" s="367"/>
      <c r="O14" s="376"/>
      <c r="P14" s="72"/>
      <c r="Q14" s="385"/>
      <c r="R14" s="72" t="s">
        <v>995</v>
      </c>
      <c r="S14" s="268">
        <f t="shared" si="0"/>
        <v>79</v>
      </c>
      <c r="T14" s="250">
        <f t="shared" si="1"/>
        <v>35.200000000000003</v>
      </c>
      <c r="U14" s="257">
        <f t="shared" si="2"/>
        <v>29</v>
      </c>
      <c r="V14" s="262">
        <f>Table1[[#This Row],[G26 Pts.2]]</f>
        <v>29</v>
      </c>
      <c r="W14" s="262">
        <f t="shared" si="3"/>
        <v>29</v>
      </c>
      <c r="X14" s="262">
        <f t="shared" si="4"/>
        <v>29</v>
      </c>
      <c r="Y14" s="262">
        <f t="shared" si="5"/>
        <v>39</v>
      </c>
      <c r="Z14" s="262">
        <f t="shared" si="6"/>
        <v>50</v>
      </c>
      <c r="AA14" s="564">
        <f t="shared" si="7"/>
        <v>79</v>
      </c>
      <c r="AB14" s="262"/>
      <c r="AC14" s="262">
        <v>11</v>
      </c>
      <c r="AD14" s="262">
        <v>29</v>
      </c>
      <c r="AE14" s="262">
        <v>11</v>
      </c>
      <c r="AF14" s="262"/>
      <c r="AG14" s="262"/>
      <c r="AH14" s="262"/>
      <c r="AI14" s="262" t="s">
        <v>1048</v>
      </c>
      <c r="AJ14" s="262">
        <v>29</v>
      </c>
      <c r="AK14" s="60">
        <v>11</v>
      </c>
      <c r="AL14" s="72"/>
      <c r="AM14" s="72"/>
      <c r="AN14" s="72"/>
      <c r="AO14" s="72" t="s">
        <v>915</v>
      </c>
      <c r="AP14" s="83">
        <v>29</v>
      </c>
      <c r="AQ14" s="72">
        <v>11</v>
      </c>
      <c r="AR14" s="72"/>
      <c r="AS14" s="72" t="s">
        <v>349</v>
      </c>
      <c r="AT14" s="72" t="s">
        <v>549</v>
      </c>
      <c r="AU14" s="72">
        <v>39</v>
      </c>
      <c r="AV14" s="14">
        <v>11</v>
      </c>
      <c r="AW14" s="12"/>
      <c r="AX14" s="13"/>
      <c r="AY14" s="12" t="s">
        <v>243</v>
      </c>
      <c r="AZ14" s="15">
        <v>50</v>
      </c>
      <c r="BA14" s="14">
        <v>11</v>
      </c>
      <c r="BB14" s="12"/>
      <c r="BC14" s="13"/>
      <c r="BD14" s="12" t="s">
        <v>235</v>
      </c>
      <c r="BE14" s="13">
        <v>79</v>
      </c>
    </row>
    <row r="15" spans="2:57">
      <c r="B15" s="63" t="s">
        <v>1077</v>
      </c>
      <c r="C15" s="12" t="s">
        <v>534</v>
      </c>
      <c r="D15" s="12" t="s">
        <v>4</v>
      </c>
      <c r="E15" s="12" t="s">
        <v>113</v>
      </c>
      <c r="F15" s="12">
        <v>5.25</v>
      </c>
      <c r="G15" s="12"/>
      <c r="H15" s="12"/>
      <c r="I15" s="13" t="s">
        <v>56</v>
      </c>
      <c r="J15" s="13" t="s">
        <v>56</v>
      </c>
      <c r="K15" s="72"/>
      <c r="L15" s="72"/>
      <c r="M15" s="358"/>
      <c r="N15" s="367"/>
      <c r="O15" s="376"/>
      <c r="P15" s="72"/>
      <c r="Q15" s="385"/>
      <c r="R15" s="72"/>
      <c r="S15" s="268">
        <f t="shared" si="0"/>
        <v>45</v>
      </c>
      <c r="T15" s="250">
        <f t="shared" si="1"/>
        <v>10.25</v>
      </c>
      <c r="U15" s="257">
        <f t="shared" si="2"/>
        <v>4</v>
      </c>
      <c r="V15" s="262">
        <f>Table1[[#This Row],[G26 Pts.2]]</f>
        <v>4</v>
      </c>
      <c r="W15" s="262">
        <f t="shared" si="3"/>
        <v>4</v>
      </c>
      <c r="X15" s="262">
        <f t="shared" si="4"/>
        <v>0</v>
      </c>
      <c r="Y15" s="262">
        <f t="shared" si="5"/>
        <v>29</v>
      </c>
      <c r="Z15" s="262">
        <f t="shared" si="6"/>
        <v>4</v>
      </c>
      <c r="AA15" s="564">
        <f t="shared" si="7"/>
        <v>45</v>
      </c>
      <c r="AB15" s="262"/>
      <c r="AC15" s="262">
        <v>12</v>
      </c>
      <c r="AD15" s="262">
        <v>4</v>
      </c>
      <c r="AE15" s="262">
        <v>12</v>
      </c>
      <c r="AF15" s="262"/>
      <c r="AG15" s="262"/>
      <c r="AH15" s="262"/>
      <c r="AI15" s="262" t="s">
        <v>1052</v>
      </c>
      <c r="AJ15" s="262">
        <v>4</v>
      </c>
      <c r="AK15" s="60">
        <v>12</v>
      </c>
      <c r="AL15" s="72"/>
      <c r="AM15" s="72"/>
      <c r="AN15" s="72"/>
      <c r="AO15" s="72" t="s">
        <v>917</v>
      </c>
      <c r="AP15" s="83"/>
      <c r="AQ15" s="72">
        <v>8</v>
      </c>
      <c r="AR15" s="72" t="s">
        <v>546</v>
      </c>
      <c r="AS15" s="72" t="s">
        <v>544</v>
      </c>
      <c r="AT15" s="72" t="s">
        <v>550</v>
      </c>
      <c r="AU15" s="72">
        <v>29</v>
      </c>
      <c r="AV15" s="14">
        <v>9</v>
      </c>
      <c r="AW15" s="12"/>
      <c r="AX15" s="13"/>
      <c r="AY15" s="13" t="s">
        <v>246</v>
      </c>
      <c r="AZ15" s="15">
        <v>4</v>
      </c>
      <c r="BA15" s="14">
        <v>10</v>
      </c>
      <c r="BB15" s="27"/>
      <c r="BC15" s="106"/>
      <c r="BD15" s="27" t="s">
        <v>239</v>
      </c>
      <c r="BE15" s="13">
        <v>45</v>
      </c>
    </row>
    <row r="16" spans="2:57">
      <c r="B16" s="61" t="s">
        <v>1077</v>
      </c>
      <c r="C16" s="6" t="s">
        <v>1079</v>
      </c>
      <c r="D16" s="6" t="s">
        <v>9</v>
      </c>
      <c r="E16" s="6" t="s">
        <v>14</v>
      </c>
      <c r="F16" s="6">
        <v>0.5</v>
      </c>
      <c r="G16" s="6"/>
      <c r="H16" s="6"/>
      <c r="I16" s="7" t="s">
        <v>55</v>
      </c>
      <c r="J16" s="7" t="s">
        <v>55</v>
      </c>
      <c r="K16" s="71"/>
      <c r="L16" s="71"/>
      <c r="M16" s="355"/>
      <c r="N16" s="364"/>
      <c r="O16" s="373"/>
      <c r="P16" s="71"/>
      <c r="Q16" s="382"/>
      <c r="R16" s="71" t="s">
        <v>994</v>
      </c>
      <c r="S16" s="265">
        <f t="shared" si="0"/>
        <v>112</v>
      </c>
      <c r="T16" s="251">
        <f t="shared" si="1"/>
        <v>26.666666666666668</v>
      </c>
      <c r="U16" s="258">
        <f t="shared" si="2"/>
        <v>-1</v>
      </c>
      <c r="V16" s="260">
        <f>Table1[[#This Row],[G26 Pts.2]]</f>
        <v>0</v>
      </c>
      <c r="W16" s="260">
        <f t="shared" si="3"/>
        <v>112</v>
      </c>
      <c r="X16" s="260">
        <f t="shared" si="4"/>
        <v>0</v>
      </c>
      <c r="Y16" s="260">
        <f t="shared" si="5"/>
        <v>9</v>
      </c>
      <c r="Z16" s="260">
        <f t="shared" si="6"/>
        <v>-1</v>
      </c>
      <c r="AA16" s="565">
        <f t="shared" si="7"/>
        <v>72</v>
      </c>
      <c r="AB16" s="260"/>
      <c r="AC16" s="260">
        <v>15</v>
      </c>
      <c r="AD16" s="260"/>
      <c r="AE16" s="260">
        <v>5</v>
      </c>
      <c r="AF16" s="260" t="s">
        <v>283</v>
      </c>
      <c r="AG16" s="260">
        <v>57</v>
      </c>
      <c r="AH16" s="260">
        <v>41</v>
      </c>
      <c r="AI16" s="260" t="s">
        <v>1051</v>
      </c>
      <c r="AJ16" s="260">
        <v>112</v>
      </c>
      <c r="AK16" s="58">
        <v>15</v>
      </c>
      <c r="AL16" s="71"/>
      <c r="AM16" s="71"/>
      <c r="AN16" s="71"/>
      <c r="AO16" s="71"/>
      <c r="AP16" s="80"/>
      <c r="AQ16" s="71">
        <v>12</v>
      </c>
      <c r="AR16" s="71" t="s">
        <v>545</v>
      </c>
      <c r="AS16" s="71" t="s">
        <v>305</v>
      </c>
      <c r="AT16" s="71"/>
      <c r="AU16" s="71">
        <v>9</v>
      </c>
      <c r="AV16" s="8">
        <v>5</v>
      </c>
      <c r="AW16" s="6" t="s">
        <v>366</v>
      </c>
      <c r="AX16" s="7" t="s">
        <v>518</v>
      </c>
      <c r="AY16" s="7" t="s">
        <v>389</v>
      </c>
      <c r="AZ16" s="9">
        <v>-1</v>
      </c>
      <c r="BA16" s="8">
        <v>5</v>
      </c>
      <c r="BB16" s="6" t="s">
        <v>511</v>
      </c>
      <c r="BC16" s="7" t="s">
        <v>488</v>
      </c>
      <c r="BD16" s="6" t="s">
        <v>238</v>
      </c>
      <c r="BE16" s="7">
        <v>72</v>
      </c>
    </row>
    <row r="17" spans="2:57">
      <c r="B17" s="61" t="s">
        <v>1077</v>
      </c>
      <c r="C17" s="6" t="s">
        <v>192</v>
      </c>
      <c r="D17" s="6" t="s">
        <v>9</v>
      </c>
      <c r="E17" s="6" t="s">
        <v>193</v>
      </c>
      <c r="F17" s="6">
        <v>0.55000000000000004</v>
      </c>
      <c r="G17" s="6"/>
      <c r="H17" s="6"/>
      <c r="I17" s="7" t="s">
        <v>55</v>
      </c>
      <c r="J17" s="7" t="s">
        <v>55</v>
      </c>
      <c r="K17" s="71"/>
      <c r="L17" s="71"/>
      <c r="M17" s="355"/>
      <c r="N17" s="364"/>
      <c r="O17" s="373"/>
      <c r="P17" s="71"/>
      <c r="Q17" s="382"/>
      <c r="R17" s="71"/>
      <c r="S17" s="265">
        <f t="shared" si="0"/>
        <v>5</v>
      </c>
      <c r="T17" s="251">
        <f t="shared" si="1"/>
        <v>4</v>
      </c>
      <c r="U17" s="258">
        <f t="shared" si="2"/>
        <v>4</v>
      </c>
      <c r="V17" s="260">
        <f>Table1[[#This Row],[G26 Pts.2]]</f>
        <v>0</v>
      </c>
      <c r="W17" s="260">
        <f t="shared" si="3"/>
        <v>0</v>
      </c>
      <c r="X17" s="260">
        <f t="shared" si="4"/>
        <v>5</v>
      </c>
      <c r="Y17" s="260">
        <f t="shared" si="5"/>
        <v>0</v>
      </c>
      <c r="Z17" s="260">
        <f t="shared" si="6"/>
        <v>4</v>
      </c>
      <c r="AA17" s="565">
        <f t="shared" si="7"/>
        <v>0</v>
      </c>
      <c r="AB17" s="260"/>
      <c r="AC17" s="260">
        <v>15</v>
      </c>
      <c r="AD17" s="260"/>
      <c r="AE17" s="260"/>
      <c r="AF17" s="260"/>
      <c r="AG17" s="260"/>
      <c r="AH17" s="260"/>
      <c r="AI17" s="260"/>
      <c r="AJ17" s="260"/>
      <c r="AK17" s="58">
        <v>9</v>
      </c>
      <c r="AL17" s="71" t="s">
        <v>799</v>
      </c>
      <c r="AM17" s="71">
        <v>1</v>
      </c>
      <c r="AN17" s="71">
        <v>1</v>
      </c>
      <c r="AO17" s="71"/>
      <c r="AP17" s="80">
        <v>5</v>
      </c>
      <c r="AQ17" s="71"/>
      <c r="AR17" s="71"/>
      <c r="AS17" s="71"/>
      <c r="AT17" s="71"/>
      <c r="AU17" s="71"/>
      <c r="AV17" s="8">
        <v>12</v>
      </c>
      <c r="AW17" s="6"/>
      <c r="AX17" s="7"/>
      <c r="AY17" s="7"/>
      <c r="AZ17" s="9">
        <v>4</v>
      </c>
      <c r="BA17" s="8">
        <v>12</v>
      </c>
      <c r="BB17" s="6"/>
      <c r="BC17" s="7"/>
      <c r="BD17" s="7" t="s">
        <v>238</v>
      </c>
      <c r="BE17" s="7"/>
    </row>
    <row r="18" spans="2:57">
      <c r="B18" s="61" t="s">
        <v>1077</v>
      </c>
      <c r="C18" s="6" t="s">
        <v>202</v>
      </c>
      <c r="D18" s="6" t="s">
        <v>9</v>
      </c>
      <c r="E18" s="6" t="s">
        <v>11</v>
      </c>
      <c r="F18" s="6">
        <v>0.2</v>
      </c>
      <c r="G18" s="6"/>
      <c r="H18" s="6"/>
      <c r="I18" s="7" t="s">
        <v>55</v>
      </c>
      <c r="J18" s="7" t="s">
        <v>55</v>
      </c>
      <c r="K18" s="71"/>
      <c r="L18" s="71"/>
      <c r="M18" s="355"/>
      <c r="N18" s="364"/>
      <c r="O18" s="373"/>
      <c r="P18" s="71"/>
      <c r="Q18" s="382"/>
      <c r="R18" s="71"/>
      <c r="S18" s="265">
        <f t="shared" si="0"/>
        <v>-1</v>
      </c>
      <c r="T18" s="251" t="e">
        <f t="shared" si="1"/>
        <v>#DIV/0!</v>
      </c>
      <c r="U18" s="258">
        <f t="shared" si="2"/>
        <v>-1</v>
      </c>
      <c r="V18" s="260">
        <f>Table1[[#This Row],[G26 Pts.2]]</f>
        <v>0</v>
      </c>
      <c r="W18" s="260">
        <f t="shared" si="3"/>
        <v>0</v>
      </c>
      <c r="X18" s="260">
        <f t="shared" si="4"/>
        <v>0</v>
      </c>
      <c r="Y18" s="260">
        <f t="shared" si="5"/>
        <v>-1</v>
      </c>
      <c r="Z18" s="260">
        <f t="shared" si="6"/>
        <v>0</v>
      </c>
      <c r="AA18" s="565">
        <f t="shared" si="7"/>
        <v>0</v>
      </c>
      <c r="AB18" s="260"/>
      <c r="AC18" s="260">
        <v>15</v>
      </c>
      <c r="AD18" s="260"/>
      <c r="AE18" s="260"/>
      <c r="AF18" s="260"/>
      <c r="AG18" s="260"/>
      <c r="AH18" s="260"/>
      <c r="AI18" s="260"/>
      <c r="AJ18" s="260"/>
      <c r="AK18" s="58"/>
      <c r="AL18" s="71"/>
      <c r="AM18" s="71"/>
      <c r="AN18" s="71"/>
      <c r="AO18" s="71"/>
      <c r="AP18" s="80"/>
      <c r="AQ18" s="71">
        <v>10</v>
      </c>
      <c r="AR18" s="71" t="s">
        <v>366</v>
      </c>
      <c r="AS18" s="71" t="s">
        <v>372</v>
      </c>
      <c r="AT18" s="71" t="s">
        <v>551</v>
      </c>
      <c r="AU18" s="71">
        <v>-1</v>
      </c>
      <c r="AV18" s="8"/>
      <c r="AW18" s="6"/>
      <c r="AX18" s="7"/>
      <c r="AY18" s="7"/>
      <c r="AZ18" s="9"/>
      <c r="BA18" s="8">
        <v>16</v>
      </c>
      <c r="BB18" s="6"/>
      <c r="BC18" s="7"/>
      <c r="BD18" s="7"/>
      <c r="BE18" s="7"/>
    </row>
    <row r="19" spans="2:57">
      <c r="B19" s="687" t="s">
        <v>1077</v>
      </c>
      <c r="C19" s="19" t="s">
        <v>203</v>
      </c>
      <c r="D19" s="19" t="s">
        <v>9</v>
      </c>
      <c r="E19" s="19" t="s">
        <v>11</v>
      </c>
      <c r="F19" s="19">
        <v>0.2</v>
      </c>
      <c r="G19" s="19"/>
      <c r="H19" s="19"/>
      <c r="I19" s="20" t="s">
        <v>54</v>
      </c>
      <c r="J19" s="20" t="s">
        <v>54</v>
      </c>
      <c r="K19" s="114"/>
      <c r="L19" s="114"/>
      <c r="M19" s="568"/>
      <c r="N19" s="571"/>
      <c r="O19" s="574"/>
      <c r="P19" s="114"/>
      <c r="Q19" s="577"/>
      <c r="R19" s="114"/>
      <c r="S19" s="729">
        <f t="shared" si="0"/>
        <v>0</v>
      </c>
      <c r="T19" s="247">
        <f t="shared" si="1"/>
        <v>0</v>
      </c>
      <c r="U19" s="254">
        <f t="shared" si="2"/>
        <v>0</v>
      </c>
      <c r="V19" s="557">
        <f>Table1[[#This Row],[G26 Pts.2]]</f>
        <v>0</v>
      </c>
      <c r="W19" s="557">
        <f t="shared" si="3"/>
        <v>0</v>
      </c>
      <c r="X19" s="557">
        <f t="shared" si="4"/>
        <v>0</v>
      </c>
      <c r="Y19" s="557">
        <f t="shared" si="5"/>
        <v>0</v>
      </c>
      <c r="Z19" s="557">
        <f t="shared" si="6"/>
        <v>0</v>
      </c>
      <c r="AA19" s="560">
        <f t="shared" si="7"/>
        <v>0</v>
      </c>
      <c r="AB19" s="557"/>
      <c r="AC19" s="557">
        <v>15</v>
      </c>
      <c r="AD19" s="557"/>
      <c r="AE19" s="557"/>
      <c r="AF19" s="557"/>
      <c r="AG19" s="557"/>
      <c r="AH19" s="557"/>
      <c r="AI19" s="557"/>
      <c r="AJ19" s="557"/>
      <c r="AK19" s="567"/>
      <c r="AL19" s="114"/>
      <c r="AM19" s="114"/>
      <c r="AN19" s="114"/>
      <c r="AO19" s="114"/>
      <c r="AP19" s="79"/>
      <c r="AQ19" s="114"/>
      <c r="AR19" s="114"/>
      <c r="AS19" s="114"/>
      <c r="AT19" s="114"/>
      <c r="AU19" s="114"/>
      <c r="AV19" s="23"/>
      <c r="AW19" s="24"/>
      <c r="AX19" s="92"/>
      <c r="AY19" s="92"/>
      <c r="AZ19" s="25"/>
      <c r="BA19" s="23"/>
      <c r="BB19" s="24"/>
      <c r="BC19" s="92"/>
      <c r="BD19" s="92"/>
      <c r="BE19" s="92"/>
    </row>
    <row r="20" spans="2:57">
      <c r="B20" s="163" t="s">
        <v>1077</v>
      </c>
      <c r="C20" s="159" t="s">
        <v>531</v>
      </c>
      <c r="D20" s="159" t="s">
        <v>4</v>
      </c>
      <c r="E20" s="159" t="s">
        <v>184</v>
      </c>
      <c r="F20" s="159">
        <v>9.25</v>
      </c>
      <c r="G20" s="159" t="s">
        <v>616</v>
      </c>
      <c r="H20" s="159"/>
      <c r="I20" s="162" t="s">
        <v>56</v>
      </c>
      <c r="J20" s="162" t="s">
        <v>56</v>
      </c>
      <c r="K20" s="161"/>
      <c r="L20" s="161"/>
      <c r="M20" s="359" t="s">
        <v>1005</v>
      </c>
      <c r="N20" s="368"/>
      <c r="O20" s="377"/>
      <c r="P20" s="161"/>
      <c r="Q20" s="386"/>
      <c r="R20" s="161"/>
      <c r="S20" s="270">
        <f t="shared" si="0"/>
        <v>54</v>
      </c>
      <c r="T20" s="252">
        <f t="shared" si="1"/>
        <v>29</v>
      </c>
      <c r="U20" s="259">
        <f t="shared" si="2"/>
        <v>29</v>
      </c>
      <c r="V20" s="273">
        <f>Table1[[#This Row],[G26 Pts.2]]</f>
        <v>0</v>
      </c>
      <c r="W20" s="273">
        <f t="shared" si="3"/>
        <v>54</v>
      </c>
      <c r="X20" s="273">
        <f t="shared" si="4"/>
        <v>29</v>
      </c>
      <c r="Y20" s="273">
        <f t="shared" si="5"/>
        <v>0</v>
      </c>
      <c r="Z20" s="273">
        <f t="shared" si="6"/>
        <v>0</v>
      </c>
      <c r="AA20" s="566">
        <f t="shared" si="7"/>
        <v>0</v>
      </c>
      <c r="AB20" s="273"/>
      <c r="AC20" s="273"/>
      <c r="AD20" s="273"/>
      <c r="AE20" s="273">
        <v>10</v>
      </c>
      <c r="AF20" s="273" t="s">
        <v>876</v>
      </c>
      <c r="AG20" s="273">
        <v>0</v>
      </c>
      <c r="AH20" s="273">
        <v>1</v>
      </c>
      <c r="AI20" s="273" t="s">
        <v>811</v>
      </c>
      <c r="AJ20" s="273">
        <v>54</v>
      </c>
      <c r="AK20" s="195">
        <v>10</v>
      </c>
      <c r="AL20" s="161"/>
      <c r="AM20" s="161"/>
      <c r="AN20" s="161"/>
      <c r="AO20" s="161" t="s">
        <v>914</v>
      </c>
      <c r="AP20" s="196">
        <v>29</v>
      </c>
      <c r="AQ20" s="161"/>
      <c r="AR20" s="161"/>
      <c r="AS20" s="161"/>
      <c r="AT20" s="161"/>
      <c r="AU20" s="161"/>
      <c r="AV20" s="158"/>
      <c r="AW20" s="159"/>
      <c r="AX20" s="162"/>
      <c r="AY20" s="162"/>
      <c r="AZ20" s="160"/>
      <c r="BA20" s="158"/>
      <c r="BB20" s="159"/>
      <c r="BC20" s="162"/>
      <c r="BD20" s="162"/>
      <c r="BE20" s="162"/>
    </row>
    <row r="21" spans="2:57">
      <c r="B21" s="687" t="s">
        <v>1077</v>
      </c>
      <c r="C21" s="19" t="s">
        <v>183</v>
      </c>
      <c r="D21" s="19" t="s">
        <v>18</v>
      </c>
      <c r="E21" s="19" t="s">
        <v>10</v>
      </c>
      <c r="F21" s="19">
        <v>8.25</v>
      </c>
      <c r="G21" s="19"/>
      <c r="H21" s="19"/>
      <c r="I21" s="20" t="s">
        <v>54</v>
      </c>
      <c r="J21" s="20" t="s">
        <v>54</v>
      </c>
      <c r="K21" s="114"/>
      <c r="L21" s="114"/>
      <c r="M21" s="568" t="s">
        <v>1054</v>
      </c>
      <c r="N21" s="571" t="s">
        <v>54</v>
      </c>
      <c r="O21" s="574" t="s">
        <v>54</v>
      </c>
      <c r="P21" s="114" t="s">
        <v>1053</v>
      </c>
      <c r="Q21" s="577" t="s">
        <v>54</v>
      </c>
      <c r="R21" s="114" t="s">
        <v>994</v>
      </c>
      <c r="S21" s="729">
        <f t="shared" si="0"/>
        <v>137</v>
      </c>
      <c r="T21" s="247">
        <f t="shared" si="1"/>
        <v>63</v>
      </c>
      <c r="U21" s="254">
        <f t="shared" si="2"/>
        <v>14</v>
      </c>
      <c r="V21" s="557">
        <f>Table1[[#This Row],[G26 Pts.2]]</f>
        <v>0</v>
      </c>
      <c r="W21" s="557">
        <f t="shared" si="3"/>
        <v>0</v>
      </c>
      <c r="X21" s="557">
        <f t="shared" si="4"/>
        <v>14</v>
      </c>
      <c r="Y21" s="557">
        <f t="shared" si="5"/>
        <v>137</v>
      </c>
      <c r="Z21" s="557">
        <f t="shared" si="6"/>
        <v>125</v>
      </c>
      <c r="AA21" s="560">
        <f t="shared" si="7"/>
        <v>50</v>
      </c>
      <c r="AB21" s="557"/>
      <c r="AC21" s="557"/>
      <c r="AD21" s="557"/>
      <c r="AE21" s="557"/>
      <c r="AF21" s="557"/>
      <c r="AG21" s="557"/>
      <c r="AH21" s="557"/>
      <c r="AI21" s="557"/>
      <c r="AJ21" s="557"/>
      <c r="AK21" s="567">
        <v>2</v>
      </c>
      <c r="AL21" s="114" t="s">
        <v>371</v>
      </c>
      <c r="AM21" s="114">
        <v>8</v>
      </c>
      <c r="AN21" s="114">
        <v>8</v>
      </c>
      <c r="AO21" s="114"/>
      <c r="AP21" s="79">
        <v>14</v>
      </c>
      <c r="AQ21" s="114">
        <v>2</v>
      </c>
      <c r="AR21" s="114" t="s">
        <v>541</v>
      </c>
      <c r="AS21" s="114" t="s">
        <v>372</v>
      </c>
      <c r="AT21" s="114"/>
      <c r="AU21" s="114">
        <v>137</v>
      </c>
      <c r="AV21" s="21">
        <v>2</v>
      </c>
      <c r="AW21" s="19" t="s">
        <v>520</v>
      </c>
      <c r="AX21" s="20" t="s">
        <v>327</v>
      </c>
      <c r="AY21" s="20"/>
      <c r="AZ21" s="22">
        <v>125</v>
      </c>
      <c r="BA21" s="21">
        <v>2</v>
      </c>
      <c r="BB21" s="19" t="s">
        <v>510</v>
      </c>
      <c r="BC21" s="20" t="s">
        <v>489</v>
      </c>
      <c r="BD21" s="20"/>
      <c r="BE21" s="20">
        <v>50</v>
      </c>
    </row>
    <row r="22" spans="2:57">
      <c r="B22" s="61" t="s">
        <v>1077</v>
      </c>
      <c r="C22" s="6" t="s">
        <v>191</v>
      </c>
      <c r="D22" s="6" t="s">
        <v>18</v>
      </c>
      <c r="E22" s="6" t="s">
        <v>114</v>
      </c>
      <c r="F22" s="6">
        <v>2</v>
      </c>
      <c r="G22" s="6"/>
      <c r="H22" s="6"/>
      <c r="I22" s="7" t="s">
        <v>55</v>
      </c>
      <c r="J22" s="7" t="s">
        <v>55</v>
      </c>
      <c r="K22" s="71"/>
      <c r="L22" s="71"/>
      <c r="M22" s="355"/>
      <c r="N22" s="364"/>
      <c r="O22" s="373"/>
      <c r="P22" s="71"/>
      <c r="Q22" s="382"/>
      <c r="R22" s="71"/>
      <c r="S22" s="265">
        <f t="shared" si="0"/>
        <v>0</v>
      </c>
      <c r="T22" s="251">
        <f t="shared" si="1"/>
        <v>0</v>
      </c>
      <c r="U22" s="258">
        <f t="shared" si="2"/>
        <v>0</v>
      </c>
      <c r="V22" s="260">
        <f>Table1[[#This Row],[G26 Pts.2]]</f>
        <v>0</v>
      </c>
      <c r="W22" s="260">
        <f t="shared" si="3"/>
        <v>0</v>
      </c>
      <c r="X22" s="260">
        <f t="shared" si="4"/>
        <v>0</v>
      </c>
      <c r="Y22" s="260">
        <f t="shared" si="5"/>
        <v>0</v>
      </c>
      <c r="Z22" s="260">
        <f t="shared" si="6"/>
        <v>0</v>
      </c>
      <c r="AA22" s="565">
        <f t="shared" si="7"/>
        <v>0</v>
      </c>
      <c r="AB22" s="260"/>
      <c r="AC22" s="260"/>
      <c r="AD22" s="260"/>
      <c r="AE22" s="260"/>
      <c r="AF22" s="260"/>
      <c r="AG22" s="260"/>
      <c r="AH22" s="260"/>
      <c r="AI22" s="260"/>
      <c r="AJ22" s="260"/>
      <c r="AK22" s="58"/>
      <c r="AL22" s="71"/>
      <c r="AM22" s="71"/>
      <c r="AN22" s="71"/>
      <c r="AO22" s="71"/>
      <c r="AP22" s="80"/>
      <c r="AQ22" s="71"/>
      <c r="AR22" s="71"/>
      <c r="AS22" s="71"/>
      <c r="AT22" s="71"/>
      <c r="AU22" s="71"/>
      <c r="AV22" s="8"/>
      <c r="AW22" s="6"/>
      <c r="AX22" s="7"/>
      <c r="AY22" s="7"/>
      <c r="AZ22" s="9"/>
      <c r="BA22" s="8"/>
      <c r="BB22" s="6"/>
      <c r="BC22" s="7"/>
      <c r="BD22" s="7"/>
      <c r="BE22" s="7"/>
    </row>
    <row r="23" spans="2:57">
      <c r="B23" s="687" t="s">
        <v>1077</v>
      </c>
      <c r="C23" s="19" t="s">
        <v>196</v>
      </c>
      <c r="D23" s="19" t="s">
        <v>18</v>
      </c>
      <c r="E23" s="19" t="s">
        <v>14</v>
      </c>
      <c r="F23" s="19">
        <v>0.5</v>
      </c>
      <c r="G23" s="19" t="s">
        <v>646</v>
      </c>
      <c r="H23" s="19"/>
      <c r="I23" s="20" t="s">
        <v>54</v>
      </c>
      <c r="J23" s="20" t="s">
        <v>54</v>
      </c>
      <c r="K23" s="114"/>
      <c r="L23" s="114"/>
      <c r="M23" s="568" t="s">
        <v>1004</v>
      </c>
      <c r="N23" s="571"/>
      <c r="O23" s="574"/>
      <c r="P23" s="114"/>
      <c r="Q23" s="577"/>
      <c r="R23" s="114"/>
      <c r="S23" s="729">
        <f t="shared" si="0"/>
        <v>71</v>
      </c>
      <c r="T23" s="247">
        <f t="shared" si="1"/>
        <v>15</v>
      </c>
      <c r="U23" s="254">
        <f t="shared" si="2"/>
        <v>5</v>
      </c>
      <c r="V23" s="557">
        <f>Table1[[#This Row],[G26 Pts.2]]</f>
        <v>0</v>
      </c>
      <c r="W23" s="557">
        <f t="shared" si="3"/>
        <v>0</v>
      </c>
      <c r="X23" s="557">
        <f t="shared" si="4"/>
        <v>25</v>
      </c>
      <c r="Y23" s="557">
        <f t="shared" si="5"/>
        <v>0</v>
      </c>
      <c r="Z23" s="557">
        <f t="shared" si="6"/>
        <v>5</v>
      </c>
      <c r="AA23" s="560">
        <f t="shared" si="7"/>
        <v>71</v>
      </c>
      <c r="AB23" s="557"/>
      <c r="AC23" s="557"/>
      <c r="AD23" s="557"/>
      <c r="AE23" s="557"/>
      <c r="AF23" s="557"/>
      <c r="AG23" s="557"/>
      <c r="AH23" s="557"/>
      <c r="AI23" s="557"/>
      <c r="AJ23" s="557"/>
      <c r="AK23" s="567">
        <v>4</v>
      </c>
      <c r="AL23" s="114" t="s">
        <v>336</v>
      </c>
      <c r="AM23" s="114">
        <v>20</v>
      </c>
      <c r="AN23" s="114">
        <v>26</v>
      </c>
      <c r="AO23" s="114"/>
      <c r="AP23" s="79">
        <v>25</v>
      </c>
      <c r="AQ23" s="114"/>
      <c r="AR23" s="114"/>
      <c r="AS23" s="114"/>
      <c r="AT23" s="114"/>
      <c r="AU23" s="114"/>
      <c r="AV23" s="21">
        <v>3</v>
      </c>
      <c r="AW23" s="19" t="s">
        <v>338</v>
      </c>
      <c r="AX23" s="20" t="s">
        <v>516</v>
      </c>
      <c r="AY23" s="20"/>
      <c r="AZ23" s="22">
        <v>5</v>
      </c>
      <c r="BA23" s="21">
        <v>3</v>
      </c>
      <c r="BB23" s="19" t="s">
        <v>509</v>
      </c>
      <c r="BC23" s="20" t="s">
        <v>507</v>
      </c>
      <c r="BD23" s="20"/>
      <c r="BE23" s="20">
        <v>71</v>
      </c>
    </row>
    <row r="24" spans="2:57">
      <c r="B24" s="63" t="s">
        <v>1077</v>
      </c>
      <c r="C24" s="12" t="s">
        <v>194</v>
      </c>
      <c r="D24" s="12" t="s">
        <v>9</v>
      </c>
      <c r="E24" s="12" t="s">
        <v>11</v>
      </c>
      <c r="F24" s="12">
        <v>0.2</v>
      </c>
      <c r="G24" s="12"/>
      <c r="H24" s="12"/>
      <c r="I24" s="13" t="s">
        <v>56</v>
      </c>
      <c r="J24" s="13" t="s">
        <v>56</v>
      </c>
      <c r="K24" s="72"/>
      <c r="L24" s="72"/>
      <c r="M24" s="358"/>
      <c r="N24" s="367"/>
      <c r="O24" s="376"/>
      <c r="P24" s="72"/>
      <c r="Q24" s="385"/>
      <c r="R24" s="72"/>
      <c r="S24" s="268">
        <f t="shared" si="0"/>
        <v>0</v>
      </c>
      <c r="T24" s="250">
        <f t="shared" si="1"/>
        <v>0</v>
      </c>
      <c r="U24" s="257">
        <f t="shared" si="2"/>
        <v>0</v>
      </c>
      <c r="V24" s="262">
        <f>Table1[[#This Row],[G26 Pts.2]]</f>
        <v>0</v>
      </c>
      <c r="W24" s="262">
        <f t="shared" si="3"/>
        <v>0</v>
      </c>
      <c r="X24" s="262">
        <f t="shared" si="4"/>
        <v>0</v>
      </c>
      <c r="Y24" s="262">
        <f t="shared" si="5"/>
        <v>0</v>
      </c>
      <c r="Z24" s="262">
        <f t="shared" si="6"/>
        <v>0</v>
      </c>
      <c r="AA24" s="564">
        <f t="shared" si="7"/>
        <v>0</v>
      </c>
      <c r="AB24" s="262"/>
      <c r="AC24" s="262"/>
      <c r="AD24" s="262"/>
      <c r="AE24" s="262"/>
      <c r="AF24" s="262"/>
      <c r="AG24" s="262"/>
      <c r="AH24" s="262"/>
      <c r="AI24" s="262"/>
      <c r="AJ24" s="262"/>
      <c r="AK24" s="60"/>
      <c r="AL24" s="72"/>
      <c r="AM24" s="72"/>
      <c r="AN24" s="72"/>
      <c r="AO24" s="72"/>
      <c r="AP24" s="83"/>
      <c r="AQ24" s="72"/>
      <c r="AR24" s="72"/>
      <c r="AS24" s="72"/>
      <c r="AT24" s="72"/>
      <c r="AU24" s="72"/>
      <c r="AV24" s="14"/>
      <c r="AW24" s="12"/>
      <c r="AX24" s="13"/>
      <c r="AY24" s="13"/>
      <c r="AZ24" s="15"/>
      <c r="BA24" s="14"/>
      <c r="BB24" s="12"/>
      <c r="BC24" s="13"/>
      <c r="BD24" s="13"/>
      <c r="BE24" s="13"/>
    </row>
    <row r="25" spans="2:57">
      <c r="B25" s="63" t="s">
        <v>1077</v>
      </c>
      <c r="C25" s="12" t="s">
        <v>201</v>
      </c>
      <c r="D25" s="12" t="s">
        <v>4</v>
      </c>
      <c r="E25" s="12" t="s">
        <v>11</v>
      </c>
      <c r="F25" s="12">
        <v>0.2</v>
      </c>
      <c r="G25" s="12"/>
      <c r="H25" s="12"/>
      <c r="I25" s="13" t="s">
        <v>56</v>
      </c>
      <c r="J25" s="13" t="s">
        <v>56</v>
      </c>
      <c r="K25" s="72"/>
      <c r="L25" s="72"/>
      <c r="M25" s="358"/>
      <c r="N25" s="367"/>
      <c r="O25" s="376"/>
      <c r="P25" s="72"/>
      <c r="Q25" s="385"/>
      <c r="R25" s="72"/>
      <c r="S25" s="268">
        <f t="shared" si="0"/>
        <v>0</v>
      </c>
      <c r="T25" s="250">
        <f t="shared" si="1"/>
        <v>0</v>
      </c>
      <c r="U25" s="257">
        <f t="shared" si="2"/>
        <v>0</v>
      </c>
      <c r="V25" s="262">
        <f>Table1[[#This Row],[G26 Pts.2]]</f>
        <v>0</v>
      </c>
      <c r="W25" s="262">
        <f t="shared" si="3"/>
        <v>0</v>
      </c>
      <c r="X25" s="262">
        <f t="shared" si="4"/>
        <v>0</v>
      </c>
      <c r="Y25" s="262">
        <f t="shared" si="5"/>
        <v>0</v>
      </c>
      <c r="Z25" s="262">
        <f t="shared" si="6"/>
        <v>0</v>
      </c>
      <c r="AA25" s="564">
        <f t="shared" si="7"/>
        <v>0</v>
      </c>
      <c r="AB25" s="262"/>
      <c r="AC25" s="262"/>
      <c r="AD25" s="262"/>
      <c r="AE25" s="262"/>
      <c r="AF25" s="262"/>
      <c r="AG25" s="262"/>
      <c r="AH25" s="262"/>
      <c r="AI25" s="262"/>
      <c r="AJ25" s="262"/>
      <c r="AK25" s="60"/>
      <c r="AL25" s="72"/>
      <c r="AM25" s="72"/>
      <c r="AN25" s="72"/>
      <c r="AO25" s="72"/>
      <c r="AP25" s="83"/>
      <c r="AQ25" s="72"/>
      <c r="AR25" s="72"/>
      <c r="AS25" s="72"/>
      <c r="AT25" s="72"/>
      <c r="AU25" s="72"/>
      <c r="AV25" s="16"/>
      <c r="AW25" s="17"/>
      <c r="AX25" s="90"/>
      <c r="AY25" s="90"/>
      <c r="AZ25" s="18"/>
      <c r="BA25" s="16"/>
      <c r="BB25" s="17"/>
      <c r="BC25" s="90"/>
      <c r="BD25" s="90"/>
      <c r="BE25" s="90"/>
    </row>
    <row r="26" spans="2:57">
      <c r="B26" s="216" t="s">
        <v>1077</v>
      </c>
      <c r="C26" s="198" t="s">
        <v>1078</v>
      </c>
      <c r="D26" s="198" t="s">
        <v>16</v>
      </c>
      <c r="E26" s="198"/>
      <c r="F26" s="198"/>
      <c r="G26" s="198" t="s">
        <v>615</v>
      </c>
      <c r="H26" s="198"/>
      <c r="I26" s="212" t="s">
        <v>75</v>
      </c>
      <c r="J26" s="212" t="s">
        <v>75</v>
      </c>
      <c r="K26" s="200"/>
      <c r="L26" s="200"/>
      <c r="M26" s="570" t="s">
        <v>1004</v>
      </c>
      <c r="N26" s="573"/>
      <c r="O26" s="576"/>
      <c r="P26" s="200"/>
      <c r="Q26" s="579"/>
      <c r="R26" s="200"/>
      <c r="S26" s="271">
        <f t="shared" si="0"/>
        <v>0</v>
      </c>
      <c r="T26" s="249">
        <f t="shared" si="1"/>
        <v>0</v>
      </c>
      <c r="U26" s="256">
        <f t="shared" si="2"/>
        <v>0</v>
      </c>
      <c r="V26" s="558">
        <f>Table1[[#This Row],[G26 Pts.2]]</f>
        <v>0</v>
      </c>
      <c r="W26" s="558">
        <f t="shared" si="3"/>
        <v>0</v>
      </c>
      <c r="X26" s="558">
        <f t="shared" si="4"/>
        <v>0</v>
      </c>
      <c r="Y26" s="558">
        <f t="shared" si="5"/>
        <v>0</v>
      </c>
      <c r="Z26" s="558">
        <f t="shared" si="6"/>
        <v>0</v>
      </c>
      <c r="AA26" s="563">
        <f t="shared" si="7"/>
        <v>0</v>
      </c>
      <c r="AB26" s="558"/>
      <c r="AC26" s="558"/>
      <c r="AD26" s="558"/>
      <c r="AE26" s="558"/>
      <c r="AF26" s="558"/>
      <c r="AG26" s="558"/>
      <c r="AH26" s="558"/>
      <c r="AI26" s="558"/>
      <c r="AJ26" s="558"/>
      <c r="AK26" s="201"/>
      <c r="AL26" s="200"/>
      <c r="AM26" s="200"/>
      <c r="AN26" s="200"/>
      <c r="AO26" s="200"/>
      <c r="AP26" s="202"/>
      <c r="AQ26" s="200"/>
      <c r="AR26" s="200"/>
      <c r="AS26" s="200"/>
      <c r="AT26" s="200"/>
      <c r="AU26" s="200"/>
      <c r="AV26" s="197"/>
      <c r="AW26" s="198"/>
      <c r="AX26" s="212"/>
      <c r="AY26" s="212"/>
      <c r="AZ26" s="199"/>
      <c r="BA26" s="197"/>
      <c r="BB26" s="198"/>
      <c r="BC26" s="212"/>
      <c r="BD26" s="212"/>
      <c r="BE26" s="212"/>
    </row>
    <row r="27" spans="2:57">
      <c r="B27" s="713" t="s">
        <v>1077</v>
      </c>
      <c r="C27" s="714" t="s">
        <v>919</v>
      </c>
      <c r="D27" s="714"/>
      <c r="E27" s="714"/>
      <c r="F27" s="714"/>
      <c r="G27" s="714"/>
      <c r="H27" s="714"/>
      <c r="I27" s="715" t="s">
        <v>56</v>
      </c>
      <c r="J27" s="715" t="s">
        <v>56</v>
      </c>
      <c r="K27" s="716"/>
      <c r="L27" s="716"/>
      <c r="M27" s="717"/>
      <c r="N27" s="718"/>
      <c r="O27" s="719"/>
      <c r="P27" s="716"/>
      <c r="Q27" s="720"/>
      <c r="R27" s="716"/>
      <c r="S27" s="730">
        <f t="shared" si="0"/>
        <v>0</v>
      </c>
      <c r="T27" s="722">
        <f t="shared" si="1"/>
        <v>0</v>
      </c>
      <c r="U27" s="723">
        <f t="shared" si="2"/>
        <v>0</v>
      </c>
      <c r="V27" s="724">
        <f>Table1[[#This Row],[G26 Pts.2]]</f>
        <v>0</v>
      </c>
      <c r="W27" s="724">
        <f t="shared" si="3"/>
        <v>0</v>
      </c>
      <c r="X27" s="724">
        <f t="shared" si="4"/>
        <v>0</v>
      </c>
      <c r="Y27" s="724">
        <f t="shared" si="5"/>
        <v>0</v>
      </c>
      <c r="Z27" s="724">
        <f t="shared" si="6"/>
        <v>0</v>
      </c>
      <c r="AA27" s="725">
        <f t="shared" si="7"/>
        <v>0</v>
      </c>
      <c r="AB27" s="724"/>
      <c r="AC27" s="724"/>
      <c r="AD27" s="724"/>
      <c r="AE27" s="724"/>
      <c r="AF27" s="724"/>
      <c r="AG27" s="724"/>
      <c r="AH27" s="724"/>
      <c r="AI27" s="724"/>
      <c r="AJ27" s="724"/>
      <c r="AK27" s="726">
        <v>15</v>
      </c>
      <c r="AL27" s="716"/>
      <c r="AM27" s="716"/>
      <c r="AN27" s="716"/>
      <c r="AO27" s="716"/>
      <c r="AP27" s="727"/>
      <c r="AQ27" s="716"/>
      <c r="AR27" s="716"/>
      <c r="AS27" s="716"/>
      <c r="AT27" s="716"/>
      <c r="AU27" s="716"/>
      <c r="AV27" s="721"/>
      <c r="AW27" s="714"/>
      <c r="AX27" s="715"/>
      <c r="AY27" s="715"/>
      <c r="AZ27" s="728"/>
      <c r="BA27" s="721"/>
      <c r="BB27" s="714"/>
      <c r="BC27" s="715"/>
      <c r="BD27" s="715"/>
      <c r="BE27" s="715"/>
    </row>
  </sheetData>
  <sortState xmlns:xlrd2="http://schemas.microsoft.com/office/spreadsheetml/2017/richdata2" ref="B4:BE27">
    <sortCondition ref="AE4:AE27"/>
    <sortCondition ref="AK4:AK27"/>
    <sortCondition ref="AQ4:AQ27"/>
    <sortCondition ref="AV4:AV27"/>
    <sortCondition ref="BA4:BA27"/>
    <sortCondition descending="1" ref="F4:F27"/>
  </sortState>
  <phoneticPr fontId="26" type="noConversion"/>
  <conditionalFormatting sqref="S4:S27">
    <cfRule type="colorScale" priority="3">
      <colorScale>
        <cfvo type="min"/>
        <cfvo type="max"/>
        <color rgb="FFFFEF9C"/>
        <color rgb="FF63BE7B"/>
      </colorScale>
    </cfRule>
  </conditionalFormatting>
  <conditionalFormatting sqref="T4:T27">
    <cfRule type="colorScale" priority="2">
      <colorScale>
        <cfvo type="min"/>
        <cfvo type="max"/>
        <color rgb="FFFFEF9C"/>
        <color rgb="FF63BE7B"/>
      </colorScale>
    </cfRule>
  </conditionalFormatting>
  <conditionalFormatting sqref="U4:U27">
    <cfRule type="colorScale" priority="1">
      <colorScale>
        <cfvo type="min"/>
        <cfvo type="max"/>
        <color rgb="FFFFEF9C"/>
        <color rgb="FF63BE7B"/>
      </colorScale>
    </cfRule>
  </conditionalFormatting>
  <conditionalFormatting sqref="V4:W27">
    <cfRule type="colorScale" priority="8">
      <colorScale>
        <cfvo type="min"/>
        <cfvo type="max"/>
        <color rgb="FFFCFCFF"/>
        <color rgb="FF63BE7B"/>
      </colorScale>
    </cfRule>
  </conditionalFormatting>
  <conditionalFormatting sqref="X4:X27">
    <cfRule type="colorScale" priority="7">
      <colorScale>
        <cfvo type="min"/>
        <cfvo type="max"/>
        <color rgb="FFFCFCFF"/>
        <color rgb="FF63BE7B"/>
      </colorScale>
    </cfRule>
  </conditionalFormatting>
  <conditionalFormatting sqref="Y4:Y27">
    <cfRule type="colorScale" priority="6">
      <colorScale>
        <cfvo type="min"/>
        <cfvo type="max"/>
        <color rgb="FFFCFCFF"/>
        <color rgb="FF63BE7B"/>
      </colorScale>
    </cfRule>
  </conditionalFormatting>
  <conditionalFormatting sqref="Z4:Z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A4:AB2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D14-9AED-4974-BE08-58DE474FFEE7}">
  <dimension ref="B2:BY30"/>
  <sheetViews>
    <sheetView showGridLines="0" zoomScaleNormal="100" workbookViewId="0">
      <pane xSplit="3" ySplit="5" topLeftCell="X6" activePane="bottomRight" state="frozen"/>
      <selection pane="topRight" activeCell="D1" sqref="D1"/>
      <selection pane="bottomLeft" activeCell="A5" sqref="A5"/>
      <selection pane="bottomRight" activeCell="AE7" sqref="AE7"/>
    </sheetView>
  </sheetViews>
  <sheetFormatPr defaultRowHeight="14.4"/>
  <cols>
    <col min="1" max="1" width="3.33203125" customWidth="1"/>
    <col min="3" max="3" width="17.6640625" bestFit="1" customWidth="1"/>
    <col min="4" max="4" width="5.77734375" customWidth="1"/>
    <col min="5" max="5" width="10.6640625" bestFit="1" customWidth="1"/>
    <col min="6" max="6" width="7.5546875" customWidth="1"/>
    <col min="7" max="7" width="7.77734375" customWidth="1"/>
    <col min="8" max="8" width="11.5546875" bestFit="1" customWidth="1"/>
    <col min="9" max="9" width="9.33203125" customWidth="1"/>
    <col min="10" max="10" width="6.109375" customWidth="1"/>
    <col min="15" max="15" width="9.44140625" customWidth="1"/>
    <col min="16" max="16" width="8.6640625" customWidth="1"/>
    <col min="20" max="20" width="9.44140625" customWidth="1"/>
    <col min="21" max="21" width="8.6640625" customWidth="1"/>
    <col min="26" max="26" width="7.77734375" customWidth="1"/>
    <col min="28" max="28" width="10.6640625" bestFit="1" customWidth="1"/>
    <col min="29" max="29" width="12.44140625" bestFit="1" customWidth="1"/>
  </cols>
  <sheetData>
    <row r="2" spans="2:77">
      <c r="AE2" t="s">
        <v>1289</v>
      </c>
      <c r="AG2" s="275" t="s">
        <v>1350</v>
      </c>
      <c r="AH2" s="276" t="s">
        <v>1351</v>
      </c>
      <c r="AI2" s="275" t="s">
        <v>1292</v>
      </c>
      <c r="AJ2" s="276" t="s">
        <v>1349</v>
      </c>
      <c r="AK2" s="275" t="s">
        <v>1308</v>
      </c>
      <c r="AL2" s="275" t="s">
        <v>1347</v>
      </c>
    </row>
    <row r="3" spans="2:77">
      <c r="AE3" t="s">
        <v>1096</v>
      </c>
      <c r="AG3" s="275" t="s">
        <v>1131</v>
      </c>
      <c r="AH3" s="276" t="s">
        <v>1096</v>
      </c>
      <c r="AI3" s="275" t="s">
        <v>1097</v>
      </c>
      <c r="AJ3" s="276" t="s">
        <v>1096</v>
      </c>
      <c r="AK3" s="275" t="s">
        <v>1157</v>
      </c>
      <c r="AL3" s="275" t="s">
        <v>1096</v>
      </c>
      <c r="AM3" s="275" t="s">
        <v>1412</v>
      </c>
      <c r="AN3" s="275"/>
      <c r="AO3" s="275"/>
      <c r="AP3" s="275"/>
      <c r="AQ3" s="275"/>
      <c r="AR3" s="275"/>
      <c r="AS3" s="275"/>
      <c r="AT3" s="275"/>
      <c r="AU3" s="275"/>
      <c r="AV3" s="284" t="s">
        <v>1402</v>
      </c>
      <c r="AW3" s="275"/>
      <c r="AX3" s="275"/>
      <c r="AY3" s="275"/>
      <c r="AZ3" s="275"/>
      <c r="BA3" s="275"/>
      <c r="BB3" s="275"/>
      <c r="BC3" s="275"/>
      <c r="BD3" s="275"/>
      <c r="BE3" s="275" t="s">
        <v>1391</v>
      </c>
      <c r="BK3" s="276" t="s">
        <v>1389</v>
      </c>
      <c r="BN3" s="1"/>
      <c r="BP3" s="275" t="s">
        <v>1390</v>
      </c>
      <c r="BS3" s="1"/>
      <c r="BU3" s="275" t="s">
        <v>1392</v>
      </c>
    </row>
    <row r="4" spans="2:77" ht="15" thickBot="1">
      <c r="AG4" s="275" t="s">
        <v>933</v>
      </c>
      <c r="AH4" s="276" t="s">
        <v>933</v>
      </c>
      <c r="AI4" s="275" t="s">
        <v>1132</v>
      </c>
      <c r="AJ4" s="276" t="s">
        <v>933</v>
      </c>
      <c r="AK4" s="275" t="s">
        <v>1132</v>
      </c>
      <c r="AL4" s="275" t="s">
        <v>1132</v>
      </c>
      <c r="AM4" s="275" t="s">
        <v>1339</v>
      </c>
      <c r="AN4" s="275"/>
      <c r="AO4" s="275"/>
      <c r="AP4" s="275"/>
      <c r="AQ4" s="275"/>
      <c r="AR4" s="275"/>
      <c r="AS4" s="275"/>
      <c r="AT4" s="275"/>
      <c r="AU4" s="275"/>
      <c r="AV4" s="284" t="s">
        <v>1388</v>
      </c>
      <c r="AW4" s="275"/>
      <c r="AX4" s="275"/>
      <c r="AY4" s="275"/>
      <c r="AZ4" s="275"/>
      <c r="BA4" s="275"/>
      <c r="BB4" s="275"/>
      <c r="BC4" s="275"/>
      <c r="BD4" s="275"/>
      <c r="BE4" s="275" t="s">
        <v>1286</v>
      </c>
      <c r="BF4" s="275"/>
      <c r="BK4" s="276" t="s">
        <v>1388</v>
      </c>
      <c r="BP4" s="275" t="s">
        <v>1369</v>
      </c>
      <c r="BQ4" s="275"/>
      <c r="BU4" s="275" t="s">
        <v>1170</v>
      </c>
      <c r="BV4" s="275"/>
    </row>
    <row r="5" spans="2:77" ht="31.2" thickBot="1">
      <c r="B5" s="983" t="s">
        <v>93</v>
      </c>
      <c r="C5" s="984" t="s">
        <v>0</v>
      </c>
      <c r="D5" s="705" t="s">
        <v>1386</v>
      </c>
      <c r="E5" s="984" t="s">
        <v>858</v>
      </c>
      <c r="F5" s="705" t="s">
        <v>53</v>
      </c>
      <c r="G5" s="706" t="s">
        <v>182</v>
      </c>
      <c r="H5" s="1022" t="s">
        <v>1418</v>
      </c>
      <c r="I5" s="1022" t="s">
        <v>1419</v>
      </c>
      <c r="J5" s="348" t="s">
        <v>990</v>
      </c>
      <c r="K5" s="349" t="s">
        <v>1431</v>
      </c>
      <c r="L5" s="349" t="s">
        <v>1222</v>
      </c>
      <c r="M5" s="349" t="s">
        <v>1221</v>
      </c>
      <c r="N5" s="349" t="s">
        <v>1220</v>
      </c>
      <c r="O5" s="350" t="s">
        <v>479</v>
      </c>
      <c r="P5" s="350" t="s">
        <v>1216</v>
      </c>
      <c r="Q5" s="350" t="s">
        <v>1217</v>
      </c>
      <c r="R5" s="350" t="s">
        <v>1218</v>
      </c>
      <c r="S5" s="1037" t="s">
        <v>1387</v>
      </c>
      <c r="T5" s="1038" t="s">
        <v>1366</v>
      </c>
      <c r="U5" s="1038" t="s">
        <v>776</v>
      </c>
      <c r="V5" s="1039" t="s">
        <v>777</v>
      </c>
      <c r="W5" s="319" t="s">
        <v>1274</v>
      </c>
      <c r="X5" s="192" t="s">
        <v>1424</v>
      </c>
      <c r="Y5" s="192" t="s">
        <v>1425</v>
      </c>
      <c r="Z5" s="320" t="s">
        <v>1115</v>
      </c>
      <c r="AA5" s="1034" t="s">
        <v>1275</v>
      </c>
      <c r="AB5" s="1035" t="s">
        <v>1426</v>
      </c>
      <c r="AC5" s="1035" t="s">
        <v>1427</v>
      </c>
      <c r="AD5" s="1036" t="s">
        <v>1428</v>
      </c>
      <c r="AE5" s="1035" t="s">
        <v>1429</v>
      </c>
      <c r="AF5" s="1035" t="s">
        <v>1430</v>
      </c>
      <c r="AG5" s="1019" t="s">
        <v>1415</v>
      </c>
      <c r="AH5" s="1020" t="s">
        <v>1414</v>
      </c>
      <c r="AI5" s="1020" t="s">
        <v>1413</v>
      </c>
      <c r="AJ5" s="1020" t="s">
        <v>1394</v>
      </c>
      <c r="AK5" s="1020" t="s">
        <v>1395</v>
      </c>
      <c r="AL5" s="1021" t="s">
        <v>1396</v>
      </c>
      <c r="AM5" s="1019" t="s">
        <v>1403</v>
      </c>
      <c r="AN5" s="1020" t="s">
        <v>1404</v>
      </c>
      <c r="AO5" s="1020" t="s">
        <v>1405</v>
      </c>
      <c r="AP5" s="1020" t="s">
        <v>1406</v>
      </c>
      <c r="AQ5" s="1020" t="s">
        <v>1407</v>
      </c>
      <c r="AR5" s="1020" t="s">
        <v>1408</v>
      </c>
      <c r="AS5" s="1020" t="s">
        <v>1409</v>
      </c>
      <c r="AT5" s="1020" t="s">
        <v>1410</v>
      </c>
      <c r="AU5" s="1021" t="s">
        <v>1411</v>
      </c>
      <c r="AV5" s="1001" t="s">
        <v>1171</v>
      </c>
      <c r="AW5" s="1002" t="s">
        <v>1398</v>
      </c>
      <c r="AX5" s="1002" t="s">
        <v>1397</v>
      </c>
      <c r="AY5" s="1002" t="s">
        <v>996</v>
      </c>
      <c r="AZ5" s="1002" t="s">
        <v>1174</v>
      </c>
      <c r="BA5" s="1002" t="s">
        <v>1399</v>
      </c>
      <c r="BB5" s="1002" t="s">
        <v>1400</v>
      </c>
      <c r="BC5" s="1002" t="s">
        <v>1401</v>
      </c>
      <c r="BD5" s="1002" t="s">
        <v>1203</v>
      </c>
      <c r="BE5" s="1008" t="s">
        <v>906</v>
      </c>
      <c r="BF5" s="1009" t="s">
        <v>936</v>
      </c>
      <c r="BG5" s="1009" t="s">
        <v>910</v>
      </c>
      <c r="BH5" s="1009" t="s">
        <v>911</v>
      </c>
      <c r="BI5" s="1009" t="s">
        <v>908</v>
      </c>
      <c r="BJ5" s="1010" t="s">
        <v>1393</v>
      </c>
      <c r="BK5" s="1001" t="s">
        <v>561</v>
      </c>
      <c r="BL5" s="1002" t="s">
        <v>565</v>
      </c>
      <c r="BM5" s="1002" t="s">
        <v>562</v>
      </c>
      <c r="BN5" s="1002" t="s">
        <v>566</v>
      </c>
      <c r="BO5" s="1003" t="s">
        <v>1305</v>
      </c>
      <c r="BP5" s="997" t="s">
        <v>430</v>
      </c>
      <c r="BQ5" s="998" t="s">
        <v>431</v>
      </c>
      <c r="BR5" s="998" t="s">
        <v>432</v>
      </c>
      <c r="BS5" s="998" t="s">
        <v>433</v>
      </c>
      <c r="BT5" s="999" t="s">
        <v>1377</v>
      </c>
      <c r="BU5" s="1001" t="s">
        <v>368</v>
      </c>
      <c r="BV5" s="1002" t="s">
        <v>426</v>
      </c>
      <c r="BW5" s="1002" t="s">
        <v>370</v>
      </c>
      <c r="BX5" s="1002" t="s">
        <v>415</v>
      </c>
      <c r="BY5" s="1003" t="s">
        <v>1268</v>
      </c>
    </row>
    <row r="6" spans="2:77">
      <c r="B6" s="977" t="s">
        <v>179</v>
      </c>
      <c r="C6" s="98" t="s">
        <v>165</v>
      </c>
      <c r="D6" s="98">
        <v>1.9</v>
      </c>
      <c r="E6" s="98"/>
      <c r="F6" s="98"/>
      <c r="G6" s="980" t="s">
        <v>75</v>
      </c>
      <c r="H6" s="1023" t="s">
        <v>1121</v>
      </c>
      <c r="I6" s="1004"/>
      <c r="J6" s="1044"/>
      <c r="K6" s="1048"/>
      <c r="L6" s="1004"/>
      <c r="M6" s="1004"/>
      <c r="N6" s="1004"/>
      <c r="O6" s="1052"/>
      <c r="P6" s="1004"/>
      <c r="Q6" s="1004"/>
      <c r="R6" s="1004"/>
      <c r="S6" s="988">
        <f>COUNTA(GT[[#This Row],[G30 cp]],GT[[#This Row],[G23 cp]],GT[[#This Row],[G18 cp]],GT[[#This Row],[G13 cp]],GT[[#This Row],[G7 cp]],GT[[#This Row],[G1 cp]])</f>
        <v>6</v>
      </c>
      <c r="T6" s="279">
        <f>MAX(GT[[#This Row],[G30 cp]],GT[[#This Row],[G23 cp]],GT[[#This Row],[G18 cp]],GT[[#This Row],[G13 cp]],GT[[#This Row],[G7 cp]],GT[[#This Row],[G1 cp]])</f>
        <v>65</v>
      </c>
      <c r="U6" s="279">
        <f xml:space="preserve"> ( SUM(GT[[#This Row],[G30 cp]],GT[[#This Row],[G23 cp]],GT[[#This Row],[G18 cp]],GT[[#This Row],[G13 cp]],GT[[#This Row],[G7 cp]],GT[[#This Row],[G1 cp]]) -GT[[#This Row],[Max2]]) / (GT[[#This Row],[Inn]]-1)</f>
        <v>33.200000000000003</v>
      </c>
      <c r="V6" s="989">
        <f>MIN(GT[[#This Row],[G30 cp]],GT[[#This Row],[G23 cp]],GT[[#This Row],[G18 cp]],GT[[#This Row],[G13 cp]],GT[[#This Row],[G7 cp]],GT[[#This Row],[G1 cp]])</f>
        <v>9</v>
      </c>
      <c r="W6" s="1011">
        <f>COUNTA(GT[[#This Row],[G30 cp]],GT[[#This Row],[G23 cp]],GT[[#This Row],[G13 cp]])</f>
        <v>3</v>
      </c>
      <c r="X6" s="1004">
        <f>MAX(GT[[#This Row],[G30 cp]],GT[[#This Row],[G23 cp]],GT[[#This Row],[G13 cp]])</f>
        <v>60</v>
      </c>
      <c r="Y6" s="1040">
        <f>( SUM(GT[[#This Row],[G30 cp]],GT[[#This Row],[G23 cp]],GT[[#This Row],[G13 cp]]) -GT[[#This Row],[B1  Max]]) / (GT[[#This Row],[B1 Inn]]-1)</f>
        <v>16.5</v>
      </c>
      <c r="Z6" s="1012">
        <f>MIN(GT[[#This Row],[G30 cp]],GT[[#This Row],[G23 cp]],GT[[#This Row],[G13 cp]])</f>
        <v>9</v>
      </c>
      <c r="AA6" s="1011">
        <f>COUNTA(GT[[#This Row],[G18 cp]],GT[[#This Row],[G7 cp]],GT[[#This Row],[G1 cp]])</f>
        <v>3</v>
      </c>
      <c r="AB6" s="1004">
        <f>MAX(GT[[#This Row],[G18 cp]],GT[[#This Row],[G7 cp]],GT[[#This Row],[G1 cp]])</f>
        <v>65</v>
      </c>
      <c r="AC6" s="1040">
        <f>( SUM(GT[[#This Row],[G18 cp]],GT[[#This Row],[G7 cp]],GT[[#This Row],[G1 cp]]) - GT[[#This Row],[CHS Max]]) / ( GT[[#This Row],[CHS Inn]] - 1)</f>
        <v>36.5</v>
      </c>
      <c r="AD6" s="1012">
        <f>MIN(GT[[#This Row],[G18 cp]],GT[[#This Row],[G7 cp]],GT[[#This Row],[G1 cp]])</f>
        <v>22</v>
      </c>
      <c r="AE6" s="1004"/>
      <c r="AF6" s="1004"/>
      <c r="AG6" s="1011">
        <f>GT[[#This Row],[G30 cp]]</f>
        <v>60</v>
      </c>
      <c r="AH6" s="1004">
        <f>GT[[#This Row],[G23 cp]]</f>
        <v>9</v>
      </c>
      <c r="AI6" s="1004">
        <f>GT[[#This Row],[G18 cp]]</f>
        <v>65</v>
      </c>
      <c r="AJ6" s="1004">
        <f>GT[[#This Row],[G13 cp]]</f>
        <v>24</v>
      </c>
      <c r="AK6" s="1004">
        <f>GT[[#This Row],[G7 cp]]</f>
        <v>22</v>
      </c>
      <c r="AL6" s="1012">
        <f>GT[[#This Row],[G1 cp]]</f>
        <v>51</v>
      </c>
      <c r="AM6" s="1011">
        <v>1</v>
      </c>
      <c r="AN6" s="1004" t="s">
        <v>1243</v>
      </c>
      <c r="AO6" s="1004" t="s">
        <v>999</v>
      </c>
      <c r="AP6" s="1004">
        <v>47</v>
      </c>
      <c r="AQ6" s="1004">
        <v>37</v>
      </c>
      <c r="AR6" s="1004"/>
      <c r="AS6" s="1004"/>
      <c r="AT6" s="1004"/>
      <c r="AU6" s="1012">
        <v>60</v>
      </c>
      <c r="AV6" s="1004">
        <v>1</v>
      </c>
      <c r="AW6" s="1004" t="s">
        <v>1244</v>
      </c>
      <c r="AX6" s="1004" t="s">
        <v>522</v>
      </c>
      <c r="AY6" s="1004">
        <v>4</v>
      </c>
      <c r="AZ6" s="1004">
        <v>3</v>
      </c>
      <c r="BA6" s="1004"/>
      <c r="BB6" s="1004"/>
      <c r="BC6" s="1004"/>
      <c r="BD6" s="1004">
        <v>9</v>
      </c>
      <c r="BE6" s="988">
        <v>1</v>
      </c>
      <c r="BF6" s="98" t="s">
        <v>937</v>
      </c>
      <c r="BG6" s="98">
        <v>30</v>
      </c>
      <c r="BH6" s="98">
        <v>19</v>
      </c>
      <c r="BI6" s="98"/>
      <c r="BJ6" s="989">
        <v>65</v>
      </c>
      <c r="BK6" s="988">
        <v>1</v>
      </c>
      <c r="BL6" s="98" t="s">
        <v>567</v>
      </c>
      <c r="BM6" s="98" t="s">
        <v>488</v>
      </c>
      <c r="BN6" s="98"/>
      <c r="BO6" s="989">
        <v>24</v>
      </c>
      <c r="BP6" s="988">
        <v>1</v>
      </c>
      <c r="BQ6" s="98" t="s">
        <v>374</v>
      </c>
      <c r="BR6" s="98" t="s">
        <v>438</v>
      </c>
      <c r="BS6" s="98"/>
      <c r="BT6" s="989">
        <v>22</v>
      </c>
      <c r="BU6" s="988">
        <v>1</v>
      </c>
      <c r="BV6" s="98" t="s">
        <v>419</v>
      </c>
      <c r="BW6" s="98" t="s">
        <v>416</v>
      </c>
      <c r="BX6" s="98"/>
      <c r="BY6" s="989">
        <v>51</v>
      </c>
    </row>
    <row r="7" spans="2:77">
      <c r="B7" s="35" t="s">
        <v>179</v>
      </c>
      <c r="C7" s="33" t="s">
        <v>161</v>
      </c>
      <c r="D7" s="33">
        <v>7</v>
      </c>
      <c r="E7" s="33"/>
      <c r="F7" s="33"/>
      <c r="G7" s="93" t="s">
        <v>54</v>
      </c>
      <c r="H7" s="1024" t="s">
        <v>1055</v>
      </c>
      <c r="I7" s="68"/>
      <c r="J7" s="535"/>
      <c r="K7" s="544"/>
      <c r="L7" s="68"/>
      <c r="M7" s="68"/>
      <c r="N7" s="68"/>
      <c r="O7" s="553"/>
      <c r="P7" s="68"/>
      <c r="Q7" s="68"/>
      <c r="R7" s="68"/>
      <c r="S7" s="32">
        <f>COUNTA(GT[[#This Row],[G30 cp]],GT[[#This Row],[G23 cp]],GT[[#This Row],[G18 cp]],GT[[#This Row],[G13 cp]],GT[[#This Row],[G7 cp]],GT[[#This Row],[G1 cp]])</f>
        <v>6</v>
      </c>
      <c r="T7" s="233">
        <f>MAX(GT[[#This Row],[G30 cp]],GT[[#This Row],[G23 cp]],GT[[#This Row],[G18 cp]],GT[[#This Row],[G13 cp]],GT[[#This Row],[G7 cp]],GT[[#This Row],[G1 cp]])</f>
        <v>104</v>
      </c>
      <c r="U7" s="233">
        <f xml:space="preserve"> ( SUM(GT[[#This Row],[G30 cp]],GT[[#This Row],[G23 cp]],GT[[#This Row],[G18 cp]],GT[[#This Row],[G13 cp]],GT[[#This Row],[G7 cp]],GT[[#This Row],[G1 cp]]) -GT[[#This Row],[Max2]]) / (GT[[#This Row],[Inn]]-1)</f>
        <v>48.2</v>
      </c>
      <c r="V7" s="34">
        <f>MIN(GT[[#This Row],[G30 cp]],GT[[#This Row],[G23 cp]],GT[[#This Row],[G18 cp]],GT[[#This Row],[G13 cp]],GT[[#This Row],[G7 cp]],GT[[#This Row],[G1 cp]])</f>
        <v>2</v>
      </c>
      <c r="W7" s="497">
        <f>COUNTA(GT[[#This Row],[G30 cp]],GT[[#This Row],[G23 cp]],GT[[#This Row],[G13 cp]])</f>
        <v>3</v>
      </c>
      <c r="X7" s="68">
        <f>MAX(GT[[#This Row],[G30 cp]],GT[[#This Row],[G23 cp]],GT[[#This Row],[G13 cp]])</f>
        <v>63</v>
      </c>
      <c r="Y7" s="478">
        <f>( SUM(GT[[#This Row],[G30 cp]],GT[[#This Row],[G23 cp]],GT[[#This Row],[G13 cp]]) -GT[[#This Row],[B1  Max]]) / (GT[[#This Row],[B1 Inn]]-1)</f>
        <v>31</v>
      </c>
      <c r="Z7" s="65">
        <f>MIN(GT[[#This Row],[G30 cp]],GT[[#This Row],[G23 cp]],GT[[#This Row],[G13 cp]])</f>
        <v>2</v>
      </c>
      <c r="AA7" s="497">
        <f>COUNTA(GT[[#This Row],[G18 cp]],GT[[#This Row],[G7 cp]],GT[[#This Row],[G1 cp]])</f>
        <v>3</v>
      </c>
      <c r="AB7" s="68">
        <f>MAX(GT[[#This Row],[G18 cp]],GT[[#This Row],[G7 cp]],GT[[#This Row],[G1 cp]])</f>
        <v>104</v>
      </c>
      <c r="AC7" s="478">
        <f>( SUM(GT[[#This Row],[G18 cp]],GT[[#This Row],[G7 cp]],GT[[#This Row],[G1 cp]]) - GT[[#This Row],[CHS Max]]) / ( GT[[#This Row],[CHS Inn]] - 1)</f>
        <v>58</v>
      </c>
      <c r="AD7" s="65">
        <f>MIN(GT[[#This Row],[G18 cp]],GT[[#This Row],[G7 cp]],GT[[#This Row],[G1 cp]])</f>
        <v>21</v>
      </c>
      <c r="AE7" s="68"/>
      <c r="AF7" s="68"/>
      <c r="AG7" s="497">
        <f>GT[[#This Row],[G30 cp]]</f>
        <v>2</v>
      </c>
      <c r="AH7" s="68">
        <f>GT[[#This Row],[G23 cp]]</f>
        <v>63</v>
      </c>
      <c r="AI7" s="68">
        <f>GT[[#This Row],[G18 cp]]</f>
        <v>104</v>
      </c>
      <c r="AJ7" s="68">
        <f>GT[[#This Row],[G13 cp]]</f>
        <v>60</v>
      </c>
      <c r="AK7" s="68">
        <f>GT[[#This Row],[G7 cp]]</f>
        <v>21</v>
      </c>
      <c r="AL7" s="65">
        <f>GT[[#This Row],[G1 cp]]</f>
        <v>95</v>
      </c>
      <c r="AM7" s="497">
        <v>2</v>
      </c>
      <c r="AN7" s="68" t="s">
        <v>1243</v>
      </c>
      <c r="AO7" s="68" t="s">
        <v>999</v>
      </c>
      <c r="AP7" s="68">
        <v>0</v>
      </c>
      <c r="AQ7" s="68">
        <v>2</v>
      </c>
      <c r="AR7" s="68"/>
      <c r="AS7" s="68"/>
      <c r="AT7" s="68"/>
      <c r="AU7" s="65">
        <v>2</v>
      </c>
      <c r="AV7" s="68">
        <v>2</v>
      </c>
      <c r="AW7" s="68" t="s">
        <v>645</v>
      </c>
      <c r="AX7" s="68" t="s">
        <v>495</v>
      </c>
      <c r="AY7" s="68">
        <v>45</v>
      </c>
      <c r="AZ7" s="68">
        <v>34</v>
      </c>
      <c r="BA7" s="68"/>
      <c r="BB7" s="68"/>
      <c r="BC7" s="68"/>
      <c r="BD7" s="68">
        <v>63</v>
      </c>
      <c r="BE7" s="32">
        <v>2</v>
      </c>
      <c r="BF7" s="33" t="s">
        <v>938</v>
      </c>
      <c r="BG7" s="33">
        <v>67</v>
      </c>
      <c r="BH7" s="33">
        <v>49</v>
      </c>
      <c r="BI7" s="33"/>
      <c r="BJ7" s="34">
        <v>104</v>
      </c>
      <c r="BK7" s="32">
        <v>2</v>
      </c>
      <c r="BL7" s="33" t="s">
        <v>568</v>
      </c>
      <c r="BM7" s="33" t="s">
        <v>488</v>
      </c>
      <c r="BN7" s="33"/>
      <c r="BO7" s="34">
        <v>60</v>
      </c>
      <c r="BP7" s="32">
        <v>2</v>
      </c>
      <c r="BQ7" s="33" t="s">
        <v>434</v>
      </c>
      <c r="BR7" s="33" t="s">
        <v>438</v>
      </c>
      <c r="BS7" s="33"/>
      <c r="BT7" s="34">
        <v>21</v>
      </c>
      <c r="BU7" s="32">
        <v>2</v>
      </c>
      <c r="BV7" s="33" t="s">
        <v>420</v>
      </c>
      <c r="BW7" s="33" t="s">
        <v>417</v>
      </c>
      <c r="BX7" s="33"/>
      <c r="BY7" s="34">
        <v>95</v>
      </c>
    </row>
    <row r="8" spans="2:77">
      <c r="B8" s="39" t="s">
        <v>179</v>
      </c>
      <c r="C8" s="37" t="s">
        <v>160</v>
      </c>
      <c r="D8" s="37">
        <v>15</v>
      </c>
      <c r="E8" s="37"/>
      <c r="F8" s="37"/>
      <c r="G8" s="94" t="s">
        <v>55</v>
      </c>
      <c r="H8" s="1025" t="s">
        <v>1122</v>
      </c>
      <c r="I8" s="69"/>
      <c r="J8" s="532"/>
      <c r="K8" s="541"/>
      <c r="L8" s="69"/>
      <c r="M8" s="69"/>
      <c r="N8" s="69"/>
      <c r="O8" s="550"/>
      <c r="P8" s="69"/>
      <c r="Q8" s="69"/>
      <c r="R8" s="69"/>
      <c r="S8" s="36">
        <f>COUNTA(GT[[#This Row],[G30 cp]],GT[[#This Row],[G23 cp]],GT[[#This Row],[G18 cp]],GT[[#This Row],[G13 cp]],GT[[#This Row],[G7 cp]],GT[[#This Row],[G1 cp]])</f>
        <v>5</v>
      </c>
      <c r="T8" s="230">
        <f>MAX(GT[[#This Row],[G30 cp]],GT[[#This Row],[G23 cp]],GT[[#This Row],[G18 cp]],GT[[#This Row],[G13 cp]],GT[[#This Row],[G7 cp]],GT[[#This Row],[G1 cp]])</f>
        <v>80</v>
      </c>
      <c r="U8" s="230">
        <f xml:space="preserve"> ( SUM(GT[[#This Row],[G30 cp]],GT[[#This Row],[G23 cp]],GT[[#This Row],[G18 cp]],GT[[#This Row],[G13 cp]],GT[[#This Row],[G7 cp]],GT[[#This Row],[G1 cp]]) -GT[[#This Row],[Max2]]) / (GT[[#This Row],[Inn]]-1)</f>
        <v>26.25</v>
      </c>
      <c r="V8" s="38">
        <f>MIN(GT[[#This Row],[G30 cp]],GT[[#This Row],[G23 cp]],GT[[#This Row],[G18 cp]],GT[[#This Row],[G13 cp]],GT[[#This Row],[G7 cp]],GT[[#This Row],[G1 cp]])</f>
        <v>12</v>
      </c>
      <c r="W8" s="494">
        <f>COUNTA(GT[[#This Row],[G30 cp]],GT[[#This Row],[G23 cp]],GT[[#This Row],[G13 cp]])</f>
        <v>2</v>
      </c>
      <c r="X8" s="69">
        <f>MAX(GT[[#This Row],[G30 cp]],GT[[#This Row],[G23 cp]],GT[[#This Row],[G13 cp]])</f>
        <v>80</v>
      </c>
      <c r="Y8" s="475">
        <f>( SUM(GT[[#This Row],[G30 cp]],GT[[#This Row],[G23 cp]],GT[[#This Row],[G13 cp]]) -GT[[#This Row],[B1  Max]]) / (GT[[#This Row],[B1 Inn]]-1)</f>
        <v>62</v>
      </c>
      <c r="Z8" s="66">
        <f>MIN(GT[[#This Row],[G30 cp]],GT[[#This Row],[G23 cp]],GT[[#This Row],[G13 cp]])</f>
        <v>62</v>
      </c>
      <c r="AA8" s="494">
        <f>COUNTA(GT[[#This Row],[G18 cp]],GT[[#This Row],[G7 cp]],GT[[#This Row],[G1 cp]])</f>
        <v>3</v>
      </c>
      <c r="AB8" s="69">
        <f>MAX(GT[[#This Row],[G18 cp]],GT[[#This Row],[G7 cp]],GT[[#This Row],[G1 cp]])</f>
        <v>18</v>
      </c>
      <c r="AC8" s="475">
        <f>( SUM(GT[[#This Row],[G18 cp]],GT[[#This Row],[G7 cp]],GT[[#This Row],[G1 cp]]) - GT[[#This Row],[CHS Max]]) / ( GT[[#This Row],[CHS Inn]] - 1)</f>
        <v>12.5</v>
      </c>
      <c r="AD8" s="66">
        <f>MIN(GT[[#This Row],[G18 cp]],GT[[#This Row],[G7 cp]],GT[[#This Row],[G1 cp]])</f>
        <v>12</v>
      </c>
      <c r="AE8" s="69"/>
      <c r="AF8" s="69"/>
      <c r="AG8" s="494">
        <f>GT[[#This Row],[G30 cp]]</f>
        <v>80</v>
      </c>
      <c r="AH8" s="69">
        <f>GT[[#This Row],[G23 cp]]</f>
        <v>62</v>
      </c>
      <c r="AI8" s="69">
        <f>GT[[#This Row],[G18 cp]]</f>
        <v>13</v>
      </c>
      <c r="AJ8" s="69">
        <f>GT[[#This Row],[G13 cp]]</f>
        <v>0</v>
      </c>
      <c r="AK8" s="69">
        <f>GT[[#This Row],[G7 cp]]</f>
        <v>18</v>
      </c>
      <c r="AL8" s="66">
        <f>GT[[#This Row],[G1 cp]]</f>
        <v>12</v>
      </c>
      <c r="AM8" s="494">
        <v>3</v>
      </c>
      <c r="AN8" s="69" t="s">
        <v>1312</v>
      </c>
      <c r="AO8" s="69" t="s">
        <v>1184</v>
      </c>
      <c r="AP8" s="69">
        <v>66</v>
      </c>
      <c r="AQ8" s="69">
        <v>50</v>
      </c>
      <c r="AR8" s="69">
        <v>1</v>
      </c>
      <c r="AS8" s="69">
        <v>7</v>
      </c>
      <c r="AT8" s="69">
        <v>0</v>
      </c>
      <c r="AU8" s="66">
        <v>80</v>
      </c>
      <c r="AV8" s="69">
        <v>4</v>
      </c>
      <c r="AW8" s="69" t="s">
        <v>1273</v>
      </c>
      <c r="AX8" s="69" t="s">
        <v>517</v>
      </c>
      <c r="AY8" s="69">
        <v>28</v>
      </c>
      <c r="AZ8" s="69">
        <v>19</v>
      </c>
      <c r="BA8" s="69">
        <v>4</v>
      </c>
      <c r="BB8" s="69">
        <v>24</v>
      </c>
      <c r="BC8" s="69">
        <v>1</v>
      </c>
      <c r="BD8" s="69">
        <v>62</v>
      </c>
      <c r="BE8" s="36">
        <v>4</v>
      </c>
      <c r="BF8" s="37" t="s">
        <v>939</v>
      </c>
      <c r="BG8" s="37">
        <v>8</v>
      </c>
      <c r="BH8" s="37">
        <v>11</v>
      </c>
      <c r="BI8" s="37"/>
      <c r="BJ8" s="38">
        <v>13</v>
      </c>
      <c r="BK8" s="36"/>
      <c r="BL8" s="37"/>
      <c r="BM8" s="37"/>
      <c r="BN8" s="37"/>
      <c r="BO8" s="38"/>
      <c r="BP8" s="36">
        <v>4</v>
      </c>
      <c r="BQ8" s="37" t="s">
        <v>403</v>
      </c>
      <c r="BR8" s="37" t="s">
        <v>439</v>
      </c>
      <c r="BS8" s="37" t="s">
        <v>348</v>
      </c>
      <c r="BT8" s="38">
        <v>18</v>
      </c>
      <c r="BU8" s="36">
        <v>4</v>
      </c>
      <c r="BV8" s="37" t="s">
        <v>422</v>
      </c>
      <c r="BW8" s="37" t="s">
        <v>418</v>
      </c>
      <c r="BX8" s="37" t="s">
        <v>427</v>
      </c>
      <c r="BY8" s="38">
        <v>12</v>
      </c>
    </row>
    <row r="9" spans="2:77">
      <c r="B9" s="35" t="s">
        <v>179</v>
      </c>
      <c r="C9" s="33" t="s">
        <v>163</v>
      </c>
      <c r="D9" s="33">
        <v>2.6</v>
      </c>
      <c r="E9" s="33"/>
      <c r="F9" s="33"/>
      <c r="G9" s="93" t="s">
        <v>54</v>
      </c>
      <c r="H9" s="1024"/>
      <c r="I9" s="68"/>
      <c r="J9" s="535"/>
      <c r="K9" s="544"/>
      <c r="L9" s="68"/>
      <c r="M9" s="68"/>
      <c r="N9" s="68"/>
      <c r="O9" s="553"/>
      <c r="P9" s="68"/>
      <c r="Q9" s="68"/>
      <c r="R9" s="68"/>
      <c r="S9" s="32">
        <f>COUNTA(GT[[#This Row],[G30 cp]],GT[[#This Row],[G23 cp]],GT[[#This Row],[G18 cp]],GT[[#This Row],[G13 cp]],GT[[#This Row],[G7 cp]],GT[[#This Row],[G1 cp]])</f>
        <v>3</v>
      </c>
      <c r="T9" s="233">
        <f>MAX(GT[[#This Row],[G30 cp]],GT[[#This Row],[G23 cp]],GT[[#This Row],[G18 cp]],GT[[#This Row],[G13 cp]],GT[[#This Row],[G7 cp]],GT[[#This Row],[G1 cp]])</f>
        <v>37</v>
      </c>
      <c r="U9" s="233">
        <f xml:space="preserve"> ( SUM(GT[[#This Row],[G30 cp]],GT[[#This Row],[G23 cp]],GT[[#This Row],[G18 cp]],GT[[#This Row],[G13 cp]],GT[[#This Row],[G7 cp]],GT[[#This Row],[G1 cp]]) -GT[[#This Row],[Max2]]) / (GT[[#This Row],[Inn]]-1)</f>
        <v>18.5</v>
      </c>
      <c r="V9" s="34">
        <f>MIN(GT[[#This Row],[G30 cp]],GT[[#This Row],[G23 cp]],GT[[#This Row],[G18 cp]],GT[[#This Row],[G13 cp]],GT[[#This Row],[G7 cp]],GT[[#This Row],[G1 cp]])</f>
        <v>8</v>
      </c>
      <c r="W9" s="497">
        <f>COUNTA(GT[[#This Row],[G30 cp]],GT[[#This Row],[G23 cp]],GT[[#This Row],[G13 cp]])</f>
        <v>3</v>
      </c>
      <c r="X9" s="68">
        <f>MAX(GT[[#This Row],[G30 cp]],GT[[#This Row],[G23 cp]],GT[[#This Row],[G13 cp]])</f>
        <v>37</v>
      </c>
      <c r="Y9" s="478">
        <f>( SUM(GT[[#This Row],[G30 cp]],GT[[#This Row],[G23 cp]],GT[[#This Row],[G13 cp]]) -GT[[#This Row],[B1  Max]]) / (GT[[#This Row],[B1 Inn]]-1)</f>
        <v>18.5</v>
      </c>
      <c r="Z9" s="65">
        <f>MIN(GT[[#This Row],[G30 cp]],GT[[#This Row],[G23 cp]],GT[[#This Row],[G13 cp]])</f>
        <v>8</v>
      </c>
      <c r="AA9" s="497">
        <f>COUNTA(GT[[#This Row],[G18 cp]],GT[[#This Row],[G7 cp]],GT[[#This Row],[G1 cp]])</f>
        <v>0</v>
      </c>
      <c r="AB9" s="68">
        <f>MAX(GT[[#This Row],[G18 cp]],GT[[#This Row],[G7 cp]],GT[[#This Row],[G1 cp]])</f>
        <v>0</v>
      </c>
      <c r="AC9" s="478">
        <f>( SUM(GT[[#This Row],[G18 cp]],GT[[#This Row],[G7 cp]],GT[[#This Row],[G1 cp]]) - GT[[#This Row],[CHS Max]]) / ( GT[[#This Row],[CHS Inn]] - 1)</f>
        <v>0</v>
      </c>
      <c r="AD9" s="65">
        <f>MIN(GT[[#This Row],[G18 cp]],GT[[#This Row],[G7 cp]],GT[[#This Row],[G1 cp]])</f>
        <v>0</v>
      </c>
      <c r="AE9" s="68"/>
      <c r="AF9" s="68"/>
      <c r="AG9" s="497">
        <f>GT[[#This Row],[G30 cp]]</f>
        <v>8</v>
      </c>
      <c r="AH9" s="68">
        <f>GT[[#This Row],[G23 cp]]</f>
        <v>37</v>
      </c>
      <c r="AI9" s="68">
        <f>GT[[#This Row],[G18 cp]]</f>
        <v>0</v>
      </c>
      <c r="AJ9" s="68">
        <f>GT[[#This Row],[G13 cp]]</f>
        <v>29</v>
      </c>
      <c r="AK9" s="68">
        <f>GT[[#This Row],[G7 cp]]</f>
        <v>0</v>
      </c>
      <c r="AL9" s="65">
        <f>GT[[#This Row],[G1 cp]]</f>
        <v>0</v>
      </c>
      <c r="AM9" s="497">
        <v>4</v>
      </c>
      <c r="AN9" s="68" t="s">
        <v>1273</v>
      </c>
      <c r="AO9" s="68" t="s">
        <v>1423</v>
      </c>
      <c r="AP9" s="68">
        <v>3</v>
      </c>
      <c r="AQ9" s="68">
        <v>5</v>
      </c>
      <c r="AR9" s="68"/>
      <c r="AS9" s="68"/>
      <c r="AT9" s="68"/>
      <c r="AU9" s="65">
        <v>8</v>
      </c>
      <c r="AV9" s="68">
        <v>6</v>
      </c>
      <c r="AW9" s="68" t="s">
        <v>1273</v>
      </c>
      <c r="AX9" s="68" t="s">
        <v>875</v>
      </c>
      <c r="AY9" s="68">
        <v>27</v>
      </c>
      <c r="AZ9" s="68">
        <v>13</v>
      </c>
      <c r="BA9" s="68"/>
      <c r="BB9" s="68"/>
      <c r="BC9" s="68"/>
      <c r="BD9" s="68">
        <v>37</v>
      </c>
      <c r="BE9" s="32">
        <v>15</v>
      </c>
      <c r="BF9" s="33"/>
      <c r="BG9" s="33"/>
      <c r="BH9" s="33"/>
      <c r="BI9" s="33"/>
      <c r="BJ9" s="34"/>
      <c r="BK9" s="32">
        <v>4</v>
      </c>
      <c r="BL9" s="33" t="s">
        <v>570</v>
      </c>
      <c r="BM9" s="33" t="s">
        <v>571</v>
      </c>
      <c r="BN9" s="33"/>
      <c r="BO9" s="34">
        <v>29</v>
      </c>
      <c r="BP9" s="32"/>
      <c r="BQ9" s="33"/>
      <c r="BR9" s="33"/>
      <c r="BS9" s="33"/>
      <c r="BT9" s="34"/>
      <c r="BU9" s="32"/>
      <c r="BV9" s="33"/>
      <c r="BW9" s="33"/>
      <c r="BX9" s="33"/>
      <c r="BY9" s="34"/>
    </row>
    <row r="10" spans="2:77" s="1" customFormat="1">
      <c r="B10" s="39" t="s">
        <v>179</v>
      </c>
      <c r="C10" s="37" t="s">
        <v>169</v>
      </c>
      <c r="D10" s="37">
        <v>1.4</v>
      </c>
      <c r="E10" s="37"/>
      <c r="F10" s="37"/>
      <c r="G10" s="94" t="s">
        <v>55</v>
      </c>
      <c r="H10" s="1025"/>
      <c r="I10" s="69"/>
      <c r="J10" s="532"/>
      <c r="K10" s="541"/>
      <c r="L10" s="69"/>
      <c r="M10" s="69"/>
      <c r="N10" s="69"/>
      <c r="O10" s="550"/>
      <c r="P10" s="69"/>
      <c r="Q10" s="69"/>
      <c r="R10" s="69"/>
      <c r="S10" s="36">
        <f>COUNTA(GT[[#This Row],[G30 cp]],GT[[#This Row],[G23 cp]],GT[[#This Row],[G18 cp]],GT[[#This Row],[G13 cp]],GT[[#This Row],[G7 cp]],GT[[#This Row],[G1 cp]])</f>
        <v>4</v>
      </c>
      <c r="T10" s="230">
        <f>MAX(GT[[#This Row],[G30 cp]],GT[[#This Row],[G23 cp]],GT[[#This Row],[G18 cp]],GT[[#This Row],[G13 cp]],GT[[#This Row],[G7 cp]],GT[[#This Row],[G1 cp]])</f>
        <v>95</v>
      </c>
      <c r="U10" s="230">
        <f xml:space="preserve"> ( SUM(GT[[#This Row],[G30 cp]],GT[[#This Row],[G23 cp]],GT[[#This Row],[G18 cp]],GT[[#This Row],[G13 cp]],GT[[#This Row],[G7 cp]],GT[[#This Row],[G1 cp]]) -GT[[#This Row],[Max2]]) / (GT[[#This Row],[Inn]]-1)</f>
        <v>31</v>
      </c>
      <c r="V10" s="38">
        <f>MIN(GT[[#This Row],[G30 cp]],GT[[#This Row],[G23 cp]],GT[[#This Row],[G18 cp]],GT[[#This Row],[G13 cp]],GT[[#This Row],[G7 cp]],GT[[#This Row],[G1 cp]])</f>
        <v>15</v>
      </c>
      <c r="W10" s="494">
        <f>COUNTA(GT[[#This Row],[G30 cp]],GT[[#This Row],[G23 cp]],GT[[#This Row],[G13 cp]])</f>
        <v>2</v>
      </c>
      <c r="X10" s="69">
        <f>MAX(GT[[#This Row],[G30 cp]],GT[[#This Row],[G23 cp]],GT[[#This Row],[G13 cp]])</f>
        <v>95</v>
      </c>
      <c r="Y10" s="475">
        <f>( SUM(GT[[#This Row],[G30 cp]],GT[[#This Row],[G23 cp]],GT[[#This Row],[G13 cp]]) -GT[[#This Row],[B1  Max]]) / (GT[[#This Row],[B1 Inn]]-1)</f>
        <v>15</v>
      </c>
      <c r="Z10" s="66">
        <f>MIN(GT[[#This Row],[G30 cp]],GT[[#This Row],[G23 cp]],GT[[#This Row],[G13 cp]])</f>
        <v>15</v>
      </c>
      <c r="AA10" s="494">
        <f>COUNTA(GT[[#This Row],[G18 cp]],GT[[#This Row],[G7 cp]],GT[[#This Row],[G1 cp]])</f>
        <v>2</v>
      </c>
      <c r="AB10" s="69">
        <f>MAX(GT[[#This Row],[G18 cp]],GT[[#This Row],[G7 cp]],GT[[#This Row],[G1 cp]])</f>
        <v>43</v>
      </c>
      <c r="AC10" s="475">
        <f>( SUM(GT[[#This Row],[G18 cp]],GT[[#This Row],[G7 cp]],GT[[#This Row],[G1 cp]]) - GT[[#This Row],[CHS Max]]) / ( GT[[#This Row],[CHS Inn]] - 1)</f>
        <v>35</v>
      </c>
      <c r="AD10" s="66">
        <f>MIN(GT[[#This Row],[G18 cp]],GT[[#This Row],[G7 cp]],GT[[#This Row],[G1 cp]])</f>
        <v>35</v>
      </c>
      <c r="AE10" s="69"/>
      <c r="AF10" s="69"/>
      <c r="AG10" s="494">
        <f>GT[[#This Row],[G30 cp]]</f>
        <v>15</v>
      </c>
      <c r="AH10" s="69">
        <f>GT[[#This Row],[G23 cp]]</f>
        <v>0</v>
      </c>
      <c r="AI10" s="69">
        <f>GT[[#This Row],[G18 cp]]</f>
        <v>0</v>
      </c>
      <c r="AJ10" s="69">
        <f>GT[[#This Row],[G13 cp]]</f>
        <v>95</v>
      </c>
      <c r="AK10" s="69">
        <f>GT[[#This Row],[G7 cp]]</f>
        <v>35</v>
      </c>
      <c r="AL10" s="66">
        <f>GT[[#This Row],[G1 cp]]</f>
        <v>43</v>
      </c>
      <c r="AM10" s="494">
        <v>5</v>
      </c>
      <c r="AN10" s="69" t="s">
        <v>645</v>
      </c>
      <c r="AO10" s="69" t="s">
        <v>1420</v>
      </c>
      <c r="AP10" s="69">
        <v>10</v>
      </c>
      <c r="AQ10" s="69">
        <v>12</v>
      </c>
      <c r="AR10" s="69"/>
      <c r="AS10" s="69"/>
      <c r="AT10" s="69"/>
      <c r="AU10" s="66">
        <v>15</v>
      </c>
      <c r="AV10" s="69"/>
      <c r="AW10" s="69"/>
      <c r="AX10" s="69"/>
      <c r="AY10" s="69"/>
      <c r="AZ10" s="69"/>
      <c r="BA10" s="69"/>
      <c r="BB10" s="69"/>
      <c r="BC10" s="69"/>
      <c r="BD10" s="69"/>
      <c r="BE10" s="36">
        <v>15</v>
      </c>
      <c r="BF10" s="37"/>
      <c r="BG10" s="37"/>
      <c r="BH10" s="37"/>
      <c r="BI10" s="37"/>
      <c r="BJ10" s="38"/>
      <c r="BK10" s="36">
        <v>5</v>
      </c>
      <c r="BL10" s="37" t="s">
        <v>572</v>
      </c>
      <c r="BM10" s="37" t="s">
        <v>327</v>
      </c>
      <c r="BN10" s="37"/>
      <c r="BO10" s="38">
        <v>95</v>
      </c>
      <c r="BP10" s="36">
        <v>5</v>
      </c>
      <c r="BQ10" s="37" t="s">
        <v>436</v>
      </c>
      <c r="BR10" s="37" t="s">
        <v>440</v>
      </c>
      <c r="BS10" s="37"/>
      <c r="BT10" s="38">
        <v>35</v>
      </c>
      <c r="BU10" s="36">
        <v>5</v>
      </c>
      <c r="BV10" s="37" t="s">
        <v>423</v>
      </c>
      <c r="BW10" s="37" t="s">
        <v>416</v>
      </c>
      <c r="BX10" s="37"/>
      <c r="BY10" s="38">
        <v>43</v>
      </c>
    </row>
    <row r="11" spans="2:77">
      <c r="B11" s="519" t="s">
        <v>179</v>
      </c>
      <c r="C11" s="122" t="s">
        <v>162</v>
      </c>
      <c r="D11" s="122">
        <v>3</v>
      </c>
      <c r="E11" s="122" t="s">
        <v>616</v>
      </c>
      <c r="F11" s="122"/>
      <c r="G11" s="504" t="s">
        <v>54</v>
      </c>
      <c r="H11" s="1026" t="s">
        <v>1006</v>
      </c>
      <c r="I11" s="514"/>
      <c r="J11" s="531"/>
      <c r="K11" s="540"/>
      <c r="L11" s="514"/>
      <c r="M11" s="514"/>
      <c r="N11" s="514"/>
      <c r="O11" s="549"/>
      <c r="P11" s="514"/>
      <c r="Q11" s="514"/>
      <c r="R11" s="514"/>
      <c r="S11" s="121">
        <f>COUNTA(GT[[#This Row],[G30 cp]],GT[[#This Row],[G23 cp]],GT[[#This Row],[G18 cp]],GT[[#This Row],[G13 cp]],GT[[#This Row],[G7 cp]],GT[[#This Row],[G1 cp]])</f>
        <v>5</v>
      </c>
      <c r="T11" s="228">
        <f>MAX(GT[[#This Row],[G30 cp]],GT[[#This Row],[G23 cp]],GT[[#This Row],[G18 cp]],GT[[#This Row],[G13 cp]],GT[[#This Row],[G7 cp]],GT[[#This Row],[G1 cp]])</f>
        <v>73</v>
      </c>
      <c r="U11" s="228">
        <f xml:space="preserve"> ( SUM(GT[[#This Row],[G30 cp]],GT[[#This Row],[G23 cp]],GT[[#This Row],[G18 cp]],GT[[#This Row],[G13 cp]],GT[[#This Row],[G7 cp]],GT[[#This Row],[G1 cp]]) -GT[[#This Row],[Max2]]) / (GT[[#This Row],[Inn]]-1)</f>
        <v>20.25</v>
      </c>
      <c r="V11" s="123">
        <f>MIN(GT[[#This Row],[G30 cp]],GT[[#This Row],[G23 cp]],GT[[#This Row],[G18 cp]],GT[[#This Row],[G13 cp]],GT[[#This Row],[G7 cp]],GT[[#This Row],[G1 cp]])</f>
        <v>6</v>
      </c>
      <c r="W11" s="512">
        <f>COUNTA(GT[[#This Row],[G30 cp]],GT[[#This Row],[G23 cp]],GT[[#This Row],[G13 cp]])</f>
        <v>3</v>
      </c>
      <c r="X11" s="514">
        <f>MAX(GT[[#This Row],[G30 cp]],GT[[#This Row],[G23 cp]],GT[[#This Row],[G13 cp]])</f>
        <v>73</v>
      </c>
      <c r="Y11" s="508">
        <f>( SUM(GT[[#This Row],[G30 cp]],GT[[#This Row],[G23 cp]],GT[[#This Row],[G13 cp]]) -GT[[#This Row],[B1  Max]]) / (GT[[#This Row],[B1 Inn]]-1)</f>
        <v>8</v>
      </c>
      <c r="Z11" s="516">
        <f>MIN(GT[[#This Row],[G30 cp]],GT[[#This Row],[G23 cp]],GT[[#This Row],[G13 cp]])</f>
        <v>6</v>
      </c>
      <c r="AA11" s="512">
        <f>COUNTA(GT[[#This Row],[G18 cp]],GT[[#This Row],[G7 cp]],GT[[#This Row],[G1 cp]])</f>
        <v>2</v>
      </c>
      <c r="AB11" s="514">
        <f>MAX(GT[[#This Row],[G18 cp]],GT[[#This Row],[G7 cp]],GT[[#This Row],[G1 cp]])</f>
        <v>38</v>
      </c>
      <c r="AC11" s="508">
        <f>( SUM(GT[[#This Row],[G18 cp]],GT[[#This Row],[G7 cp]],GT[[#This Row],[G1 cp]]) - GT[[#This Row],[CHS Max]]) / ( GT[[#This Row],[CHS Inn]] - 1)</f>
        <v>27</v>
      </c>
      <c r="AD11" s="516">
        <f>MIN(GT[[#This Row],[G18 cp]],GT[[#This Row],[G7 cp]],GT[[#This Row],[G1 cp]])</f>
        <v>27</v>
      </c>
      <c r="AE11" s="514"/>
      <c r="AF11" s="514"/>
      <c r="AG11" s="512">
        <f>GT[[#This Row],[G30 cp]]</f>
        <v>10</v>
      </c>
      <c r="AH11" s="514">
        <f>GT[[#This Row],[G23 cp]]</f>
        <v>73</v>
      </c>
      <c r="AI11" s="514">
        <f>GT[[#This Row],[G18 cp]]</f>
        <v>27</v>
      </c>
      <c r="AJ11" s="514">
        <f>GT[[#This Row],[G13 cp]]</f>
        <v>6</v>
      </c>
      <c r="AK11" s="514">
        <f>GT[[#This Row],[G7 cp]]</f>
        <v>38</v>
      </c>
      <c r="AL11" s="516">
        <f>GT[[#This Row],[G1 cp]]</f>
        <v>0</v>
      </c>
      <c r="AM11" s="512">
        <v>6</v>
      </c>
      <c r="AN11" s="514" t="s">
        <v>1312</v>
      </c>
      <c r="AO11" s="514" t="s">
        <v>1184</v>
      </c>
      <c r="AP11" s="514">
        <v>6</v>
      </c>
      <c r="AQ11" s="514">
        <v>12</v>
      </c>
      <c r="AR11" s="514"/>
      <c r="AS11" s="514"/>
      <c r="AT11" s="514"/>
      <c r="AU11" s="516">
        <v>10</v>
      </c>
      <c r="AV11" s="514">
        <v>5</v>
      </c>
      <c r="AW11" s="514" t="s">
        <v>645</v>
      </c>
      <c r="AX11" s="514" t="s">
        <v>495</v>
      </c>
      <c r="AY11" s="514">
        <v>46</v>
      </c>
      <c r="AZ11" s="514">
        <v>30</v>
      </c>
      <c r="BA11" s="514"/>
      <c r="BB11" s="514"/>
      <c r="BC11" s="514"/>
      <c r="BD11" s="514">
        <v>73</v>
      </c>
      <c r="BE11" s="121">
        <v>5</v>
      </c>
      <c r="BF11" s="122" t="s">
        <v>876</v>
      </c>
      <c r="BG11" s="122">
        <v>17</v>
      </c>
      <c r="BH11" s="122">
        <v>18</v>
      </c>
      <c r="BI11" s="122"/>
      <c r="BJ11" s="123">
        <v>27</v>
      </c>
      <c r="BK11" s="121">
        <v>6</v>
      </c>
      <c r="BL11" s="122" t="s">
        <v>573</v>
      </c>
      <c r="BM11" s="122" t="s">
        <v>327</v>
      </c>
      <c r="BN11" s="122"/>
      <c r="BO11" s="123">
        <v>6</v>
      </c>
      <c r="BP11" s="121">
        <v>6</v>
      </c>
      <c r="BQ11" s="122" t="s">
        <v>437</v>
      </c>
      <c r="BR11" s="122" t="s">
        <v>372</v>
      </c>
      <c r="BS11" s="122"/>
      <c r="BT11" s="123">
        <v>38</v>
      </c>
      <c r="BU11" s="121"/>
      <c r="BV11" s="122"/>
      <c r="BW11" s="122"/>
      <c r="BX11" s="122"/>
      <c r="BY11" s="123"/>
    </row>
    <row r="12" spans="2:77" s="1" customFormat="1">
      <c r="B12" s="39" t="s">
        <v>179</v>
      </c>
      <c r="C12" s="37" t="s">
        <v>167</v>
      </c>
      <c r="D12" s="37">
        <v>9</v>
      </c>
      <c r="E12" s="37"/>
      <c r="F12" s="37"/>
      <c r="G12" s="94" t="s">
        <v>55</v>
      </c>
      <c r="H12" s="1025" t="s">
        <v>1123</v>
      </c>
      <c r="I12" s="69"/>
      <c r="J12" s="532"/>
      <c r="K12" s="541"/>
      <c r="L12" s="69"/>
      <c r="M12" s="69"/>
      <c r="N12" s="69"/>
      <c r="O12" s="550"/>
      <c r="P12" s="69"/>
      <c r="Q12" s="69"/>
      <c r="R12" s="69"/>
      <c r="S12" s="36">
        <f>COUNTA(GT[[#This Row],[G30 cp]],GT[[#This Row],[G23 cp]],GT[[#This Row],[G18 cp]],GT[[#This Row],[G13 cp]],GT[[#This Row],[G7 cp]],GT[[#This Row],[G1 cp]])</f>
        <v>6</v>
      </c>
      <c r="T12" s="230">
        <f>MAX(GT[[#This Row],[G30 cp]],GT[[#This Row],[G23 cp]],GT[[#This Row],[G18 cp]],GT[[#This Row],[G13 cp]],GT[[#This Row],[G7 cp]],GT[[#This Row],[G1 cp]])</f>
        <v>38</v>
      </c>
      <c r="U12" s="230">
        <f xml:space="preserve"> ( SUM(GT[[#This Row],[G30 cp]],GT[[#This Row],[G23 cp]],GT[[#This Row],[G18 cp]],GT[[#This Row],[G13 cp]],GT[[#This Row],[G7 cp]],GT[[#This Row],[G1 cp]]) -GT[[#This Row],[Max2]]) / (GT[[#This Row],[Inn]]-1)</f>
        <v>6.4</v>
      </c>
      <c r="V12" s="38">
        <f>MIN(GT[[#This Row],[G30 cp]],GT[[#This Row],[G23 cp]],GT[[#This Row],[G18 cp]],GT[[#This Row],[G13 cp]],GT[[#This Row],[G7 cp]],GT[[#This Row],[G1 cp]])</f>
        <v>3</v>
      </c>
      <c r="W12" s="494">
        <f>COUNTA(GT[[#This Row],[G30 cp]],GT[[#This Row],[G23 cp]],GT[[#This Row],[G13 cp]])</f>
        <v>3</v>
      </c>
      <c r="X12" s="69">
        <f>MAX(GT[[#This Row],[G30 cp]],GT[[#This Row],[G23 cp]],GT[[#This Row],[G13 cp]])</f>
        <v>13</v>
      </c>
      <c r="Y12" s="475">
        <f>( SUM(GT[[#This Row],[G30 cp]],GT[[#This Row],[G23 cp]],GT[[#This Row],[G13 cp]]) -GT[[#This Row],[B1  Max]]) / (GT[[#This Row],[B1 Inn]]-1)</f>
        <v>6</v>
      </c>
      <c r="Z12" s="66">
        <f>MIN(GT[[#This Row],[G30 cp]],GT[[#This Row],[G23 cp]],GT[[#This Row],[G13 cp]])</f>
        <v>4</v>
      </c>
      <c r="AA12" s="494">
        <f>COUNTA(GT[[#This Row],[G18 cp]],GT[[#This Row],[G7 cp]],GT[[#This Row],[G1 cp]])</f>
        <v>3</v>
      </c>
      <c r="AB12" s="69">
        <f>MAX(GT[[#This Row],[G18 cp]],GT[[#This Row],[G7 cp]],GT[[#This Row],[G1 cp]])</f>
        <v>38</v>
      </c>
      <c r="AC12" s="475">
        <f>( SUM(GT[[#This Row],[G18 cp]],GT[[#This Row],[G7 cp]],GT[[#This Row],[G1 cp]]) - GT[[#This Row],[CHS Max]]) / ( GT[[#This Row],[CHS Inn]] - 1)</f>
        <v>3.5</v>
      </c>
      <c r="AD12" s="66">
        <f>MIN(GT[[#This Row],[G18 cp]],GT[[#This Row],[G7 cp]],GT[[#This Row],[G1 cp]])</f>
        <v>3</v>
      </c>
      <c r="AE12" s="69"/>
      <c r="AF12" s="69"/>
      <c r="AG12" s="494">
        <f>GT[[#This Row],[G30 cp]]</f>
        <v>8</v>
      </c>
      <c r="AH12" s="69">
        <f>GT[[#This Row],[G23 cp]]</f>
        <v>13</v>
      </c>
      <c r="AI12" s="69">
        <f>GT[[#This Row],[G18 cp]]</f>
        <v>4</v>
      </c>
      <c r="AJ12" s="69">
        <f>GT[[#This Row],[G13 cp]]</f>
        <v>4</v>
      </c>
      <c r="AK12" s="69">
        <f>GT[[#This Row],[G7 cp]]</f>
        <v>38</v>
      </c>
      <c r="AL12" s="66">
        <f>GT[[#This Row],[G1 cp]]</f>
        <v>3</v>
      </c>
      <c r="AM12" s="494">
        <v>7</v>
      </c>
      <c r="AN12" s="69"/>
      <c r="AO12" s="69" t="s">
        <v>876</v>
      </c>
      <c r="AP12" s="69">
        <v>2</v>
      </c>
      <c r="AQ12" s="69">
        <v>2</v>
      </c>
      <c r="AR12" s="69">
        <v>1</v>
      </c>
      <c r="AS12" s="69">
        <v>8</v>
      </c>
      <c r="AT12" s="69">
        <v>0</v>
      </c>
      <c r="AU12" s="66">
        <v>8</v>
      </c>
      <c r="AV12" s="69">
        <v>7</v>
      </c>
      <c r="AW12" s="69"/>
      <c r="AX12" s="69" t="s">
        <v>876</v>
      </c>
      <c r="AY12" s="69">
        <v>1</v>
      </c>
      <c r="AZ12" s="69">
        <v>1</v>
      </c>
      <c r="BA12" s="69"/>
      <c r="BB12" s="69"/>
      <c r="BC12" s="69"/>
      <c r="BD12" s="69">
        <v>13</v>
      </c>
      <c r="BE12" s="36">
        <v>6</v>
      </c>
      <c r="BF12" s="37" t="s">
        <v>876</v>
      </c>
      <c r="BG12" s="37">
        <v>5</v>
      </c>
      <c r="BH12" s="37">
        <v>2</v>
      </c>
      <c r="BI12" s="37"/>
      <c r="BJ12" s="38">
        <v>4</v>
      </c>
      <c r="BK12" s="36">
        <v>7</v>
      </c>
      <c r="BL12" s="37"/>
      <c r="BM12" s="37"/>
      <c r="BN12" s="37"/>
      <c r="BO12" s="38">
        <v>4</v>
      </c>
      <c r="BP12" s="36">
        <v>7</v>
      </c>
      <c r="BQ12" s="37"/>
      <c r="BR12" s="37"/>
      <c r="BS12" s="37"/>
      <c r="BT12" s="38">
        <v>38</v>
      </c>
      <c r="BU12" s="36">
        <v>6</v>
      </c>
      <c r="BV12" s="37" t="s">
        <v>424</v>
      </c>
      <c r="BW12" s="37" t="s">
        <v>372</v>
      </c>
      <c r="BX12" s="37"/>
      <c r="BY12" s="38">
        <v>3</v>
      </c>
    </row>
    <row r="13" spans="2:77" s="1" customFormat="1">
      <c r="B13" s="141" t="s">
        <v>179</v>
      </c>
      <c r="C13" s="137" t="s">
        <v>588</v>
      </c>
      <c r="D13" s="137">
        <v>15</v>
      </c>
      <c r="E13" s="137" t="s">
        <v>617</v>
      </c>
      <c r="F13" s="137"/>
      <c r="G13" s="211" t="s">
        <v>56</v>
      </c>
      <c r="H13" s="1027" t="s">
        <v>1124</v>
      </c>
      <c r="I13" s="140"/>
      <c r="J13" s="537"/>
      <c r="K13" s="546"/>
      <c r="L13" s="140"/>
      <c r="M13" s="140"/>
      <c r="N13" s="140"/>
      <c r="O13" s="555"/>
      <c r="P13" s="140"/>
      <c r="Q13" s="140"/>
      <c r="R13" s="140"/>
      <c r="S13" s="136">
        <f>COUNTA(GT[[#This Row],[G30 cp]],GT[[#This Row],[G23 cp]],GT[[#This Row],[G18 cp]],GT[[#This Row],[G13 cp]],GT[[#This Row],[G7 cp]],GT[[#This Row],[G1 cp]])</f>
        <v>6</v>
      </c>
      <c r="T13" s="235">
        <f>MAX(GT[[#This Row],[G30 cp]],GT[[#This Row],[G23 cp]],GT[[#This Row],[G18 cp]],GT[[#This Row],[G13 cp]],GT[[#This Row],[G7 cp]],GT[[#This Row],[G1 cp]])</f>
        <v>91</v>
      </c>
      <c r="U13" s="235">
        <f xml:space="preserve"> ( SUM(GT[[#This Row],[G30 cp]],GT[[#This Row],[G23 cp]],GT[[#This Row],[G18 cp]],GT[[#This Row],[G13 cp]],GT[[#This Row],[G7 cp]],GT[[#This Row],[G1 cp]]) -GT[[#This Row],[Max2]]) / (GT[[#This Row],[Inn]]-1)</f>
        <v>54.2</v>
      </c>
      <c r="V13" s="138">
        <f>MIN(GT[[#This Row],[G30 cp]],GT[[#This Row],[G23 cp]],GT[[#This Row],[G18 cp]],GT[[#This Row],[G13 cp]],GT[[#This Row],[G7 cp]],GT[[#This Row],[G1 cp]])</f>
        <v>25</v>
      </c>
      <c r="W13" s="499">
        <f>COUNTA(GT[[#This Row],[G30 cp]],GT[[#This Row],[G23 cp]],GT[[#This Row],[G13 cp]])</f>
        <v>3</v>
      </c>
      <c r="X13" s="140">
        <f>MAX(GT[[#This Row],[G30 cp]],GT[[#This Row],[G23 cp]],GT[[#This Row],[G13 cp]])</f>
        <v>91</v>
      </c>
      <c r="Y13" s="480">
        <f>( SUM(GT[[#This Row],[G30 cp]],GT[[#This Row],[G23 cp]],GT[[#This Row],[G13 cp]]) -GT[[#This Row],[B1  Max]]) / (GT[[#This Row],[B1 Inn]]-1)</f>
        <v>40</v>
      </c>
      <c r="Z13" s="139">
        <f>MIN(GT[[#This Row],[G30 cp]],GT[[#This Row],[G23 cp]],GT[[#This Row],[G13 cp]])</f>
        <v>25</v>
      </c>
      <c r="AA13" s="499">
        <f>COUNTA(GT[[#This Row],[G18 cp]],GT[[#This Row],[G7 cp]],GT[[#This Row],[G1 cp]])</f>
        <v>3</v>
      </c>
      <c r="AB13" s="140">
        <f>MAX(GT[[#This Row],[G18 cp]],GT[[#This Row],[G7 cp]],GT[[#This Row],[G1 cp]])</f>
        <v>79</v>
      </c>
      <c r="AC13" s="480">
        <f>( SUM(GT[[#This Row],[G18 cp]],GT[[#This Row],[G7 cp]],GT[[#This Row],[G1 cp]]) - GT[[#This Row],[CHS Max]]) / ( GT[[#This Row],[CHS Inn]] - 1)</f>
        <v>56</v>
      </c>
      <c r="AD13" s="139">
        <f>MIN(GT[[#This Row],[G18 cp]],GT[[#This Row],[G7 cp]],GT[[#This Row],[G1 cp]])</f>
        <v>37</v>
      </c>
      <c r="AE13" s="140"/>
      <c r="AF13" s="140"/>
      <c r="AG13" s="499">
        <f>GT[[#This Row],[G30 cp]]</f>
        <v>25</v>
      </c>
      <c r="AH13" s="140">
        <f>GT[[#This Row],[G23 cp]]</f>
        <v>55</v>
      </c>
      <c r="AI13" s="140">
        <f>GT[[#This Row],[G18 cp]]</f>
        <v>37</v>
      </c>
      <c r="AJ13" s="140">
        <f>GT[[#This Row],[G13 cp]]</f>
        <v>91</v>
      </c>
      <c r="AK13" s="140">
        <f>GT[[#This Row],[G7 cp]]</f>
        <v>79</v>
      </c>
      <c r="AL13" s="139">
        <f>GT[[#This Row],[G1 cp]]</f>
        <v>75</v>
      </c>
      <c r="AM13" s="499">
        <v>8</v>
      </c>
      <c r="AN13" s="140"/>
      <c r="AO13" s="140"/>
      <c r="AP13" s="140"/>
      <c r="AQ13" s="140"/>
      <c r="AR13" s="140">
        <v>4</v>
      </c>
      <c r="AS13" s="140">
        <v>33</v>
      </c>
      <c r="AT13" s="140">
        <v>1</v>
      </c>
      <c r="AU13" s="139">
        <v>25</v>
      </c>
      <c r="AV13" s="140">
        <v>8</v>
      </c>
      <c r="AW13" s="140"/>
      <c r="AX13" s="140" t="s">
        <v>799</v>
      </c>
      <c r="AY13" s="140">
        <v>1</v>
      </c>
      <c r="AZ13" s="140">
        <v>1</v>
      </c>
      <c r="BA13" s="140">
        <v>4</v>
      </c>
      <c r="BB13" s="140">
        <v>46</v>
      </c>
      <c r="BC13" s="140">
        <v>2</v>
      </c>
      <c r="BD13" s="140">
        <v>55</v>
      </c>
      <c r="BE13" s="136">
        <v>7</v>
      </c>
      <c r="BF13" s="137"/>
      <c r="BG13" s="137"/>
      <c r="BH13" s="137"/>
      <c r="BI13" s="137" t="s">
        <v>943</v>
      </c>
      <c r="BJ13" s="138">
        <v>37</v>
      </c>
      <c r="BK13" s="136">
        <v>8</v>
      </c>
      <c r="BL13" s="137"/>
      <c r="BM13" s="137"/>
      <c r="BN13" s="137" t="s">
        <v>587</v>
      </c>
      <c r="BO13" s="138">
        <v>91</v>
      </c>
      <c r="BP13" s="136">
        <v>8</v>
      </c>
      <c r="BQ13" s="137"/>
      <c r="BR13" s="137"/>
      <c r="BS13" s="137" t="s">
        <v>444</v>
      </c>
      <c r="BT13" s="138">
        <v>79</v>
      </c>
      <c r="BU13" s="136">
        <v>7</v>
      </c>
      <c r="BV13" s="137" t="s">
        <v>425</v>
      </c>
      <c r="BW13" s="137" t="s">
        <v>372</v>
      </c>
      <c r="BX13" s="137" t="s">
        <v>260</v>
      </c>
      <c r="BY13" s="138">
        <v>75</v>
      </c>
    </row>
    <row r="14" spans="2:77">
      <c r="B14" s="43" t="s">
        <v>179</v>
      </c>
      <c r="C14" s="41" t="s">
        <v>589</v>
      </c>
      <c r="D14" s="41">
        <v>6.25</v>
      </c>
      <c r="E14" s="41"/>
      <c r="F14" s="41"/>
      <c r="G14" s="95" t="s">
        <v>56</v>
      </c>
      <c r="H14" s="1028" t="s">
        <v>1055</v>
      </c>
      <c r="I14" s="70"/>
      <c r="J14" s="536"/>
      <c r="K14" s="545"/>
      <c r="L14" s="70"/>
      <c r="M14" s="70"/>
      <c r="N14" s="70"/>
      <c r="O14" s="554"/>
      <c r="P14" s="70"/>
      <c r="Q14" s="70"/>
      <c r="R14" s="70"/>
      <c r="S14" s="40">
        <f>COUNTA(GT[[#This Row],[G30 cp]],GT[[#This Row],[G23 cp]],GT[[#This Row],[G18 cp]],GT[[#This Row],[G13 cp]],GT[[#This Row],[G7 cp]],GT[[#This Row],[G1 cp]])</f>
        <v>6</v>
      </c>
      <c r="T14" s="234">
        <f>MAX(GT[[#This Row],[G30 cp]],GT[[#This Row],[G23 cp]],GT[[#This Row],[G18 cp]],GT[[#This Row],[G13 cp]],GT[[#This Row],[G7 cp]],GT[[#This Row],[G1 cp]])</f>
        <v>87</v>
      </c>
      <c r="U14" s="234">
        <f xml:space="preserve"> ( SUM(GT[[#This Row],[G30 cp]],GT[[#This Row],[G23 cp]],GT[[#This Row],[G18 cp]],GT[[#This Row],[G13 cp]],GT[[#This Row],[G7 cp]],GT[[#This Row],[G1 cp]]) -GT[[#This Row],[Max2]]) / (GT[[#This Row],[Inn]]-1)</f>
        <v>40.799999999999997</v>
      </c>
      <c r="V14" s="42">
        <f>MIN(GT[[#This Row],[G30 cp]],GT[[#This Row],[G23 cp]],GT[[#This Row],[G18 cp]],GT[[#This Row],[G13 cp]],GT[[#This Row],[G7 cp]],GT[[#This Row],[G1 cp]])</f>
        <v>5</v>
      </c>
      <c r="W14" s="498">
        <f>COUNTA(GT[[#This Row],[G30 cp]],GT[[#This Row],[G23 cp]],GT[[#This Row],[G13 cp]])</f>
        <v>3</v>
      </c>
      <c r="X14" s="70">
        <f>MAX(GT[[#This Row],[G30 cp]],GT[[#This Row],[G23 cp]],GT[[#This Row],[G13 cp]])</f>
        <v>87</v>
      </c>
      <c r="Y14" s="479">
        <f>( SUM(GT[[#This Row],[G30 cp]],GT[[#This Row],[G23 cp]],GT[[#This Row],[G13 cp]]) -GT[[#This Row],[B1  Max]]) / (GT[[#This Row],[B1 Inn]]-1)</f>
        <v>21</v>
      </c>
      <c r="Z14" s="67">
        <f>MIN(GT[[#This Row],[G30 cp]],GT[[#This Row],[G23 cp]],GT[[#This Row],[G13 cp]])</f>
        <v>5</v>
      </c>
      <c r="AA14" s="498">
        <f>COUNTA(GT[[#This Row],[G18 cp]],GT[[#This Row],[G7 cp]],GT[[#This Row],[G1 cp]])</f>
        <v>3</v>
      </c>
      <c r="AB14" s="70">
        <f>MAX(GT[[#This Row],[G18 cp]],GT[[#This Row],[G7 cp]],GT[[#This Row],[G1 cp]])</f>
        <v>79</v>
      </c>
      <c r="AC14" s="479">
        <f>( SUM(GT[[#This Row],[G18 cp]],GT[[#This Row],[G7 cp]],GT[[#This Row],[G1 cp]]) - GT[[#This Row],[CHS Max]]) / ( GT[[#This Row],[CHS Inn]] - 1)</f>
        <v>41.5</v>
      </c>
      <c r="AD14" s="67">
        <f>MIN(GT[[#This Row],[G18 cp]],GT[[#This Row],[G7 cp]],GT[[#This Row],[G1 cp]])</f>
        <v>29</v>
      </c>
      <c r="AE14" s="70"/>
      <c r="AF14" s="70"/>
      <c r="AG14" s="498">
        <f>GT[[#This Row],[G30 cp]]</f>
        <v>5</v>
      </c>
      <c r="AH14" s="70">
        <f>GT[[#This Row],[G23 cp]]</f>
        <v>87</v>
      </c>
      <c r="AI14" s="70">
        <f>GT[[#This Row],[G18 cp]]</f>
        <v>29</v>
      </c>
      <c r="AJ14" s="70">
        <f>GT[[#This Row],[G13 cp]]</f>
        <v>37</v>
      </c>
      <c r="AK14" s="70">
        <f>GT[[#This Row],[G7 cp]]</f>
        <v>79</v>
      </c>
      <c r="AL14" s="67">
        <f>GT[[#This Row],[G1 cp]]</f>
        <v>54</v>
      </c>
      <c r="AM14" s="498">
        <v>9</v>
      </c>
      <c r="AN14" s="70"/>
      <c r="AO14" s="70"/>
      <c r="AP14" s="70"/>
      <c r="AQ14" s="70"/>
      <c r="AR14" s="70">
        <v>3</v>
      </c>
      <c r="AS14" s="70">
        <v>18</v>
      </c>
      <c r="AT14" s="70">
        <v>0</v>
      </c>
      <c r="AU14" s="67">
        <v>5</v>
      </c>
      <c r="AV14" s="70">
        <v>10</v>
      </c>
      <c r="AW14" s="70"/>
      <c r="AX14" s="70"/>
      <c r="AY14" s="70"/>
      <c r="AZ14" s="70"/>
      <c r="BA14" s="70">
        <v>4</v>
      </c>
      <c r="BB14" s="70">
        <v>23</v>
      </c>
      <c r="BC14" s="70">
        <v>3</v>
      </c>
      <c r="BD14" s="70">
        <v>87</v>
      </c>
      <c r="BE14" s="40">
        <v>9</v>
      </c>
      <c r="BF14" s="41"/>
      <c r="BG14" s="41"/>
      <c r="BH14" s="41"/>
      <c r="BI14" s="41" t="s">
        <v>940</v>
      </c>
      <c r="BJ14" s="42">
        <v>29</v>
      </c>
      <c r="BK14" s="40">
        <v>9</v>
      </c>
      <c r="BL14" s="41"/>
      <c r="BM14" s="41"/>
      <c r="BN14" s="41" t="s">
        <v>90</v>
      </c>
      <c r="BO14" s="42">
        <v>37</v>
      </c>
      <c r="BP14" s="40">
        <v>11</v>
      </c>
      <c r="BQ14" s="41"/>
      <c r="BR14" s="41"/>
      <c r="BS14" s="41" t="s">
        <v>441</v>
      </c>
      <c r="BT14" s="42">
        <v>79</v>
      </c>
      <c r="BU14" s="40">
        <v>8</v>
      </c>
      <c r="BV14" s="41"/>
      <c r="BW14" s="41"/>
      <c r="BX14" s="41" t="s">
        <v>266</v>
      </c>
      <c r="BY14" s="42">
        <v>54</v>
      </c>
    </row>
    <row r="15" spans="2:77">
      <c r="B15" s="141" t="s">
        <v>179</v>
      </c>
      <c r="C15" s="137" t="s">
        <v>1417</v>
      </c>
      <c r="D15" s="137">
        <v>0.3</v>
      </c>
      <c r="E15" s="137" t="s">
        <v>617</v>
      </c>
      <c r="F15" s="137"/>
      <c r="G15" s="211" t="s">
        <v>56</v>
      </c>
      <c r="H15" s="1027"/>
      <c r="I15" s="140"/>
      <c r="J15" s="537"/>
      <c r="K15" s="546"/>
      <c r="L15" s="140"/>
      <c r="M15" s="140"/>
      <c r="N15" s="140"/>
      <c r="O15" s="555"/>
      <c r="P15" s="140"/>
      <c r="Q15" s="140"/>
      <c r="R15" s="140"/>
      <c r="S15" s="136">
        <f>COUNTA(GT[[#This Row],[G30 cp]],GT[[#This Row],[G23 cp]],GT[[#This Row],[G18 cp]],GT[[#This Row],[G13 cp]],GT[[#This Row],[G7 cp]],GT[[#This Row],[G1 cp]])</f>
        <v>2</v>
      </c>
      <c r="T15" s="235">
        <f>MAX(GT[[#This Row],[G30 cp]],GT[[#This Row],[G23 cp]],GT[[#This Row],[G18 cp]],GT[[#This Row],[G13 cp]],GT[[#This Row],[G7 cp]],GT[[#This Row],[G1 cp]])</f>
        <v>60</v>
      </c>
      <c r="U15" s="235">
        <f xml:space="preserve"> ( SUM(GT[[#This Row],[G30 cp]],GT[[#This Row],[G23 cp]],GT[[#This Row],[G18 cp]],GT[[#This Row],[G13 cp]],GT[[#This Row],[G7 cp]],GT[[#This Row],[G1 cp]]) -GT[[#This Row],[Max2]]) / (GT[[#This Row],[Inn]]-1)</f>
        <v>28</v>
      </c>
      <c r="V15" s="138">
        <f>MIN(GT[[#This Row],[G30 cp]],GT[[#This Row],[G23 cp]],GT[[#This Row],[G18 cp]],GT[[#This Row],[G13 cp]],GT[[#This Row],[G7 cp]],GT[[#This Row],[G1 cp]])</f>
        <v>28</v>
      </c>
      <c r="W15" s="499">
        <f>COUNTA(GT[[#This Row],[G30 cp]],GT[[#This Row],[G23 cp]],GT[[#This Row],[G13 cp]])</f>
        <v>2</v>
      </c>
      <c r="X15" s="140">
        <f>MAX(GT[[#This Row],[G30 cp]],GT[[#This Row],[G23 cp]],GT[[#This Row],[G13 cp]])</f>
        <v>60</v>
      </c>
      <c r="Y15" s="480">
        <f>( SUM(GT[[#This Row],[G30 cp]],GT[[#This Row],[G23 cp]],GT[[#This Row],[G13 cp]]) -GT[[#This Row],[B1  Max]]) / (GT[[#This Row],[B1 Inn]]-1)</f>
        <v>28</v>
      </c>
      <c r="Z15" s="139">
        <f>MIN(GT[[#This Row],[G30 cp]],GT[[#This Row],[G23 cp]],GT[[#This Row],[G13 cp]])</f>
        <v>28</v>
      </c>
      <c r="AA15" s="499">
        <f>COUNTA(GT[[#This Row],[G18 cp]],GT[[#This Row],[G7 cp]],GT[[#This Row],[G1 cp]])</f>
        <v>0</v>
      </c>
      <c r="AB15" s="140">
        <f>MAX(GT[[#This Row],[G18 cp]],GT[[#This Row],[G7 cp]],GT[[#This Row],[G1 cp]])</f>
        <v>0</v>
      </c>
      <c r="AC15" s="480">
        <f>( SUM(GT[[#This Row],[G18 cp]],GT[[#This Row],[G7 cp]],GT[[#This Row],[G1 cp]]) - GT[[#This Row],[CHS Max]]) / ( GT[[#This Row],[CHS Inn]] - 1)</f>
        <v>0</v>
      </c>
      <c r="AD15" s="139">
        <f>MIN(GT[[#This Row],[G18 cp]],GT[[#This Row],[G7 cp]],GT[[#This Row],[G1 cp]])</f>
        <v>0</v>
      </c>
      <c r="AE15" s="140"/>
      <c r="AF15" s="140"/>
      <c r="AG15" s="499">
        <f>GT[[#This Row],[G30 cp]]</f>
        <v>60</v>
      </c>
      <c r="AH15" s="140">
        <f>GT[[#This Row],[G23 cp]]</f>
        <v>28</v>
      </c>
      <c r="AI15" s="140">
        <f>GT[[#This Row],[G18 cp]]</f>
        <v>0</v>
      </c>
      <c r="AJ15" s="140">
        <f>GT[[#This Row],[G13 cp]]</f>
        <v>0</v>
      </c>
      <c r="AK15" s="140">
        <f>GT[[#This Row],[G7 cp]]</f>
        <v>0</v>
      </c>
      <c r="AL15" s="139">
        <f>GT[[#This Row],[G1 cp]]</f>
        <v>0</v>
      </c>
      <c r="AM15" s="499">
        <v>10</v>
      </c>
      <c r="AN15" s="140"/>
      <c r="AO15" s="140"/>
      <c r="AP15" s="140"/>
      <c r="AQ15" s="140"/>
      <c r="AR15" s="140">
        <v>4</v>
      </c>
      <c r="AS15" s="140">
        <v>18</v>
      </c>
      <c r="AT15" s="140">
        <v>2</v>
      </c>
      <c r="AU15" s="139">
        <v>60</v>
      </c>
      <c r="AV15" s="140">
        <v>12</v>
      </c>
      <c r="AW15" s="140"/>
      <c r="AX15" s="140"/>
      <c r="AY15" s="140"/>
      <c r="AZ15" s="140"/>
      <c r="BA15" s="140">
        <v>2</v>
      </c>
      <c r="BB15" s="140">
        <v>29</v>
      </c>
      <c r="BC15" s="140">
        <v>1</v>
      </c>
      <c r="BD15" s="140">
        <v>28</v>
      </c>
      <c r="BE15" s="136"/>
      <c r="BF15" s="137"/>
      <c r="BG15" s="137"/>
      <c r="BH15" s="137"/>
      <c r="BI15" s="137"/>
      <c r="BJ15" s="138"/>
      <c r="BK15" s="136"/>
      <c r="BL15" s="137"/>
      <c r="BM15" s="137"/>
      <c r="BN15" s="137"/>
      <c r="BO15" s="138"/>
      <c r="BP15" s="136"/>
      <c r="BQ15" s="137"/>
      <c r="BR15" s="137"/>
      <c r="BS15" s="137"/>
      <c r="BT15" s="138"/>
      <c r="BU15" s="136"/>
      <c r="BV15" s="137"/>
      <c r="BW15" s="137"/>
      <c r="BX15" s="137"/>
      <c r="BY15" s="138"/>
    </row>
    <row r="16" spans="2:77" s="1" customFormat="1">
      <c r="B16" s="43" t="s">
        <v>179</v>
      </c>
      <c r="C16" s="41" t="s">
        <v>1416</v>
      </c>
      <c r="D16" s="41">
        <v>0.5</v>
      </c>
      <c r="E16" s="41"/>
      <c r="F16" s="41"/>
      <c r="G16" s="95" t="s">
        <v>56</v>
      </c>
      <c r="H16" s="1028"/>
      <c r="I16" s="70"/>
      <c r="J16" s="536"/>
      <c r="K16" s="545"/>
      <c r="L16" s="70"/>
      <c r="M16" s="70"/>
      <c r="N16" s="70"/>
      <c r="O16" s="554"/>
      <c r="P16" s="70"/>
      <c r="Q16" s="70"/>
      <c r="R16" s="70"/>
      <c r="S16" s="40">
        <f>COUNTA(GT[[#This Row],[G30 cp]],GT[[#This Row],[G23 cp]],GT[[#This Row],[G18 cp]],GT[[#This Row],[G13 cp]],GT[[#This Row],[G7 cp]],GT[[#This Row],[G1 cp]])</f>
        <v>3</v>
      </c>
      <c r="T16" s="234">
        <f>MAX(GT[[#This Row],[G30 cp]],GT[[#This Row],[G23 cp]],GT[[#This Row],[G18 cp]],GT[[#This Row],[G13 cp]],GT[[#This Row],[G7 cp]],GT[[#This Row],[G1 cp]])</f>
        <v>60</v>
      </c>
      <c r="U16" s="234">
        <f xml:space="preserve"> ( SUM(GT[[#This Row],[G30 cp]],GT[[#This Row],[G23 cp]],GT[[#This Row],[G18 cp]],GT[[#This Row],[G13 cp]],GT[[#This Row],[G7 cp]],GT[[#This Row],[G1 cp]]) -GT[[#This Row],[Max2]]) / (GT[[#This Row],[Inn]]-1)</f>
        <v>39</v>
      </c>
      <c r="V16" s="42">
        <f>MIN(GT[[#This Row],[G30 cp]],GT[[#This Row],[G23 cp]],GT[[#This Row],[G18 cp]],GT[[#This Row],[G13 cp]],GT[[#This Row],[G7 cp]],GT[[#This Row],[G1 cp]])</f>
        <v>20</v>
      </c>
      <c r="W16" s="498">
        <f>COUNTA(GT[[#This Row],[G30 cp]],GT[[#This Row],[G23 cp]],GT[[#This Row],[G13 cp]])</f>
        <v>2</v>
      </c>
      <c r="X16" s="70">
        <f>MAX(GT[[#This Row],[G30 cp]],GT[[#This Row],[G23 cp]],GT[[#This Row],[G13 cp]])</f>
        <v>60</v>
      </c>
      <c r="Y16" s="479">
        <f>( SUM(GT[[#This Row],[G30 cp]],GT[[#This Row],[G23 cp]],GT[[#This Row],[G13 cp]]) -GT[[#This Row],[B1  Max]]) / (GT[[#This Row],[B1 Inn]]-1)</f>
        <v>20</v>
      </c>
      <c r="Z16" s="67">
        <f>MIN(GT[[#This Row],[G30 cp]],GT[[#This Row],[G23 cp]],GT[[#This Row],[G13 cp]])</f>
        <v>20</v>
      </c>
      <c r="AA16" s="498">
        <f>COUNTA(GT[[#This Row],[G18 cp]],GT[[#This Row],[G7 cp]],GT[[#This Row],[G1 cp]])</f>
        <v>1</v>
      </c>
      <c r="AB16" s="70">
        <f>MAX(GT[[#This Row],[G18 cp]],GT[[#This Row],[G7 cp]],GT[[#This Row],[G1 cp]])</f>
        <v>58</v>
      </c>
      <c r="AC16" s="479" t="e">
        <f>( SUM(GT[[#This Row],[G18 cp]],GT[[#This Row],[G7 cp]],GT[[#This Row],[G1 cp]]) - GT[[#This Row],[CHS Max]]) / ( GT[[#This Row],[CHS Inn]] - 1)</f>
        <v>#DIV/0!</v>
      </c>
      <c r="AD16" s="67">
        <f>MIN(GT[[#This Row],[G18 cp]],GT[[#This Row],[G7 cp]],GT[[#This Row],[G1 cp]])</f>
        <v>58</v>
      </c>
      <c r="AE16" s="70"/>
      <c r="AF16" s="70"/>
      <c r="AG16" s="498">
        <f>GT[[#This Row],[G30 cp]]</f>
        <v>60</v>
      </c>
      <c r="AH16" s="70">
        <f>GT[[#This Row],[G23 cp]]</f>
        <v>20</v>
      </c>
      <c r="AI16" s="70">
        <f>GT[[#This Row],[G18 cp]]</f>
        <v>58</v>
      </c>
      <c r="AJ16" s="70">
        <f>GT[[#This Row],[G13 cp]]</f>
        <v>0</v>
      </c>
      <c r="AK16" s="70">
        <f>GT[[#This Row],[G7 cp]]</f>
        <v>0</v>
      </c>
      <c r="AL16" s="67">
        <f>GT[[#This Row],[G1 cp]]</f>
        <v>0</v>
      </c>
      <c r="AM16" s="498">
        <v>11</v>
      </c>
      <c r="AN16" s="70"/>
      <c r="AO16" s="70"/>
      <c r="AP16" s="70"/>
      <c r="AQ16" s="70"/>
      <c r="AR16" s="70">
        <v>3</v>
      </c>
      <c r="AS16" s="70">
        <v>17</v>
      </c>
      <c r="AT16" s="70">
        <v>2</v>
      </c>
      <c r="AU16" s="67">
        <v>60</v>
      </c>
      <c r="AV16" s="70">
        <v>11</v>
      </c>
      <c r="AW16" s="70"/>
      <c r="AX16" s="70"/>
      <c r="AY16" s="70"/>
      <c r="AZ16" s="70"/>
      <c r="BA16" s="70">
        <v>2</v>
      </c>
      <c r="BB16" s="70">
        <v>7</v>
      </c>
      <c r="BC16" s="70">
        <v>0</v>
      </c>
      <c r="BD16" s="70">
        <v>20</v>
      </c>
      <c r="BE16" s="40">
        <v>10</v>
      </c>
      <c r="BF16" s="41"/>
      <c r="BG16" s="41"/>
      <c r="BH16" s="41"/>
      <c r="BI16" s="41" t="s">
        <v>944</v>
      </c>
      <c r="BJ16" s="42">
        <v>58</v>
      </c>
      <c r="BK16" s="40"/>
      <c r="BL16" s="41"/>
      <c r="BM16" s="41"/>
      <c r="BN16" s="41"/>
      <c r="BO16" s="42"/>
      <c r="BP16" s="40"/>
      <c r="BQ16" s="41"/>
      <c r="BR16" s="41"/>
      <c r="BS16" s="41"/>
      <c r="BT16" s="42"/>
      <c r="BU16" s="40"/>
      <c r="BV16" s="41"/>
      <c r="BW16" s="41"/>
      <c r="BX16" s="41"/>
      <c r="BY16" s="42"/>
    </row>
    <row r="17" spans="2:77">
      <c r="B17" s="39" t="s">
        <v>179</v>
      </c>
      <c r="C17" s="37" t="s">
        <v>172</v>
      </c>
      <c r="D17" s="37">
        <v>1.7</v>
      </c>
      <c r="E17" s="37"/>
      <c r="F17" s="37"/>
      <c r="G17" s="94" t="s">
        <v>55</v>
      </c>
      <c r="H17" s="1025"/>
      <c r="I17" s="69"/>
      <c r="J17" s="532"/>
      <c r="K17" s="541"/>
      <c r="L17" s="69"/>
      <c r="M17" s="69"/>
      <c r="N17" s="69"/>
      <c r="O17" s="550"/>
      <c r="P17" s="69"/>
      <c r="Q17" s="69"/>
      <c r="R17" s="69"/>
      <c r="S17" s="36">
        <f>COUNTA(GT[[#This Row],[G30 cp]],GT[[#This Row],[G23 cp]],GT[[#This Row],[G18 cp]],GT[[#This Row],[G13 cp]],GT[[#This Row],[G7 cp]],GT[[#This Row],[G1 cp]])</f>
        <v>1</v>
      </c>
      <c r="T17" s="230">
        <f>MAX(GT[[#This Row],[G30 cp]],GT[[#This Row],[G23 cp]],GT[[#This Row],[G18 cp]],GT[[#This Row],[G13 cp]],GT[[#This Row],[G7 cp]],GT[[#This Row],[G1 cp]])</f>
        <v>5</v>
      </c>
      <c r="U17" s="230" t="e">
        <f xml:space="preserve"> ( SUM(GT[[#This Row],[G30 cp]],GT[[#This Row],[G23 cp]],GT[[#This Row],[G18 cp]],GT[[#This Row],[G13 cp]],GT[[#This Row],[G7 cp]],GT[[#This Row],[G1 cp]]) -GT[[#This Row],[Max2]]) / (GT[[#This Row],[Inn]]-1)</f>
        <v>#DIV/0!</v>
      </c>
      <c r="V17" s="38">
        <f>MIN(GT[[#This Row],[G30 cp]],GT[[#This Row],[G23 cp]],GT[[#This Row],[G18 cp]],GT[[#This Row],[G13 cp]],GT[[#This Row],[G7 cp]],GT[[#This Row],[G1 cp]])</f>
        <v>5</v>
      </c>
      <c r="W17" s="494">
        <f>COUNTA(GT[[#This Row],[G30 cp]],GT[[#This Row],[G23 cp]],GT[[#This Row],[G13 cp]])</f>
        <v>1</v>
      </c>
      <c r="X17" s="69">
        <f>MAX(GT[[#This Row],[G30 cp]],GT[[#This Row],[G23 cp]],GT[[#This Row],[G13 cp]])</f>
        <v>5</v>
      </c>
      <c r="Y17" s="475" t="e">
        <f>( SUM(GT[[#This Row],[G30 cp]],GT[[#This Row],[G23 cp]],GT[[#This Row],[G13 cp]]) -GT[[#This Row],[B1  Max]]) / (GT[[#This Row],[B1 Inn]]-1)</f>
        <v>#DIV/0!</v>
      </c>
      <c r="Z17" s="66">
        <f>MIN(GT[[#This Row],[G30 cp]],GT[[#This Row],[G23 cp]],GT[[#This Row],[G13 cp]])</f>
        <v>5</v>
      </c>
      <c r="AA17" s="494">
        <f>COUNTA(GT[[#This Row],[G18 cp]],GT[[#This Row],[G7 cp]],GT[[#This Row],[G1 cp]])</f>
        <v>0</v>
      </c>
      <c r="AB17" s="69">
        <f>MAX(GT[[#This Row],[G18 cp]],GT[[#This Row],[G7 cp]],GT[[#This Row],[G1 cp]])</f>
        <v>0</v>
      </c>
      <c r="AC17" s="475">
        <f>( SUM(GT[[#This Row],[G18 cp]],GT[[#This Row],[G7 cp]],GT[[#This Row],[G1 cp]]) - GT[[#This Row],[CHS Max]]) / ( GT[[#This Row],[CHS Inn]] - 1)</f>
        <v>0</v>
      </c>
      <c r="AD17" s="66">
        <f>MIN(GT[[#This Row],[G18 cp]],GT[[#This Row],[G7 cp]],GT[[#This Row],[G1 cp]])</f>
        <v>0</v>
      </c>
      <c r="AE17" s="69"/>
      <c r="AF17" s="69"/>
      <c r="AG17" s="494">
        <f>GT[[#This Row],[G30 cp]]</f>
        <v>5</v>
      </c>
      <c r="AH17" s="69">
        <f>GT[[#This Row],[G23 cp]]</f>
        <v>0</v>
      </c>
      <c r="AI17" s="69">
        <f>GT[[#This Row],[G18 cp]]</f>
        <v>0</v>
      </c>
      <c r="AJ17" s="69">
        <f>GT[[#This Row],[G13 cp]]</f>
        <v>0</v>
      </c>
      <c r="AK17" s="69">
        <f>GT[[#This Row],[G7 cp]]</f>
        <v>0</v>
      </c>
      <c r="AL17" s="66">
        <f>GT[[#This Row],[G1 cp]]</f>
        <v>0</v>
      </c>
      <c r="AM17" s="494">
        <v>12</v>
      </c>
      <c r="AN17" s="69"/>
      <c r="AO17" s="69"/>
      <c r="AP17" s="69"/>
      <c r="AQ17" s="69"/>
      <c r="AR17" s="69">
        <v>4</v>
      </c>
      <c r="AS17" s="69">
        <v>26</v>
      </c>
      <c r="AT17" s="69">
        <v>0</v>
      </c>
      <c r="AU17" s="66">
        <v>5</v>
      </c>
      <c r="AV17" s="69">
        <v>15</v>
      </c>
      <c r="AW17" s="69"/>
      <c r="AX17" s="69"/>
      <c r="AY17" s="69"/>
      <c r="AZ17" s="69"/>
      <c r="BA17" s="69"/>
      <c r="BB17" s="69"/>
      <c r="BC17" s="69"/>
      <c r="BD17" s="69"/>
      <c r="BE17" s="36">
        <v>15</v>
      </c>
      <c r="BF17" s="37"/>
      <c r="BG17" s="37"/>
      <c r="BH17" s="37"/>
      <c r="BI17" s="37"/>
      <c r="BJ17" s="38"/>
      <c r="BK17" s="36"/>
      <c r="BL17" s="37"/>
      <c r="BM17" s="37"/>
      <c r="BN17" s="37"/>
      <c r="BO17" s="38"/>
      <c r="BP17" s="36"/>
      <c r="BQ17" s="37"/>
      <c r="BR17" s="37"/>
      <c r="BS17" s="37"/>
      <c r="BT17" s="38"/>
      <c r="BU17" s="36"/>
      <c r="BV17" s="37"/>
      <c r="BW17" s="37"/>
      <c r="BX17" s="37"/>
      <c r="BY17" s="38"/>
    </row>
    <row r="18" spans="2:77">
      <c r="B18" s="35" t="s">
        <v>179</v>
      </c>
      <c r="C18" s="33" t="s">
        <v>164</v>
      </c>
      <c r="D18" s="33">
        <v>0.2</v>
      </c>
      <c r="E18" s="33"/>
      <c r="F18" s="33"/>
      <c r="G18" s="93" t="s">
        <v>54</v>
      </c>
      <c r="H18" s="1024"/>
      <c r="I18" s="68"/>
      <c r="J18" s="535"/>
      <c r="K18" s="544"/>
      <c r="L18" s="68"/>
      <c r="M18" s="68"/>
      <c r="N18" s="68"/>
      <c r="O18" s="553"/>
      <c r="P18" s="68"/>
      <c r="Q18" s="68"/>
      <c r="R18" s="68"/>
      <c r="S18" s="32">
        <f>COUNTA(GT[[#This Row],[G30 cp]],GT[[#This Row],[G23 cp]],GT[[#This Row],[G18 cp]],GT[[#This Row],[G13 cp]],GT[[#This Row],[G7 cp]],GT[[#This Row],[G1 cp]])</f>
        <v>5</v>
      </c>
      <c r="T18" s="233">
        <f>MAX(GT[[#This Row],[G30 cp]],GT[[#This Row],[G23 cp]],GT[[#This Row],[G18 cp]],GT[[#This Row],[G13 cp]],GT[[#This Row],[G7 cp]],GT[[#This Row],[G1 cp]])</f>
        <v>74</v>
      </c>
      <c r="U18" s="233">
        <f xml:space="preserve"> ( SUM(GT[[#This Row],[G30 cp]],GT[[#This Row],[G23 cp]],GT[[#This Row],[G18 cp]],GT[[#This Row],[G13 cp]],GT[[#This Row],[G7 cp]],GT[[#This Row],[G1 cp]]) -GT[[#This Row],[Max2]]) / (GT[[#This Row],[Inn]]-1)</f>
        <v>33.75</v>
      </c>
      <c r="V18" s="34">
        <f>MIN(GT[[#This Row],[G30 cp]],GT[[#This Row],[G23 cp]],GT[[#This Row],[G18 cp]],GT[[#This Row],[G13 cp]],GT[[#This Row],[G7 cp]],GT[[#This Row],[G1 cp]])</f>
        <v>25</v>
      </c>
      <c r="W18" s="497">
        <f>COUNTA(GT[[#This Row],[G30 cp]],GT[[#This Row],[G23 cp]],GT[[#This Row],[G13 cp]])</f>
        <v>2</v>
      </c>
      <c r="X18" s="68">
        <f>MAX(GT[[#This Row],[G30 cp]],GT[[#This Row],[G23 cp]],GT[[#This Row],[G13 cp]])</f>
        <v>74</v>
      </c>
      <c r="Y18" s="478">
        <f>( SUM(GT[[#This Row],[G30 cp]],GT[[#This Row],[G23 cp]],GT[[#This Row],[G13 cp]]) -GT[[#This Row],[B1  Max]]) / (GT[[#This Row],[B1 Inn]]-1)</f>
        <v>26</v>
      </c>
      <c r="Z18" s="65">
        <f>MIN(GT[[#This Row],[G30 cp]],GT[[#This Row],[G23 cp]],GT[[#This Row],[G13 cp]])</f>
        <v>26</v>
      </c>
      <c r="AA18" s="497">
        <f>COUNTA(GT[[#This Row],[G18 cp]],GT[[#This Row],[G7 cp]],GT[[#This Row],[G1 cp]])</f>
        <v>3</v>
      </c>
      <c r="AB18" s="68">
        <f>MAX(GT[[#This Row],[G18 cp]],GT[[#This Row],[G7 cp]],GT[[#This Row],[G1 cp]])</f>
        <v>56</v>
      </c>
      <c r="AC18" s="478">
        <f>( SUM(GT[[#This Row],[G18 cp]],GT[[#This Row],[G7 cp]],GT[[#This Row],[G1 cp]]) - GT[[#This Row],[CHS Max]]) / ( GT[[#This Row],[CHS Inn]] - 1)</f>
        <v>26.5</v>
      </c>
      <c r="AD18" s="65">
        <f>MIN(GT[[#This Row],[G18 cp]],GT[[#This Row],[G7 cp]],GT[[#This Row],[G1 cp]])</f>
        <v>25</v>
      </c>
      <c r="AE18" s="68"/>
      <c r="AF18" s="68"/>
      <c r="AG18" s="497">
        <f>GT[[#This Row],[G30 cp]]</f>
        <v>0</v>
      </c>
      <c r="AH18" s="68">
        <f>GT[[#This Row],[G23 cp]]</f>
        <v>26</v>
      </c>
      <c r="AI18" s="68">
        <f>GT[[#This Row],[G18 cp]]</f>
        <v>25</v>
      </c>
      <c r="AJ18" s="68">
        <f>GT[[#This Row],[G13 cp]]</f>
        <v>74</v>
      </c>
      <c r="AK18" s="68">
        <f>GT[[#This Row],[G7 cp]]</f>
        <v>56</v>
      </c>
      <c r="AL18" s="65">
        <f>GT[[#This Row],[G1 cp]]</f>
        <v>28</v>
      </c>
      <c r="AM18" s="497"/>
      <c r="AN18" s="68"/>
      <c r="AO18" s="68"/>
      <c r="AP18" s="68"/>
      <c r="AQ18" s="68"/>
      <c r="AR18" s="68"/>
      <c r="AS18" s="68"/>
      <c r="AT18" s="68"/>
      <c r="AU18" s="65"/>
      <c r="AV18" s="68">
        <v>3</v>
      </c>
      <c r="AW18" s="68"/>
      <c r="AX18" s="68" t="s">
        <v>799</v>
      </c>
      <c r="AY18" s="68">
        <v>20</v>
      </c>
      <c r="AZ18" s="68">
        <v>19</v>
      </c>
      <c r="BA18" s="68"/>
      <c r="BB18" s="68"/>
      <c r="BC18" s="68"/>
      <c r="BD18" s="68">
        <v>26</v>
      </c>
      <c r="BE18" s="32">
        <v>3</v>
      </c>
      <c r="BF18" s="33" t="s">
        <v>355</v>
      </c>
      <c r="BG18" s="33">
        <v>19</v>
      </c>
      <c r="BH18" s="33">
        <v>20</v>
      </c>
      <c r="BI18" s="33"/>
      <c r="BJ18" s="34">
        <v>25</v>
      </c>
      <c r="BK18" s="32">
        <v>3</v>
      </c>
      <c r="BL18" s="33" t="s">
        <v>569</v>
      </c>
      <c r="BM18" s="33" t="s">
        <v>488</v>
      </c>
      <c r="BN18" s="33"/>
      <c r="BO18" s="34">
        <v>74</v>
      </c>
      <c r="BP18" s="32">
        <v>3</v>
      </c>
      <c r="BQ18" s="33" t="s">
        <v>435</v>
      </c>
      <c r="BR18" s="33" t="s">
        <v>372</v>
      </c>
      <c r="BS18" s="33"/>
      <c r="BT18" s="34">
        <v>56</v>
      </c>
      <c r="BU18" s="32">
        <v>3</v>
      </c>
      <c r="BV18" s="33" t="s">
        <v>421</v>
      </c>
      <c r="BW18" s="33" t="s">
        <v>416</v>
      </c>
      <c r="BX18" s="33"/>
      <c r="BY18" s="34">
        <v>28</v>
      </c>
    </row>
    <row r="19" spans="2:77">
      <c r="B19" s="141" t="s">
        <v>179</v>
      </c>
      <c r="C19" s="137" t="s">
        <v>590</v>
      </c>
      <c r="D19" s="137">
        <v>2.4</v>
      </c>
      <c r="E19" s="137" t="s">
        <v>613</v>
      </c>
      <c r="F19" s="137"/>
      <c r="G19" s="211" t="s">
        <v>56</v>
      </c>
      <c r="H19" s="1027" t="s">
        <v>1006</v>
      </c>
      <c r="I19" s="140"/>
      <c r="J19" s="537"/>
      <c r="K19" s="546"/>
      <c r="L19" s="140"/>
      <c r="M19" s="140"/>
      <c r="N19" s="140"/>
      <c r="O19" s="555"/>
      <c r="P19" s="140"/>
      <c r="Q19" s="140"/>
      <c r="R19" s="140"/>
      <c r="S19" s="136">
        <f>COUNTA(GT[[#This Row],[G30 cp]],GT[[#This Row],[G23 cp]],GT[[#This Row],[G18 cp]],GT[[#This Row],[G13 cp]],GT[[#This Row],[G7 cp]],GT[[#This Row],[G1 cp]])</f>
        <v>5</v>
      </c>
      <c r="T19" s="235">
        <f>MAX(GT[[#This Row],[G30 cp]],GT[[#This Row],[G23 cp]],GT[[#This Row],[G18 cp]],GT[[#This Row],[G13 cp]],GT[[#This Row],[G7 cp]],GT[[#This Row],[G1 cp]])</f>
        <v>62</v>
      </c>
      <c r="U19" s="235">
        <f xml:space="preserve"> ( SUM(GT[[#This Row],[G30 cp]],GT[[#This Row],[G23 cp]],GT[[#This Row],[G18 cp]],GT[[#This Row],[G13 cp]],GT[[#This Row],[G7 cp]],GT[[#This Row],[G1 cp]]) -GT[[#This Row],[Max2]]) / (GT[[#This Row],[Inn]]-1)</f>
        <v>37.75</v>
      </c>
      <c r="V19" s="138">
        <f>MIN(GT[[#This Row],[G30 cp]],GT[[#This Row],[G23 cp]],GT[[#This Row],[G18 cp]],GT[[#This Row],[G13 cp]],GT[[#This Row],[G7 cp]],GT[[#This Row],[G1 cp]])</f>
        <v>4</v>
      </c>
      <c r="W19" s="499">
        <f>COUNTA(GT[[#This Row],[G30 cp]],GT[[#This Row],[G23 cp]],GT[[#This Row],[G13 cp]])</f>
        <v>2</v>
      </c>
      <c r="X19" s="140">
        <f>MAX(GT[[#This Row],[G30 cp]],GT[[#This Row],[G23 cp]],GT[[#This Row],[G13 cp]])</f>
        <v>56</v>
      </c>
      <c r="Y19" s="480">
        <f>( SUM(GT[[#This Row],[G30 cp]],GT[[#This Row],[G23 cp]],GT[[#This Row],[G13 cp]]) -GT[[#This Row],[B1  Max]]) / (GT[[#This Row],[B1 Inn]]-1)</f>
        <v>4</v>
      </c>
      <c r="Z19" s="139">
        <f>MIN(GT[[#This Row],[G30 cp]],GT[[#This Row],[G23 cp]],GT[[#This Row],[G13 cp]])</f>
        <v>4</v>
      </c>
      <c r="AA19" s="499">
        <f>COUNTA(GT[[#This Row],[G18 cp]],GT[[#This Row],[G7 cp]],GT[[#This Row],[G1 cp]])</f>
        <v>3</v>
      </c>
      <c r="AB19" s="140">
        <f>MAX(GT[[#This Row],[G18 cp]],GT[[#This Row],[G7 cp]],GT[[#This Row],[G1 cp]])</f>
        <v>62</v>
      </c>
      <c r="AC19" s="480">
        <f>( SUM(GT[[#This Row],[G18 cp]],GT[[#This Row],[G7 cp]],GT[[#This Row],[G1 cp]]) - GT[[#This Row],[CHS Max]]) / ( GT[[#This Row],[CHS Inn]] - 1)</f>
        <v>45.5</v>
      </c>
      <c r="AD19" s="139">
        <f>MIN(GT[[#This Row],[G18 cp]],GT[[#This Row],[G7 cp]],GT[[#This Row],[G1 cp]])</f>
        <v>37</v>
      </c>
      <c r="AE19" s="140"/>
      <c r="AF19" s="140"/>
      <c r="AG19" s="499">
        <f>GT[[#This Row],[G30 cp]]</f>
        <v>0</v>
      </c>
      <c r="AH19" s="140">
        <f>GT[[#This Row],[G23 cp]]</f>
        <v>4</v>
      </c>
      <c r="AI19" s="140">
        <f>GT[[#This Row],[G18 cp]]</f>
        <v>37</v>
      </c>
      <c r="AJ19" s="140">
        <f>GT[[#This Row],[G13 cp]]</f>
        <v>56</v>
      </c>
      <c r="AK19" s="140">
        <f>GT[[#This Row],[G7 cp]]</f>
        <v>62</v>
      </c>
      <c r="AL19" s="139">
        <f>GT[[#This Row],[G1 cp]]</f>
        <v>54</v>
      </c>
      <c r="AM19" s="499"/>
      <c r="AN19" s="140"/>
      <c r="AO19" s="140"/>
      <c r="AP19" s="140"/>
      <c r="AQ19" s="140"/>
      <c r="AR19" s="140"/>
      <c r="AS19" s="140"/>
      <c r="AT19" s="140"/>
      <c r="AU19" s="139"/>
      <c r="AV19" s="140">
        <v>9</v>
      </c>
      <c r="AW19" s="140"/>
      <c r="AX19" s="140" t="s">
        <v>876</v>
      </c>
      <c r="AY19" s="140">
        <v>0</v>
      </c>
      <c r="AZ19" s="140">
        <v>0</v>
      </c>
      <c r="BA19" s="140">
        <v>3</v>
      </c>
      <c r="BB19" s="140">
        <v>47</v>
      </c>
      <c r="BC19" s="140">
        <v>0</v>
      </c>
      <c r="BD19" s="140">
        <v>4</v>
      </c>
      <c r="BE19" s="136">
        <v>8</v>
      </c>
      <c r="BF19" s="137"/>
      <c r="BG19" s="137"/>
      <c r="BH19" s="137"/>
      <c r="BI19" s="137" t="s">
        <v>942</v>
      </c>
      <c r="BJ19" s="138">
        <v>37</v>
      </c>
      <c r="BK19" s="136">
        <v>10</v>
      </c>
      <c r="BL19" s="137"/>
      <c r="BM19" s="137"/>
      <c r="BN19" s="137" t="s">
        <v>585</v>
      </c>
      <c r="BO19" s="138">
        <v>56</v>
      </c>
      <c r="BP19" s="136">
        <v>9</v>
      </c>
      <c r="BQ19" s="137"/>
      <c r="BR19" s="137"/>
      <c r="BS19" s="137" t="s">
        <v>266</v>
      </c>
      <c r="BT19" s="138">
        <v>62</v>
      </c>
      <c r="BU19" s="136">
        <v>11</v>
      </c>
      <c r="BV19" s="137"/>
      <c r="BW19" s="137"/>
      <c r="BX19" s="137" t="s">
        <v>429</v>
      </c>
      <c r="BY19" s="138">
        <v>54</v>
      </c>
    </row>
    <row r="20" spans="2:77">
      <c r="B20" s="141" t="s">
        <v>179</v>
      </c>
      <c r="C20" s="137" t="s">
        <v>592</v>
      </c>
      <c r="D20" s="137">
        <v>4.4000000000000004</v>
      </c>
      <c r="E20" s="137" t="s">
        <v>945</v>
      </c>
      <c r="F20" s="137"/>
      <c r="G20" s="211" t="s">
        <v>56</v>
      </c>
      <c r="H20" s="1027" t="s">
        <v>1007</v>
      </c>
      <c r="I20" s="140"/>
      <c r="J20" s="537"/>
      <c r="K20" s="546"/>
      <c r="L20" s="140"/>
      <c r="M20" s="140"/>
      <c r="N20" s="140"/>
      <c r="O20" s="555"/>
      <c r="P20" s="140"/>
      <c r="Q20" s="140"/>
      <c r="R20" s="140"/>
      <c r="S20" s="136">
        <f>COUNTA(GT[[#This Row],[G30 cp]],GT[[#This Row],[G23 cp]],GT[[#This Row],[G18 cp]],GT[[#This Row],[G13 cp]],GT[[#This Row],[G7 cp]],GT[[#This Row],[G1 cp]])</f>
        <v>3</v>
      </c>
      <c r="T20" s="235">
        <f>MAX(GT[[#This Row],[G30 cp]],GT[[#This Row],[G23 cp]],GT[[#This Row],[G18 cp]],GT[[#This Row],[G13 cp]],GT[[#This Row],[G7 cp]],GT[[#This Row],[G1 cp]])</f>
        <v>29</v>
      </c>
      <c r="U20" s="235">
        <f xml:space="preserve"> ( SUM(GT[[#This Row],[G30 cp]],GT[[#This Row],[G23 cp]],GT[[#This Row],[G18 cp]],GT[[#This Row],[G13 cp]],GT[[#This Row],[G7 cp]],GT[[#This Row],[G1 cp]]) -GT[[#This Row],[Max2]]) / (GT[[#This Row],[Inn]]-1)</f>
        <v>20.5</v>
      </c>
      <c r="V20" s="138">
        <f>MIN(GT[[#This Row],[G30 cp]],GT[[#This Row],[G23 cp]],GT[[#This Row],[G18 cp]],GT[[#This Row],[G13 cp]],GT[[#This Row],[G7 cp]],GT[[#This Row],[G1 cp]])</f>
        <v>12</v>
      </c>
      <c r="W20" s="499">
        <f>COUNTA(GT[[#This Row],[G30 cp]],GT[[#This Row],[G23 cp]],GT[[#This Row],[G13 cp]])</f>
        <v>0</v>
      </c>
      <c r="X20" s="140">
        <f>MAX(GT[[#This Row],[G30 cp]],GT[[#This Row],[G23 cp]],GT[[#This Row],[G13 cp]])</f>
        <v>0</v>
      </c>
      <c r="Y20" s="480">
        <f>( SUM(GT[[#This Row],[G30 cp]],GT[[#This Row],[G23 cp]],GT[[#This Row],[G13 cp]]) -GT[[#This Row],[B1  Max]]) / (GT[[#This Row],[B1 Inn]]-1)</f>
        <v>0</v>
      </c>
      <c r="Z20" s="139">
        <f>MIN(GT[[#This Row],[G30 cp]],GT[[#This Row],[G23 cp]],GT[[#This Row],[G13 cp]])</f>
        <v>0</v>
      </c>
      <c r="AA20" s="499">
        <f>COUNTA(GT[[#This Row],[G18 cp]],GT[[#This Row],[G7 cp]],GT[[#This Row],[G1 cp]])</f>
        <v>3</v>
      </c>
      <c r="AB20" s="140">
        <f>MAX(GT[[#This Row],[G18 cp]],GT[[#This Row],[G7 cp]],GT[[#This Row],[G1 cp]])</f>
        <v>29</v>
      </c>
      <c r="AC20" s="480">
        <f>( SUM(GT[[#This Row],[G18 cp]],GT[[#This Row],[G7 cp]],GT[[#This Row],[G1 cp]]) - GT[[#This Row],[CHS Max]]) / ( GT[[#This Row],[CHS Inn]] - 1)</f>
        <v>20.5</v>
      </c>
      <c r="AD20" s="139">
        <f>MIN(GT[[#This Row],[G18 cp]],GT[[#This Row],[G7 cp]],GT[[#This Row],[G1 cp]])</f>
        <v>12</v>
      </c>
      <c r="AE20" s="140"/>
      <c r="AF20" s="140"/>
      <c r="AG20" s="499">
        <f>GT[[#This Row],[G30 cp]]</f>
        <v>0</v>
      </c>
      <c r="AH20" s="140">
        <f>GT[[#This Row],[G23 cp]]</f>
        <v>0</v>
      </c>
      <c r="AI20" s="140">
        <f>GT[[#This Row],[G18 cp]]</f>
        <v>29</v>
      </c>
      <c r="AJ20" s="140">
        <f>GT[[#This Row],[G13 cp]]</f>
        <v>0</v>
      </c>
      <c r="AK20" s="140">
        <f>GT[[#This Row],[G7 cp]]</f>
        <v>12</v>
      </c>
      <c r="AL20" s="139">
        <f>GT[[#This Row],[G1 cp]]</f>
        <v>29</v>
      </c>
      <c r="AM20" s="499"/>
      <c r="AN20" s="140"/>
      <c r="AO20" s="140"/>
      <c r="AP20" s="140"/>
      <c r="AQ20" s="140"/>
      <c r="AR20" s="140"/>
      <c r="AS20" s="140"/>
      <c r="AT20" s="140"/>
      <c r="AU20" s="139"/>
      <c r="AV20" s="140">
        <v>15</v>
      </c>
      <c r="AW20" s="140"/>
      <c r="AX20" s="140"/>
      <c r="AY20" s="140"/>
      <c r="AZ20" s="140"/>
      <c r="BA20" s="140"/>
      <c r="BB20" s="140"/>
      <c r="BC20" s="140"/>
      <c r="BD20" s="140"/>
      <c r="BE20" s="136">
        <v>11</v>
      </c>
      <c r="BF20" s="137"/>
      <c r="BG20" s="137"/>
      <c r="BH20" s="137"/>
      <c r="BI20" s="137" t="s">
        <v>941</v>
      </c>
      <c r="BJ20" s="138">
        <v>29</v>
      </c>
      <c r="BK20" s="136">
        <v>12</v>
      </c>
      <c r="BL20" s="137"/>
      <c r="BM20" s="137"/>
      <c r="BN20" s="137" t="s">
        <v>584</v>
      </c>
      <c r="BO20" s="138"/>
      <c r="BP20" s="136">
        <v>12</v>
      </c>
      <c r="BQ20" s="137"/>
      <c r="BR20" s="137"/>
      <c r="BS20" s="137" t="s">
        <v>442</v>
      </c>
      <c r="BT20" s="138">
        <v>12</v>
      </c>
      <c r="BU20" s="136">
        <v>9</v>
      </c>
      <c r="BV20" s="137"/>
      <c r="BW20" s="137"/>
      <c r="BX20" s="137" t="s">
        <v>428</v>
      </c>
      <c r="BY20" s="138">
        <v>29</v>
      </c>
    </row>
    <row r="21" spans="2:77">
      <c r="B21" s="977" t="s">
        <v>179</v>
      </c>
      <c r="C21" s="98" t="s">
        <v>176</v>
      </c>
      <c r="D21" s="98">
        <v>1.2</v>
      </c>
      <c r="E21" s="98"/>
      <c r="F21" s="98"/>
      <c r="G21" s="980" t="s">
        <v>75</v>
      </c>
      <c r="H21" s="1023"/>
      <c r="I21" s="1004"/>
      <c r="J21" s="1044"/>
      <c r="K21" s="1048"/>
      <c r="L21" s="1004"/>
      <c r="M21" s="1004"/>
      <c r="N21" s="1004"/>
      <c r="O21" s="1052"/>
      <c r="P21" s="1004"/>
      <c r="Q21" s="1004"/>
      <c r="R21" s="1004"/>
      <c r="S21" s="988">
        <f>COUNTA(GT[[#This Row],[G30 cp]],GT[[#This Row],[G23 cp]],GT[[#This Row],[G18 cp]],GT[[#This Row],[G13 cp]],GT[[#This Row],[G7 cp]],GT[[#This Row],[G1 cp]])</f>
        <v>0</v>
      </c>
      <c r="T21" s="279">
        <f>MAX(GT[[#This Row],[G30 cp]],GT[[#This Row],[G23 cp]],GT[[#This Row],[G18 cp]],GT[[#This Row],[G13 cp]],GT[[#This Row],[G7 cp]],GT[[#This Row],[G1 cp]])</f>
        <v>0</v>
      </c>
      <c r="U21" s="279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1" s="989">
        <f>MIN(GT[[#This Row],[G30 cp]],GT[[#This Row],[G23 cp]],GT[[#This Row],[G18 cp]],GT[[#This Row],[G13 cp]],GT[[#This Row],[G7 cp]],GT[[#This Row],[G1 cp]])</f>
        <v>0</v>
      </c>
      <c r="W21" s="1011">
        <f>COUNTA(GT[[#This Row],[G30 cp]],GT[[#This Row],[G23 cp]],GT[[#This Row],[G13 cp]])</f>
        <v>0</v>
      </c>
      <c r="X21" s="1004">
        <f>MAX(GT[[#This Row],[G30 cp]],GT[[#This Row],[G23 cp]],GT[[#This Row],[G13 cp]])</f>
        <v>0</v>
      </c>
      <c r="Y21" s="1040">
        <f>( SUM(GT[[#This Row],[G30 cp]],GT[[#This Row],[G23 cp]],GT[[#This Row],[G13 cp]]) -GT[[#This Row],[B1  Max]]) / (GT[[#This Row],[B1 Inn]]-1)</f>
        <v>0</v>
      </c>
      <c r="Z21" s="1012">
        <f>MIN(GT[[#This Row],[G30 cp]],GT[[#This Row],[G23 cp]],GT[[#This Row],[G13 cp]])</f>
        <v>0</v>
      </c>
      <c r="AA21" s="1011">
        <f>COUNTA(GT[[#This Row],[G18 cp]],GT[[#This Row],[G7 cp]],GT[[#This Row],[G1 cp]])</f>
        <v>0</v>
      </c>
      <c r="AB21" s="1004">
        <f>MAX(GT[[#This Row],[G18 cp]],GT[[#This Row],[G7 cp]],GT[[#This Row],[G1 cp]])</f>
        <v>0</v>
      </c>
      <c r="AC21" s="1040">
        <f>( SUM(GT[[#This Row],[G18 cp]],GT[[#This Row],[G7 cp]],GT[[#This Row],[G1 cp]]) - GT[[#This Row],[CHS Max]]) / ( GT[[#This Row],[CHS Inn]] - 1)</f>
        <v>0</v>
      </c>
      <c r="AD21" s="1012">
        <f>MIN(GT[[#This Row],[G18 cp]],GT[[#This Row],[G7 cp]],GT[[#This Row],[G1 cp]])</f>
        <v>0</v>
      </c>
      <c r="AE21" s="1004"/>
      <c r="AF21" s="1004"/>
      <c r="AG21" s="1011">
        <f>GT[[#This Row],[G30 cp]]</f>
        <v>0</v>
      </c>
      <c r="AH21" s="1004">
        <f>GT[[#This Row],[G23 cp]]</f>
        <v>0</v>
      </c>
      <c r="AI21" s="1004">
        <f>GT[[#This Row],[G18 cp]]</f>
        <v>0</v>
      </c>
      <c r="AJ21" s="1004">
        <f>GT[[#This Row],[G13 cp]]</f>
        <v>0</v>
      </c>
      <c r="AK21" s="1004">
        <f>GT[[#This Row],[G7 cp]]</f>
        <v>0</v>
      </c>
      <c r="AL21" s="1012">
        <f>GT[[#This Row],[G1 cp]]</f>
        <v>0</v>
      </c>
      <c r="AM21" s="1011"/>
      <c r="AN21" s="1004"/>
      <c r="AO21" s="1004"/>
      <c r="AP21" s="1004"/>
      <c r="AQ21" s="1004"/>
      <c r="AR21" s="1004"/>
      <c r="AS21" s="1004"/>
      <c r="AT21" s="1004"/>
      <c r="AU21" s="1012"/>
      <c r="AV21" s="1004">
        <v>15</v>
      </c>
      <c r="AW21" s="1004"/>
      <c r="AX21" s="1004"/>
      <c r="AY21" s="1004"/>
      <c r="AZ21" s="1004"/>
      <c r="BA21" s="1004"/>
      <c r="BB21" s="1004"/>
      <c r="BC21" s="1004"/>
      <c r="BD21" s="1004"/>
      <c r="BE21" s="988">
        <v>15</v>
      </c>
      <c r="BF21" s="98"/>
      <c r="BG21" s="98"/>
      <c r="BH21" s="98"/>
      <c r="BI21" s="98"/>
      <c r="BJ21" s="989"/>
      <c r="BK21" s="988"/>
      <c r="BL21" s="98"/>
      <c r="BM21" s="98"/>
      <c r="BN21" s="98"/>
      <c r="BO21" s="989"/>
      <c r="BP21" s="988"/>
      <c r="BQ21" s="98"/>
      <c r="BR21" s="98"/>
      <c r="BS21" s="98"/>
      <c r="BT21" s="989"/>
      <c r="BU21" s="988"/>
      <c r="BV21" s="98"/>
      <c r="BW21" s="98"/>
      <c r="BX21" s="98"/>
      <c r="BY21" s="989"/>
    </row>
    <row r="22" spans="2:77">
      <c r="B22" s="43" t="s">
        <v>179</v>
      </c>
      <c r="C22" s="41" t="s">
        <v>177</v>
      </c>
      <c r="D22" s="41">
        <v>6</v>
      </c>
      <c r="E22" s="41"/>
      <c r="F22" s="41"/>
      <c r="G22" s="95" t="s">
        <v>56</v>
      </c>
      <c r="H22" s="1028" t="s">
        <v>1055</v>
      </c>
      <c r="I22" s="70"/>
      <c r="J22" s="536"/>
      <c r="K22" s="545"/>
      <c r="L22" s="70"/>
      <c r="M22" s="70"/>
      <c r="N22" s="70"/>
      <c r="O22" s="554"/>
      <c r="P22" s="70"/>
      <c r="Q22" s="70"/>
      <c r="R22" s="70"/>
      <c r="S22" s="40">
        <f>COUNTA(GT[[#This Row],[G30 cp]],GT[[#This Row],[G23 cp]],GT[[#This Row],[G18 cp]],GT[[#This Row],[G13 cp]],GT[[#This Row],[G7 cp]],GT[[#This Row],[G1 cp]])</f>
        <v>0</v>
      </c>
      <c r="T22" s="234">
        <f>MAX(GT[[#This Row],[G30 cp]],GT[[#This Row],[G23 cp]],GT[[#This Row],[G18 cp]],GT[[#This Row],[G13 cp]],GT[[#This Row],[G7 cp]],GT[[#This Row],[G1 cp]])</f>
        <v>0</v>
      </c>
      <c r="U22" s="234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2" s="42">
        <f>MIN(GT[[#This Row],[G30 cp]],GT[[#This Row],[G23 cp]],GT[[#This Row],[G18 cp]],GT[[#This Row],[G13 cp]],GT[[#This Row],[G7 cp]],GT[[#This Row],[G1 cp]])</f>
        <v>0</v>
      </c>
      <c r="W22" s="498">
        <f>COUNTA(GT[[#This Row],[G30 cp]],GT[[#This Row],[G23 cp]],GT[[#This Row],[G13 cp]])</f>
        <v>0</v>
      </c>
      <c r="X22" s="70">
        <f>MAX(GT[[#This Row],[G30 cp]],GT[[#This Row],[G23 cp]],GT[[#This Row],[G13 cp]])</f>
        <v>0</v>
      </c>
      <c r="Y22" s="479">
        <f>( SUM(GT[[#This Row],[G30 cp]],GT[[#This Row],[G23 cp]],GT[[#This Row],[G13 cp]]) -GT[[#This Row],[B1  Max]]) / (GT[[#This Row],[B1 Inn]]-1)</f>
        <v>0</v>
      </c>
      <c r="Z22" s="67">
        <f>MIN(GT[[#This Row],[G30 cp]],GT[[#This Row],[G23 cp]],GT[[#This Row],[G13 cp]])</f>
        <v>0</v>
      </c>
      <c r="AA22" s="498">
        <f>COUNTA(GT[[#This Row],[G18 cp]],GT[[#This Row],[G7 cp]],GT[[#This Row],[G1 cp]])</f>
        <v>0</v>
      </c>
      <c r="AB22" s="70">
        <f>MAX(GT[[#This Row],[G18 cp]],GT[[#This Row],[G7 cp]],GT[[#This Row],[G1 cp]])</f>
        <v>0</v>
      </c>
      <c r="AC22" s="479">
        <f>( SUM(GT[[#This Row],[G18 cp]],GT[[#This Row],[G7 cp]],GT[[#This Row],[G1 cp]]) - GT[[#This Row],[CHS Max]]) / ( GT[[#This Row],[CHS Inn]] - 1)</f>
        <v>0</v>
      </c>
      <c r="AD22" s="67">
        <f>MIN(GT[[#This Row],[G18 cp]],GT[[#This Row],[G7 cp]],GT[[#This Row],[G1 cp]])</f>
        <v>0</v>
      </c>
      <c r="AE22" s="70"/>
      <c r="AF22" s="70"/>
      <c r="AG22" s="498">
        <f>GT[[#This Row],[G30 cp]]</f>
        <v>0</v>
      </c>
      <c r="AH22" s="70">
        <f>GT[[#This Row],[G23 cp]]</f>
        <v>0</v>
      </c>
      <c r="AI22" s="70">
        <f>GT[[#This Row],[G18 cp]]</f>
        <v>0</v>
      </c>
      <c r="AJ22" s="70">
        <f>GT[[#This Row],[G13 cp]]</f>
        <v>0</v>
      </c>
      <c r="AK22" s="70">
        <f>GT[[#This Row],[G7 cp]]</f>
        <v>0</v>
      </c>
      <c r="AL22" s="67">
        <f>GT[[#This Row],[G1 cp]]</f>
        <v>0</v>
      </c>
      <c r="AM22" s="498"/>
      <c r="AN22" s="70"/>
      <c r="AO22" s="70"/>
      <c r="AP22" s="70"/>
      <c r="AQ22" s="70"/>
      <c r="AR22" s="70"/>
      <c r="AS22" s="70"/>
      <c r="AT22" s="70"/>
      <c r="AU22" s="67"/>
      <c r="AV22" s="70"/>
      <c r="AW22" s="70"/>
      <c r="AX22" s="70"/>
      <c r="AY22" s="70"/>
      <c r="AZ22" s="70"/>
      <c r="BA22" s="70"/>
      <c r="BB22" s="70"/>
      <c r="BC22" s="70"/>
      <c r="BD22" s="70"/>
      <c r="BE22" s="40">
        <v>15</v>
      </c>
      <c r="BF22" s="41"/>
      <c r="BG22" s="41"/>
      <c r="BH22" s="41"/>
      <c r="BI22" s="41"/>
      <c r="BJ22" s="42"/>
      <c r="BK22" s="40"/>
      <c r="BL22" s="41"/>
      <c r="BM22" s="41"/>
      <c r="BN22" s="41"/>
      <c r="BO22" s="42"/>
      <c r="BP22" s="40"/>
      <c r="BQ22" s="41"/>
      <c r="BR22" s="41"/>
      <c r="BS22" s="41"/>
      <c r="BT22" s="42"/>
      <c r="BU22" s="40"/>
      <c r="BV22" s="41"/>
      <c r="BW22" s="41"/>
      <c r="BX22" s="41"/>
      <c r="BY22" s="42"/>
    </row>
    <row r="23" spans="2:77">
      <c r="B23" s="43" t="s">
        <v>179</v>
      </c>
      <c r="C23" s="41" t="s">
        <v>591</v>
      </c>
      <c r="D23" s="41">
        <v>3.2</v>
      </c>
      <c r="E23" s="41"/>
      <c r="F23" s="41"/>
      <c r="G23" s="95" t="s">
        <v>56</v>
      </c>
      <c r="H23" s="1028" t="s">
        <v>1121</v>
      </c>
      <c r="I23" s="70"/>
      <c r="J23" s="536"/>
      <c r="K23" s="545"/>
      <c r="L23" s="70"/>
      <c r="M23" s="70"/>
      <c r="N23" s="70"/>
      <c r="O23" s="554"/>
      <c r="P23" s="70"/>
      <c r="Q23" s="70"/>
      <c r="R23" s="70"/>
      <c r="S23" s="40">
        <f>COUNTA(GT[[#This Row],[G30 cp]],GT[[#This Row],[G23 cp]],GT[[#This Row],[G18 cp]],GT[[#This Row],[G13 cp]],GT[[#This Row],[G7 cp]],GT[[#This Row],[G1 cp]])</f>
        <v>3</v>
      </c>
      <c r="T23" s="234">
        <f>MAX(GT[[#This Row],[G30 cp]],GT[[#This Row],[G23 cp]],GT[[#This Row],[G18 cp]],GT[[#This Row],[G13 cp]],GT[[#This Row],[G7 cp]],GT[[#This Row],[G1 cp]])</f>
        <v>6</v>
      </c>
      <c r="U23" s="234">
        <f xml:space="preserve"> ( SUM(GT[[#This Row],[G30 cp]],GT[[#This Row],[G23 cp]],GT[[#This Row],[G18 cp]],GT[[#This Row],[G13 cp]],GT[[#This Row],[G7 cp]],GT[[#This Row],[G1 cp]]) -GT[[#This Row],[Max2]]) / (GT[[#This Row],[Inn]]-1)</f>
        <v>4</v>
      </c>
      <c r="V23" s="42">
        <f>MIN(GT[[#This Row],[G30 cp]],GT[[#This Row],[G23 cp]],GT[[#This Row],[G18 cp]],GT[[#This Row],[G13 cp]],GT[[#This Row],[G7 cp]],GT[[#This Row],[G1 cp]])</f>
        <v>4</v>
      </c>
      <c r="W23" s="498">
        <f>COUNTA(GT[[#This Row],[G30 cp]],GT[[#This Row],[G23 cp]],GT[[#This Row],[G13 cp]])</f>
        <v>1</v>
      </c>
      <c r="X23" s="70">
        <f>MAX(GT[[#This Row],[G30 cp]],GT[[#This Row],[G23 cp]],GT[[#This Row],[G13 cp]])</f>
        <v>6</v>
      </c>
      <c r="Y23" s="479" t="e">
        <f>( SUM(GT[[#This Row],[G30 cp]],GT[[#This Row],[G23 cp]],GT[[#This Row],[G13 cp]]) -GT[[#This Row],[B1  Max]]) / (GT[[#This Row],[B1 Inn]]-1)</f>
        <v>#DIV/0!</v>
      </c>
      <c r="Z23" s="67">
        <f>MIN(GT[[#This Row],[G30 cp]],GT[[#This Row],[G23 cp]],GT[[#This Row],[G13 cp]])</f>
        <v>6</v>
      </c>
      <c r="AA23" s="498">
        <f>COUNTA(GT[[#This Row],[G18 cp]],GT[[#This Row],[G7 cp]],GT[[#This Row],[G1 cp]])</f>
        <v>2</v>
      </c>
      <c r="AB23" s="70">
        <f>MAX(GT[[#This Row],[G18 cp]],GT[[#This Row],[G7 cp]],GT[[#This Row],[G1 cp]])</f>
        <v>4</v>
      </c>
      <c r="AC23" s="479">
        <f>( SUM(GT[[#This Row],[G18 cp]],GT[[#This Row],[G7 cp]],GT[[#This Row],[G1 cp]]) - GT[[#This Row],[CHS Max]]) / ( GT[[#This Row],[CHS Inn]] - 1)</f>
        <v>4</v>
      </c>
      <c r="AD23" s="67">
        <f>MIN(GT[[#This Row],[G18 cp]],GT[[#This Row],[G7 cp]],GT[[#This Row],[G1 cp]])</f>
        <v>4</v>
      </c>
      <c r="AE23" s="70"/>
      <c r="AF23" s="70"/>
      <c r="AG23" s="498">
        <f>GT[[#This Row],[G30 cp]]</f>
        <v>0</v>
      </c>
      <c r="AH23" s="70">
        <f>GT[[#This Row],[G23 cp]]</f>
        <v>0</v>
      </c>
      <c r="AI23" s="70">
        <f>GT[[#This Row],[G18 cp]]</f>
        <v>0</v>
      </c>
      <c r="AJ23" s="70">
        <f>GT[[#This Row],[G13 cp]]</f>
        <v>6</v>
      </c>
      <c r="AK23" s="70">
        <f>GT[[#This Row],[G7 cp]]</f>
        <v>4</v>
      </c>
      <c r="AL23" s="67">
        <f>GT[[#This Row],[G1 cp]]</f>
        <v>4</v>
      </c>
      <c r="AM23" s="498"/>
      <c r="AN23" s="70"/>
      <c r="AO23" s="70"/>
      <c r="AP23" s="70"/>
      <c r="AQ23" s="70"/>
      <c r="AR23" s="70"/>
      <c r="AS23" s="70"/>
      <c r="AT23" s="70"/>
      <c r="AU23" s="67"/>
      <c r="AV23" s="70"/>
      <c r="AW23" s="70"/>
      <c r="AX23" s="70"/>
      <c r="AY23" s="70"/>
      <c r="AZ23" s="70"/>
      <c r="BA23" s="70"/>
      <c r="BB23" s="70"/>
      <c r="BC23" s="70"/>
      <c r="BD23" s="70"/>
      <c r="BE23" s="40"/>
      <c r="BF23" s="41"/>
      <c r="BG23" s="41"/>
      <c r="BH23" s="41"/>
      <c r="BI23" s="41"/>
      <c r="BJ23" s="42"/>
      <c r="BK23" s="40">
        <v>11</v>
      </c>
      <c r="BL23" s="41"/>
      <c r="BM23" s="41"/>
      <c r="BN23" s="41" t="s">
        <v>586</v>
      </c>
      <c r="BO23" s="42">
        <v>6</v>
      </c>
      <c r="BP23" s="40">
        <v>10</v>
      </c>
      <c r="BQ23" s="41"/>
      <c r="BR23" s="41"/>
      <c r="BS23" s="41" t="s">
        <v>443</v>
      </c>
      <c r="BT23" s="42">
        <v>4</v>
      </c>
      <c r="BU23" s="40">
        <v>10</v>
      </c>
      <c r="BV23" s="41"/>
      <c r="BW23" s="41"/>
      <c r="BX23" s="41"/>
      <c r="BY23" s="42">
        <v>4</v>
      </c>
    </row>
    <row r="24" spans="2:77" s="1" customFormat="1">
      <c r="B24" s="39" t="s">
        <v>179</v>
      </c>
      <c r="C24" s="37" t="s">
        <v>173</v>
      </c>
      <c r="D24" s="37">
        <v>3</v>
      </c>
      <c r="E24" s="37"/>
      <c r="F24" s="37"/>
      <c r="G24" s="94" t="s">
        <v>55</v>
      </c>
      <c r="H24" s="1025" t="s">
        <v>1121</v>
      </c>
      <c r="I24" s="69"/>
      <c r="J24" s="532"/>
      <c r="K24" s="541"/>
      <c r="L24" s="69"/>
      <c r="M24" s="69"/>
      <c r="N24" s="69"/>
      <c r="O24" s="550"/>
      <c r="P24" s="69"/>
      <c r="Q24" s="69"/>
      <c r="R24" s="69"/>
      <c r="S24" s="36">
        <f>COUNTA(GT[[#This Row],[G30 cp]],GT[[#This Row],[G23 cp]],GT[[#This Row],[G18 cp]],GT[[#This Row],[G13 cp]],GT[[#This Row],[G7 cp]],GT[[#This Row],[G1 cp]])</f>
        <v>0</v>
      </c>
      <c r="T24" s="230">
        <f>MAX(GT[[#This Row],[G30 cp]],GT[[#This Row],[G23 cp]],GT[[#This Row],[G18 cp]],GT[[#This Row],[G13 cp]],GT[[#This Row],[G7 cp]],GT[[#This Row],[G1 cp]])</f>
        <v>0</v>
      </c>
      <c r="U24" s="23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4" s="38">
        <f>MIN(GT[[#This Row],[G30 cp]],GT[[#This Row],[G23 cp]],GT[[#This Row],[G18 cp]],GT[[#This Row],[G13 cp]],GT[[#This Row],[G7 cp]],GT[[#This Row],[G1 cp]])</f>
        <v>0</v>
      </c>
      <c r="W24" s="494">
        <f>COUNTA(GT[[#This Row],[G30 cp]],GT[[#This Row],[G23 cp]],GT[[#This Row],[G13 cp]])</f>
        <v>0</v>
      </c>
      <c r="X24" s="69">
        <f>MAX(GT[[#This Row],[G30 cp]],GT[[#This Row],[G23 cp]],GT[[#This Row],[G13 cp]])</f>
        <v>0</v>
      </c>
      <c r="Y24" s="475">
        <f>( SUM(GT[[#This Row],[G30 cp]],GT[[#This Row],[G23 cp]],GT[[#This Row],[G13 cp]]) -GT[[#This Row],[B1  Max]]) / (GT[[#This Row],[B1 Inn]]-1)</f>
        <v>0</v>
      </c>
      <c r="Z24" s="66">
        <f>MIN(GT[[#This Row],[G30 cp]],GT[[#This Row],[G23 cp]],GT[[#This Row],[G13 cp]])</f>
        <v>0</v>
      </c>
      <c r="AA24" s="494">
        <f>COUNTA(GT[[#This Row],[G18 cp]],GT[[#This Row],[G7 cp]],GT[[#This Row],[G1 cp]])</f>
        <v>0</v>
      </c>
      <c r="AB24" s="69">
        <f>MAX(GT[[#This Row],[G18 cp]],GT[[#This Row],[G7 cp]],GT[[#This Row],[G1 cp]])</f>
        <v>0</v>
      </c>
      <c r="AC24" s="475">
        <f>( SUM(GT[[#This Row],[G18 cp]],GT[[#This Row],[G7 cp]],GT[[#This Row],[G1 cp]]) - GT[[#This Row],[CHS Max]]) / ( GT[[#This Row],[CHS Inn]] - 1)</f>
        <v>0</v>
      </c>
      <c r="AD24" s="66">
        <f>MIN(GT[[#This Row],[G18 cp]],GT[[#This Row],[G7 cp]],GT[[#This Row],[G1 cp]])</f>
        <v>0</v>
      </c>
      <c r="AE24" s="69"/>
      <c r="AF24" s="69"/>
      <c r="AG24" s="494">
        <f>GT[[#This Row],[G30 cp]]</f>
        <v>0</v>
      </c>
      <c r="AH24" s="69">
        <f>GT[[#This Row],[G23 cp]]</f>
        <v>0</v>
      </c>
      <c r="AI24" s="69">
        <f>GT[[#This Row],[G18 cp]]</f>
        <v>0</v>
      </c>
      <c r="AJ24" s="69">
        <f>GT[[#This Row],[G13 cp]]</f>
        <v>0</v>
      </c>
      <c r="AK24" s="69">
        <f>GT[[#This Row],[G7 cp]]</f>
        <v>0</v>
      </c>
      <c r="AL24" s="66">
        <f>GT[[#This Row],[G1 cp]]</f>
        <v>0</v>
      </c>
      <c r="AM24" s="494"/>
      <c r="AN24" s="69"/>
      <c r="AO24" s="69"/>
      <c r="AP24" s="69"/>
      <c r="AQ24" s="69"/>
      <c r="AR24" s="69"/>
      <c r="AS24" s="69"/>
      <c r="AT24" s="69"/>
      <c r="AU24" s="66"/>
      <c r="AV24" s="69"/>
      <c r="AW24" s="69"/>
      <c r="AX24" s="69"/>
      <c r="AY24" s="69"/>
      <c r="AZ24" s="69"/>
      <c r="BA24" s="69"/>
      <c r="BB24" s="69"/>
      <c r="BC24" s="69"/>
      <c r="BD24" s="69"/>
      <c r="BE24" s="36"/>
      <c r="BF24" s="37"/>
      <c r="BG24" s="37"/>
      <c r="BH24" s="37"/>
      <c r="BI24" s="37"/>
      <c r="BJ24" s="38"/>
      <c r="BK24" s="36"/>
      <c r="BL24" s="37"/>
      <c r="BM24" s="37"/>
      <c r="BN24" s="37"/>
      <c r="BO24" s="38"/>
      <c r="BP24" s="36"/>
      <c r="BQ24" s="37"/>
      <c r="BR24" s="37"/>
      <c r="BS24" s="37"/>
      <c r="BT24" s="38"/>
      <c r="BU24" s="36"/>
      <c r="BV24" s="37"/>
      <c r="BW24" s="37"/>
      <c r="BX24" s="37"/>
      <c r="BY24" s="38"/>
    </row>
    <row r="25" spans="2:77" s="1" customFormat="1">
      <c r="B25" s="978" t="s">
        <v>179</v>
      </c>
      <c r="C25" s="277" t="s">
        <v>166</v>
      </c>
      <c r="D25" s="277">
        <v>2.4</v>
      </c>
      <c r="E25" s="277" t="s">
        <v>614</v>
      </c>
      <c r="F25" s="277"/>
      <c r="G25" s="981" t="s">
        <v>75</v>
      </c>
      <c r="H25" s="1029" t="s">
        <v>1006</v>
      </c>
      <c r="I25" s="1005"/>
      <c r="J25" s="1045"/>
      <c r="K25" s="1049"/>
      <c r="L25" s="1005"/>
      <c r="M25" s="1005"/>
      <c r="N25" s="1005"/>
      <c r="O25" s="1053"/>
      <c r="P25" s="1005"/>
      <c r="Q25" s="1005"/>
      <c r="R25" s="1005"/>
      <c r="S25" s="990">
        <f>COUNTA(GT[[#This Row],[G30 cp]],GT[[#This Row],[G23 cp]],GT[[#This Row],[G18 cp]],GT[[#This Row],[G13 cp]],GT[[#This Row],[G7 cp]],GT[[#This Row],[G1 cp]])</f>
        <v>0</v>
      </c>
      <c r="T25" s="280">
        <f>MAX(GT[[#This Row],[G30 cp]],GT[[#This Row],[G23 cp]],GT[[#This Row],[G18 cp]],GT[[#This Row],[G13 cp]],GT[[#This Row],[G7 cp]],GT[[#This Row],[G1 cp]])</f>
        <v>0</v>
      </c>
      <c r="U25" s="28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5" s="991">
        <f>MIN(GT[[#This Row],[G30 cp]],GT[[#This Row],[G23 cp]],GT[[#This Row],[G18 cp]],GT[[#This Row],[G13 cp]],GT[[#This Row],[G7 cp]],GT[[#This Row],[G1 cp]])</f>
        <v>0</v>
      </c>
      <c r="W25" s="1013">
        <f>COUNTA(GT[[#This Row],[G30 cp]],GT[[#This Row],[G23 cp]],GT[[#This Row],[G13 cp]])</f>
        <v>0</v>
      </c>
      <c r="X25" s="1005">
        <f>MAX(GT[[#This Row],[G30 cp]],GT[[#This Row],[G23 cp]],GT[[#This Row],[G13 cp]])</f>
        <v>0</v>
      </c>
      <c r="Y25" s="1041">
        <f>( SUM(GT[[#This Row],[G30 cp]],GT[[#This Row],[G23 cp]],GT[[#This Row],[G13 cp]]) -GT[[#This Row],[B1  Max]]) / (GT[[#This Row],[B1 Inn]]-1)</f>
        <v>0</v>
      </c>
      <c r="Z25" s="1014">
        <f>MIN(GT[[#This Row],[G30 cp]],GT[[#This Row],[G23 cp]],GT[[#This Row],[G13 cp]])</f>
        <v>0</v>
      </c>
      <c r="AA25" s="1013">
        <f>COUNTA(GT[[#This Row],[G18 cp]],GT[[#This Row],[G7 cp]],GT[[#This Row],[G1 cp]])</f>
        <v>0</v>
      </c>
      <c r="AB25" s="1005">
        <f>MAX(GT[[#This Row],[G18 cp]],GT[[#This Row],[G7 cp]],GT[[#This Row],[G1 cp]])</f>
        <v>0</v>
      </c>
      <c r="AC25" s="1041">
        <f>( SUM(GT[[#This Row],[G18 cp]],GT[[#This Row],[G7 cp]],GT[[#This Row],[G1 cp]]) - GT[[#This Row],[CHS Max]]) / ( GT[[#This Row],[CHS Inn]] - 1)</f>
        <v>0</v>
      </c>
      <c r="AD25" s="1014">
        <f>MIN(GT[[#This Row],[G18 cp]],GT[[#This Row],[G7 cp]],GT[[#This Row],[G1 cp]])</f>
        <v>0</v>
      </c>
      <c r="AE25" s="1005"/>
      <c r="AF25" s="1005"/>
      <c r="AG25" s="1013">
        <f>GT[[#This Row],[G30 cp]]</f>
        <v>0</v>
      </c>
      <c r="AH25" s="1005">
        <f>GT[[#This Row],[G23 cp]]</f>
        <v>0</v>
      </c>
      <c r="AI25" s="1005">
        <f>GT[[#This Row],[G18 cp]]</f>
        <v>0</v>
      </c>
      <c r="AJ25" s="1005">
        <f>GT[[#This Row],[G13 cp]]</f>
        <v>0</v>
      </c>
      <c r="AK25" s="1005">
        <f>GT[[#This Row],[G7 cp]]</f>
        <v>0</v>
      </c>
      <c r="AL25" s="1014">
        <f>GT[[#This Row],[G1 cp]]</f>
        <v>0</v>
      </c>
      <c r="AM25" s="1013"/>
      <c r="AN25" s="1005"/>
      <c r="AO25" s="1005"/>
      <c r="AP25" s="1005"/>
      <c r="AQ25" s="1005"/>
      <c r="AR25" s="1005"/>
      <c r="AS25" s="1005"/>
      <c r="AT25" s="1005"/>
      <c r="AU25" s="1014"/>
      <c r="AV25" s="1005"/>
      <c r="AW25" s="1005"/>
      <c r="AX25" s="1005"/>
      <c r="AY25" s="1005"/>
      <c r="AZ25" s="1005"/>
      <c r="BA25" s="1005"/>
      <c r="BB25" s="1005"/>
      <c r="BC25" s="1005"/>
      <c r="BD25" s="1005"/>
      <c r="BE25" s="990"/>
      <c r="BF25" s="277"/>
      <c r="BG25" s="277"/>
      <c r="BH25" s="277"/>
      <c r="BI25" s="277"/>
      <c r="BJ25" s="991"/>
      <c r="BK25" s="990"/>
      <c r="BL25" s="277"/>
      <c r="BM25" s="277"/>
      <c r="BN25" s="277"/>
      <c r="BO25" s="991"/>
      <c r="BP25" s="990"/>
      <c r="BQ25" s="277"/>
      <c r="BR25" s="277"/>
      <c r="BS25" s="277"/>
      <c r="BT25" s="991"/>
      <c r="BU25" s="990"/>
      <c r="BV25" s="277"/>
      <c r="BW25" s="277"/>
      <c r="BX25" s="277"/>
      <c r="BY25" s="991"/>
    </row>
    <row r="26" spans="2:77" s="1" customFormat="1">
      <c r="B26" s="979" t="s">
        <v>179</v>
      </c>
      <c r="C26" s="278" t="s">
        <v>174</v>
      </c>
      <c r="D26" s="278">
        <v>2</v>
      </c>
      <c r="E26" s="278" t="s">
        <v>634</v>
      </c>
      <c r="F26" s="278"/>
      <c r="G26" s="982" t="s">
        <v>54</v>
      </c>
      <c r="H26" s="1030" t="s">
        <v>1006</v>
      </c>
      <c r="I26" s="1006"/>
      <c r="J26" s="1046"/>
      <c r="K26" s="1050"/>
      <c r="L26" s="1006"/>
      <c r="M26" s="1006"/>
      <c r="N26" s="1006"/>
      <c r="O26" s="1054"/>
      <c r="P26" s="1006"/>
      <c r="Q26" s="1006"/>
      <c r="R26" s="1006"/>
      <c r="S26" s="992">
        <f>COUNTA(GT[[#This Row],[G30 cp]],GT[[#This Row],[G23 cp]],GT[[#This Row],[G18 cp]],GT[[#This Row],[G13 cp]],GT[[#This Row],[G7 cp]],GT[[#This Row],[G1 cp]])</f>
        <v>0</v>
      </c>
      <c r="T26" s="281">
        <f>MAX(GT[[#This Row],[G30 cp]],GT[[#This Row],[G23 cp]],GT[[#This Row],[G18 cp]],GT[[#This Row],[G13 cp]],GT[[#This Row],[G7 cp]],GT[[#This Row],[G1 cp]])</f>
        <v>0</v>
      </c>
      <c r="U26" s="281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6" s="993">
        <f>MIN(GT[[#This Row],[G30 cp]],GT[[#This Row],[G23 cp]],GT[[#This Row],[G18 cp]],GT[[#This Row],[G13 cp]],GT[[#This Row],[G7 cp]],GT[[#This Row],[G1 cp]])</f>
        <v>0</v>
      </c>
      <c r="W26" s="1015">
        <f>COUNTA(GT[[#This Row],[G30 cp]],GT[[#This Row],[G23 cp]],GT[[#This Row],[G13 cp]])</f>
        <v>0</v>
      </c>
      <c r="X26" s="1006">
        <f>MAX(GT[[#This Row],[G30 cp]],GT[[#This Row],[G23 cp]],GT[[#This Row],[G13 cp]])</f>
        <v>0</v>
      </c>
      <c r="Y26" s="1042">
        <f>( SUM(GT[[#This Row],[G30 cp]],GT[[#This Row],[G23 cp]],GT[[#This Row],[G13 cp]]) -GT[[#This Row],[B1  Max]]) / (GT[[#This Row],[B1 Inn]]-1)</f>
        <v>0</v>
      </c>
      <c r="Z26" s="1016">
        <f>MIN(GT[[#This Row],[G30 cp]],GT[[#This Row],[G23 cp]],GT[[#This Row],[G13 cp]])</f>
        <v>0</v>
      </c>
      <c r="AA26" s="1015">
        <f>COUNTA(GT[[#This Row],[G18 cp]],GT[[#This Row],[G7 cp]],GT[[#This Row],[G1 cp]])</f>
        <v>0</v>
      </c>
      <c r="AB26" s="1006">
        <f>MAX(GT[[#This Row],[G18 cp]],GT[[#This Row],[G7 cp]],GT[[#This Row],[G1 cp]])</f>
        <v>0</v>
      </c>
      <c r="AC26" s="1042">
        <f>( SUM(GT[[#This Row],[G18 cp]],GT[[#This Row],[G7 cp]],GT[[#This Row],[G1 cp]]) - GT[[#This Row],[CHS Max]]) / ( GT[[#This Row],[CHS Inn]] - 1)</f>
        <v>0</v>
      </c>
      <c r="AD26" s="1016">
        <f>MIN(GT[[#This Row],[G18 cp]],GT[[#This Row],[G7 cp]],GT[[#This Row],[G1 cp]])</f>
        <v>0</v>
      </c>
      <c r="AE26" s="1006"/>
      <c r="AF26" s="1006"/>
      <c r="AG26" s="1015">
        <f>GT[[#This Row],[G30 cp]]</f>
        <v>0</v>
      </c>
      <c r="AH26" s="1006">
        <f>GT[[#This Row],[G23 cp]]</f>
        <v>0</v>
      </c>
      <c r="AI26" s="1006">
        <f>GT[[#This Row],[G18 cp]]</f>
        <v>0</v>
      </c>
      <c r="AJ26" s="1006">
        <f>GT[[#This Row],[G13 cp]]</f>
        <v>0</v>
      </c>
      <c r="AK26" s="1006">
        <f>GT[[#This Row],[G7 cp]]</f>
        <v>0</v>
      </c>
      <c r="AL26" s="1016">
        <f>GT[[#This Row],[G1 cp]]</f>
        <v>0</v>
      </c>
      <c r="AM26" s="1015"/>
      <c r="AN26" s="1006"/>
      <c r="AO26" s="1006"/>
      <c r="AP26" s="1006"/>
      <c r="AQ26" s="1006"/>
      <c r="AR26" s="1006"/>
      <c r="AS26" s="1006"/>
      <c r="AT26" s="1006"/>
      <c r="AU26" s="1016"/>
      <c r="AV26" s="1006"/>
      <c r="AW26" s="1006"/>
      <c r="AX26" s="1006"/>
      <c r="AY26" s="1006"/>
      <c r="AZ26" s="1006"/>
      <c r="BA26" s="1006"/>
      <c r="BB26" s="1006"/>
      <c r="BC26" s="1006"/>
      <c r="BD26" s="1006"/>
      <c r="BE26" s="992"/>
      <c r="BF26" s="278"/>
      <c r="BG26" s="278"/>
      <c r="BH26" s="278"/>
      <c r="BI26" s="278"/>
      <c r="BJ26" s="993"/>
      <c r="BK26" s="992"/>
      <c r="BL26" s="278"/>
      <c r="BM26" s="278"/>
      <c r="BN26" s="278"/>
      <c r="BO26" s="993"/>
      <c r="BP26" s="992"/>
      <c r="BQ26" s="278"/>
      <c r="BR26" s="278"/>
      <c r="BS26" s="278"/>
      <c r="BT26" s="993"/>
      <c r="BU26" s="992"/>
      <c r="BV26" s="278"/>
      <c r="BW26" s="278"/>
      <c r="BX26" s="278"/>
      <c r="BY26" s="993"/>
    </row>
    <row r="27" spans="2:77">
      <c r="B27" s="129" t="s">
        <v>179</v>
      </c>
      <c r="C27" s="125" t="s">
        <v>175</v>
      </c>
      <c r="D27" s="125">
        <v>0.5</v>
      </c>
      <c r="E27" s="125" t="s">
        <v>613</v>
      </c>
      <c r="F27" s="125"/>
      <c r="G27" s="210" t="s">
        <v>55</v>
      </c>
      <c r="H27" s="1031"/>
      <c r="I27" s="128"/>
      <c r="J27" s="534"/>
      <c r="K27" s="543"/>
      <c r="L27" s="128"/>
      <c r="M27" s="128"/>
      <c r="N27" s="128"/>
      <c r="O27" s="552"/>
      <c r="P27" s="128"/>
      <c r="Q27" s="128"/>
      <c r="R27" s="128"/>
      <c r="S27" s="124">
        <f>COUNTA(GT[[#This Row],[G30 cp]],GT[[#This Row],[G23 cp]],GT[[#This Row],[G18 cp]],GT[[#This Row],[G13 cp]],GT[[#This Row],[G7 cp]],GT[[#This Row],[G1 cp]])</f>
        <v>0</v>
      </c>
      <c r="T27" s="231">
        <f>MAX(GT[[#This Row],[G30 cp]],GT[[#This Row],[G23 cp]],GT[[#This Row],[G18 cp]],GT[[#This Row],[G13 cp]],GT[[#This Row],[G7 cp]],GT[[#This Row],[G1 cp]])</f>
        <v>0</v>
      </c>
      <c r="U27" s="231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7" s="126">
        <f>MIN(GT[[#This Row],[G30 cp]],GT[[#This Row],[G23 cp]],GT[[#This Row],[G18 cp]],GT[[#This Row],[G13 cp]],GT[[#This Row],[G7 cp]],GT[[#This Row],[G1 cp]])</f>
        <v>0</v>
      </c>
      <c r="W27" s="495">
        <f>COUNTA(GT[[#This Row],[G30 cp]],GT[[#This Row],[G23 cp]],GT[[#This Row],[G13 cp]])</f>
        <v>0</v>
      </c>
      <c r="X27" s="128">
        <f>MAX(GT[[#This Row],[G30 cp]],GT[[#This Row],[G23 cp]],GT[[#This Row],[G13 cp]])</f>
        <v>0</v>
      </c>
      <c r="Y27" s="476">
        <f>( SUM(GT[[#This Row],[G30 cp]],GT[[#This Row],[G23 cp]],GT[[#This Row],[G13 cp]]) -GT[[#This Row],[B1  Max]]) / (GT[[#This Row],[B1 Inn]]-1)</f>
        <v>0</v>
      </c>
      <c r="Z27" s="127">
        <f>MIN(GT[[#This Row],[G30 cp]],GT[[#This Row],[G23 cp]],GT[[#This Row],[G13 cp]])</f>
        <v>0</v>
      </c>
      <c r="AA27" s="495">
        <f>COUNTA(GT[[#This Row],[G18 cp]],GT[[#This Row],[G7 cp]],GT[[#This Row],[G1 cp]])</f>
        <v>0</v>
      </c>
      <c r="AB27" s="128">
        <f>MAX(GT[[#This Row],[G18 cp]],GT[[#This Row],[G7 cp]],GT[[#This Row],[G1 cp]])</f>
        <v>0</v>
      </c>
      <c r="AC27" s="476">
        <f>( SUM(GT[[#This Row],[G18 cp]],GT[[#This Row],[G7 cp]],GT[[#This Row],[G1 cp]]) - GT[[#This Row],[CHS Max]]) / ( GT[[#This Row],[CHS Inn]] - 1)</f>
        <v>0</v>
      </c>
      <c r="AD27" s="127">
        <f>MIN(GT[[#This Row],[G18 cp]],GT[[#This Row],[G7 cp]],GT[[#This Row],[G1 cp]])</f>
        <v>0</v>
      </c>
      <c r="AE27" s="128"/>
      <c r="AF27" s="128"/>
      <c r="AG27" s="495">
        <f>GT[[#This Row],[G30 cp]]</f>
        <v>0</v>
      </c>
      <c r="AH27" s="128">
        <f>GT[[#This Row],[G23 cp]]</f>
        <v>0</v>
      </c>
      <c r="AI27" s="128">
        <f>GT[[#This Row],[G18 cp]]</f>
        <v>0</v>
      </c>
      <c r="AJ27" s="128">
        <f>GT[[#This Row],[G13 cp]]</f>
        <v>0</v>
      </c>
      <c r="AK27" s="128">
        <f>GT[[#This Row],[G7 cp]]</f>
        <v>0</v>
      </c>
      <c r="AL27" s="127">
        <f>GT[[#This Row],[G1 cp]]</f>
        <v>0</v>
      </c>
      <c r="AM27" s="495"/>
      <c r="AN27" s="128"/>
      <c r="AO27" s="128"/>
      <c r="AP27" s="128"/>
      <c r="AQ27" s="128"/>
      <c r="AR27" s="128"/>
      <c r="AS27" s="128"/>
      <c r="AT27" s="128"/>
      <c r="AU27" s="127"/>
      <c r="AV27" s="128"/>
      <c r="AW27" s="128"/>
      <c r="AX27" s="128"/>
      <c r="AY27" s="128"/>
      <c r="AZ27" s="128"/>
      <c r="BA27" s="128"/>
      <c r="BB27" s="128"/>
      <c r="BC27" s="128"/>
      <c r="BD27" s="128"/>
      <c r="BE27" s="124"/>
      <c r="BF27" s="125"/>
      <c r="BG27" s="125"/>
      <c r="BH27" s="125"/>
      <c r="BI27" s="125"/>
      <c r="BJ27" s="126"/>
      <c r="BK27" s="124"/>
      <c r="BL27" s="125"/>
      <c r="BM27" s="125"/>
      <c r="BN27" s="125"/>
      <c r="BO27" s="126"/>
      <c r="BP27" s="124"/>
      <c r="BQ27" s="125"/>
      <c r="BR27" s="125"/>
      <c r="BS27" s="125"/>
      <c r="BT27" s="126"/>
      <c r="BU27" s="124"/>
      <c r="BV27" s="125"/>
      <c r="BW27" s="125"/>
      <c r="BX27" s="125"/>
      <c r="BY27" s="126"/>
    </row>
    <row r="28" spans="2:77">
      <c r="B28" s="39" t="s">
        <v>179</v>
      </c>
      <c r="C28" s="37" t="s">
        <v>171</v>
      </c>
      <c r="D28" s="37">
        <v>0.2</v>
      </c>
      <c r="E28" s="37"/>
      <c r="F28" s="37"/>
      <c r="G28" s="94" t="s">
        <v>55</v>
      </c>
      <c r="H28" s="1025"/>
      <c r="I28" s="69"/>
      <c r="J28" s="532"/>
      <c r="K28" s="541"/>
      <c r="L28" s="69"/>
      <c r="M28" s="69"/>
      <c r="N28" s="69"/>
      <c r="O28" s="550"/>
      <c r="P28" s="69"/>
      <c r="Q28" s="69"/>
      <c r="R28" s="69"/>
      <c r="S28" s="36">
        <f>COUNTA(GT[[#This Row],[G30 cp]],GT[[#This Row],[G23 cp]],GT[[#This Row],[G18 cp]],GT[[#This Row],[G13 cp]],GT[[#This Row],[G7 cp]],GT[[#This Row],[G1 cp]])</f>
        <v>0</v>
      </c>
      <c r="T28" s="230">
        <f>MAX(GT[[#This Row],[G30 cp]],GT[[#This Row],[G23 cp]],GT[[#This Row],[G18 cp]],GT[[#This Row],[G13 cp]],GT[[#This Row],[G7 cp]],GT[[#This Row],[G1 cp]])</f>
        <v>0</v>
      </c>
      <c r="U28" s="23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8" s="38">
        <f>MIN(GT[[#This Row],[G30 cp]],GT[[#This Row],[G23 cp]],GT[[#This Row],[G18 cp]],GT[[#This Row],[G13 cp]],GT[[#This Row],[G7 cp]],GT[[#This Row],[G1 cp]])</f>
        <v>0</v>
      </c>
      <c r="W28" s="494">
        <f>COUNTA(GT[[#This Row],[G30 cp]],GT[[#This Row],[G23 cp]],GT[[#This Row],[G13 cp]])</f>
        <v>0</v>
      </c>
      <c r="X28" s="69">
        <f>MAX(GT[[#This Row],[G30 cp]],GT[[#This Row],[G23 cp]],GT[[#This Row],[G13 cp]])</f>
        <v>0</v>
      </c>
      <c r="Y28" s="475">
        <f>( SUM(GT[[#This Row],[G30 cp]],GT[[#This Row],[G23 cp]],GT[[#This Row],[G13 cp]]) -GT[[#This Row],[B1  Max]]) / (GT[[#This Row],[B1 Inn]]-1)</f>
        <v>0</v>
      </c>
      <c r="Z28" s="66">
        <f>MIN(GT[[#This Row],[G30 cp]],GT[[#This Row],[G23 cp]],GT[[#This Row],[G13 cp]])</f>
        <v>0</v>
      </c>
      <c r="AA28" s="494">
        <f>COUNTA(GT[[#This Row],[G18 cp]],GT[[#This Row],[G7 cp]],GT[[#This Row],[G1 cp]])</f>
        <v>0</v>
      </c>
      <c r="AB28" s="69">
        <f>MAX(GT[[#This Row],[G18 cp]],GT[[#This Row],[G7 cp]],GT[[#This Row],[G1 cp]])</f>
        <v>0</v>
      </c>
      <c r="AC28" s="475">
        <f>( SUM(GT[[#This Row],[G18 cp]],GT[[#This Row],[G7 cp]],GT[[#This Row],[G1 cp]]) - GT[[#This Row],[CHS Max]]) / ( GT[[#This Row],[CHS Inn]] - 1)</f>
        <v>0</v>
      </c>
      <c r="AD28" s="66">
        <f>MIN(GT[[#This Row],[G18 cp]],GT[[#This Row],[G7 cp]],GT[[#This Row],[G1 cp]])</f>
        <v>0</v>
      </c>
      <c r="AE28" s="69"/>
      <c r="AF28" s="69"/>
      <c r="AG28" s="494">
        <f>GT[[#This Row],[G30 cp]]</f>
        <v>0</v>
      </c>
      <c r="AH28" s="69">
        <f>GT[[#This Row],[G23 cp]]</f>
        <v>0</v>
      </c>
      <c r="AI28" s="69">
        <f>GT[[#This Row],[G18 cp]]</f>
        <v>0</v>
      </c>
      <c r="AJ28" s="69">
        <f>GT[[#This Row],[G13 cp]]</f>
        <v>0</v>
      </c>
      <c r="AK28" s="69">
        <f>GT[[#This Row],[G7 cp]]</f>
        <v>0</v>
      </c>
      <c r="AL28" s="66">
        <f>GT[[#This Row],[G1 cp]]</f>
        <v>0</v>
      </c>
      <c r="AM28" s="494"/>
      <c r="AN28" s="69"/>
      <c r="AO28" s="69"/>
      <c r="AP28" s="69"/>
      <c r="AQ28" s="69"/>
      <c r="AR28" s="69"/>
      <c r="AS28" s="69"/>
      <c r="AT28" s="69"/>
      <c r="AU28" s="66"/>
      <c r="AV28" s="69"/>
      <c r="AW28" s="69"/>
      <c r="AX28" s="69"/>
      <c r="AY28" s="69"/>
      <c r="AZ28" s="69"/>
      <c r="BA28" s="69"/>
      <c r="BB28" s="69"/>
      <c r="BC28" s="69"/>
      <c r="BD28" s="69"/>
      <c r="BE28" s="36"/>
      <c r="BF28" s="37"/>
      <c r="BG28" s="37"/>
      <c r="BH28" s="37"/>
      <c r="BI28" s="37"/>
      <c r="BJ28" s="38"/>
      <c r="BK28" s="36"/>
      <c r="BL28" s="37"/>
      <c r="BM28" s="37"/>
      <c r="BN28" s="37"/>
      <c r="BO28" s="38"/>
      <c r="BP28" s="36"/>
      <c r="BQ28" s="37"/>
      <c r="BR28" s="37"/>
      <c r="BS28" s="37"/>
      <c r="BT28" s="38"/>
      <c r="BU28" s="36"/>
      <c r="BV28" s="37"/>
      <c r="BW28" s="37"/>
      <c r="BX28" s="37"/>
      <c r="BY28" s="38"/>
    </row>
    <row r="29" spans="2:77">
      <c r="B29" s="43" t="s">
        <v>179</v>
      </c>
      <c r="C29" s="41" t="s">
        <v>170</v>
      </c>
      <c r="D29" s="41">
        <v>0.2</v>
      </c>
      <c r="E29" s="41"/>
      <c r="F29" s="41"/>
      <c r="G29" s="95" t="s">
        <v>56</v>
      </c>
      <c r="H29" s="1028"/>
      <c r="I29" s="70"/>
      <c r="J29" s="536"/>
      <c r="K29" s="545"/>
      <c r="L29" s="70"/>
      <c r="M29" s="70"/>
      <c r="N29" s="70"/>
      <c r="O29" s="554"/>
      <c r="P29" s="70"/>
      <c r="Q29" s="70"/>
      <c r="R29" s="70"/>
      <c r="S29" s="40">
        <f>COUNTA(GT[[#This Row],[G30 cp]],GT[[#This Row],[G23 cp]],GT[[#This Row],[G18 cp]],GT[[#This Row],[G13 cp]],GT[[#This Row],[G7 cp]],GT[[#This Row],[G1 cp]])</f>
        <v>0</v>
      </c>
      <c r="T29" s="234">
        <f>MAX(GT[[#This Row],[G30 cp]],GT[[#This Row],[G23 cp]],GT[[#This Row],[G18 cp]],GT[[#This Row],[G13 cp]],GT[[#This Row],[G7 cp]],GT[[#This Row],[G1 cp]])</f>
        <v>0</v>
      </c>
      <c r="U29" s="234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9" s="42">
        <f>MIN(GT[[#This Row],[G30 cp]],GT[[#This Row],[G23 cp]],GT[[#This Row],[G18 cp]],GT[[#This Row],[G13 cp]],GT[[#This Row],[G7 cp]],GT[[#This Row],[G1 cp]])</f>
        <v>0</v>
      </c>
      <c r="W29" s="498">
        <f>COUNTA(GT[[#This Row],[G30 cp]],GT[[#This Row],[G23 cp]],GT[[#This Row],[G13 cp]])</f>
        <v>0</v>
      </c>
      <c r="X29" s="70">
        <f>MAX(GT[[#This Row],[G30 cp]],GT[[#This Row],[G23 cp]],GT[[#This Row],[G13 cp]])</f>
        <v>0</v>
      </c>
      <c r="Y29" s="479">
        <f>( SUM(GT[[#This Row],[G30 cp]],GT[[#This Row],[G23 cp]],GT[[#This Row],[G13 cp]]) -GT[[#This Row],[B1  Max]]) / (GT[[#This Row],[B1 Inn]]-1)</f>
        <v>0</v>
      </c>
      <c r="Z29" s="67">
        <f>MIN(GT[[#This Row],[G30 cp]],GT[[#This Row],[G23 cp]],GT[[#This Row],[G13 cp]])</f>
        <v>0</v>
      </c>
      <c r="AA29" s="498">
        <f>COUNTA(GT[[#This Row],[G18 cp]],GT[[#This Row],[G7 cp]],GT[[#This Row],[G1 cp]])</f>
        <v>0</v>
      </c>
      <c r="AB29" s="70">
        <f>MAX(GT[[#This Row],[G18 cp]],GT[[#This Row],[G7 cp]],GT[[#This Row],[G1 cp]])</f>
        <v>0</v>
      </c>
      <c r="AC29" s="479">
        <f>( SUM(GT[[#This Row],[G18 cp]],GT[[#This Row],[G7 cp]],GT[[#This Row],[G1 cp]]) - GT[[#This Row],[CHS Max]]) / ( GT[[#This Row],[CHS Inn]] - 1)</f>
        <v>0</v>
      </c>
      <c r="AD29" s="67">
        <f>MIN(GT[[#This Row],[G18 cp]],GT[[#This Row],[G7 cp]],GT[[#This Row],[G1 cp]])</f>
        <v>0</v>
      </c>
      <c r="AE29" s="70"/>
      <c r="AF29" s="70"/>
      <c r="AG29" s="498">
        <f>GT[[#This Row],[G30 cp]]</f>
        <v>0</v>
      </c>
      <c r="AH29" s="70">
        <f>GT[[#This Row],[G23 cp]]</f>
        <v>0</v>
      </c>
      <c r="AI29" s="70">
        <f>GT[[#This Row],[G18 cp]]</f>
        <v>0</v>
      </c>
      <c r="AJ29" s="70">
        <f>GT[[#This Row],[G13 cp]]</f>
        <v>0</v>
      </c>
      <c r="AK29" s="70">
        <f>GT[[#This Row],[G7 cp]]</f>
        <v>0</v>
      </c>
      <c r="AL29" s="67">
        <f>GT[[#This Row],[G1 cp]]</f>
        <v>0</v>
      </c>
      <c r="AM29" s="498"/>
      <c r="AN29" s="70"/>
      <c r="AO29" s="70"/>
      <c r="AP29" s="70"/>
      <c r="AQ29" s="70"/>
      <c r="AR29" s="70"/>
      <c r="AS29" s="70"/>
      <c r="AT29" s="70"/>
      <c r="AU29" s="67"/>
      <c r="AV29" s="70"/>
      <c r="AW29" s="70"/>
      <c r="AX29" s="70"/>
      <c r="AY29" s="70"/>
      <c r="AZ29" s="70"/>
      <c r="BA29" s="70"/>
      <c r="BB29" s="70"/>
      <c r="BC29" s="70"/>
      <c r="BD29" s="70"/>
      <c r="BE29" s="40"/>
      <c r="BF29" s="41"/>
      <c r="BG29" s="41"/>
      <c r="BH29" s="41"/>
      <c r="BI29" s="41"/>
      <c r="BJ29" s="42"/>
      <c r="BK29" s="40"/>
      <c r="BL29" s="41"/>
      <c r="BM29" s="41"/>
      <c r="BN29" s="41"/>
      <c r="BO29" s="42"/>
      <c r="BP29" s="40"/>
      <c r="BQ29" s="41"/>
      <c r="BR29" s="41"/>
      <c r="BS29" s="41"/>
      <c r="BT29" s="42"/>
      <c r="BU29" s="40"/>
      <c r="BV29" s="41"/>
      <c r="BW29" s="41"/>
      <c r="BX29" s="41"/>
      <c r="BY29" s="42"/>
    </row>
    <row r="30" spans="2:77" ht="15" thickBot="1">
      <c r="B30" s="985" t="s">
        <v>179</v>
      </c>
      <c r="C30" s="986" t="s">
        <v>178</v>
      </c>
      <c r="D30" s="986">
        <v>0.2</v>
      </c>
      <c r="E30" s="986"/>
      <c r="F30" s="986"/>
      <c r="G30" s="987" t="s">
        <v>75</v>
      </c>
      <c r="H30" s="1032"/>
      <c r="I30" s="1033"/>
      <c r="J30" s="1047"/>
      <c r="K30" s="1051"/>
      <c r="L30" s="1033"/>
      <c r="M30" s="1033"/>
      <c r="N30" s="1033"/>
      <c r="O30" s="1055"/>
      <c r="P30" s="1033"/>
      <c r="Q30" s="1033"/>
      <c r="R30" s="1033"/>
      <c r="S30" s="994">
        <f>COUNTA(GT[[#This Row],[G30 cp]],GT[[#This Row],[G23 cp]],GT[[#This Row],[G18 cp]],GT[[#This Row],[G13 cp]],GT[[#This Row],[G7 cp]],GT[[#This Row],[G1 cp]])</f>
        <v>0</v>
      </c>
      <c r="T30" s="995">
        <f>MAX(GT[[#This Row],[G30 cp]],GT[[#This Row],[G23 cp]],GT[[#This Row],[G18 cp]],GT[[#This Row],[G13 cp]],GT[[#This Row],[G7 cp]],GT[[#This Row],[G1 cp]])</f>
        <v>0</v>
      </c>
      <c r="U30" s="995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30" s="996">
        <f>MIN(GT[[#This Row],[G30 cp]],GT[[#This Row],[G23 cp]],GT[[#This Row],[G18 cp]],GT[[#This Row],[G13 cp]],GT[[#This Row],[G7 cp]],GT[[#This Row],[G1 cp]])</f>
        <v>0</v>
      </c>
      <c r="W30" s="1017">
        <f>COUNTA(GT[[#This Row],[G30 cp]],GT[[#This Row],[G23 cp]],GT[[#This Row],[G13 cp]])</f>
        <v>0</v>
      </c>
      <c r="X30" s="1007">
        <f>MAX(GT[[#This Row],[G30 cp]],GT[[#This Row],[G23 cp]],GT[[#This Row],[G13 cp]])</f>
        <v>0</v>
      </c>
      <c r="Y30" s="1043">
        <f>( SUM(GT[[#This Row],[G30 cp]],GT[[#This Row],[G23 cp]],GT[[#This Row],[G13 cp]]) -GT[[#This Row],[B1  Max]]) / (GT[[#This Row],[B1 Inn]]-1)</f>
        <v>0</v>
      </c>
      <c r="Z30" s="1018">
        <f>MIN(GT[[#This Row],[G30 cp]],GT[[#This Row],[G23 cp]],GT[[#This Row],[G13 cp]])</f>
        <v>0</v>
      </c>
      <c r="AA30" s="1017">
        <f>COUNTA(GT[[#This Row],[G18 cp]],GT[[#This Row],[G7 cp]],GT[[#This Row],[G1 cp]])</f>
        <v>0</v>
      </c>
      <c r="AB30" s="1007">
        <f>MAX(GT[[#This Row],[G18 cp]],GT[[#This Row],[G7 cp]],GT[[#This Row],[G1 cp]])</f>
        <v>0</v>
      </c>
      <c r="AC30" s="1043">
        <f>( SUM(GT[[#This Row],[G18 cp]],GT[[#This Row],[G7 cp]],GT[[#This Row],[G1 cp]]) - GT[[#This Row],[CHS Max]]) / ( GT[[#This Row],[CHS Inn]] - 1)</f>
        <v>0</v>
      </c>
      <c r="AD30" s="1018">
        <f>MIN(GT[[#This Row],[G18 cp]],GT[[#This Row],[G7 cp]],GT[[#This Row],[G1 cp]])</f>
        <v>0</v>
      </c>
      <c r="AE30" s="1007"/>
      <c r="AF30" s="1007"/>
      <c r="AG30" s="1017">
        <f>GT[[#This Row],[G30 cp]]</f>
        <v>0</v>
      </c>
      <c r="AH30" s="1007">
        <f>GT[[#This Row],[G23 cp]]</f>
        <v>0</v>
      </c>
      <c r="AI30" s="1007">
        <f>GT[[#This Row],[G18 cp]]</f>
        <v>0</v>
      </c>
      <c r="AJ30" s="1007">
        <f>GT[[#This Row],[G13 cp]]</f>
        <v>0</v>
      </c>
      <c r="AK30" s="1007">
        <f>GT[[#This Row],[G7 cp]]</f>
        <v>0</v>
      </c>
      <c r="AL30" s="1018">
        <f>GT[[#This Row],[G1 cp]]</f>
        <v>0</v>
      </c>
      <c r="AM30" s="1017"/>
      <c r="AN30" s="1007"/>
      <c r="AO30" s="1007"/>
      <c r="AP30" s="1007"/>
      <c r="AQ30" s="1007"/>
      <c r="AR30" s="1007"/>
      <c r="AS30" s="1007"/>
      <c r="AT30" s="1007"/>
      <c r="AU30" s="1018"/>
      <c r="AV30" s="1007"/>
      <c r="AW30" s="1007"/>
      <c r="AX30" s="1007"/>
      <c r="AY30" s="1007"/>
      <c r="AZ30" s="1007"/>
      <c r="BA30" s="1007"/>
      <c r="BB30" s="1007"/>
      <c r="BC30" s="1007"/>
      <c r="BD30" s="1007"/>
      <c r="BE30" s="994"/>
      <c r="BF30" s="1000"/>
      <c r="BG30" s="1000"/>
      <c r="BH30" s="1000"/>
      <c r="BI30" s="1000"/>
      <c r="BJ30" s="996"/>
      <c r="BK30" s="994"/>
      <c r="BL30" s="1000"/>
      <c r="BM30" s="1000"/>
      <c r="BN30" s="1000"/>
      <c r="BO30" s="996"/>
      <c r="BP30" s="994"/>
      <c r="BQ30" s="1000"/>
      <c r="BR30" s="1000"/>
      <c r="BS30" s="1000"/>
      <c r="BT30" s="996"/>
      <c r="BU30" s="994"/>
      <c r="BV30" s="1000"/>
      <c r="BW30" s="1000"/>
      <c r="BX30" s="1000"/>
      <c r="BY30" s="996"/>
    </row>
  </sheetData>
  <sortState xmlns:xlrd2="http://schemas.microsoft.com/office/spreadsheetml/2017/richdata2" ref="B6:BY30">
    <sortCondition ref="BE6:BE30"/>
    <sortCondition ref="BK6:BK30"/>
    <sortCondition ref="BP6:BP30"/>
    <sortCondition ref="BU6:BU30"/>
    <sortCondition descending="1" ref="D6:D30"/>
  </sortState>
  <phoneticPr fontId="26" type="noConversion"/>
  <conditionalFormatting sqref="T6:T30">
    <cfRule type="colorScale" priority="9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8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6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5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B6:AB30">
    <cfRule type="colorScale" priority="3">
      <colorScale>
        <cfvo type="min"/>
        <cfvo type="max"/>
        <color rgb="FFFCFCFF"/>
        <color rgb="FF63BE7B"/>
      </colorScale>
    </cfRule>
  </conditionalFormatting>
  <conditionalFormatting sqref="AC6:AC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D6:AF30">
    <cfRule type="colorScale" priority="327">
      <colorScale>
        <cfvo type="min"/>
        <cfvo type="max"/>
        <color rgb="FFFCFCFF"/>
        <color rgb="FF63BE7B"/>
      </colorScale>
    </cfRule>
  </conditionalFormatting>
  <conditionalFormatting sqref="AG6:AL30 V6:V30">
    <cfRule type="colorScale" priority="32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E862-96BE-4A5E-A392-F12578BA4A04}">
  <dimension ref="B1:BR31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C5" sqref="C5:C31"/>
    </sheetView>
  </sheetViews>
  <sheetFormatPr defaultRowHeight="14.4"/>
  <cols>
    <col min="1" max="1" width="2.77734375" customWidth="1"/>
    <col min="2" max="2" width="7.21875" customWidth="1"/>
    <col min="3" max="3" width="22.109375" bestFit="1" customWidth="1"/>
    <col min="4" max="4" width="13.21875" customWidth="1"/>
    <col min="5" max="5" width="11.88671875" bestFit="1" customWidth="1"/>
    <col min="6" max="6" width="13.6640625" customWidth="1"/>
    <col min="7" max="7" width="12.33203125" customWidth="1"/>
    <col min="8" max="8" width="13.33203125" style="351" bestFit="1" customWidth="1"/>
    <col min="9" max="9" width="10.88671875" style="361" customWidth="1"/>
    <col min="10" max="10" width="10.44140625" style="370" customWidth="1"/>
    <col min="11" max="11" width="10.44140625" customWidth="1"/>
    <col min="12" max="12" width="10.44140625" style="379" customWidth="1"/>
    <col min="13" max="13" width="10.44140625" customWidth="1"/>
    <col min="14" max="14" width="6.44140625" customWidth="1"/>
    <col min="15" max="15" width="9.33203125" customWidth="1"/>
    <col min="16" max="16" width="6.5546875" customWidth="1"/>
    <col min="17" max="20" width="9" customWidth="1"/>
    <col min="21" max="21" width="8.21875" customWidth="1"/>
    <col min="22" max="22" width="7" customWidth="1"/>
    <col min="23" max="23" width="6.21875" customWidth="1"/>
    <col min="24" max="24" width="8.77734375" customWidth="1"/>
    <col min="25" max="25" width="7.77734375" customWidth="1"/>
    <col min="26" max="26" width="6.77734375" customWidth="1"/>
    <col min="27" max="27" width="7.77734375" customWidth="1"/>
    <col min="28" max="28" width="9.44140625" customWidth="1"/>
    <col min="29" max="29" width="9.88671875" customWidth="1"/>
    <col min="30" max="30" width="7" customWidth="1"/>
    <col min="31" max="31" width="7.109375" customWidth="1"/>
    <col min="32" max="33" width="7.77734375" customWidth="1"/>
    <col min="34" max="34" width="9.44140625" customWidth="1"/>
    <col min="35" max="35" width="9.88671875" customWidth="1"/>
    <col min="36" max="36" width="7" customWidth="1"/>
    <col min="37" max="37" width="11.33203125" bestFit="1" customWidth="1"/>
    <col min="38" max="38" width="9" customWidth="1"/>
    <col min="39" max="39" width="9.44140625" customWidth="1"/>
    <col min="40" max="40" width="9.88671875" customWidth="1"/>
    <col min="41" max="41" width="6.109375" customWidth="1"/>
    <col min="42" max="42" width="10.77734375" bestFit="1" customWidth="1"/>
    <col min="43" max="43" width="8.21875" customWidth="1"/>
    <col min="44" max="44" width="8.6640625" customWidth="1"/>
    <col min="45" max="45" width="7.77734375" customWidth="1"/>
  </cols>
  <sheetData>
    <row r="1" spans="2:70">
      <c r="H1"/>
      <c r="I1"/>
      <c r="J1"/>
      <c r="L1"/>
    </row>
    <row r="2" spans="2:70">
      <c r="H2"/>
      <c r="I2"/>
      <c r="J2"/>
      <c r="L2"/>
      <c r="AD2" t="s">
        <v>1289</v>
      </c>
      <c r="AF2" s="276" t="s">
        <v>1292</v>
      </c>
      <c r="AG2" s="283" t="s">
        <v>1293</v>
      </c>
      <c r="AH2" s="283" t="s">
        <v>1349</v>
      </c>
      <c r="AI2" s="275" t="s">
        <v>1308</v>
      </c>
      <c r="AJ2" s="276" t="s">
        <v>1347</v>
      </c>
      <c r="AK2" s="276" t="s">
        <v>1291</v>
      </c>
      <c r="AL2" s="283"/>
    </row>
    <row r="3" spans="2:70">
      <c r="H3"/>
      <c r="I3"/>
      <c r="J3"/>
      <c r="L3"/>
      <c r="AD3" t="s">
        <v>1096</v>
      </c>
      <c r="AF3" s="276" t="s">
        <v>1092</v>
      </c>
      <c r="AG3" s="283" t="s">
        <v>1130</v>
      </c>
      <c r="AH3" s="283" t="s">
        <v>1092</v>
      </c>
      <c r="AI3" s="275" t="s">
        <v>1157</v>
      </c>
      <c r="AJ3" s="276" t="s">
        <v>1092</v>
      </c>
      <c r="AK3" s="276" t="s">
        <v>1112</v>
      </c>
      <c r="AL3" s="276" t="s">
        <v>1434</v>
      </c>
      <c r="AM3" s="276"/>
      <c r="AN3" s="276"/>
      <c r="AO3" s="276"/>
      <c r="AP3" s="276"/>
      <c r="AQ3" s="276"/>
      <c r="AR3" s="276"/>
      <c r="AS3" s="283"/>
      <c r="AU3" s="283" t="s">
        <v>1445</v>
      </c>
      <c r="AW3" s="283" t="s">
        <v>980</v>
      </c>
      <c r="BC3" s="283" t="s">
        <v>986</v>
      </c>
      <c r="BI3" s="276" t="s">
        <v>987</v>
      </c>
      <c r="BN3" s="276" t="s">
        <v>988</v>
      </c>
    </row>
    <row r="4" spans="2:70" ht="15" thickBot="1">
      <c r="H4"/>
      <c r="I4"/>
      <c r="J4"/>
      <c r="L4"/>
      <c r="AF4" s="276" t="s">
        <v>1132</v>
      </c>
      <c r="AG4" s="283" t="s">
        <v>933</v>
      </c>
      <c r="AH4" s="283" t="s">
        <v>933</v>
      </c>
      <c r="AI4" s="275" t="s">
        <v>1132</v>
      </c>
      <c r="AJ4" s="276" t="s">
        <v>933</v>
      </c>
      <c r="AK4" s="276" t="s">
        <v>933</v>
      </c>
      <c r="AL4" s="276" t="s">
        <v>1260</v>
      </c>
      <c r="AM4" s="276"/>
      <c r="AN4" s="276"/>
      <c r="AO4" s="276"/>
      <c r="AP4" s="276"/>
      <c r="AQ4" s="276"/>
      <c r="AR4" s="276"/>
      <c r="AS4" s="283"/>
      <c r="AU4" s="283" t="s">
        <v>1162</v>
      </c>
      <c r="AV4" s="283"/>
      <c r="AW4" s="283" t="s">
        <v>1283</v>
      </c>
      <c r="AX4" s="283"/>
      <c r="AY4" s="283"/>
      <c r="AZ4" s="283"/>
      <c r="BC4" s="283" t="s">
        <v>1432</v>
      </c>
      <c r="BD4" s="276"/>
      <c r="BE4" s="276"/>
      <c r="BI4" s="276" t="s">
        <v>1283</v>
      </c>
      <c r="BJ4" s="276"/>
      <c r="BK4" s="276"/>
      <c r="BN4" s="276" t="s">
        <v>1111</v>
      </c>
    </row>
    <row r="5" spans="2:70" ht="37.799999999999997" customHeight="1" thickBot="1">
      <c r="B5" s="1059" t="s">
        <v>131</v>
      </c>
      <c r="C5" s="772" t="s">
        <v>0</v>
      </c>
      <c r="D5" s="772" t="s">
        <v>766</v>
      </c>
      <c r="E5" s="772" t="s">
        <v>719</v>
      </c>
      <c r="F5" s="772" t="s">
        <v>119</v>
      </c>
      <c r="G5" s="955" t="s">
        <v>252</v>
      </c>
      <c r="H5" s="93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993</v>
      </c>
      <c r="O5" s="695" t="s">
        <v>1216</v>
      </c>
      <c r="P5" s="695" t="s">
        <v>1217</v>
      </c>
      <c r="Q5" s="695" t="s">
        <v>1218</v>
      </c>
      <c r="R5" s="697" t="s">
        <v>1198</v>
      </c>
      <c r="S5" s="698" t="s">
        <v>367</v>
      </c>
      <c r="T5" s="698" t="s">
        <v>776</v>
      </c>
      <c r="U5" s="1060" t="s">
        <v>778</v>
      </c>
      <c r="V5" s="319" t="s">
        <v>1274</v>
      </c>
      <c r="W5" s="192" t="s">
        <v>1424</v>
      </c>
      <c r="X5" s="192" t="s">
        <v>1425</v>
      </c>
      <c r="Y5" s="192" t="s">
        <v>1115</v>
      </c>
      <c r="Z5" s="1034" t="s">
        <v>1275</v>
      </c>
      <c r="AA5" s="1035" t="s">
        <v>1426</v>
      </c>
      <c r="AB5" s="1035" t="s">
        <v>1427</v>
      </c>
      <c r="AC5" s="1036" t="s">
        <v>1428</v>
      </c>
      <c r="AD5" s="1035" t="s">
        <v>1429</v>
      </c>
      <c r="AE5" s="1035" t="s">
        <v>1430</v>
      </c>
      <c r="AF5" s="438" t="s">
        <v>1444</v>
      </c>
      <c r="AG5" s="324" t="s">
        <v>1156</v>
      </c>
      <c r="AH5" s="324" t="s">
        <v>978</v>
      </c>
      <c r="AI5" s="324" t="s">
        <v>795</v>
      </c>
      <c r="AJ5" s="324" t="s">
        <v>739</v>
      </c>
      <c r="AK5" s="439" t="s">
        <v>482</v>
      </c>
      <c r="AL5" s="203" t="s">
        <v>1153</v>
      </c>
      <c r="AM5" s="189" t="s">
        <v>1435</v>
      </c>
      <c r="AN5" s="189" t="s">
        <v>1436</v>
      </c>
      <c r="AO5" s="189" t="s">
        <v>1437</v>
      </c>
      <c r="AP5" s="189" t="s">
        <v>1438</v>
      </c>
      <c r="AQ5" s="189" t="s">
        <v>1439</v>
      </c>
      <c r="AR5" s="189" t="s">
        <v>1440</v>
      </c>
      <c r="AS5" s="189" t="s">
        <v>1441</v>
      </c>
      <c r="AT5" s="190" t="s">
        <v>1433</v>
      </c>
      <c r="AU5" s="1079" t="s">
        <v>1133</v>
      </c>
      <c r="AV5" s="1080" t="s">
        <v>1341</v>
      </c>
      <c r="AW5" s="957" t="s">
        <v>973</v>
      </c>
      <c r="AX5" s="957" t="s">
        <v>974</v>
      </c>
      <c r="AY5" s="957" t="s">
        <v>975</v>
      </c>
      <c r="AZ5" s="957" t="s">
        <v>976</v>
      </c>
      <c r="BA5" s="957" t="s">
        <v>977</v>
      </c>
      <c r="BB5" s="958" t="s">
        <v>1310</v>
      </c>
      <c r="BC5" s="956" t="s">
        <v>790</v>
      </c>
      <c r="BD5" s="957" t="s">
        <v>791</v>
      </c>
      <c r="BE5" s="957" t="s">
        <v>792</v>
      </c>
      <c r="BF5" s="957" t="s">
        <v>793</v>
      </c>
      <c r="BG5" s="957" t="s">
        <v>794</v>
      </c>
      <c r="BH5" s="958" t="s">
        <v>1265</v>
      </c>
      <c r="BI5" s="1061" t="s">
        <v>735</v>
      </c>
      <c r="BJ5" s="1062" t="s">
        <v>736</v>
      </c>
      <c r="BK5" s="1062" t="s">
        <v>737</v>
      </c>
      <c r="BL5" s="1062" t="s">
        <v>738</v>
      </c>
      <c r="BM5" s="1063" t="s">
        <v>1266</v>
      </c>
      <c r="BN5" s="1064" t="s">
        <v>391</v>
      </c>
      <c r="BO5" s="1065" t="s">
        <v>393</v>
      </c>
      <c r="BP5" s="1065" t="s">
        <v>392</v>
      </c>
      <c r="BQ5" s="1065" t="s">
        <v>394</v>
      </c>
      <c r="BR5" s="1066" t="s">
        <v>1229</v>
      </c>
    </row>
    <row r="6" spans="2:70">
      <c r="B6" s="99" t="s">
        <v>134</v>
      </c>
      <c r="C6" s="26" t="s">
        <v>3</v>
      </c>
      <c r="D6" s="26">
        <v>16</v>
      </c>
      <c r="E6" s="26" t="s">
        <v>142</v>
      </c>
      <c r="F6" s="26" t="s">
        <v>54</v>
      </c>
      <c r="G6" s="31" t="s">
        <v>54</v>
      </c>
      <c r="H6" s="353" t="s">
        <v>1122</v>
      </c>
      <c r="I6" s="362"/>
      <c r="J6" s="371"/>
      <c r="K6" s="118"/>
      <c r="L6" s="118"/>
      <c r="M6" s="118"/>
      <c r="N6" s="380"/>
      <c r="O6" s="118"/>
      <c r="P6" s="118"/>
      <c r="Q6" s="118"/>
      <c r="R6" s="85">
        <f>COUNTA(MI[[#This Row],[G31 cp]],MI[[#This Row],[G25 cp]],MI[[#This Row],[G22 cp]],MI[[#This Row],[G16 cp]],MI[[#This Row],[G12 cp]],MI[[#This Row],[G5 cp]])</f>
        <v>6</v>
      </c>
      <c r="S6" s="261">
        <f>MAX(MI[[#This Row],[G31 cp]],MI[[#This Row],[G25 cp]],MI[[#This Row],[G22 cp]],MI[[#This Row],[G16 cp]],MI[[#This Row],[G12 cp]],MI[[#This Row],[G5 cp]])</f>
        <v>91</v>
      </c>
      <c r="T6" s="261">
        <f>( SUM(MI[[#This Row],[G31 cp]],MI[[#This Row],[G25 cp]],MI[[#This Row],[G22 cp]],MI[[#This Row],[G16 cp]],MI[[#This Row],[G12 cp]],MI[[#This Row],[G5 cp]]) - MI[[#This Row],[Max.]]) / (MI[[#This Row],[Innings]]-1)</f>
        <v>32.6</v>
      </c>
      <c r="U6" s="89">
        <f>MIN(MI[[#This Row],[G31 cp]],MI[[#This Row],[G25 cp]],MI[[#This Row],[G22 cp]],MI[[#This Row],[G16 cp]],MI[[#This Row],[G12 cp]],MI[[#This Row],[G5 cp]])</f>
        <v>1</v>
      </c>
      <c r="V6" s="87">
        <f>COUNTA(MI[[#This Row],[G25 cp]],MI[[#This Row],[G22 cp]],MI[[#This Row],[G12 cp]],MI[[#This Row],[G5 cp]])</f>
        <v>4</v>
      </c>
      <c r="W6" s="87">
        <f>MAX(MI[[#This Row],[G25 cp]],MI[[#This Row],[G22 cp]],MI[[#This Row],[G12 cp]],MI[[#This Row],[G5 cp]])</f>
        <v>46</v>
      </c>
      <c r="X6" s="316">
        <f>( SUM(MI[[#This Row],[G25 cp]],MI[[#This Row],[G22 cp]],MI[[#This Row],[G12 cp]],MI[[#This Row],[G5 cp]]) - MI[[#This Row],[B1  Max]]) / (MI[[#This Row],[B1 Inn]]-1)</f>
        <v>19.666666666666668</v>
      </c>
      <c r="Y6" s="87">
        <f>MIN(MI[[#This Row],[G25 cp]],MI[[#This Row],[G22 cp]],MI[[#This Row],[G12 cp]],MI[[#This Row],[G5 cp]])</f>
        <v>1</v>
      </c>
      <c r="Z6" s="88">
        <f>COUNTA(MI[[#This Row],[G31 cp]],MI[[#This Row],[G16 cp]])</f>
        <v>2</v>
      </c>
      <c r="AA6" s="87">
        <f>MAX(MI[[#This Row],[G31 cp]],MI[[#This Row],[G16 cp]])</f>
        <v>91</v>
      </c>
      <c r="AB6" s="87">
        <f>( SUM(MI[[#This Row],[G31 cp]],MI[[#This Row],[G16 cp]]) - MI[[#This Row],[CHS Max]]) / ( MI[[#This Row],[CHS Inn]] - 1 )</f>
        <v>58</v>
      </c>
      <c r="AC6" s="89">
        <f>MIN(MI[[#This Row],[G31 cp]],MI[[#This Row],[G16 cp]])</f>
        <v>58</v>
      </c>
      <c r="AD6" s="87"/>
      <c r="AE6" s="87"/>
      <c r="AF6" s="88">
        <f>MI[[#This Row],[G31 cp]]</f>
        <v>58</v>
      </c>
      <c r="AG6" s="87">
        <f>MI[[#This Row],[G25 cp]]</f>
        <v>46</v>
      </c>
      <c r="AH6" s="87">
        <f>MI[[#This Row],[G22 cp]]</f>
        <v>28</v>
      </c>
      <c r="AI6" s="87">
        <f>MI[[#This Row],[G16 cp]]</f>
        <v>91</v>
      </c>
      <c r="AJ6" s="87">
        <f>MI[[#This Row],[G12 cp]]</f>
        <v>30</v>
      </c>
      <c r="AK6" s="89">
        <f>MI[[#This Row],[G5 cp]]</f>
        <v>1</v>
      </c>
      <c r="AL6" s="88">
        <v>1</v>
      </c>
      <c r="AM6" s="87" t="s">
        <v>1273</v>
      </c>
      <c r="AN6" s="87" t="s">
        <v>1442</v>
      </c>
      <c r="AO6" s="87">
        <v>44</v>
      </c>
      <c r="AP6" s="87">
        <v>27</v>
      </c>
      <c r="AQ6" s="87"/>
      <c r="AR6" s="87"/>
      <c r="AS6" s="87"/>
      <c r="AT6" s="89">
        <v>58</v>
      </c>
      <c r="AU6" s="88">
        <v>1</v>
      </c>
      <c r="AV6" s="89">
        <v>46</v>
      </c>
      <c r="AW6" s="87">
        <v>1</v>
      </c>
      <c r="AX6" s="87" t="s">
        <v>495</v>
      </c>
      <c r="AY6" s="87">
        <v>20</v>
      </c>
      <c r="AZ6" s="87">
        <v>13</v>
      </c>
      <c r="BA6" s="87"/>
      <c r="BB6" s="87">
        <v>28</v>
      </c>
      <c r="BC6" s="88">
        <v>1</v>
      </c>
      <c r="BD6" s="87" t="s">
        <v>806</v>
      </c>
      <c r="BE6" s="87">
        <v>65</v>
      </c>
      <c r="BF6" s="87">
        <v>45</v>
      </c>
      <c r="BG6" s="87"/>
      <c r="BH6" s="89">
        <v>91</v>
      </c>
      <c r="BI6" s="30">
        <v>1</v>
      </c>
      <c r="BJ6" s="26" t="s">
        <v>417</v>
      </c>
      <c r="BK6" s="26" t="s">
        <v>406</v>
      </c>
      <c r="BL6" s="26"/>
      <c r="BM6" s="31">
        <v>30</v>
      </c>
      <c r="BN6" s="30">
        <v>1</v>
      </c>
      <c r="BO6" s="26" t="s">
        <v>396</v>
      </c>
      <c r="BP6" s="26" t="s">
        <v>402</v>
      </c>
      <c r="BQ6" s="26"/>
      <c r="BR6" s="29">
        <v>1</v>
      </c>
    </row>
    <row r="7" spans="2:70" s="332" customFormat="1">
      <c r="B7" s="1056" t="s">
        <v>134</v>
      </c>
      <c r="C7" s="326" t="s">
        <v>5</v>
      </c>
      <c r="D7" s="326">
        <v>15.25</v>
      </c>
      <c r="E7" s="326" t="s">
        <v>142</v>
      </c>
      <c r="F7" s="326" t="s">
        <v>75</v>
      </c>
      <c r="G7" s="327" t="s">
        <v>75</v>
      </c>
      <c r="H7" s="353" t="s">
        <v>1122</v>
      </c>
      <c r="I7" s="362"/>
      <c r="J7" s="371"/>
      <c r="K7" s="118"/>
      <c r="L7" s="118"/>
      <c r="M7" s="118"/>
      <c r="N7" s="380"/>
      <c r="O7" s="118"/>
      <c r="P7" s="118"/>
      <c r="Q7" s="118"/>
      <c r="R7" s="328">
        <f>COUNTA(MI[[#This Row],[G31 cp]],MI[[#This Row],[G25 cp]],MI[[#This Row],[G22 cp]],MI[[#This Row],[G16 cp]],MI[[#This Row],[G12 cp]],MI[[#This Row],[G5 cp]])</f>
        <v>6</v>
      </c>
      <c r="S7" s="329">
        <f>MAX(MI[[#This Row],[G31 cp]],MI[[#This Row],[G25 cp]],MI[[#This Row],[G22 cp]],MI[[#This Row],[G16 cp]],MI[[#This Row],[G12 cp]],MI[[#This Row],[G5 cp]])</f>
        <v>85</v>
      </c>
      <c r="T7" s="329">
        <f>( SUM(MI[[#This Row],[G31 cp]],MI[[#This Row],[G25 cp]],MI[[#This Row],[G22 cp]],MI[[#This Row],[G16 cp]],MI[[#This Row],[G12 cp]],MI[[#This Row],[G5 cp]]) - MI[[#This Row],[Max.]]) / (MI[[#This Row],[Innings]]-1)</f>
        <v>38.6</v>
      </c>
      <c r="U7" s="330">
        <f>MIN(MI[[#This Row],[G31 cp]],MI[[#This Row],[G25 cp]],MI[[#This Row],[G22 cp]],MI[[#This Row],[G16 cp]],MI[[#This Row],[G12 cp]],MI[[#This Row],[G5 cp]])</f>
        <v>16</v>
      </c>
      <c r="V7" s="331">
        <f>COUNTA(MI[[#This Row],[G25 cp]],MI[[#This Row],[G22 cp]],MI[[#This Row],[G12 cp]],MI[[#This Row],[G5 cp]])</f>
        <v>4</v>
      </c>
      <c r="W7" s="331">
        <f>MAX(MI[[#This Row],[G25 cp]],MI[[#This Row],[G22 cp]],MI[[#This Row],[G12 cp]],MI[[#This Row],[G5 cp]])</f>
        <v>85</v>
      </c>
      <c r="X7" s="329">
        <f>( SUM(MI[[#This Row],[G25 cp]],MI[[#This Row],[G22 cp]],MI[[#This Row],[G12 cp]],MI[[#This Row],[G5 cp]]) - MI[[#This Row],[B1  Max]]) / (MI[[#This Row],[B1 Inn]]-1)</f>
        <v>43</v>
      </c>
      <c r="Y7" s="331">
        <f>MIN(MI[[#This Row],[G25 cp]],MI[[#This Row],[G22 cp]],MI[[#This Row],[G12 cp]],MI[[#This Row],[G5 cp]])</f>
        <v>16</v>
      </c>
      <c r="Z7" s="328">
        <f>COUNTA(MI[[#This Row],[G31 cp]],MI[[#This Row],[G16 cp]])</f>
        <v>2</v>
      </c>
      <c r="AA7" s="331">
        <f>MAX(MI[[#This Row],[G31 cp]],MI[[#This Row],[G16 cp]])</f>
        <v>41</v>
      </c>
      <c r="AB7" s="331">
        <f>( SUM(MI[[#This Row],[G31 cp]],MI[[#This Row],[G16 cp]]) - MI[[#This Row],[CHS Max]]) / ( MI[[#This Row],[CHS Inn]] - 1 )</f>
        <v>23</v>
      </c>
      <c r="AC7" s="330">
        <f>MIN(MI[[#This Row],[G31 cp]],MI[[#This Row],[G16 cp]])</f>
        <v>23</v>
      </c>
      <c r="AD7" s="331"/>
      <c r="AE7" s="331"/>
      <c r="AF7" s="328">
        <f>MI[[#This Row],[G31 cp]]</f>
        <v>23</v>
      </c>
      <c r="AG7" s="331">
        <f>MI[[#This Row],[G25 cp]]</f>
        <v>63</v>
      </c>
      <c r="AH7" s="331">
        <f>MI[[#This Row],[G22 cp]]</f>
        <v>85</v>
      </c>
      <c r="AI7" s="331">
        <f>MI[[#This Row],[G16 cp]]</f>
        <v>41</v>
      </c>
      <c r="AJ7" s="331">
        <f>MI[[#This Row],[G12 cp]]</f>
        <v>50</v>
      </c>
      <c r="AK7" s="330">
        <f>MI[[#This Row],[G5 cp]]</f>
        <v>16</v>
      </c>
      <c r="AL7" s="328">
        <v>2</v>
      </c>
      <c r="AM7" s="331" t="s">
        <v>1244</v>
      </c>
      <c r="AN7" s="331" t="s">
        <v>355</v>
      </c>
      <c r="AO7" s="331">
        <v>1</v>
      </c>
      <c r="AP7" s="331">
        <v>4</v>
      </c>
      <c r="AQ7" s="331"/>
      <c r="AR7" s="331"/>
      <c r="AS7" s="331"/>
      <c r="AT7" s="330">
        <v>23</v>
      </c>
      <c r="AU7" s="328">
        <v>2</v>
      </c>
      <c r="AV7" s="330">
        <v>63</v>
      </c>
      <c r="AW7" s="331">
        <v>2</v>
      </c>
      <c r="AX7" s="331" t="s">
        <v>489</v>
      </c>
      <c r="AY7" s="331">
        <v>58</v>
      </c>
      <c r="AZ7" s="331">
        <v>25</v>
      </c>
      <c r="BA7" s="331"/>
      <c r="BB7" s="331">
        <v>85</v>
      </c>
      <c r="BC7" s="328">
        <v>2</v>
      </c>
      <c r="BD7" s="331" t="s">
        <v>799</v>
      </c>
      <c r="BE7" s="331">
        <v>31</v>
      </c>
      <c r="BF7" s="331">
        <v>26</v>
      </c>
      <c r="BG7" s="331"/>
      <c r="BH7" s="330">
        <v>41</v>
      </c>
      <c r="BI7" s="325">
        <v>2</v>
      </c>
      <c r="BJ7" s="326" t="s">
        <v>418</v>
      </c>
      <c r="BK7" s="326" t="s">
        <v>741</v>
      </c>
      <c r="BL7" s="326"/>
      <c r="BM7" s="327">
        <v>50</v>
      </c>
      <c r="BN7" s="325">
        <v>2</v>
      </c>
      <c r="BO7" s="326" t="s">
        <v>397</v>
      </c>
      <c r="BP7" s="326" t="s">
        <v>306</v>
      </c>
      <c r="BQ7" s="326"/>
      <c r="BR7" s="1057">
        <v>16</v>
      </c>
    </row>
    <row r="8" spans="2:70">
      <c r="B8" s="152" t="s">
        <v>134</v>
      </c>
      <c r="C8" s="148" t="s">
        <v>752</v>
      </c>
      <c r="D8" s="148">
        <v>17.5</v>
      </c>
      <c r="E8" s="148" t="s">
        <v>614</v>
      </c>
      <c r="F8" s="148" t="s">
        <v>54</v>
      </c>
      <c r="G8" s="149" t="s">
        <v>55</v>
      </c>
      <c r="H8" s="357" t="s">
        <v>1124</v>
      </c>
      <c r="I8" s="366"/>
      <c r="J8" s="375"/>
      <c r="K8" s="150"/>
      <c r="L8" s="150"/>
      <c r="M8" s="150"/>
      <c r="N8" s="384"/>
      <c r="O8" s="150"/>
      <c r="P8" s="150"/>
      <c r="Q8" s="150"/>
      <c r="R8" s="207">
        <f>COUNTA(MI[[#This Row],[G31 cp]],MI[[#This Row],[G25 cp]],MI[[#This Row],[G22 cp]],MI[[#This Row],[G16 cp]],MI[[#This Row],[G12 cp]],MI[[#This Row],[G5 cp]])</f>
        <v>6</v>
      </c>
      <c r="S8" s="272">
        <f>MAX(MI[[#This Row],[G31 cp]],MI[[#This Row],[G25 cp]],MI[[#This Row],[G22 cp]],MI[[#This Row],[G16 cp]],MI[[#This Row],[G12 cp]],MI[[#This Row],[G5 cp]])</f>
        <v>141</v>
      </c>
      <c r="T8" s="272">
        <f>( SUM(MI[[#This Row],[G31 cp]],MI[[#This Row],[G25 cp]],MI[[#This Row],[G22 cp]],MI[[#This Row],[G16 cp]],MI[[#This Row],[G12 cp]],MI[[#This Row],[G5 cp]]) - MI[[#This Row],[Max.]]) / (MI[[#This Row],[Innings]]-1)</f>
        <v>45.2</v>
      </c>
      <c r="U8" s="208">
        <f>MIN(MI[[#This Row],[G31 cp]],MI[[#This Row],[G25 cp]],MI[[#This Row],[G22 cp]],MI[[#This Row],[G16 cp]],MI[[#This Row],[G12 cp]],MI[[#This Row],[G5 cp]])</f>
        <v>12</v>
      </c>
      <c r="V8" s="150">
        <f>COUNTA(MI[[#This Row],[G25 cp]],MI[[#This Row],[G22 cp]],MI[[#This Row],[G12 cp]],MI[[#This Row],[G5 cp]])</f>
        <v>4</v>
      </c>
      <c r="W8" s="150">
        <f>MAX(MI[[#This Row],[G25 cp]],MI[[#This Row],[G22 cp]],MI[[#This Row],[G12 cp]],MI[[#This Row],[G5 cp]])</f>
        <v>111</v>
      </c>
      <c r="X8" s="272">
        <f>( SUM(MI[[#This Row],[G25 cp]],MI[[#This Row],[G22 cp]],MI[[#This Row],[G12 cp]],MI[[#This Row],[G5 cp]]) - MI[[#This Row],[B1  Max]]) / (MI[[#This Row],[B1 Inn]]-1)</f>
        <v>25.333333333333332</v>
      </c>
      <c r="Y8" s="150">
        <f>MIN(MI[[#This Row],[G25 cp]],MI[[#This Row],[G22 cp]],MI[[#This Row],[G12 cp]],MI[[#This Row],[G5 cp]])</f>
        <v>12</v>
      </c>
      <c r="Z8" s="207">
        <f>COUNTA(MI[[#This Row],[G31 cp]],MI[[#This Row],[G16 cp]])</f>
        <v>2</v>
      </c>
      <c r="AA8" s="150">
        <f>MAX(MI[[#This Row],[G31 cp]],MI[[#This Row],[G16 cp]])</f>
        <v>141</v>
      </c>
      <c r="AB8" s="150">
        <f>( SUM(MI[[#This Row],[G31 cp]],MI[[#This Row],[G16 cp]]) - MI[[#This Row],[CHS Max]]) / ( MI[[#This Row],[CHS Inn]] - 1 )</f>
        <v>39</v>
      </c>
      <c r="AC8" s="208">
        <f>MIN(MI[[#This Row],[G31 cp]],MI[[#This Row],[G16 cp]])</f>
        <v>39</v>
      </c>
      <c r="AD8" s="150"/>
      <c r="AE8" s="150"/>
      <c r="AF8" s="207">
        <f>MI[[#This Row],[G31 cp]]</f>
        <v>141</v>
      </c>
      <c r="AG8" s="150">
        <f>MI[[#This Row],[G25 cp]]</f>
        <v>111</v>
      </c>
      <c r="AH8" s="150">
        <f>MI[[#This Row],[G22 cp]]</f>
        <v>29</v>
      </c>
      <c r="AI8" s="150">
        <f>MI[[#This Row],[G16 cp]]</f>
        <v>39</v>
      </c>
      <c r="AJ8" s="150">
        <f>MI[[#This Row],[G12 cp]]</f>
        <v>12</v>
      </c>
      <c r="AK8" s="208">
        <f>MI[[#This Row],[G5 cp]]</f>
        <v>35</v>
      </c>
      <c r="AL8" s="207">
        <v>3</v>
      </c>
      <c r="AM8" s="150" t="s">
        <v>645</v>
      </c>
      <c r="AN8" s="150" t="s">
        <v>356</v>
      </c>
      <c r="AO8" s="150">
        <v>67</v>
      </c>
      <c r="AP8" s="150">
        <v>43</v>
      </c>
      <c r="AQ8" s="150">
        <v>4</v>
      </c>
      <c r="AR8" s="150">
        <v>41</v>
      </c>
      <c r="AS8" s="150">
        <v>2</v>
      </c>
      <c r="AT8" s="208">
        <v>141</v>
      </c>
      <c r="AU8" s="207">
        <v>3</v>
      </c>
      <c r="AV8" s="208">
        <v>111</v>
      </c>
      <c r="AW8" s="150">
        <v>7</v>
      </c>
      <c r="AX8" s="150" t="s">
        <v>876</v>
      </c>
      <c r="AY8" s="150">
        <v>1</v>
      </c>
      <c r="AZ8" s="150">
        <v>1</v>
      </c>
      <c r="BA8" s="150" t="s">
        <v>982</v>
      </c>
      <c r="BB8" s="150">
        <v>29</v>
      </c>
      <c r="BC8" s="207">
        <v>6</v>
      </c>
      <c r="BD8" s="84" t="s">
        <v>327</v>
      </c>
      <c r="BE8" s="150">
        <v>17</v>
      </c>
      <c r="BF8" s="150">
        <v>8</v>
      </c>
      <c r="BG8" s="150" t="s">
        <v>809</v>
      </c>
      <c r="BH8" s="208">
        <v>39</v>
      </c>
      <c r="BI8" s="147">
        <v>3</v>
      </c>
      <c r="BJ8" s="148" t="s">
        <v>418</v>
      </c>
      <c r="BK8" s="148" t="s">
        <v>742</v>
      </c>
      <c r="BL8" s="148" t="s">
        <v>748</v>
      </c>
      <c r="BM8" s="149">
        <v>12</v>
      </c>
      <c r="BN8" s="147">
        <v>3</v>
      </c>
      <c r="BO8" s="148" t="s">
        <v>398</v>
      </c>
      <c r="BP8" s="148" t="s">
        <v>403</v>
      </c>
      <c r="BQ8" s="148" t="s">
        <v>413</v>
      </c>
      <c r="BR8" s="151">
        <v>35</v>
      </c>
    </row>
    <row r="9" spans="2:70">
      <c r="B9" s="99" t="s">
        <v>134</v>
      </c>
      <c r="C9" s="26" t="s">
        <v>753</v>
      </c>
      <c r="D9" s="26">
        <v>8</v>
      </c>
      <c r="E9" s="26"/>
      <c r="F9" s="26" t="s">
        <v>54</v>
      </c>
      <c r="G9" s="31" t="s">
        <v>54</v>
      </c>
      <c r="H9" s="353"/>
      <c r="I9" s="362"/>
      <c r="J9" s="371"/>
      <c r="K9" s="118"/>
      <c r="L9" s="118"/>
      <c r="M9" s="118"/>
      <c r="N9" s="380"/>
      <c r="O9" s="118"/>
      <c r="P9" s="118"/>
      <c r="Q9" s="118"/>
      <c r="R9" s="85">
        <f>COUNTA(MI[[#This Row],[G31 cp]],MI[[#This Row],[G25 cp]],MI[[#This Row],[G22 cp]],MI[[#This Row],[G16 cp]],MI[[#This Row],[G12 cp]],MI[[#This Row],[G5 cp]])</f>
        <v>6</v>
      </c>
      <c r="S9" s="261">
        <f>MAX(MI[[#This Row],[G31 cp]],MI[[#This Row],[G25 cp]],MI[[#This Row],[G22 cp]],MI[[#This Row],[G16 cp]],MI[[#This Row],[G12 cp]],MI[[#This Row],[G5 cp]])</f>
        <v>82</v>
      </c>
      <c r="T9" s="261">
        <f>( SUM(MI[[#This Row],[G31 cp]],MI[[#This Row],[G25 cp]],MI[[#This Row],[G22 cp]],MI[[#This Row],[G16 cp]],MI[[#This Row],[G12 cp]],MI[[#This Row],[G5 cp]]) - MI[[#This Row],[Max.]]) / (MI[[#This Row],[Innings]]-1)</f>
        <v>18.8</v>
      </c>
      <c r="U9" s="86">
        <f>MIN(MI[[#This Row],[G31 cp]],MI[[#This Row],[G25 cp]],MI[[#This Row],[G22 cp]],MI[[#This Row],[G16 cp]],MI[[#This Row],[G12 cp]],MI[[#This Row],[G5 cp]])</f>
        <v>1</v>
      </c>
      <c r="V9" s="84">
        <f>COUNTA(MI[[#This Row],[G25 cp]],MI[[#This Row],[G22 cp]],MI[[#This Row],[G12 cp]],MI[[#This Row],[G5 cp]])</f>
        <v>4</v>
      </c>
      <c r="W9" s="84">
        <f>MAX(MI[[#This Row],[G25 cp]],MI[[#This Row],[G22 cp]],MI[[#This Row],[G12 cp]],MI[[#This Row],[G5 cp]])</f>
        <v>50</v>
      </c>
      <c r="X9" s="261">
        <f>( SUM(MI[[#This Row],[G25 cp]],MI[[#This Row],[G22 cp]],MI[[#This Row],[G12 cp]],MI[[#This Row],[G5 cp]]) - MI[[#This Row],[B1  Max]]) / (MI[[#This Row],[B1 Inn]]-1)</f>
        <v>14</v>
      </c>
      <c r="Y9" s="84">
        <f>MIN(MI[[#This Row],[G25 cp]],MI[[#This Row],[G22 cp]],MI[[#This Row],[G12 cp]],MI[[#This Row],[G5 cp]])</f>
        <v>1</v>
      </c>
      <c r="Z9" s="85">
        <f>COUNTA(MI[[#This Row],[G31 cp]],MI[[#This Row],[G16 cp]])</f>
        <v>2</v>
      </c>
      <c r="AA9" s="84">
        <f>MAX(MI[[#This Row],[G31 cp]],MI[[#This Row],[G16 cp]])</f>
        <v>82</v>
      </c>
      <c r="AB9" s="84">
        <f>( SUM(MI[[#This Row],[G31 cp]],MI[[#This Row],[G16 cp]]) - MI[[#This Row],[CHS Max]]) / ( MI[[#This Row],[CHS Inn]] - 1 )</f>
        <v>2</v>
      </c>
      <c r="AC9" s="86">
        <f>MIN(MI[[#This Row],[G31 cp]],MI[[#This Row],[G16 cp]])</f>
        <v>2</v>
      </c>
      <c r="AD9" s="84"/>
      <c r="AE9" s="84"/>
      <c r="AF9" s="85">
        <f>MI[[#This Row],[G31 cp]]</f>
        <v>82</v>
      </c>
      <c r="AG9" s="84">
        <f>MI[[#This Row],[G25 cp]]</f>
        <v>21</v>
      </c>
      <c r="AH9" s="84">
        <f>MI[[#This Row],[G22 cp]]</f>
        <v>50</v>
      </c>
      <c r="AI9" s="84">
        <f>MI[[#This Row],[G16 cp]]</f>
        <v>2</v>
      </c>
      <c r="AJ9" s="84">
        <f>MI[[#This Row],[G12 cp]]</f>
        <v>1</v>
      </c>
      <c r="AK9" s="86">
        <f>MI[[#This Row],[G5 cp]]</f>
        <v>20</v>
      </c>
      <c r="AL9" s="85">
        <v>4</v>
      </c>
      <c r="AM9" s="84" t="s">
        <v>1244</v>
      </c>
      <c r="AN9" s="84" t="s">
        <v>355</v>
      </c>
      <c r="AO9" s="84">
        <v>57</v>
      </c>
      <c r="AP9" s="84">
        <v>26</v>
      </c>
      <c r="AQ9" s="84"/>
      <c r="AR9" s="84"/>
      <c r="AS9" s="84"/>
      <c r="AT9" s="86">
        <v>82</v>
      </c>
      <c r="AU9" s="85">
        <v>4</v>
      </c>
      <c r="AV9" s="86">
        <v>21</v>
      </c>
      <c r="AW9" s="84">
        <v>3</v>
      </c>
      <c r="AX9" s="84" t="s">
        <v>491</v>
      </c>
      <c r="AY9" s="84">
        <v>43</v>
      </c>
      <c r="AZ9" s="84">
        <v>25</v>
      </c>
      <c r="BA9" s="84"/>
      <c r="BB9" s="84">
        <v>50</v>
      </c>
      <c r="BC9" s="85">
        <v>4</v>
      </c>
      <c r="BD9" s="84" t="s">
        <v>718</v>
      </c>
      <c r="BE9" s="84">
        <v>0</v>
      </c>
      <c r="BF9" s="84">
        <v>1</v>
      </c>
      <c r="BG9" s="84"/>
      <c r="BH9" s="86">
        <v>2</v>
      </c>
      <c r="BI9" s="30">
        <v>4</v>
      </c>
      <c r="BJ9" s="26" t="s">
        <v>663</v>
      </c>
      <c r="BK9" s="26" t="s">
        <v>366</v>
      </c>
      <c r="BL9" s="26"/>
      <c r="BM9" s="31">
        <v>1</v>
      </c>
      <c r="BN9" s="30">
        <v>4</v>
      </c>
      <c r="BO9" s="26" t="s">
        <v>399</v>
      </c>
      <c r="BP9" s="26" t="s">
        <v>404</v>
      </c>
      <c r="BQ9" s="26"/>
      <c r="BR9" s="29">
        <v>20</v>
      </c>
    </row>
    <row r="10" spans="2:70">
      <c r="B10" s="146" t="s">
        <v>134</v>
      </c>
      <c r="C10" s="97" t="s">
        <v>8</v>
      </c>
      <c r="D10" s="97">
        <v>8.25</v>
      </c>
      <c r="E10" s="97" t="s">
        <v>614</v>
      </c>
      <c r="F10" s="97" t="s">
        <v>54</v>
      </c>
      <c r="G10" s="143" t="s">
        <v>54</v>
      </c>
      <c r="H10" s="355" t="s">
        <v>1007</v>
      </c>
      <c r="I10" s="364"/>
      <c r="J10" s="373"/>
      <c r="K10" s="71"/>
      <c r="L10" s="71"/>
      <c r="M10" s="71"/>
      <c r="N10" s="382"/>
      <c r="O10" s="71"/>
      <c r="P10" s="71"/>
      <c r="Q10" s="71"/>
      <c r="R10" s="193">
        <f>COUNTA(MI[[#This Row],[G31 cp]],MI[[#This Row],[G25 cp]],MI[[#This Row],[G22 cp]],MI[[#This Row],[G16 cp]],MI[[#This Row],[G12 cp]],MI[[#This Row],[G5 cp]])</f>
        <v>6</v>
      </c>
      <c r="S10" s="274">
        <f>MAX(MI[[#This Row],[G31 cp]],MI[[#This Row],[G25 cp]],MI[[#This Row],[G22 cp]],MI[[#This Row],[G16 cp]],MI[[#This Row],[G12 cp]],MI[[#This Row],[G5 cp]])</f>
        <v>66</v>
      </c>
      <c r="T10" s="274">
        <f>( SUM(MI[[#This Row],[G31 cp]],MI[[#This Row],[G25 cp]],MI[[#This Row],[G22 cp]],MI[[#This Row],[G16 cp]],MI[[#This Row],[G12 cp]],MI[[#This Row],[G5 cp]]) - MI[[#This Row],[Max.]]) / (MI[[#This Row],[Innings]]-1)</f>
        <v>26.6</v>
      </c>
      <c r="U10" s="194">
        <f>MIN(MI[[#This Row],[G31 cp]],MI[[#This Row],[G25 cp]],MI[[#This Row],[G22 cp]],MI[[#This Row],[G16 cp]],MI[[#This Row],[G12 cp]],MI[[#This Row],[G5 cp]])</f>
        <v>16</v>
      </c>
      <c r="V10" s="144">
        <f>COUNTA(MI[[#This Row],[G25 cp]],MI[[#This Row],[G22 cp]],MI[[#This Row],[G12 cp]],MI[[#This Row],[G5 cp]])</f>
        <v>4</v>
      </c>
      <c r="W10" s="144">
        <f>MAX(MI[[#This Row],[G25 cp]],MI[[#This Row],[G22 cp]],MI[[#This Row],[G12 cp]],MI[[#This Row],[G5 cp]])</f>
        <v>66</v>
      </c>
      <c r="X10" s="274">
        <f>( SUM(MI[[#This Row],[G25 cp]],MI[[#This Row],[G22 cp]],MI[[#This Row],[G12 cp]],MI[[#This Row],[G5 cp]]) - MI[[#This Row],[B1  Max]]) / (MI[[#This Row],[B1 Inn]]-1)</f>
        <v>28</v>
      </c>
      <c r="Y10" s="144">
        <f>MIN(MI[[#This Row],[G25 cp]],MI[[#This Row],[G22 cp]],MI[[#This Row],[G12 cp]],MI[[#This Row],[G5 cp]])</f>
        <v>16</v>
      </c>
      <c r="Z10" s="193">
        <f>COUNTA(MI[[#This Row],[G31 cp]],MI[[#This Row],[G16 cp]])</f>
        <v>2</v>
      </c>
      <c r="AA10" s="144">
        <f>MAX(MI[[#This Row],[G31 cp]],MI[[#This Row],[G16 cp]])</f>
        <v>33</v>
      </c>
      <c r="AB10" s="144">
        <f>( SUM(MI[[#This Row],[G31 cp]],MI[[#This Row],[G16 cp]]) - MI[[#This Row],[CHS Max]]) / ( MI[[#This Row],[CHS Inn]] - 1 )</f>
        <v>16</v>
      </c>
      <c r="AC10" s="194">
        <f>MIN(MI[[#This Row],[G31 cp]],MI[[#This Row],[G16 cp]])</f>
        <v>16</v>
      </c>
      <c r="AD10" s="144"/>
      <c r="AE10" s="144"/>
      <c r="AF10" s="193">
        <f>MI[[#This Row],[G31 cp]]</f>
        <v>33</v>
      </c>
      <c r="AG10" s="144">
        <f>MI[[#This Row],[G25 cp]]</f>
        <v>66</v>
      </c>
      <c r="AH10" s="144">
        <f>MI[[#This Row],[G22 cp]]</f>
        <v>23</v>
      </c>
      <c r="AI10" s="144">
        <f>MI[[#This Row],[G16 cp]]</f>
        <v>16</v>
      </c>
      <c r="AJ10" s="144">
        <f>MI[[#This Row],[G12 cp]]</f>
        <v>45</v>
      </c>
      <c r="AK10" s="194">
        <f>MI[[#This Row],[G5 cp]]</f>
        <v>16</v>
      </c>
      <c r="AL10" s="193">
        <v>5</v>
      </c>
      <c r="AM10" s="144"/>
      <c r="AN10" s="144" t="s">
        <v>876</v>
      </c>
      <c r="AO10" s="144">
        <v>25</v>
      </c>
      <c r="AP10" s="144">
        <v>13</v>
      </c>
      <c r="AQ10" s="144"/>
      <c r="AR10" s="144"/>
      <c r="AS10" s="144"/>
      <c r="AT10" s="194">
        <v>33</v>
      </c>
      <c r="AU10" s="193">
        <v>6</v>
      </c>
      <c r="AV10" s="194">
        <v>66</v>
      </c>
      <c r="AW10" s="144">
        <v>5</v>
      </c>
      <c r="AX10" s="144" t="s">
        <v>876</v>
      </c>
      <c r="AY10" s="144">
        <v>24</v>
      </c>
      <c r="AZ10" s="144">
        <v>13</v>
      </c>
      <c r="BA10" s="144"/>
      <c r="BB10" s="144">
        <v>23</v>
      </c>
      <c r="BC10" s="193">
        <v>5</v>
      </c>
      <c r="BD10" s="84" t="s">
        <v>327</v>
      </c>
      <c r="BE10" s="144">
        <v>13</v>
      </c>
      <c r="BF10" s="144">
        <v>11</v>
      </c>
      <c r="BG10" s="144"/>
      <c r="BH10" s="194">
        <v>16</v>
      </c>
      <c r="BI10" s="142">
        <v>7</v>
      </c>
      <c r="BJ10" s="97" t="s">
        <v>417</v>
      </c>
      <c r="BK10" s="97" t="s">
        <v>744</v>
      </c>
      <c r="BL10" s="97"/>
      <c r="BM10" s="143">
        <v>45</v>
      </c>
      <c r="BN10" s="142">
        <v>7</v>
      </c>
      <c r="BO10" s="97" t="s">
        <v>400</v>
      </c>
      <c r="BP10" s="97" t="s">
        <v>407</v>
      </c>
      <c r="BQ10" s="97"/>
      <c r="BR10" s="145">
        <v>16</v>
      </c>
    </row>
    <row r="11" spans="2:70">
      <c r="B11" s="99" t="s">
        <v>134</v>
      </c>
      <c r="C11" s="26" t="s">
        <v>7</v>
      </c>
      <c r="D11" s="26">
        <v>1.7</v>
      </c>
      <c r="E11" s="26" t="s">
        <v>618</v>
      </c>
      <c r="F11" s="26" t="s">
        <v>54</v>
      </c>
      <c r="G11" s="31" t="s">
        <v>54</v>
      </c>
      <c r="H11" s="354" t="s">
        <v>1121</v>
      </c>
      <c r="I11" s="363"/>
      <c r="J11" s="372"/>
      <c r="K11" s="224"/>
      <c r="L11" s="224"/>
      <c r="M11" s="224"/>
      <c r="N11" s="381"/>
      <c r="O11" s="224"/>
      <c r="P11" s="224"/>
      <c r="Q11" s="224"/>
      <c r="R11" s="85">
        <f>COUNTA(MI[[#This Row],[G31 cp]],MI[[#This Row],[G25 cp]],MI[[#This Row],[G22 cp]],MI[[#This Row],[G16 cp]],MI[[#This Row],[G12 cp]],MI[[#This Row],[G5 cp]])</f>
        <v>6</v>
      </c>
      <c r="S11" s="261">
        <f>MAX(MI[[#This Row],[G31 cp]],MI[[#This Row],[G25 cp]],MI[[#This Row],[G22 cp]],MI[[#This Row],[G16 cp]],MI[[#This Row],[G12 cp]],MI[[#This Row],[G5 cp]])</f>
        <v>121</v>
      </c>
      <c r="T11" s="261">
        <f>( SUM(MI[[#This Row],[G31 cp]],MI[[#This Row],[G25 cp]],MI[[#This Row],[G22 cp]],MI[[#This Row],[G16 cp]],MI[[#This Row],[G12 cp]],MI[[#This Row],[G5 cp]]) - MI[[#This Row],[Max.]]) / (MI[[#This Row],[Innings]]-1)</f>
        <v>39.6</v>
      </c>
      <c r="U11" s="86">
        <f>MIN(MI[[#This Row],[G31 cp]],MI[[#This Row],[G25 cp]],MI[[#This Row],[G22 cp]],MI[[#This Row],[G16 cp]],MI[[#This Row],[G12 cp]],MI[[#This Row],[G5 cp]])</f>
        <v>13</v>
      </c>
      <c r="V11" s="84">
        <f>COUNTA(MI[[#This Row],[G25 cp]],MI[[#This Row],[G22 cp]],MI[[#This Row],[G12 cp]],MI[[#This Row],[G5 cp]])</f>
        <v>4</v>
      </c>
      <c r="W11" s="84">
        <f>MAX(MI[[#This Row],[G25 cp]],MI[[#This Row],[G22 cp]],MI[[#This Row],[G12 cp]],MI[[#This Row],[G5 cp]])</f>
        <v>121</v>
      </c>
      <c r="X11" s="261">
        <f>( SUM(MI[[#This Row],[G25 cp]],MI[[#This Row],[G22 cp]],MI[[#This Row],[G12 cp]],MI[[#This Row],[G5 cp]]) - MI[[#This Row],[B1  Max]]) / (MI[[#This Row],[B1 Inn]]-1)</f>
        <v>43.666666666666664</v>
      </c>
      <c r="Y11" s="84">
        <f>MIN(MI[[#This Row],[G25 cp]],MI[[#This Row],[G22 cp]],MI[[#This Row],[G12 cp]],MI[[#This Row],[G5 cp]])</f>
        <v>33</v>
      </c>
      <c r="Z11" s="85">
        <f>COUNTA(MI[[#This Row],[G31 cp]],MI[[#This Row],[G16 cp]])</f>
        <v>2</v>
      </c>
      <c r="AA11" s="84">
        <f>MAX(MI[[#This Row],[G31 cp]],MI[[#This Row],[G16 cp]])</f>
        <v>54</v>
      </c>
      <c r="AB11" s="84">
        <f>( SUM(MI[[#This Row],[G31 cp]],MI[[#This Row],[G16 cp]]) - MI[[#This Row],[CHS Max]]) / ( MI[[#This Row],[CHS Inn]] - 1 )</f>
        <v>13</v>
      </c>
      <c r="AC11" s="86">
        <f>MIN(MI[[#This Row],[G31 cp]],MI[[#This Row],[G16 cp]])</f>
        <v>13</v>
      </c>
      <c r="AD11" s="84"/>
      <c r="AE11" s="84"/>
      <c r="AF11" s="85">
        <f>MI[[#This Row],[G31 cp]]</f>
        <v>13</v>
      </c>
      <c r="AG11" s="84">
        <f>MI[[#This Row],[G25 cp]]</f>
        <v>51</v>
      </c>
      <c r="AH11" s="84">
        <f>MI[[#This Row],[G22 cp]]</f>
        <v>47</v>
      </c>
      <c r="AI11" s="84">
        <f>MI[[#This Row],[G16 cp]]</f>
        <v>54</v>
      </c>
      <c r="AJ11" s="84">
        <f>MI[[#This Row],[G12 cp]]</f>
        <v>33</v>
      </c>
      <c r="AK11" s="86">
        <f>MI[[#This Row],[G5 cp]]</f>
        <v>121</v>
      </c>
      <c r="AL11" s="85">
        <v>6</v>
      </c>
      <c r="AM11" s="84" t="s">
        <v>1244</v>
      </c>
      <c r="AN11" s="84" t="s">
        <v>355</v>
      </c>
      <c r="AO11" s="84">
        <v>3</v>
      </c>
      <c r="AP11" s="84">
        <v>4</v>
      </c>
      <c r="AQ11" s="84"/>
      <c r="AR11" s="84"/>
      <c r="AS11" s="84"/>
      <c r="AT11" s="86">
        <v>13</v>
      </c>
      <c r="AU11" s="85">
        <v>5</v>
      </c>
      <c r="AV11" s="86">
        <v>51</v>
      </c>
      <c r="AW11" s="84">
        <v>4</v>
      </c>
      <c r="AX11" s="84" t="s">
        <v>495</v>
      </c>
      <c r="AY11" s="84">
        <v>30</v>
      </c>
      <c r="AZ11" s="84">
        <v>25</v>
      </c>
      <c r="BA11" s="84"/>
      <c r="BB11" s="84">
        <v>47</v>
      </c>
      <c r="BC11" s="85">
        <v>3</v>
      </c>
      <c r="BD11" s="84" t="s">
        <v>718</v>
      </c>
      <c r="BE11" s="84">
        <v>41</v>
      </c>
      <c r="BF11" s="84">
        <v>29</v>
      </c>
      <c r="BG11" s="84" t="s">
        <v>813</v>
      </c>
      <c r="BH11" s="86">
        <v>54</v>
      </c>
      <c r="BI11" s="30">
        <v>5</v>
      </c>
      <c r="BJ11" s="26" t="s">
        <v>418</v>
      </c>
      <c r="BK11" s="26" t="s">
        <v>743</v>
      </c>
      <c r="BL11" s="26"/>
      <c r="BM11" s="31">
        <v>33</v>
      </c>
      <c r="BN11" s="30">
        <v>5</v>
      </c>
      <c r="BO11" s="97" t="s">
        <v>327</v>
      </c>
      <c r="BP11" s="26" t="s">
        <v>405</v>
      </c>
      <c r="BQ11" s="26"/>
      <c r="BR11" s="29">
        <v>121</v>
      </c>
    </row>
    <row r="12" spans="2:70">
      <c r="B12" s="99" t="s">
        <v>134</v>
      </c>
      <c r="C12" s="26" t="s">
        <v>757</v>
      </c>
      <c r="D12" s="26">
        <v>0.2</v>
      </c>
      <c r="E12" s="26" t="s">
        <v>619</v>
      </c>
      <c r="F12" s="26" t="s">
        <v>54</v>
      </c>
      <c r="G12" s="31" t="s">
        <v>54</v>
      </c>
      <c r="H12" s="356"/>
      <c r="I12" s="365"/>
      <c r="J12" s="374"/>
      <c r="K12" s="344"/>
      <c r="L12" s="344"/>
      <c r="M12" s="344"/>
      <c r="N12" s="383"/>
      <c r="O12" s="344"/>
      <c r="P12" s="344"/>
      <c r="Q12" s="344"/>
      <c r="R12" s="85">
        <f>COUNTA(MI[[#This Row],[G31 cp]],MI[[#This Row],[G25 cp]],MI[[#This Row],[G22 cp]],MI[[#This Row],[G16 cp]],MI[[#This Row],[G12 cp]],MI[[#This Row],[G5 cp]])</f>
        <v>4</v>
      </c>
      <c r="S12" s="261">
        <f>MAX(MI[[#This Row],[G31 cp]],MI[[#This Row],[G25 cp]],MI[[#This Row],[G22 cp]],MI[[#This Row],[G16 cp]],MI[[#This Row],[G12 cp]],MI[[#This Row],[G5 cp]])</f>
        <v>30</v>
      </c>
      <c r="T12" s="261">
        <f>( SUM(MI[[#This Row],[G31 cp]],MI[[#This Row],[G25 cp]],MI[[#This Row],[G22 cp]],MI[[#This Row],[G16 cp]],MI[[#This Row],[G12 cp]],MI[[#This Row],[G5 cp]]) - MI[[#This Row],[Max.]]) / (MI[[#This Row],[Innings]]-1)</f>
        <v>13.333333333333334</v>
      </c>
      <c r="U12" s="86">
        <f>MIN(MI[[#This Row],[G31 cp]],MI[[#This Row],[G25 cp]],MI[[#This Row],[G22 cp]],MI[[#This Row],[G16 cp]],MI[[#This Row],[G12 cp]],MI[[#This Row],[G5 cp]])</f>
        <v>4</v>
      </c>
      <c r="V12" s="84">
        <f>COUNTA(MI[[#This Row],[G25 cp]],MI[[#This Row],[G22 cp]],MI[[#This Row],[G12 cp]],MI[[#This Row],[G5 cp]])</f>
        <v>3</v>
      </c>
      <c r="W12" s="84">
        <f>MAX(MI[[#This Row],[G25 cp]],MI[[#This Row],[G22 cp]],MI[[#This Row],[G12 cp]],MI[[#This Row],[G5 cp]])</f>
        <v>30</v>
      </c>
      <c r="X12" s="261">
        <f>( SUM(MI[[#This Row],[G25 cp]],MI[[#This Row],[G22 cp]],MI[[#This Row],[G12 cp]],MI[[#This Row],[G5 cp]]) - MI[[#This Row],[B1  Max]]) / (MI[[#This Row],[B1 Inn]]-1)</f>
        <v>8</v>
      </c>
      <c r="Y12" s="84">
        <f>MIN(MI[[#This Row],[G25 cp]],MI[[#This Row],[G22 cp]],MI[[#This Row],[G12 cp]],MI[[#This Row],[G5 cp]])</f>
        <v>4</v>
      </c>
      <c r="Z12" s="85">
        <f>COUNTA(MI[[#This Row],[G31 cp]],MI[[#This Row],[G16 cp]])</f>
        <v>1</v>
      </c>
      <c r="AA12" s="84">
        <f>MAX(MI[[#This Row],[G31 cp]],MI[[#This Row],[G16 cp]])</f>
        <v>24</v>
      </c>
      <c r="AB12" s="84" t="e">
        <f>( SUM(MI[[#This Row],[G31 cp]],MI[[#This Row],[G16 cp]]) - MI[[#This Row],[CHS Max]]) / ( MI[[#This Row],[CHS Inn]] - 1 )</f>
        <v>#DIV/0!</v>
      </c>
      <c r="AC12" s="86">
        <f>MIN(MI[[#This Row],[G31 cp]],MI[[#This Row],[G16 cp]])</f>
        <v>24</v>
      </c>
      <c r="AD12" s="84"/>
      <c r="AE12" s="84"/>
      <c r="AF12" s="85">
        <f>MI[[#This Row],[G31 cp]]</f>
        <v>0</v>
      </c>
      <c r="AG12" s="84">
        <f>MI[[#This Row],[G25 cp]]</f>
        <v>4</v>
      </c>
      <c r="AH12" s="84">
        <f>MI[[#This Row],[G22 cp]]</f>
        <v>12</v>
      </c>
      <c r="AI12" s="84">
        <f>MI[[#This Row],[G16 cp]]</f>
        <v>24</v>
      </c>
      <c r="AJ12" s="84">
        <f>MI[[#This Row],[G12 cp]]</f>
        <v>0</v>
      </c>
      <c r="AK12" s="86">
        <f>MI[[#This Row],[G5 cp]]</f>
        <v>30</v>
      </c>
      <c r="AL12" s="85">
        <v>7</v>
      </c>
      <c r="AM12" s="84" t="s">
        <v>1244</v>
      </c>
      <c r="AN12" s="84" t="s">
        <v>355</v>
      </c>
      <c r="AO12" s="84">
        <v>0</v>
      </c>
      <c r="AP12" s="84">
        <v>1</v>
      </c>
      <c r="AQ12" s="84"/>
      <c r="AR12" s="84"/>
      <c r="AS12" s="84"/>
      <c r="AT12" s="86"/>
      <c r="AU12" s="85">
        <v>7</v>
      </c>
      <c r="AV12" s="86">
        <v>4</v>
      </c>
      <c r="AW12" s="84">
        <v>6</v>
      </c>
      <c r="AX12" s="84" t="s">
        <v>979</v>
      </c>
      <c r="AY12" s="84">
        <v>6</v>
      </c>
      <c r="AZ12" s="84">
        <v>4</v>
      </c>
      <c r="BA12" s="84"/>
      <c r="BB12" s="84">
        <v>12</v>
      </c>
      <c r="BC12" s="85">
        <v>7</v>
      </c>
      <c r="BD12" s="84"/>
      <c r="BE12" s="84"/>
      <c r="BF12" s="84"/>
      <c r="BG12" s="84"/>
      <c r="BH12" s="86">
        <v>24</v>
      </c>
      <c r="BI12" s="30">
        <v>24</v>
      </c>
      <c r="BJ12" s="26"/>
      <c r="BK12" s="26"/>
      <c r="BL12" s="26"/>
      <c r="BM12" s="31"/>
      <c r="BN12" s="30">
        <v>6</v>
      </c>
      <c r="BO12" s="26" t="s">
        <v>400</v>
      </c>
      <c r="BP12" s="26" t="s">
        <v>406</v>
      </c>
      <c r="BQ12" s="26"/>
      <c r="BR12" s="29">
        <v>30</v>
      </c>
    </row>
    <row r="13" spans="2:70">
      <c r="B13" s="163" t="s">
        <v>134</v>
      </c>
      <c r="C13" s="159" t="s">
        <v>788</v>
      </c>
      <c r="D13" s="159">
        <v>8</v>
      </c>
      <c r="E13" s="159" t="s">
        <v>613</v>
      </c>
      <c r="F13" s="159" t="s">
        <v>56</v>
      </c>
      <c r="G13" s="160" t="s">
        <v>56</v>
      </c>
      <c r="H13" s="353" t="s">
        <v>1007</v>
      </c>
      <c r="I13" s="362"/>
      <c r="J13" s="371"/>
      <c r="K13" s="118"/>
      <c r="L13" s="118"/>
      <c r="M13" s="118"/>
      <c r="N13" s="380"/>
      <c r="O13" s="118"/>
      <c r="P13" s="118"/>
      <c r="Q13" s="118"/>
      <c r="R13" s="195">
        <f>COUNTA(MI[[#This Row],[G31 cp]],MI[[#This Row],[G25 cp]],MI[[#This Row],[G22 cp]],MI[[#This Row],[G16 cp]],MI[[#This Row],[G12 cp]],MI[[#This Row],[G5 cp]])</f>
        <v>2</v>
      </c>
      <c r="S13" s="273">
        <f>MAX(MI[[#This Row],[G31 cp]],MI[[#This Row],[G25 cp]],MI[[#This Row],[G22 cp]],MI[[#This Row],[G16 cp]],MI[[#This Row],[G12 cp]],MI[[#This Row],[G5 cp]])</f>
        <v>38</v>
      </c>
      <c r="T13" s="273">
        <f>( SUM(MI[[#This Row],[G31 cp]],MI[[#This Row],[G25 cp]],MI[[#This Row],[G22 cp]],MI[[#This Row],[G16 cp]],MI[[#This Row],[G12 cp]],MI[[#This Row],[G5 cp]]) - MI[[#This Row],[Max.]]) / (MI[[#This Row],[Innings]]-1)</f>
        <v>4</v>
      </c>
      <c r="U13" s="196">
        <f>MIN(MI[[#This Row],[G31 cp]],MI[[#This Row],[G25 cp]],MI[[#This Row],[G22 cp]],MI[[#This Row],[G16 cp]],MI[[#This Row],[G12 cp]],MI[[#This Row],[G5 cp]])</f>
        <v>4</v>
      </c>
      <c r="V13" s="161">
        <f>COUNTA(MI[[#This Row],[G25 cp]],MI[[#This Row],[G22 cp]],MI[[#This Row],[G12 cp]],MI[[#This Row],[G5 cp]])</f>
        <v>1</v>
      </c>
      <c r="W13" s="161">
        <f>MAX(MI[[#This Row],[G25 cp]],MI[[#This Row],[G22 cp]],MI[[#This Row],[G12 cp]],MI[[#This Row],[G5 cp]])</f>
        <v>4</v>
      </c>
      <c r="X13" s="273" t="e">
        <f>( SUM(MI[[#This Row],[G25 cp]],MI[[#This Row],[G22 cp]],MI[[#This Row],[G12 cp]],MI[[#This Row],[G5 cp]]) - MI[[#This Row],[B1  Max]]) / (MI[[#This Row],[B1 Inn]]-1)</f>
        <v>#DIV/0!</v>
      </c>
      <c r="Y13" s="161">
        <f>MIN(MI[[#This Row],[G25 cp]],MI[[#This Row],[G22 cp]],MI[[#This Row],[G12 cp]],MI[[#This Row],[G5 cp]])</f>
        <v>4</v>
      </c>
      <c r="Z13" s="195">
        <f>COUNTA(MI[[#This Row],[G31 cp]],MI[[#This Row],[G16 cp]])</f>
        <v>1</v>
      </c>
      <c r="AA13" s="161">
        <f>MAX(MI[[#This Row],[G31 cp]],MI[[#This Row],[G16 cp]])</f>
        <v>38</v>
      </c>
      <c r="AB13" s="161" t="e">
        <f>( SUM(MI[[#This Row],[G31 cp]],MI[[#This Row],[G16 cp]]) - MI[[#This Row],[CHS Max]]) / ( MI[[#This Row],[CHS Inn]] - 1 )</f>
        <v>#DIV/0!</v>
      </c>
      <c r="AC13" s="196">
        <f>MIN(MI[[#This Row],[G31 cp]],MI[[#This Row],[G16 cp]])</f>
        <v>38</v>
      </c>
      <c r="AD13" s="161"/>
      <c r="AE13" s="161"/>
      <c r="AF13" s="195">
        <f>MI[[#This Row],[G31 cp]]</f>
        <v>38</v>
      </c>
      <c r="AG13" s="161">
        <f>MI[[#This Row],[G25 cp]]</f>
        <v>0</v>
      </c>
      <c r="AH13" s="161">
        <f>MI[[#This Row],[G22 cp]]</f>
        <v>0</v>
      </c>
      <c r="AI13" s="161">
        <f>MI[[#This Row],[G16 cp]]</f>
        <v>0</v>
      </c>
      <c r="AJ13" s="161">
        <f>MI[[#This Row],[G12 cp]]</f>
        <v>0</v>
      </c>
      <c r="AK13" s="196">
        <f>MI[[#This Row],[G5 cp]]</f>
        <v>4</v>
      </c>
      <c r="AL13" s="195">
        <v>8</v>
      </c>
      <c r="AM13" s="161"/>
      <c r="AN13" s="161" t="s">
        <v>876</v>
      </c>
      <c r="AO13" s="161">
        <v>1</v>
      </c>
      <c r="AP13" s="161">
        <v>2</v>
      </c>
      <c r="AQ13" s="161">
        <v>4</v>
      </c>
      <c r="AR13" s="161">
        <v>42</v>
      </c>
      <c r="AS13" s="161">
        <v>1</v>
      </c>
      <c r="AT13" s="196">
        <v>38</v>
      </c>
      <c r="AU13" s="195"/>
      <c r="AV13" s="196"/>
      <c r="AW13" s="161"/>
      <c r="AX13" s="161"/>
      <c r="AY13" s="161"/>
      <c r="AZ13" s="161"/>
      <c r="BA13" s="161"/>
      <c r="BB13" s="161"/>
      <c r="BC13" s="195">
        <v>24</v>
      </c>
      <c r="BD13" s="84"/>
      <c r="BE13" s="161"/>
      <c r="BF13" s="161"/>
      <c r="BG13" s="161"/>
      <c r="BH13" s="196"/>
      <c r="BI13" s="158">
        <v>24</v>
      </c>
      <c r="BJ13" s="159"/>
      <c r="BK13" s="159"/>
      <c r="BL13" s="159"/>
      <c r="BM13" s="160"/>
      <c r="BN13" s="158">
        <v>10</v>
      </c>
      <c r="BO13" s="159"/>
      <c r="BP13" s="159"/>
      <c r="BQ13" s="159" t="s">
        <v>412</v>
      </c>
      <c r="BR13" s="162">
        <v>4</v>
      </c>
    </row>
    <row r="14" spans="2:70">
      <c r="B14" s="61" t="s">
        <v>134</v>
      </c>
      <c r="C14" s="6" t="s">
        <v>760</v>
      </c>
      <c r="D14" s="6">
        <v>0.3</v>
      </c>
      <c r="E14" s="6" t="s">
        <v>631</v>
      </c>
      <c r="F14" s="6" t="s">
        <v>56</v>
      </c>
      <c r="G14" s="9" t="s">
        <v>55</v>
      </c>
      <c r="H14" s="358"/>
      <c r="I14" s="367"/>
      <c r="J14" s="376"/>
      <c r="K14" s="72"/>
      <c r="L14" s="72"/>
      <c r="M14" s="72"/>
      <c r="N14" s="385"/>
      <c r="O14" s="72"/>
      <c r="P14" s="72"/>
      <c r="Q14" s="72"/>
      <c r="R14" s="58">
        <f>COUNTA(MI[[#This Row],[G31 cp]],MI[[#This Row],[G25 cp]],MI[[#This Row],[G22 cp]],MI[[#This Row],[G16 cp]],MI[[#This Row],[G12 cp]],MI[[#This Row],[G5 cp]])</f>
        <v>3</v>
      </c>
      <c r="S14" s="260">
        <f>MAX(MI[[#This Row],[G31 cp]],MI[[#This Row],[G25 cp]],MI[[#This Row],[G22 cp]],MI[[#This Row],[G16 cp]],MI[[#This Row],[G12 cp]],MI[[#This Row],[G5 cp]])</f>
        <v>29</v>
      </c>
      <c r="T14" s="260">
        <f>( SUM(MI[[#This Row],[G31 cp]],MI[[#This Row],[G25 cp]],MI[[#This Row],[G22 cp]],MI[[#This Row],[G16 cp]],MI[[#This Row],[G12 cp]],MI[[#This Row],[G5 cp]]) - MI[[#This Row],[Max.]]) / (MI[[#This Row],[Innings]]-1)</f>
        <v>16.5</v>
      </c>
      <c r="U14" s="80">
        <f>MIN(MI[[#This Row],[G31 cp]],MI[[#This Row],[G25 cp]],MI[[#This Row],[G22 cp]],MI[[#This Row],[G16 cp]],MI[[#This Row],[G12 cp]],MI[[#This Row],[G5 cp]])</f>
        <v>4</v>
      </c>
      <c r="V14" s="71">
        <f>COUNTA(MI[[#This Row],[G25 cp]],MI[[#This Row],[G22 cp]],MI[[#This Row],[G12 cp]],MI[[#This Row],[G5 cp]])</f>
        <v>2</v>
      </c>
      <c r="W14" s="71">
        <f>MAX(MI[[#This Row],[G25 cp]],MI[[#This Row],[G22 cp]],MI[[#This Row],[G12 cp]],MI[[#This Row],[G5 cp]])</f>
        <v>29</v>
      </c>
      <c r="X14" s="260">
        <f>( SUM(MI[[#This Row],[G25 cp]],MI[[#This Row],[G22 cp]],MI[[#This Row],[G12 cp]],MI[[#This Row],[G5 cp]]) - MI[[#This Row],[B1  Max]]) / (MI[[#This Row],[B1 Inn]]-1)</f>
        <v>4</v>
      </c>
      <c r="Y14" s="71">
        <f>MIN(MI[[#This Row],[G25 cp]],MI[[#This Row],[G22 cp]],MI[[#This Row],[G12 cp]],MI[[#This Row],[G5 cp]])</f>
        <v>4</v>
      </c>
      <c r="Z14" s="58">
        <f>COUNTA(MI[[#This Row],[G31 cp]],MI[[#This Row],[G16 cp]])</f>
        <v>1</v>
      </c>
      <c r="AA14" s="71">
        <f>MAX(MI[[#This Row],[G31 cp]],MI[[#This Row],[G16 cp]])</f>
        <v>29</v>
      </c>
      <c r="AB14" s="71" t="e">
        <f>( SUM(MI[[#This Row],[G31 cp]],MI[[#This Row],[G16 cp]]) - MI[[#This Row],[CHS Max]]) / ( MI[[#This Row],[CHS Inn]] - 1 )</f>
        <v>#DIV/0!</v>
      </c>
      <c r="AC14" s="80">
        <f>MIN(MI[[#This Row],[G31 cp]],MI[[#This Row],[G16 cp]])</f>
        <v>29</v>
      </c>
      <c r="AD14" s="71"/>
      <c r="AE14" s="71"/>
      <c r="AF14" s="58">
        <f>MI[[#This Row],[G31 cp]]</f>
        <v>29</v>
      </c>
      <c r="AG14" s="71">
        <f>MI[[#This Row],[G25 cp]]</f>
        <v>29</v>
      </c>
      <c r="AH14" s="71">
        <f>MI[[#This Row],[G22 cp]]</f>
        <v>4</v>
      </c>
      <c r="AI14" s="71">
        <f>MI[[#This Row],[G16 cp]]</f>
        <v>0</v>
      </c>
      <c r="AJ14" s="71">
        <f>MI[[#This Row],[G12 cp]]</f>
        <v>0</v>
      </c>
      <c r="AK14" s="80">
        <f>MI[[#This Row],[G5 cp]]</f>
        <v>0</v>
      </c>
      <c r="AL14" s="58">
        <v>9</v>
      </c>
      <c r="AM14" s="71"/>
      <c r="AN14" s="71"/>
      <c r="AO14" s="71"/>
      <c r="AP14" s="71"/>
      <c r="AQ14" s="71">
        <v>3</v>
      </c>
      <c r="AR14" s="71">
        <v>48</v>
      </c>
      <c r="AS14" s="71">
        <v>1</v>
      </c>
      <c r="AT14" s="80">
        <v>29</v>
      </c>
      <c r="AU14" s="58">
        <v>8</v>
      </c>
      <c r="AV14" s="80">
        <v>29</v>
      </c>
      <c r="AW14" s="71">
        <v>8</v>
      </c>
      <c r="AX14" s="71"/>
      <c r="AY14" s="71"/>
      <c r="AZ14" s="71"/>
      <c r="BA14" s="71" t="s">
        <v>981</v>
      </c>
      <c r="BB14" s="71">
        <v>4</v>
      </c>
      <c r="BC14" s="58">
        <v>15</v>
      </c>
      <c r="BD14" s="84"/>
      <c r="BE14" s="71"/>
      <c r="BF14" s="71"/>
      <c r="BG14" s="71"/>
      <c r="BH14" s="80"/>
      <c r="BI14" s="8"/>
      <c r="BJ14" s="6"/>
      <c r="BK14" s="6"/>
      <c r="BL14" s="6"/>
      <c r="BM14" s="9"/>
      <c r="BN14" s="8"/>
      <c r="BO14" s="6"/>
      <c r="BP14" s="6"/>
      <c r="BQ14" s="6"/>
      <c r="BR14" s="7"/>
    </row>
    <row r="15" spans="2:70">
      <c r="B15" s="63" t="s">
        <v>134</v>
      </c>
      <c r="C15" s="12" t="s">
        <v>755</v>
      </c>
      <c r="D15" s="12">
        <v>0.2</v>
      </c>
      <c r="E15" s="12" t="s">
        <v>618</v>
      </c>
      <c r="F15" s="12" t="s">
        <v>55</v>
      </c>
      <c r="G15" s="15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COUNTA(MI[[#This Row],[G31 cp]],MI[[#This Row],[G25 cp]],MI[[#This Row],[G22 cp]],MI[[#This Row],[G16 cp]],MI[[#This Row],[G12 cp]],MI[[#This Row],[G5 cp]])</f>
        <v>6</v>
      </c>
      <c r="S15" s="262">
        <f>MAX(MI[[#This Row],[G31 cp]],MI[[#This Row],[G25 cp]],MI[[#This Row],[G22 cp]],MI[[#This Row],[G16 cp]],MI[[#This Row],[G12 cp]],MI[[#This Row],[G5 cp]])</f>
        <v>62</v>
      </c>
      <c r="T15" s="262">
        <f>( SUM(MI[[#This Row],[G31 cp]],MI[[#This Row],[G25 cp]],MI[[#This Row],[G22 cp]],MI[[#This Row],[G16 cp]],MI[[#This Row],[G12 cp]],MI[[#This Row],[G5 cp]]) - MI[[#This Row],[Max.]]) / (MI[[#This Row],[Innings]]-1)</f>
        <v>17</v>
      </c>
      <c r="U15" s="83">
        <f>MIN(MI[[#This Row],[G31 cp]],MI[[#This Row],[G25 cp]],MI[[#This Row],[G22 cp]],MI[[#This Row],[G16 cp]],MI[[#This Row],[G12 cp]],MI[[#This Row],[G5 cp]])</f>
        <v>4</v>
      </c>
      <c r="V15" s="72">
        <f>COUNTA(MI[[#This Row],[G25 cp]],MI[[#This Row],[G22 cp]],MI[[#This Row],[G12 cp]],MI[[#This Row],[G5 cp]])</f>
        <v>4</v>
      </c>
      <c r="W15" s="72">
        <f>MAX(MI[[#This Row],[G25 cp]],MI[[#This Row],[G22 cp]],MI[[#This Row],[G12 cp]],MI[[#This Row],[G5 cp]])</f>
        <v>62</v>
      </c>
      <c r="X15" s="262">
        <f>( SUM(MI[[#This Row],[G25 cp]],MI[[#This Row],[G22 cp]],MI[[#This Row],[G12 cp]],MI[[#This Row],[G5 cp]]) - MI[[#This Row],[B1  Max]]) / (MI[[#This Row],[B1 Inn]]-1)</f>
        <v>17.333333333333332</v>
      </c>
      <c r="Y15" s="72">
        <f>MIN(MI[[#This Row],[G25 cp]],MI[[#This Row],[G22 cp]],MI[[#This Row],[G12 cp]],MI[[#This Row],[G5 cp]])</f>
        <v>10</v>
      </c>
      <c r="Z15" s="60">
        <f>COUNTA(MI[[#This Row],[G31 cp]],MI[[#This Row],[G16 cp]])</f>
        <v>2</v>
      </c>
      <c r="AA15" s="72">
        <f>MAX(MI[[#This Row],[G31 cp]],MI[[#This Row],[G16 cp]])</f>
        <v>29</v>
      </c>
      <c r="AB15" s="72">
        <f>( SUM(MI[[#This Row],[G31 cp]],MI[[#This Row],[G16 cp]]) - MI[[#This Row],[CHS Max]]) / ( MI[[#This Row],[CHS Inn]] - 1 )</f>
        <v>4</v>
      </c>
      <c r="AC15" s="83">
        <f>MIN(MI[[#This Row],[G31 cp]],MI[[#This Row],[G16 cp]])</f>
        <v>4</v>
      </c>
      <c r="AD15" s="72"/>
      <c r="AE15" s="72"/>
      <c r="AF15" s="60">
        <f>MI[[#This Row],[G31 cp]]</f>
        <v>4</v>
      </c>
      <c r="AG15" s="72">
        <f>MI[[#This Row],[G25 cp]]</f>
        <v>18</v>
      </c>
      <c r="AH15" s="72">
        <f>MI[[#This Row],[G22 cp]]</f>
        <v>62</v>
      </c>
      <c r="AI15" s="72">
        <f>MI[[#This Row],[G16 cp]]</f>
        <v>29</v>
      </c>
      <c r="AJ15" s="72">
        <f>MI[[#This Row],[G12 cp]]</f>
        <v>24</v>
      </c>
      <c r="AK15" s="83">
        <f>MI[[#This Row],[G5 cp]]</f>
        <v>10</v>
      </c>
      <c r="AL15" s="60">
        <v>10</v>
      </c>
      <c r="AM15" s="72"/>
      <c r="AN15" s="72"/>
      <c r="AO15" s="72"/>
      <c r="AP15" s="72"/>
      <c r="AQ15" s="72">
        <v>3</v>
      </c>
      <c r="AR15" s="72">
        <v>24</v>
      </c>
      <c r="AS15" s="72">
        <v>0</v>
      </c>
      <c r="AT15" s="83">
        <v>4</v>
      </c>
      <c r="AU15" s="60">
        <v>9</v>
      </c>
      <c r="AV15" s="83">
        <v>18</v>
      </c>
      <c r="AW15" s="72">
        <v>9</v>
      </c>
      <c r="AX15" s="72"/>
      <c r="AY15" s="72"/>
      <c r="AZ15" s="72"/>
      <c r="BA15" s="72" t="s">
        <v>811</v>
      </c>
      <c r="BB15" s="72">
        <v>62</v>
      </c>
      <c r="BC15" s="60">
        <v>9</v>
      </c>
      <c r="BD15" s="84"/>
      <c r="BE15" s="72"/>
      <c r="BF15" s="72"/>
      <c r="BG15" s="72" t="s">
        <v>810</v>
      </c>
      <c r="BH15" s="83">
        <v>29</v>
      </c>
      <c r="BI15" s="14">
        <v>9</v>
      </c>
      <c r="BJ15" s="12" t="s">
        <v>327</v>
      </c>
      <c r="BK15" s="12" t="s">
        <v>527</v>
      </c>
      <c r="BL15" s="12" t="s">
        <v>751</v>
      </c>
      <c r="BM15" s="15">
        <v>24</v>
      </c>
      <c r="BN15" s="14">
        <v>8</v>
      </c>
      <c r="BO15" s="12" t="s">
        <v>401</v>
      </c>
      <c r="BP15" s="12" t="s">
        <v>408</v>
      </c>
      <c r="BQ15" s="12" t="s">
        <v>414</v>
      </c>
      <c r="BR15" s="13">
        <v>10</v>
      </c>
    </row>
    <row r="16" spans="2:70">
      <c r="B16" s="63" t="s">
        <v>134</v>
      </c>
      <c r="C16" s="12" t="s">
        <v>754</v>
      </c>
      <c r="D16" s="12">
        <v>0.5</v>
      </c>
      <c r="E16" s="12" t="s">
        <v>142</v>
      </c>
      <c r="F16" s="12" t="s">
        <v>55</v>
      </c>
      <c r="G16" s="15" t="s">
        <v>56</v>
      </c>
      <c r="H16" s="358"/>
      <c r="I16" s="367"/>
      <c r="J16" s="376"/>
      <c r="K16" s="72"/>
      <c r="L16" s="72"/>
      <c r="M16" s="72"/>
      <c r="N16" s="385"/>
      <c r="O16" s="72"/>
      <c r="P16" s="72"/>
      <c r="Q16" s="72"/>
      <c r="R16" s="60">
        <f>COUNTA(MI[[#This Row],[G31 cp]],MI[[#This Row],[G25 cp]],MI[[#This Row],[G22 cp]],MI[[#This Row],[G16 cp]],MI[[#This Row],[G12 cp]],MI[[#This Row],[G5 cp]])</f>
        <v>6</v>
      </c>
      <c r="S16" s="262">
        <f>MAX(MI[[#This Row],[G31 cp]],MI[[#This Row],[G25 cp]],MI[[#This Row],[G22 cp]],MI[[#This Row],[G16 cp]],MI[[#This Row],[G12 cp]],MI[[#This Row],[G5 cp]])</f>
        <v>81</v>
      </c>
      <c r="T16" s="262">
        <f>( SUM(MI[[#This Row],[G31 cp]],MI[[#This Row],[G25 cp]],MI[[#This Row],[G22 cp]],MI[[#This Row],[G16 cp]],MI[[#This Row],[G12 cp]],MI[[#This Row],[G5 cp]]) - MI[[#This Row],[Max.]]) / (MI[[#This Row],[Innings]]-1)</f>
        <v>37</v>
      </c>
      <c r="U16" s="83">
        <f>MIN(MI[[#This Row],[G31 cp]],MI[[#This Row],[G25 cp]],MI[[#This Row],[G22 cp]],MI[[#This Row],[G16 cp]],MI[[#This Row],[G12 cp]],MI[[#This Row],[G5 cp]])</f>
        <v>4</v>
      </c>
      <c r="V16" s="72">
        <f>COUNTA(MI[[#This Row],[G25 cp]],MI[[#This Row],[G22 cp]],MI[[#This Row],[G12 cp]],MI[[#This Row],[G5 cp]])</f>
        <v>4</v>
      </c>
      <c r="W16" s="72">
        <f>MAX(MI[[#This Row],[G25 cp]],MI[[#This Row],[G22 cp]],MI[[#This Row],[G12 cp]],MI[[#This Row],[G5 cp]])</f>
        <v>54</v>
      </c>
      <c r="X16" s="262">
        <f>( SUM(MI[[#This Row],[G25 cp]],MI[[#This Row],[G22 cp]],MI[[#This Row],[G12 cp]],MI[[#This Row],[G5 cp]]) - MI[[#This Row],[B1  Max]]) / (MI[[#This Row],[B1 Inn]]-1)</f>
        <v>22.333333333333332</v>
      </c>
      <c r="Y16" s="72">
        <f>MIN(MI[[#This Row],[G25 cp]],MI[[#This Row],[G22 cp]],MI[[#This Row],[G12 cp]],MI[[#This Row],[G5 cp]])</f>
        <v>4</v>
      </c>
      <c r="Z16" s="60">
        <f>COUNTA(MI[[#This Row],[G31 cp]],MI[[#This Row],[G16 cp]])</f>
        <v>2</v>
      </c>
      <c r="AA16" s="72">
        <f>MAX(MI[[#This Row],[G31 cp]],MI[[#This Row],[G16 cp]])</f>
        <v>81</v>
      </c>
      <c r="AB16" s="72">
        <f>( SUM(MI[[#This Row],[G31 cp]],MI[[#This Row],[G16 cp]]) - MI[[#This Row],[CHS Max]]) / ( MI[[#This Row],[CHS Inn]] - 1 )</f>
        <v>64</v>
      </c>
      <c r="AC16" s="83">
        <f>MIN(MI[[#This Row],[G31 cp]],MI[[#This Row],[G16 cp]])</f>
        <v>64</v>
      </c>
      <c r="AD16" s="72"/>
      <c r="AE16" s="72"/>
      <c r="AF16" s="60">
        <f>MI[[#This Row],[G31 cp]]</f>
        <v>64</v>
      </c>
      <c r="AG16" s="72">
        <f>MI[[#This Row],[G25 cp]]</f>
        <v>54</v>
      </c>
      <c r="AH16" s="72">
        <f>MI[[#This Row],[G22 cp]]</f>
        <v>33</v>
      </c>
      <c r="AI16" s="72">
        <f>MI[[#This Row],[G16 cp]]</f>
        <v>81</v>
      </c>
      <c r="AJ16" s="72">
        <f>MI[[#This Row],[G12 cp]]</f>
        <v>30</v>
      </c>
      <c r="AK16" s="83">
        <f>MI[[#This Row],[G5 cp]]</f>
        <v>4</v>
      </c>
      <c r="AL16" s="60">
        <v>11</v>
      </c>
      <c r="AM16" s="72"/>
      <c r="AN16" s="72"/>
      <c r="AO16" s="72"/>
      <c r="AP16" s="72"/>
      <c r="AQ16" s="72">
        <v>3</v>
      </c>
      <c r="AR16" s="72">
        <v>15</v>
      </c>
      <c r="AS16" s="72">
        <v>2</v>
      </c>
      <c r="AT16" s="83">
        <v>64</v>
      </c>
      <c r="AU16" s="60">
        <v>10</v>
      </c>
      <c r="AV16" s="83">
        <v>54</v>
      </c>
      <c r="AW16" s="72">
        <v>10</v>
      </c>
      <c r="AX16" s="72"/>
      <c r="AY16" s="72"/>
      <c r="AZ16" s="72"/>
      <c r="BA16" s="72" t="s">
        <v>984</v>
      </c>
      <c r="BB16" s="72">
        <v>33</v>
      </c>
      <c r="BC16" s="60">
        <v>10</v>
      </c>
      <c r="BD16" s="84"/>
      <c r="BE16" s="72"/>
      <c r="BF16" s="72"/>
      <c r="BG16" s="72" t="s">
        <v>812</v>
      </c>
      <c r="BH16" s="83">
        <v>81</v>
      </c>
      <c r="BI16" s="14">
        <v>10</v>
      </c>
      <c r="BJ16" s="12" t="s">
        <v>327</v>
      </c>
      <c r="BK16" s="12" t="s">
        <v>545</v>
      </c>
      <c r="BL16" s="12" t="s">
        <v>749</v>
      </c>
      <c r="BM16" s="15">
        <v>30</v>
      </c>
      <c r="BN16" s="14">
        <v>11</v>
      </c>
      <c r="BO16" s="12"/>
      <c r="BP16" s="12"/>
      <c r="BQ16" s="12" t="s">
        <v>70</v>
      </c>
      <c r="BR16" s="13">
        <v>4</v>
      </c>
    </row>
    <row r="17" spans="2:70" s="1" customFormat="1">
      <c r="B17" s="163" t="s">
        <v>134</v>
      </c>
      <c r="C17" s="159" t="s">
        <v>789</v>
      </c>
      <c r="D17" s="159">
        <v>0.75</v>
      </c>
      <c r="E17" s="159" t="s">
        <v>614</v>
      </c>
      <c r="F17" s="159" t="s">
        <v>56</v>
      </c>
      <c r="G17" s="160" t="s">
        <v>56</v>
      </c>
      <c r="H17" s="353" t="s">
        <v>1004</v>
      </c>
      <c r="I17" s="362"/>
      <c r="J17" s="371"/>
      <c r="K17" s="118"/>
      <c r="L17" s="118"/>
      <c r="M17" s="118"/>
      <c r="N17" s="380"/>
      <c r="O17" s="118"/>
      <c r="P17" s="118"/>
      <c r="Q17" s="118"/>
      <c r="R17" s="195">
        <f>COUNTA(MI[[#This Row],[G31 cp]],MI[[#This Row],[G25 cp]],MI[[#This Row],[G22 cp]],MI[[#This Row],[G16 cp]],MI[[#This Row],[G12 cp]],MI[[#This Row],[G5 cp]])</f>
        <v>5</v>
      </c>
      <c r="S17" s="273">
        <f>MAX(MI[[#This Row],[G31 cp]],MI[[#This Row],[G25 cp]],MI[[#This Row],[G22 cp]],MI[[#This Row],[G16 cp]],MI[[#This Row],[G12 cp]],MI[[#This Row],[G5 cp]])</f>
        <v>87</v>
      </c>
      <c r="T17" s="273">
        <f>( SUM(MI[[#This Row],[G31 cp]],MI[[#This Row],[G25 cp]],MI[[#This Row],[G22 cp]],MI[[#This Row],[G16 cp]],MI[[#This Row],[G12 cp]],MI[[#This Row],[G5 cp]]) - MI[[#This Row],[Max.]]) / (MI[[#This Row],[Innings]]-1)</f>
        <v>28</v>
      </c>
      <c r="U17" s="196">
        <f>MIN(MI[[#This Row],[G31 cp]],MI[[#This Row],[G25 cp]],MI[[#This Row],[G22 cp]],MI[[#This Row],[G16 cp]],MI[[#This Row],[G12 cp]],MI[[#This Row],[G5 cp]])</f>
        <v>4</v>
      </c>
      <c r="V17" s="161">
        <f>COUNTA(MI[[#This Row],[G25 cp]],MI[[#This Row],[G22 cp]],MI[[#This Row],[G12 cp]],MI[[#This Row],[G5 cp]])</f>
        <v>3</v>
      </c>
      <c r="W17" s="161">
        <f>MAX(MI[[#This Row],[G25 cp]],MI[[#This Row],[G22 cp]],MI[[#This Row],[G12 cp]],MI[[#This Row],[G5 cp]])</f>
        <v>54</v>
      </c>
      <c r="X17" s="273">
        <f>( SUM(MI[[#This Row],[G25 cp]],MI[[#This Row],[G22 cp]],MI[[#This Row],[G12 cp]],MI[[#This Row],[G5 cp]]) - MI[[#This Row],[B1  Max]]) / (MI[[#This Row],[B1 Inn]]-1)</f>
        <v>14.5</v>
      </c>
      <c r="Y17" s="161">
        <f>MIN(MI[[#This Row],[G25 cp]],MI[[#This Row],[G22 cp]],MI[[#This Row],[G12 cp]],MI[[#This Row],[G5 cp]])</f>
        <v>4</v>
      </c>
      <c r="Z17" s="195">
        <f>COUNTA(MI[[#This Row],[G31 cp]],MI[[#This Row],[G16 cp]])</f>
        <v>2</v>
      </c>
      <c r="AA17" s="161">
        <f>MAX(MI[[#This Row],[G31 cp]],MI[[#This Row],[G16 cp]])</f>
        <v>87</v>
      </c>
      <c r="AB17" s="161">
        <f>( SUM(MI[[#This Row],[G31 cp]],MI[[#This Row],[G16 cp]]) - MI[[#This Row],[CHS Max]]) / ( MI[[#This Row],[CHS Inn]] - 1 )</f>
        <v>29</v>
      </c>
      <c r="AC17" s="196">
        <f>MIN(MI[[#This Row],[G31 cp]],MI[[#This Row],[G16 cp]])</f>
        <v>29</v>
      </c>
      <c r="AD17" s="161"/>
      <c r="AE17" s="161"/>
      <c r="AF17" s="195">
        <f>MI[[#This Row],[G31 cp]]</f>
        <v>29</v>
      </c>
      <c r="AG17" s="161">
        <f>MI[[#This Row],[G25 cp]]</f>
        <v>54</v>
      </c>
      <c r="AH17" s="161">
        <f>MI[[#This Row],[G22 cp]]</f>
        <v>0</v>
      </c>
      <c r="AI17" s="161">
        <f>MI[[#This Row],[G16 cp]]</f>
        <v>87</v>
      </c>
      <c r="AJ17" s="161">
        <f>MI[[#This Row],[G12 cp]]</f>
        <v>25</v>
      </c>
      <c r="AK17" s="196">
        <f>MI[[#This Row],[G5 cp]]</f>
        <v>4</v>
      </c>
      <c r="AL17" s="195">
        <v>12</v>
      </c>
      <c r="AM17" s="161"/>
      <c r="AN17" s="161"/>
      <c r="AO17" s="161"/>
      <c r="AP17" s="161"/>
      <c r="AQ17" s="161">
        <v>3</v>
      </c>
      <c r="AR17" s="161">
        <v>41</v>
      </c>
      <c r="AS17" s="161">
        <v>1</v>
      </c>
      <c r="AT17" s="196">
        <v>29</v>
      </c>
      <c r="AU17" s="195">
        <v>11</v>
      </c>
      <c r="AV17" s="196">
        <v>54</v>
      </c>
      <c r="AW17" s="161"/>
      <c r="AX17" s="161"/>
      <c r="AY17" s="161"/>
      <c r="AZ17" s="161"/>
      <c r="BA17" s="161"/>
      <c r="BB17" s="161"/>
      <c r="BC17" s="195">
        <v>11</v>
      </c>
      <c r="BD17" s="84"/>
      <c r="BE17" s="161"/>
      <c r="BF17" s="161"/>
      <c r="BG17" s="161" t="s">
        <v>807</v>
      </c>
      <c r="BH17" s="196">
        <v>87</v>
      </c>
      <c r="BI17" s="158">
        <v>11</v>
      </c>
      <c r="BJ17" s="159"/>
      <c r="BK17" s="159"/>
      <c r="BL17" s="159" t="s">
        <v>746</v>
      </c>
      <c r="BM17" s="160">
        <v>25</v>
      </c>
      <c r="BN17" s="158">
        <v>12</v>
      </c>
      <c r="BO17" s="159"/>
      <c r="BP17" s="159"/>
      <c r="BQ17" s="159" t="s">
        <v>410</v>
      </c>
      <c r="BR17" s="162">
        <v>4</v>
      </c>
    </row>
    <row r="18" spans="2:70">
      <c r="B18" s="63" t="s">
        <v>134</v>
      </c>
      <c r="C18" s="12" t="s">
        <v>756</v>
      </c>
      <c r="D18" s="12">
        <v>0.2</v>
      </c>
      <c r="E18" s="12" t="s">
        <v>618</v>
      </c>
      <c r="F18" s="12" t="s">
        <v>56</v>
      </c>
      <c r="G18" s="15" t="s">
        <v>56</v>
      </c>
      <c r="H18" s="354"/>
      <c r="I18" s="363"/>
      <c r="J18" s="372"/>
      <c r="K18" s="224"/>
      <c r="L18" s="224"/>
      <c r="M18" s="224"/>
      <c r="N18" s="381"/>
      <c r="O18" s="224"/>
      <c r="P18" s="224"/>
      <c r="Q18" s="224"/>
      <c r="R18" s="60">
        <f>COUNTA(MI[[#This Row],[G31 cp]],MI[[#This Row],[G25 cp]],MI[[#This Row],[G22 cp]],MI[[#This Row],[G16 cp]],MI[[#This Row],[G12 cp]],MI[[#This Row],[G5 cp]])</f>
        <v>1</v>
      </c>
      <c r="S18" s="262">
        <f>MAX(MI[[#This Row],[G31 cp]],MI[[#This Row],[G25 cp]],MI[[#This Row],[G22 cp]],MI[[#This Row],[G16 cp]],MI[[#This Row],[G12 cp]],MI[[#This Row],[G5 cp]])</f>
        <v>40</v>
      </c>
      <c r="T18" s="262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18" s="83">
        <f>MIN(MI[[#This Row],[G31 cp]],MI[[#This Row],[G25 cp]],MI[[#This Row],[G22 cp]],MI[[#This Row],[G16 cp]],MI[[#This Row],[G12 cp]],MI[[#This Row],[G5 cp]])</f>
        <v>40</v>
      </c>
      <c r="V18" s="72">
        <f>COUNTA(MI[[#This Row],[G25 cp]],MI[[#This Row],[G22 cp]],MI[[#This Row],[G12 cp]],MI[[#This Row],[G5 cp]])</f>
        <v>1</v>
      </c>
      <c r="W18" s="72">
        <f>MAX(MI[[#This Row],[G25 cp]],MI[[#This Row],[G22 cp]],MI[[#This Row],[G12 cp]],MI[[#This Row],[G5 cp]])</f>
        <v>40</v>
      </c>
      <c r="X18" s="262" t="e">
        <f>( SUM(MI[[#This Row],[G25 cp]],MI[[#This Row],[G22 cp]],MI[[#This Row],[G12 cp]],MI[[#This Row],[G5 cp]]) - MI[[#This Row],[B1  Max]]) / (MI[[#This Row],[B1 Inn]]-1)</f>
        <v>#DIV/0!</v>
      </c>
      <c r="Y18" s="72">
        <f>MIN(MI[[#This Row],[G25 cp]],MI[[#This Row],[G22 cp]],MI[[#This Row],[G12 cp]],MI[[#This Row],[G5 cp]])</f>
        <v>40</v>
      </c>
      <c r="Z18" s="60">
        <f>COUNTA(MI[[#This Row],[G31 cp]],MI[[#This Row],[G16 cp]])</f>
        <v>0</v>
      </c>
      <c r="AA18" s="72">
        <f>MAX(MI[[#This Row],[G31 cp]],MI[[#This Row],[G16 cp]])</f>
        <v>0</v>
      </c>
      <c r="AB18" s="72">
        <f>( SUM(MI[[#This Row],[G31 cp]],MI[[#This Row],[G16 cp]]) - MI[[#This Row],[CHS Max]]) / ( MI[[#This Row],[CHS Inn]] - 1 )</f>
        <v>0</v>
      </c>
      <c r="AC18" s="83">
        <f>MIN(MI[[#This Row],[G31 cp]],MI[[#This Row],[G16 cp]])</f>
        <v>0</v>
      </c>
      <c r="AD18" s="72"/>
      <c r="AE18" s="72"/>
      <c r="AF18" s="60">
        <f>MI[[#This Row],[G31 cp]]</f>
        <v>0</v>
      </c>
      <c r="AG18" s="72">
        <f>MI[[#This Row],[G25 cp]]</f>
        <v>0</v>
      </c>
      <c r="AH18" s="72">
        <f>MI[[#This Row],[G22 cp]]</f>
        <v>0</v>
      </c>
      <c r="AI18" s="72">
        <f>MI[[#This Row],[G16 cp]]</f>
        <v>0</v>
      </c>
      <c r="AJ18" s="72">
        <f>MI[[#This Row],[G12 cp]]</f>
        <v>40</v>
      </c>
      <c r="AK18" s="83">
        <f>MI[[#This Row],[G5 cp]]</f>
        <v>0</v>
      </c>
      <c r="AL18" s="60">
        <v>15</v>
      </c>
      <c r="AM18" s="72"/>
      <c r="AN18" s="72"/>
      <c r="AO18" s="72"/>
      <c r="AP18" s="72"/>
      <c r="AQ18" s="72"/>
      <c r="AR18" s="72"/>
      <c r="AS18" s="72"/>
      <c r="AT18" s="83"/>
      <c r="AU18" s="60">
        <v>15</v>
      </c>
      <c r="AV18" s="83"/>
      <c r="AW18" s="72">
        <v>15</v>
      </c>
      <c r="AX18" s="72"/>
      <c r="AY18" s="72"/>
      <c r="AZ18" s="72"/>
      <c r="BA18" s="72"/>
      <c r="BB18" s="72"/>
      <c r="BC18" s="60">
        <v>15</v>
      </c>
      <c r="BD18" s="84"/>
      <c r="BE18" s="72"/>
      <c r="BF18" s="72"/>
      <c r="BG18" s="72"/>
      <c r="BH18" s="83"/>
      <c r="BI18" s="14">
        <v>12</v>
      </c>
      <c r="BJ18" s="12"/>
      <c r="BK18" s="12"/>
      <c r="BL18" s="12" t="s">
        <v>750</v>
      </c>
      <c r="BM18" s="15">
        <v>40</v>
      </c>
      <c r="BN18" s="14"/>
      <c r="BO18" s="12"/>
      <c r="BP18" s="12"/>
      <c r="BQ18" s="12"/>
      <c r="BR18" s="13"/>
    </row>
    <row r="19" spans="2:70">
      <c r="B19" s="99" t="s">
        <v>134</v>
      </c>
      <c r="C19" s="26" t="s">
        <v>12</v>
      </c>
      <c r="D19" s="26">
        <v>0.2</v>
      </c>
      <c r="E19" s="26" t="s">
        <v>618</v>
      </c>
      <c r="F19" s="26" t="s">
        <v>55</v>
      </c>
      <c r="G19" s="31" t="s">
        <v>54</v>
      </c>
      <c r="H19" s="355"/>
      <c r="I19" s="364"/>
      <c r="J19" s="373"/>
      <c r="K19" s="71"/>
      <c r="L19" s="71"/>
      <c r="M19" s="71"/>
      <c r="N19" s="382"/>
      <c r="O19" s="71"/>
      <c r="P19" s="71"/>
      <c r="Q19" s="71"/>
      <c r="R19" s="85">
        <f>COUNTA(MI[[#This Row],[G31 cp]],MI[[#This Row],[G25 cp]],MI[[#This Row],[G22 cp]],MI[[#This Row],[G16 cp]],MI[[#This Row],[G12 cp]],MI[[#This Row],[G5 cp]])</f>
        <v>0</v>
      </c>
      <c r="S19" s="261">
        <f>MAX(MI[[#This Row],[G31 cp]],MI[[#This Row],[G25 cp]],MI[[#This Row],[G22 cp]],MI[[#This Row],[G16 cp]],MI[[#This Row],[G12 cp]],MI[[#This Row],[G5 cp]])</f>
        <v>0</v>
      </c>
      <c r="T19" s="261">
        <f>( SUM(MI[[#This Row],[G31 cp]],MI[[#This Row],[G25 cp]],MI[[#This Row],[G22 cp]],MI[[#This Row],[G16 cp]],MI[[#This Row],[G12 cp]],MI[[#This Row],[G5 cp]]) - MI[[#This Row],[Max.]]) / (MI[[#This Row],[Innings]]-1)</f>
        <v>0</v>
      </c>
      <c r="U19" s="86">
        <f>MIN(MI[[#This Row],[G31 cp]],MI[[#This Row],[G25 cp]],MI[[#This Row],[G22 cp]],MI[[#This Row],[G16 cp]],MI[[#This Row],[G12 cp]],MI[[#This Row],[G5 cp]])</f>
        <v>0</v>
      </c>
      <c r="V19" s="84">
        <f>COUNTA(MI[[#This Row],[G25 cp]],MI[[#This Row],[G22 cp]],MI[[#This Row],[G12 cp]],MI[[#This Row],[G5 cp]])</f>
        <v>0</v>
      </c>
      <c r="W19" s="84">
        <f>MAX(MI[[#This Row],[G25 cp]],MI[[#This Row],[G22 cp]],MI[[#This Row],[G12 cp]],MI[[#This Row],[G5 cp]])</f>
        <v>0</v>
      </c>
      <c r="X19" s="261">
        <f>( SUM(MI[[#This Row],[G25 cp]],MI[[#This Row],[G22 cp]],MI[[#This Row],[G12 cp]],MI[[#This Row],[G5 cp]]) - MI[[#This Row],[B1  Max]]) / (MI[[#This Row],[B1 Inn]]-1)</f>
        <v>0</v>
      </c>
      <c r="Y19" s="84">
        <f>MIN(MI[[#This Row],[G25 cp]],MI[[#This Row],[G22 cp]],MI[[#This Row],[G12 cp]],MI[[#This Row],[G5 cp]])</f>
        <v>0</v>
      </c>
      <c r="Z19" s="85">
        <f>COUNTA(MI[[#This Row],[G31 cp]],MI[[#This Row],[G16 cp]])</f>
        <v>0</v>
      </c>
      <c r="AA19" s="84">
        <f>MAX(MI[[#This Row],[G31 cp]],MI[[#This Row],[G16 cp]])</f>
        <v>0</v>
      </c>
      <c r="AB19" s="84">
        <f>( SUM(MI[[#This Row],[G31 cp]],MI[[#This Row],[G16 cp]]) - MI[[#This Row],[CHS Max]]) / ( MI[[#This Row],[CHS Inn]] - 1 )</f>
        <v>0</v>
      </c>
      <c r="AC19" s="86">
        <f>MIN(MI[[#This Row],[G31 cp]],MI[[#This Row],[G16 cp]])</f>
        <v>0</v>
      </c>
      <c r="AD19" s="84"/>
      <c r="AE19" s="84"/>
      <c r="AF19" s="85">
        <f>MI[[#This Row],[G31 cp]]</f>
        <v>0</v>
      </c>
      <c r="AG19" s="84">
        <f>MI[[#This Row],[G25 cp]]</f>
        <v>0</v>
      </c>
      <c r="AH19" s="84">
        <f>MI[[#This Row],[G22 cp]]</f>
        <v>0</v>
      </c>
      <c r="AI19" s="84">
        <f>MI[[#This Row],[G16 cp]]</f>
        <v>0</v>
      </c>
      <c r="AJ19" s="84">
        <f>MI[[#This Row],[G12 cp]]</f>
        <v>0</v>
      </c>
      <c r="AK19" s="86">
        <f>MI[[#This Row],[G5 cp]]</f>
        <v>0</v>
      </c>
      <c r="AL19" s="85">
        <v>15</v>
      </c>
      <c r="AM19" s="84"/>
      <c r="AN19" s="84"/>
      <c r="AO19" s="84"/>
      <c r="AP19" s="84"/>
      <c r="AQ19" s="84"/>
      <c r="AR19" s="84"/>
      <c r="AS19" s="84"/>
      <c r="AT19" s="86"/>
      <c r="AU19" s="85">
        <v>15</v>
      </c>
      <c r="AV19" s="86"/>
      <c r="AW19" s="84">
        <v>15</v>
      </c>
      <c r="AX19" s="84"/>
      <c r="AY19" s="84"/>
      <c r="AZ19" s="84"/>
      <c r="BA19" s="84"/>
      <c r="BB19" s="84"/>
      <c r="BC19" s="85">
        <v>15</v>
      </c>
      <c r="BD19" s="84"/>
      <c r="BE19" s="84"/>
      <c r="BF19" s="84"/>
      <c r="BG19" s="84"/>
      <c r="BH19" s="86"/>
      <c r="BI19" s="30">
        <v>32</v>
      </c>
      <c r="BJ19" s="26"/>
      <c r="BK19" s="26"/>
      <c r="BL19" s="26"/>
      <c r="BM19" s="31"/>
      <c r="BN19" s="191"/>
      <c r="BO19" s="96"/>
      <c r="BP19" s="96"/>
      <c r="BQ19" s="96"/>
      <c r="BR19" s="1058"/>
    </row>
    <row r="20" spans="2:70">
      <c r="B20" s="61" t="s">
        <v>134</v>
      </c>
      <c r="C20" s="6" t="s">
        <v>816</v>
      </c>
      <c r="D20" s="6">
        <v>0.2</v>
      </c>
      <c r="E20" s="6"/>
      <c r="F20" s="6" t="s">
        <v>55</v>
      </c>
      <c r="G20" s="9" t="s">
        <v>55</v>
      </c>
      <c r="H20" s="359"/>
      <c r="I20" s="368"/>
      <c r="J20" s="377"/>
      <c r="K20" s="161"/>
      <c r="L20" s="161"/>
      <c r="M20" s="161"/>
      <c r="N20" s="386"/>
      <c r="O20" s="161"/>
      <c r="P20" s="161"/>
      <c r="Q20" s="161"/>
      <c r="R20" s="58">
        <f>COUNTA(MI[[#This Row],[G31 cp]],MI[[#This Row],[G25 cp]],MI[[#This Row],[G22 cp]],MI[[#This Row],[G16 cp]],MI[[#This Row],[G12 cp]],MI[[#This Row],[G5 cp]])</f>
        <v>0</v>
      </c>
      <c r="S20" s="260">
        <f>MAX(MI[[#This Row],[G31 cp]],MI[[#This Row],[G25 cp]],MI[[#This Row],[G22 cp]],MI[[#This Row],[G16 cp]],MI[[#This Row],[G12 cp]],MI[[#This Row],[G5 cp]])</f>
        <v>0</v>
      </c>
      <c r="T20" s="260">
        <f>( SUM(MI[[#This Row],[G31 cp]],MI[[#This Row],[G25 cp]],MI[[#This Row],[G22 cp]],MI[[#This Row],[G16 cp]],MI[[#This Row],[G12 cp]],MI[[#This Row],[G5 cp]]) - MI[[#This Row],[Max.]]) / (MI[[#This Row],[Innings]]-1)</f>
        <v>0</v>
      </c>
      <c r="U20" s="80">
        <f>MIN(MI[[#This Row],[G31 cp]],MI[[#This Row],[G25 cp]],MI[[#This Row],[G22 cp]],MI[[#This Row],[G16 cp]],MI[[#This Row],[G12 cp]],MI[[#This Row],[G5 cp]])</f>
        <v>0</v>
      </c>
      <c r="V20" s="71">
        <f>COUNTA(MI[[#This Row],[G25 cp]],MI[[#This Row],[G22 cp]],MI[[#This Row],[G12 cp]],MI[[#This Row],[G5 cp]])</f>
        <v>0</v>
      </c>
      <c r="W20" s="71">
        <f>MAX(MI[[#This Row],[G25 cp]],MI[[#This Row],[G22 cp]],MI[[#This Row],[G12 cp]],MI[[#This Row],[G5 cp]])</f>
        <v>0</v>
      </c>
      <c r="X20" s="260">
        <f>( SUM(MI[[#This Row],[G25 cp]],MI[[#This Row],[G22 cp]],MI[[#This Row],[G12 cp]],MI[[#This Row],[G5 cp]]) - MI[[#This Row],[B1  Max]]) / (MI[[#This Row],[B1 Inn]]-1)</f>
        <v>0</v>
      </c>
      <c r="Y20" s="71">
        <f>MIN(MI[[#This Row],[G25 cp]],MI[[#This Row],[G22 cp]],MI[[#This Row],[G12 cp]],MI[[#This Row],[G5 cp]])</f>
        <v>0</v>
      </c>
      <c r="Z20" s="58">
        <f>COUNTA(MI[[#This Row],[G31 cp]],MI[[#This Row],[G16 cp]])</f>
        <v>0</v>
      </c>
      <c r="AA20" s="71">
        <f>MAX(MI[[#This Row],[G31 cp]],MI[[#This Row],[G16 cp]])</f>
        <v>0</v>
      </c>
      <c r="AB20" s="71">
        <f>( SUM(MI[[#This Row],[G31 cp]],MI[[#This Row],[G16 cp]]) - MI[[#This Row],[CHS Max]]) / ( MI[[#This Row],[CHS Inn]] - 1 )</f>
        <v>0</v>
      </c>
      <c r="AC20" s="80">
        <f>MIN(MI[[#This Row],[G31 cp]],MI[[#This Row],[G16 cp]])</f>
        <v>0</v>
      </c>
      <c r="AD20" s="71"/>
      <c r="AE20" s="71"/>
      <c r="AF20" s="58">
        <f>MI[[#This Row],[G31 cp]]</f>
        <v>0</v>
      </c>
      <c r="AG20" s="71">
        <f>MI[[#This Row],[G25 cp]]</f>
        <v>0</v>
      </c>
      <c r="AH20" s="71">
        <f>MI[[#This Row],[G22 cp]]</f>
        <v>0</v>
      </c>
      <c r="AI20" s="71">
        <f>MI[[#This Row],[G16 cp]]</f>
        <v>0</v>
      </c>
      <c r="AJ20" s="71">
        <f>MI[[#This Row],[G12 cp]]</f>
        <v>0</v>
      </c>
      <c r="AK20" s="80">
        <f>MI[[#This Row],[G5 cp]]</f>
        <v>0</v>
      </c>
      <c r="AL20" s="58">
        <v>15</v>
      </c>
      <c r="AM20" s="71"/>
      <c r="AN20" s="71"/>
      <c r="AO20" s="71"/>
      <c r="AP20" s="71"/>
      <c r="AQ20" s="71"/>
      <c r="AR20" s="71"/>
      <c r="AS20" s="71"/>
      <c r="AT20" s="80"/>
      <c r="AU20" s="58">
        <v>15</v>
      </c>
      <c r="AV20" s="80"/>
      <c r="AW20" s="71"/>
      <c r="AX20" s="71"/>
      <c r="AY20" s="71"/>
      <c r="AZ20" s="71"/>
      <c r="BA20" s="71"/>
      <c r="BB20" s="71"/>
      <c r="BC20" s="58">
        <v>32</v>
      </c>
      <c r="BD20" s="84"/>
      <c r="BE20" s="71"/>
      <c r="BF20" s="71"/>
      <c r="BG20" s="71"/>
      <c r="BH20" s="80"/>
      <c r="BI20" s="8">
        <v>32</v>
      </c>
      <c r="BJ20" s="6"/>
      <c r="BK20" s="6"/>
      <c r="BL20" s="6"/>
      <c r="BM20" s="9"/>
      <c r="BN20" s="10"/>
      <c r="BO20" s="11"/>
      <c r="BP20" s="11"/>
      <c r="BQ20" s="11"/>
      <c r="BR20" s="91"/>
    </row>
    <row r="21" spans="2:70" s="332" customFormat="1">
      <c r="B21" s="1056" t="s">
        <v>134</v>
      </c>
      <c r="C21" s="326" t="s">
        <v>15</v>
      </c>
      <c r="D21" s="326">
        <v>0.2</v>
      </c>
      <c r="E21" s="326" t="s">
        <v>765</v>
      </c>
      <c r="F21" s="326" t="s">
        <v>75</v>
      </c>
      <c r="G21" s="327" t="s">
        <v>75</v>
      </c>
      <c r="H21" s="358"/>
      <c r="I21" s="367"/>
      <c r="J21" s="376"/>
      <c r="K21" s="72"/>
      <c r="L21" s="72"/>
      <c r="M21" s="72"/>
      <c r="N21" s="385"/>
      <c r="O21" s="72"/>
      <c r="P21" s="72"/>
      <c r="Q21" s="72"/>
      <c r="R21" s="328">
        <f>COUNTA(MI[[#This Row],[G31 cp]],MI[[#This Row],[G25 cp]],MI[[#This Row],[G22 cp]],MI[[#This Row],[G16 cp]],MI[[#This Row],[G12 cp]],MI[[#This Row],[G5 cp]])</f>
        <v>0</v>
      </c>
      <c r="S21" s="329">
        <f>MAX(MI[[#This Row],[G31 cp]],MI[[#This Row],[G25 cp]],MI[[#This Row],[G22 cp]],MI[[#This Row],[G16 cp]],MI[[#This Row],[G12 cp]],MI[[#This Row],[G5 cp]])</f>
        <v>0</v>
      </c>
      <c r="T21" s="329">
        <f>( SUM(MI[[#This Row],[G31 cp]],MI[[#This Row],[G25 cp]],MI[[#This Row],[G22 cp]],MI[[#This Row],[G16 cp]],MI[[#This Row],[G12 cp]],MI[[#This Row],[G5 cp]]) - MI[[#This Row],[Max.]]) / (MI[[#This Row],[Innings]]-1)</f>
        <v>0</v>
      </c>
      <c r="U21" s="330">
        <f>MIN(MI[[#This Row],[G31 cp]],MI[[#This Row],[G25 cp]],MI[[#This Row],[G22 cp]],MI[[#This Row],[G16 cp]],MI[[#This Row],[G12 cp]],MI[[#This Row],[G5 cp]])</f>
        <v>0</v>
      </c>
      <c r="V21" s="331">
        <f>COUNTA(MI[[#This Row],[G25 cp]],MI[[#This Row],[G22 cp]],MI[[#This Row],[G12 cp]],MI[[#This Row],[G5 cp]])</f>
        <v>0</v>
      </c>
      <c r="W21" s="331">
        <f>MAX(MI[[#This Row],[G25 cp]],MI[[#This Row],[G22 cp]],MI[[#This Row],[G12 cp]],MI[[#This Row],[G5 cp]])</f>
        <v>0</v>
      </c>
      <c r="X21" s="329">
        <f>( SUM(MI[[#This Row],[G25 cp]],MI[[#This Row],[G22 cp]],MI[[#This Row],[G12 cp]],MI[[#This Row],[G5 cp]]) - MI[[#This Row],[B1  Max]]) / (MI[[#This Row],[B1 Inn]]-1)</f>
        <v>0</v>
      </c>
      <c r="Y21" s="331">
        <f>MIN(MI[[#This Row],[G25 cp]],MI[[#This Row],[G22 cp]],MI[[#This Row],[G12 cp]],MI[[#This Row],[G5 cp]])</f>
        <v>0</v>
      </c>
      <c r="Z21" s="328">
        <f>COUNTA(MI[[#This Row],[G31 cp]],MI[[#This Row],[G16 cp]])</f>
        <v>0</v>
      </c>
      <c r="AA21" s="331">
        <f>MAX(MI[[#This Row],[G31 cp]],MI[[#This Row],[G16 cp]])</f>
        <v>0</v>
      </c>
      <c r="AB21" s="331">
        <f>( SUM(MI[[#This Row],[G31 cp]],MI[[#This Row],[G16 cp]]) - MI[[#This Row],[CHS Max]]) / ( MI[[#This Row],[CHS Inn]] - 1 )</f>
        <v>0</v>
      </c>
      <c r="AC21" s="330">
        <f>MIN(MI[[#This Row],[G31 cp]],MI[[#This Row],[G16 cp]])</f>
        <v>0</v>
      </c>
      <c r="AD21" s="331"/>
      <c r="AE21" s="331"/>
      <c r="AF21" s="328">
        <f>MI[[#This Row],[G31 cp]]</f>
        <v>0</v>
      </c>
      <c r="AG21" s="331">
        <f>MI[[#This Row],[G25 cp]]</f>
        <v>0</v>
      </c>
      <c r="AH21" s="331">
        <f>MI[[#This Row],[G22 cp]]</f>
        <v>0</v>
      </c>
      <c r="AI21" s="331">
        <f>MI[[#This Row],[G16 cp]]</f>
        <v>0</v>
      </c>
      <c r="AJ21" s="331">
        <f>MI[[#This Row],[G12 cp]]</f>
        <v>0</v>
      </c>
      <c r="AK21" s="330">
        <f>MI[[#This Row],[G5 cp]]</f>
        <v>0</v>
      </c>
      <c r="AL21" s="328">
        <v>15</v>
      </c>
      <c r="AM21" s="331"/>
      <c r="AN21" s="331"/>
      <c r="AO21" s="331"/>
      <c r="AP21" s="331"/>
      <c r="AQ21" s="331"/>
      <c r="AR21" s="331"/>
      <c r="AS21" s="331"/>
      <c r="AT21" s="330"/>
      <c r="AU21" s="328">
        <v>15</v>
      </c>
      <c r="AV21" s="330"/>
      <c r="AW21" s="331">
        <v>15</v>
      </c>
      <c r="AX21" s="331"/>
      <c r="AY21" s="331"/>
      <c r="AZ21" s="331"/>
      <c r="BA21" s="331"/>
      <c r="BB21" s="331"/>
      <c r="BC21" s="328"/>
      <c r="BD21" s="331"/>
      <c r="BE21" s="331"/>
      <c r="BF21" s="331"/>
      <c r="BG21" s="331"/>
      <c r="BH21" s="330"/>
      <c r="BI21" s="325"/>
      <c r="BJ21" s="326"/>
      <c r="BK21" s="326"/>
      <c r="BL21" s="326"/>
      <c r="BM21" s="327"/>
      <c r="BN21" s="333"/>
      <c r="BO21" s="334"/>
      <c r="BP21" s="334"/>
      <c r="BQ21" s="334"/>
      <c r="BR21" s="346"/>
    </row>
    <row r="22" spans="2:70">
      <c r="B22" s="163" t="s">
        <v>134</v>
      </c>
      <c r="C22" s="159" t="s">
        <v>815</v>
      </c>
      <c r="D22" s="159"/>
      <c r="E22" s="159" t="s">
        <v>614</v>
      </c>
      <c r="F22" s="159"/>
      <c r="G22" s="160" t="s">
        <v>56</v>
      </c>
      <c r="H22" s="355" t="s">
        <v>1004</v>
      </c>
      <c r="I22" s="364"/>
      <c r="J22" s="373"/>
      <c r="K22" s="71"/>
      <c r="L22" s="71"/>
      <c r="M22" s="71"/>
      <c r="N22" s="382"/>
      <c r="O22" s="71"/>
      <c r="P22" s="71"/>
      <c r="Q22" s="71"/>
      <c r="R22" s="195">
        <f>COUNTA(MI[[#This Row],[G31 cp]],MI[[#This Row],[G25 cp]],MI[[#This Row],[G22 cp]],MI[[#This Row],[G16 cp]],MI[[#This Row],[G12 cp]],MI[[#This Row],[G5 cp]])</f>
        <v>3</v>
      </c>
      <c r="S22" s="273">
        <f>MAX(MI[[#This Row],[G31 cp]],MI[[#This Row],[G25 cp]],MI[[#This Row],[G22 cp]],MI[[#This Row],[G16 cp]],MI[[#This Row],[G12 cp]],MI[[#This Row],[G5 cp]])</f>
        <v>62</v>
      </c>
      <c r="T22" s="273">
        <f>( SUM(MI[[#This Row],[G31 cp]],MI[[#This Row],[G25 cp]],MI[[#This Row],[G22 cp]],MI[[#This Row],[G16 cp]],MI[[#This Row],[G12 cp]],MI[[#This Row],[G5 cp]]) - MI[[#This Row],[Max.]]) / (MI[[#This Row],[Innings]]-1)</f>
        <v>41</v>
      </c>
      <c r="U22" s="196">
        <f>MIN(MI[[#This Row],[G31 cp]],MI[[#This Row],[G25 cp]],MI[[#This Row],[G22 cp]],MI[[#This Row],[G16 cp]],MI[[#This Row],[G12 cp]],MI[[#This Row],[G5 cp]])</f>
        <v>29</v>
      </c>
      <c r="V22" s="161">
        <f>COUNTA(MI[[#This Row],[G25 cp]],MI[[#This Row],[G22 cp]],MI[[#This Row],[G12 cp]],MI[[#This Row],[G5 cp]])</f>
        <v>2</v>
      </c>
      <c r="W22" s="161">
        <f>MAX(MI[[#This Row],[G25 cp]],MI[[#This Row],[G22 cp]],MI[[#This Row],[G12 cp]],MI[[#This Row],[G5 cp]])</f>
        <v>53</v>
      </c>
      <c r="X22" s="273">
        <f>( SUM(MI[[#This Row],[G25 cp]],MI[[#This Row],[G22 cp]],MI[[#This Row],[G12 cp]],MI[[#This Row],[G5 cp]]) - MI[[#This Row],[B1  Max]]) / (MI[[#This Row],[B1 Inn]]-1)</f>
        <v>29</v>
      </c>
      <c r="Y22" s="161">
        <f>MIN(MI[[#This Row],[G25 cp]],MI[[#This Row],[G22 cp]],MI[[#This Row],[G12 cp]],MI[[#This Row],[G5 cp]])</f>
        <v>29</v>
      </c>
      <c r="Z22" s="195">
        <f>COUNTA(MI[[#This Row],[G31 cp]],MI[[#This Row],[G16 cp]])</f>
        <v>1</v>
      </c>
      <c r="AA22" s="161">
        <f>MAX(MI[[#This Row],[G31 cp]],MI[[#This Row],[G16 cp]])</f>
        <v>62</v>
      </c>
      <c r="AB22" s="161" t="e">
        <f>( SUM(MI[[#This Row],[G31 cp]],MI[[#This Row],[G16 cp]]) - MI[[#This Row],[CHS Max]]) / ( MI[[#This Row],[CHS Inn]] - 1 )</f>
        <v>#DIV/0!</v>
      </c>
      <c r="AC22" s="196">
        <f>MIN(MI[[#This Row],[G31 cp]],MI[[#This Row],[G16 cp]])</f>
        <v>62</v>
      </c>
      <c r="AD22" s="161"/>
      <c r="AE22" s="161"/>
      <c r="AF22" s="195">
        <f>MI[[#This Row],[G31 cp]]</f>
        <v>0</v>
      </c>
      <c r="AG22" s="161">
        <f>MI[[#This Row],[G25 cp]]</f>
        <v>53</v>
      </c>
      <c r="AH22" s="161">
        <f>MI[[#This Row],[G22 cp]]</f>
        <v>29</v>
      </c>
      <c r="AI22" s="161">
        <f>MI[[#This Row],[G16 cp]]</f>
        <v>62</v>
      </c>
      <c r="AJ22" s="161">
        <f>MI[[#This Row],[G12 cp]]</f>
        <v>0</v>
      </c>
      <c r="AK22" s="196">
        <f>MI[[#This Row],[G5 cp]]</f>
        <v>0</v>
      </c>
      <c r="AL22" s="195"/>
      <c r="AM22" s="161"/>
      <c r="AN22" s="161"/>
      <c r="AO22" s="161"/>
      <c r="AP22" s="161"/>
      <c r="AQ22" s="161"/>
      <c r="AR22" s="161"/>
      <c r="AS22" s="161"/>
      <c r="AT22" s="196"/>
      <c r="AU22" s="195">
        <v>12</v>
      </c>
      <c r="AV22" s="196">
        <v>53</v>
      </c>
      <c r="AW22" s="161">
        <v>12</v>
      </c>
      <c r="AX22" s="161"/>
      <c r="AY22" s="161"/>
      <c r="AZ22" s="161"/>
      <c r="BA22" s="161" t="s">
        <v>985</v>
      </c>
      <c r="BB22" s="161">
        <v>29</v>
      </c>
      <c r="BC22" s="195">
        <v>12</v>
      </c>
      <c r="BD22" s="144"/>
      <c r="BE22" s="161"/>
      <c r="BF22" s="161"/>
      <c r="BG22" s="161" t="s">
        <v>811</v>
      </c>
      <c r="BH22" s="196">
        <v>62</v>
      </c>
      <c r="BI22" s="158">
        <v>32</v>
      </c>
      <c r="BJ22" s="159"/>
      <c r="BK22" s="159"/>
      <c r="BL22" s="159"/>
      <c r="BM22" s="160"/>
      <c r="BN22" s="16"/>
      <c r="BO22" s="17"/>
      <c r="BP22" s="17"/>
      <c r="BQ22" s="17"/>
      <c r="BR22" s="90"/>
    </row>
    <row r="23" spans="2:70">
      <c r="B23" s="63" t="s">
        <v>134</v>
      </c>
      <c r="C23" s="12" t="s">
        <v>814</v>
      </c>
      <c r="D23" s="12">
        <v>0.2</v>
      </c>
      <c r="E23" s="12" t="s">
        <v>619</v>
      </c>
      <c r="F23" s="12" t="s">
        <v>55</v>
      </c>
      <c r="G23" s="15" t="s">
        <v>56</v>
      </c>
      <c r="H23" s="353"/>
      <c r="I23" s="362"/>
      <c r="J23" s="371"/>
      <c r="K23" s="118"/>
      <c r="L23" s="118"/>
      <c r="M23" s="118"/>
      <c r="N23" s="380"/>
      <c r="O23" s="118"/>
      <c r="P23" s="118"/>
      <c r="Q23" s="118"/>
      <c r="R23" s="60">
        <f>COUNTA(MI[[#This Row],[G31 cp]],MI[[#This Row],[G25 cp]],MI[[#This Row],[G22 cp]],MI[[#This Row],[G16 cp]],MI[[#This Row],[G12 cp]],MI[[#This Row],[G5 cp]])</f>
        <v>3</v>
      </c>
      <c r="S23" s="262">
        <f>MAX(MI[[#This Row],[G31 cp]],MI[[#This Row],[G25 cp]],MI[[#This Row],[G22 cp]],MI[[#This Row],[G16 cp]],MI[[#This Row],[G12 cp]],MI[[#This Row],[G5 cp]])</f>
        <v>46</v>
      </c>
      <c r="T23" s="262">
        <f>( SUM(MI[[#This Row],[G31 cp]],MI[[#This Row],[G25 cp]],MI[[#This Row],[G22 cp]],MI[[#This Row],[G16 cp]],MI[[#This Row],[G12 cp]],MI[[#This Row],[G5 cp]]) - MI[[#This Row],[Max.]]) / (MI[[#This Row],[Innings]]-1)</f>
        <v>7</v>
      </c>
      <c r="U23" s="83">
        <f>MIN(MI[[#This Row],[G31 cp]],MI[[#This Row],[G25 cp]],MI[[#This Row],[G22 cp]],MI[[#This Row],[G16 cp]],MI[[#This Row],[G12 cp]],MI[[#This Row],[G5 cp]])</f>
        <v>2</v>
      </c>
      <c r="V23" s="72">
        <f>COUNTA(MI[[#This Row],[G25 cp]],MI[[#This Row],[G22 cp]],MI[[#This Row],[G12 cp]],MI[[#This Row],[G5 cp]])</f>
        <v>2</v>
      </c>
      <c r="W23" s="72">
        <f>MAX(MI[[#This Row],[G25 cp]],MI[[#This Row],[G22 cp]],MI[[#This Row],[G12 cp]],MI[[#This Row],[G5 cp]])</f>
        <v>46</v>
      </c>
      <c r="X23" s="262">
        <f>( SUM(MI[[#This Row],[G25 cp]],MI[[#This Row],[G22 cp]],MI[[#This Row],[G12 cp]],MI[[#This Row],[G5 cp]]) - MI[[#This Row],[B1  Max]]) / (MI[[#This Row],[B1 Inn]]-1)</f>
        <v>2</v>
      </c>
      <c r="Y23" s="72">
        <f>MIN(MI[[#This Row],[G25 cp]],MI[[#This Row],[G22 cp]],MI[[#This Row],[G12 cp]],MI[[#This Row],[G5 cp]])</f>
        <v>2</v>
      </c>
      <c r="Z23" s="60">
        <f>COUNTA(MI[[#This Row],[G31 cp]],MI[[#This Row],[G16 cp]])</f>
        <v>1</v>
      </c>
      <c r="AA23" s="72">
        <f>MAX(MI[[#This Row],[G31 cp]],MI[[#This Row],[G16 cp]])</f>
        <v>12</v>
      </c>
      <c r="AB23" s="72" t="e">
        <f>( SUM(MI[[#This Row],[G31 cp]],MI[[#This Row],[G16 cp]]) - MI[[#This Row],[CHS Max]]) / ( MI[[#This Row],[CHS Inn]] - 1 )</f>
        <v>#DIV/0!</v>
      </c>
      <c r="AC23" s="83">
        <f>MIN(MI[[#This Row],[G31 cp]],MI[[#This Row],[G16 cp]])</f>
        <v>12</v>
      </c>
      <c r="AD23" s="72"/>
      <c r="AE23" s="72"/>
      <c r="AF23" s="60">
        <f>MI[[#This Row],[G31 cp]]</f>
        <v>0</v>
      </c>
      <c r="AG23" s="72">
        <f>MI[[#This Row],[G25 cp]]</f>
        <v>0</v>
      </c>
      <c r="AH23" s="72">
        <f>MI[[#This Row],[G22 cp]]</f>
        <v>0</v>
      </c>
      <c r="AI23" s="72">
        <f>MI[[#This Row],[G16 cp]]</f>
        <v>12</v>
      </c>
      <c r="AJ23" s="72">
        <f>MI[[#This Row],[G12 cp]]</f>
        <v>2</v>
      </c>
      <c r="AK23" s="83">
        <f>MI[[#This Row],[G5 cp]]</f>
        <v>46</v>
      </c>
      <c r="AL23" s="60"/>
      <c r="AM23" s="72"/>
      <c r="AN23" s="72"/>
      <c r="AO23" s="72"/>
      <c r="AP23" s="72"/>
      <c r="AQ23" s="72"/>
      <c r="AR23" s="72"/>
      <c r="AS23" s="72"/>
      <c r="AT23" s="83"/>
      <c r="AU23" s="60"/>
      <c r="AV23" s="83"/>
      <c r="AW23" s="72">
        <v>15</v>
      </c>
      <c r="AX23" s="72"/>
      <c r="AY23" s="72"/>
      <c r="AZ23" s="72"/>
      <c r="BA23" s="72"/>
      <c r="BB23" s="72"/>
      <c r="BC23" s="60">
        <v>8</v>
      </c>
      <c r="BD23" s="84"/>
      <c r="BE23" s="72"/>
      <c r="BF23" s="72"/>
      <c r="BG23" s="72" t="s">
        <v>808</v>
      </c>
      <c r="BH23" s="83">
        <v>12</v>
      </c>
      <c r="BI23" s="14">
        <v>6</v>
      </c>
      <c r="BJ23" s="12" t="s">
        <v>663</v>
      </c>
      <c r="BK23" s="12" t="s">
        <v>445</v>
      </c>
      <c r="BL23" s="12" t="s">
        <v>747</v>
      </c>
      <c r="BM23" s="15">
        <v>2</v>
      </c>
      <c r="BN23" s="14">
        <v>9</v>
      </c>
      <c r="BO23" s="12" t="s">
        <v>327</v>
      </c>
      <c r="BP23" s="12" t="s">
        <v>409</v>
      </c>
      <c r="BQ23" s="12" t="s">
        <v>411</v>
      </c>
      <c r="BR23" s="13">
        <v>46</v>
      </c>
    </row>
    <row r="24" spans="2:70">
      <c r="B24" s="146" t="s">
        <v>134</v>
      </c>
      <c r="C24" s="97" t="s">
        <v>13</v>
      </c>
      <c r="D24" s="97">
        <v>0.2</v>
      </c>
      <c r="E24" s="97" t="s">
        <v>616</v>
      </c>
      <c r="F24" s="97" t="s">
        <v>54</v>
      </c>
      <c r="G24" s="143" t="s">
        <v>54</v>
      </c>
      <c r="H24" s="359" t="s">
        <v>1004</v>
      </c>
      <c r="I24" s="368"/>
      <c r="J24" s="377"/>
      <c r="K24" s="161"/>
      <c r="L24" s="161"/>
      <c r="M24" s="161"/>
      <c r="N24" s="386"/>
      <c r="O24" s="161"/>
      <c r="P24" s="161"/>
      <c r="Q24" s="161"/>
      <c r="R24" s="193">
        <f>COUNTA(MI[[#This Row],[G31 cp]],MI[[#This Row],[G25 cp]],MI[[#This Row],[G22 cp]],MI[[#This Row],[G16 cp]],MI[[#This Row],[G12 cp]],MI[[#This Row],[G5 cp]])</f>
        <v>1</v>
      </c>
      <c r="S24" s="274">
        <f>MAX(MI[[#This Row],[G31 cp]],MI[[#This Row],[G25 cp]],MI[[#This Row],[G22 cp]],MI[[#This Row],[G16 cp]],MI[[#This Row],[G12 cp]],MI[[#This Row],[G5 cp]])</f>
        <v>5</v>
      </c>
      <c r="T24" s="274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24" s="194">
        <f>MIN(MI[[#This Row],[G31 cp]],MI[[#This Row],[G25 cp]],MI[[#This Row],[G22 cp]],MI[[#This Row],[G16 cp]],MI[[#This Row],[G12 cp]],MI[[#This Row],[G5 cp]])</f>
        <v>5</v>
      </c>
      <c r="V24" s="144">
        <f>COUNTA(MI[[#This Row],[G25 cp]],MI[[#This Row],[G22 cp]],MI[[#This Row],[G12 cp]],MI[[#This Row],[G5 cp]])</f>
        <v>1</v>
      </c>
      <c r="W24" s="144">
        <f>MAX(MI[[#This Row],[G25 cp]],MI[[#This Row],[G22 cp]],MI[[#This Row],[G12 cp]],MI[[#This Row],[G5 cp]])</f>
        <v>5</v>
      </c>
      <c r="X24" s="274" t="e">
        <f>( SUM(MI[[#This Row],[G25 cp]],MI[[#This Row],[G22 cp]],MI[[#This Row],[G12 cp]],MI[[#This Row],[G5 cp]]) - MI[[#This Row],[B1  Max]]) / (MI[[#This Row],[B1 Inn]]-1)</f>
        <v>#DIV/0!</v>
      </c>
      <c r="Y24" s="144">
        <f>MIN(MI[[#This Row],[G25 cp]],MI[[#This Row],[G22 cp]],MI[[#This Row],[G12 cp]],MI[[#This Row],[G5 cp]])</f>
        <v>5</v>
      </c>
      <c r="Z24" s="193">
        <f>COUNTA(MI[[#This Row],[G31 cp]],MI[[#This Row],[G16 cp]])</f>
        <v>0</v>
      </c>
      <c r="AA24" s="144">
        <f>MAX(MI[[#This Row],[G31 cp]],MI[[#This Row],[G16 cp]])</f>
        <v>0</v>
      </c>
      <c r="AB24" s="144">
        <f>( SUM(MI[[#This Row],[G31 cp]],MI[[#This Row],[G16 cp]]) - MI[[#This Row],[CHS Max]]) / ( MI[[#This Row],[CHS Inn]] - 1 )</f>
        <v>0</v>
      </c>
      <c r="AC24" s="194">
        <f>MIN(MI[[#This Row],[G31 cp]],MI[[#This Row],[G16 cp]])</f>
        <v>0</v>
      </c>
      <c r="AD24" s="144"/>
      <c r="AE24" s="144"/>
      <c r="AF24" s="193">
        <f>MI[[#This Row],[G31 cp]]</f>
        <v>0</v>
      </c>
      <c r="AG24" s="144">
        <f>MI[[#This Row],[G25 cp]]</f>
        <v>0</v>
      </c>
      <c r="AH24" s="144">
        <f>MI[[#This Row],[G22 cp]]</f>
        <v>0</v>
      </c>
      <c r="AI24" s="144">
        <f>MI[[#This Row],[G16 cp]]</f>
        <v>0</v>
      </c>
      <c r="AJ24" s="144">
        <f>MI[[#This Row],[G12 cp]]</f>
        <v>5</v>
      </c>
      <c r="AK24" s="194">
        <f>MI[[#This Row],[G5 cp]]</f>
        <v>0</v>
      </c>
      <c r="AL24" s="193"/>
      <c r="AM24" s="144"/>
      <c r="AN24" s="144"/>
      <c r="AO24" s="144"/>
      <c r="AP24" s="144"/>
      <c r="AQ24" s="144"/>
      <c r="AR24" s="144"/>
      <c r="AS24" s="144"/>
      <c r="AT24" s="194"/>
      <c r="AU24" s="193"/>
      <c r="AV24" s="194"/>
      <c r="AW24" s="144"/>
      <c r="AX24" s="144"/>
      <c r="AY24" s="144"/>
      <c r="AZ24" s="144"/>
      <c r="BA24" s="144"/>
      <c r="BB24" s="144"/>
      <c r="BC24" s="193">
        <v>15</v>
      </c>
      <c r="BD24" s="84"/>
      <c r="BE24" s="144"/>
      <c r="BF24" s="144"/>
      <c r="BG24" s="144"/>
      <c r="BH24" s="194"/>
      <c r="BI24" s="142">
        <v>8</v>
      </c>
      <c r="BJ24" s="97" t="s">
        <v>740</v>
      </c>
      <c r="BK24" s="97" t="s">
        <v>745</v>
      </c>
      <c r="BL24" s="97"/>
      <c r="BM24" s="143">
        <v>5</v>
      </c>
      <c r="BN24" s="142"/>
      <c r="BO24" s="97"/>
      <c r="BP24" s="97"/>
      <c r="BQ24" s="97"/>
      <c r="BR24" s="145"/>
    </row>
    <row r="25" spans="2:70" s="1" customFormat="1">
      <c r="B25" s="163" t="s">
        <v>134</v>
      </c>
      <c r="C25" s="159" t="s">
        <v>761</v>
      </c>
      <c r="D25" s="159">
        <v>0.2</v>
      </c>
      <c r="E25" s="159" t="s">
        <v>616</v>
      </c>
      <c r="F25" s="159" t="s">
        <v>55</v>
      </c>
      <c r="G25" s="160" t="s">
        <v>56</v>
      </c>
      <c r="H25" s="358" t="s">
        <v>1004</v>
      </c>
      <c r="I25" s="367"/>
      <c r="J25" s="376"/>
      <c r="K25" s="72"/>
      <c r="L25" s="72"/>
      <c r="M25" s="72"/>
      <c r="N25" s="385"/>
      <c r="O25" s="72"/>
      <c r="P25" s="72"/>
      <c r="Q25" s="72"/>
      <c r="R25" s="195">
        <f>COUNTA(MI[[#This Row],[G31 cp]],MI[[#This Row],[G25 cp]],MI[[#This Row],[G22 cp]],MI[[#This Row],[G16 cp]],MI[[#This Row],[G12 cp]],MI[[#This Row],[G5 cp]])</f>
        <v>1</v>
      </c>
      <c r="S25" s="273">
        <f>MAX(MI[[#This Row],[G31 cp]],MI[[#This Row],[G25 cp]],MI[[#This Row],[G22 cp]],MI[[#This Row],[G16 cp]],MI[[#This Row],[G12 cp]],MI[[#This Row],[G5 cp]])</f>
        <v>45</v>
      </c>
      <c r="T25" s="273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25" s="196">
        <f>MIN(MI[[#This Row],[G31 cp]],MI[[#This Row],[G25 cp]],MI[[#This Row],[G22 cp]],MI[[#This Row],[G16 cp]],MI[[#This Row],[G12 cp]],MI[[#This Row],[G5 cp]])</f>
        <v>45</v>
      </c>
      <c r="V25" s="161">
        <f>COUNTA(MI[[#This Row],[G25 cp]],MI[[#This Row],[G22 cp]],MI[[#This Row],[G12 cp]],MI[[#This Row],[G5 cp]])</f>
        <v>1</v>
      </c>
      <c r="W25" s="161">
        <f>MAX(MI[[#This Row],[G25 cp]],MI[[#This Row],[G22 cp]],MI[[#This Row],[G12 cp]],MI[[#This Row],[G5 cp]])</f>
        <v>45</v>
      </c>
      <c r="X25" s="273" t="e">
        <f>( SUM(MI[[#This Row],[G25 cp]],MI[[#This Row],[G22 cp]],MI[[#This Row],[G12 cp]],MI[[#This Row],[G5 cp]]) - MI[[#This Row],[B1  Max]]) / (MI[[#This Row],[B1 Inn]]-1)</f>
        <v>#DIV/0!</v>
      </c>
      <c r="Y25" s="161">
        <f>MIN(MI[[#This Row],[G25 cp]],MI[[#This Row],[G22 cp]],MI[[#This Row],[G12 cp]],MI[[#This Row],[G5 cp]])</f>
        <v>45</v>
      </c>
      <c r="Z25" s="195">
        <f>COUNTA(MI[[#This Row],[G31 cp]],MI[[#This Row],[G16 cp]])</f>
        <v>0</v>
      </c>
      <c r="AA25" s="161">
        <f>MAX(MI[[#This Row],[G31 cp]],MI[[#This Row],[G16 cp]])</f>
        <v>0</v>
      </c>
      <c r="AB25" s="161">
        <f>( SUM(MI[[#This Row],[G31 cp]],MI[[#This Row],[G16 cp]]) - MI[[#This Row],[CHS Max]]) / ( MI[[#This Row],[CHS Inn]] - 1 )</f>
        <v>0</v>
      </c>
      <c r="AC25" s="196">
        <f>MIN(MI[[#This Row],[G31 cp]],MI[[#This Row],[G16 cp]])</f>
        <v>0</v>
      </c>
      <c r="AD25" s="161"/>
      <c r="AE25" s="161"/>
      <c r="AF25" s="195">
        <f>MI[[#This Row],[G31 cp]]</f>
        <v>0</v>
      </c>
      <c r="AG25" s="161">
        <f>MI[[#This Row],[G25 cp]]</f>
        <v>0</v>
      </c>
      <c r="AH25" s="161">
        <f>MI[[#This Row],[G22 cp]]</f>
        <v>45</v>
      </c>
      <c r="AI25" s="161">
        <f>MI[[#This Row],[G16 cp]]</f>
        <v>0</v>
      </c>
      <c r="AJ25" s="161">
        <f>MI[[#This Row],[G12 cp]]</f>
        <v>0</v>
      </c>
      <c r="AK25" s="196">
        <f>MI[[#This Row],[G5 cp]]</f>
        <v>0</v>
      </c>
      <c r="AL25" s="195"/>
      <c r="AM25" s="161"/>
      <c r="AN25" s="161"/>
      <c r="AO25" s="161"/>
      <c r="AP25" s="161"/>
      <c r="AQ25" s="161"/>
      <c r="AR25" s="161"/>
      <c r="AS25" s="161"/>
      <c r="AT25" s="196"/>
      <c r="AU25" s="195"/>
      <c r="AV25" s="196"/>
      <c r="AW25" s="161">
        <v>11</v>
      </c>
      <c r="AX25" s="161"/>
      <c r="AY25" s="161"/>
      <c r="AZ25" s="161"/>
      <c r="BA25" s="161" t="s">
        <v>983</v>
      </c>
      <c r="BB25" s="161">
        <v>45</v>
      </c>
      <c r="BC25" s="195">
        <v>24</v>
      </c>
      <c r="BD25" s="84"/>
      <c r="BE25" s="161"/>
      <c r="BF25" s="161"/>
      <c r="BG25" s="161"/>
      <c r="BH25" s="196"/>
      <c r="BI25" s="158">
        <v>24</v>
      </c>
      <c r="BJ25" s="159"/>
      <c r="BK25" s="159"/>
      <c r="BL25" s="159"/>
      <c r="BM25" s="160"/>
      <c r="BN25" s="16"/>
      <c r="BO25" s="17"/>
      <c r="BP25" s="17"/>
      <c r="BQ25" s="17"/>
      <c r="BR25" s="90"/>
    </row>
    <row r="26" spans="2:70">
      <c r="B26" s="146" t="s">
        <v>134</v>
      </c>
      <c r="C26" s="97" t="s">
        <v>6</v>
      </c>
      <c r="D26" s="97">
        <v>3</v>
      </c>
      <c r="E26" s="97" t="s">
        <v>616</v>
      </c>
      <c r="F26" s="97" t="s">
        <v>54</v>
      </c>
      <c r="G26" s="143" t="s">
        <v>54</v>
      </c>
      <c r="H26" s="359" t="s">
        <v>1006</v>
      </c>
      <c r="I26" s="368"/>
      <c r="J26" s="377"/>
      <c r="K26" s="161"/>
      <c r="L26" s="161"/>
      <c r="M26" s="161"/>
      <c r="N26" s="386"/>
      <c r="O26" s="161"/>
      <c r="P26" s="161"/>
      <c r="Q26" s="161"/>
      <c r="R26" s="193">
        <f>COUNTA(MI[[#This Row],[G31 cp]],MI[[#This Row],[G25 cp]],MI[[#This Row],[G22 cp]],MI[[#This Row],[G16 cp]],MI[[#This Row],[G12 cp]],MI[[#This Row],[G5 cp]])</f>
        <v>0</v>
      </c>
      <c r="S26" s="274">
        <f>MAX(MI[[#This Row],[G31 cp]],MI[[#This Row],[G25 cp]],MI[[#This Row],[G22 cp]],MI[[#This Row],[G16 cp]],MI[[#This Row],[G12 cp]],MI[[#This Row],[G5 cp]])</f>
        <v>0</v>
      </c>
      <c r="T26" s="274">
        <f>( SUM(MI[[#This Row],[G31 cp]],MI[[#This Row],[G25 cp]],MI[[#This Row],[G22 cp]],MI[[#This Row],[G16 cp]],MI[[#This Row],[G12 cp]],MI[[#This Row],[G5 cp]]) - MI[[#This Row],[Max.]]) / (MI[[#This Row],[Innings]]-1)</f>
        <v>0</v>
      </c>
      <c r="U26" s="194">
        <f>MIN(MI[[#This Row],[G31 cp]],MI[[#This Row],[G25 cp]],MI[[#This Row],[G22 cp]],MI[[#This Row],[G16 cp]],MI[[#This Row],[G12 cp]],MI[[#This Row],[G5 cp]])</f>
        <v>0</v>
      </c>
      <c r="V26" s="144">
        <f>COUNTA(MI[[#This Row],[G25 cp]],MI[[#This Row],[G22 cp]],MI[[#This Row],[G12 cp]],MI[[#This Row],[G5 cp]])</f>
        <v>0</v>
      </c>
      <c r="W26" s="144">
        <f>MAX(MI[[#This Row],[G25 cp]],MI[[#This Row],[G22 cp]],MI[[#This Row],[G12 cp]],MI[[#This Row],[G5 cp]])</f>
        <v>0</v>
      </c>
      <c r="X26" s="274">
        <f>( SUM(MI[[#This Row],[G25 cp]],MI[[#This Row],[G22 cp]],MI[[#This Row],[G12 cp]],MI[[#This Row],[G5 cp]]) - MI[[#This Row],[B1  Max]]) / (MI[[#This Row],[B1 Inn]]-1)</f>
        <v>0</v>
      </c>
      <c r="Y26" s="144">
        <f>MIN(MI[[#This Row],[G25 cp]],MI[[#This Row],[G22 cp]],MI[[#This Row],[G12 cp]],MI[[#This Row],[G5 cp]])</f>
        <v>0</v>
      </c>
      <c r="Z26" s="193">
        <f>COUNTA(MI[[#This Row],[G31 cp]],MI[[#This Row],[G16 cp]])</f>
        <v>0</v>
      </c>
      <c r="AA26" s="144">
        <f>MAX(MI[[#This Row],[G31 cp]],MI[[#This Row],[G16 cp]])</f>
        <v>0</v>
      </c>
      <c r="AB26" s="144">
        <f>( SUM(MI[[#This Row],[G31 cp]],MI[[#This Row],[G16 cp]]) - MI[[#This Row],[CHS Max]]) / ( MI[[#This Row],[CHS Inn]] - 1 )</f>
        <v>0</v>
      </c>
      <c r="AC26" s="194">
        <f>MIN(MI[[#This Row],[G31 cp]],MI[[#This Row],[G16 cp]])</f>
        <v>0</v>
      </c>
      <c r="AD26" s="144"/>
      <c r="AE26" s="144"/>
      <c r="AF26" s="193">
        <f>MI[[#This Row],[G31 cp]]</f>
        <v>0</v>
      </c>
      <c r="AG26" s="144">
        <f>MI[[#This Row],[G25 cp]]</f>
        <v>0</v>
      </c>
      <c r="AH26" s="144">
        <f>MI[[#This Row],[G22 cp]]</f>
        <v>0</v>
      </c>
      <c r="AI26" s="144">
        <f>MI[[#This Row],[G16 cp]]</f>
        <v>0</v>
      </c>
      <c r="AJ26" s="144">
        <f>MI[[#This Row],[G12 cp]]</f>
        <v>0</v>
      </c>
      <c r="AK26" s="194">
        <f>MI[[#This Row],[G5 cp]]</f>
        <v>0</v>
      </c>
      <c r="AL26" s="193"/>
      <c r="AM26" s="144"/>
      <c r="AN26" s="144"/>
      <c r="AO26" s="144"/>
      <c r="AP26" s="144"/>
      <c r="AQ26" s="144"/>
      <c r="AR26" s="144"/>
      <c r="AS26" s="144"/>
      <c r="AT26" s="194"/>
      <c r="AU26" s="193"/>
      <c r="AV26" s="194"/>
      <c r="AW26" s="144"/>
      <c r="AX26" s="144"/>
      <c r="AY26" s="144"/>
      <c r="AZ26" s="144"/>
      <c r="BA26" s="144"/>
      <c r="BB26" s="144"/>
      <c r="BC26" s="193">
        <v>32</v>
      </c>
      <c r="BD26" s="144"/>
      <c r="BE26" s="144"/>
      <c r="BF26" s="144"/>
      <c r="BG26" s="144"/>
      <c r="BH26" s="194"/>
      <c r="BI26" s="142">
        <v>32</v>
      </c>
      <c r="BJ26" s="97"/>
      <c r="BK26" s="97"/>
      <c r="BL26" s="97"/>
      <c r="BM26" s="143"/>
      <c r="BN26" s="142"/>
      <c r="BO26" s="97"/>
      <c r="BP26" s="97"/>
      <c r="BQ26" s="97"/>
      <c r="BR26" s="145"/>
    </row>
    <row r="27" spans="2:70">
      <c r="B27" s="63" t="s">
        <v>134</v>
      </c>
      <c r="C27" s="12" t="s">
        <v>758</v>
      </c>
      <c r="D27" s="12">
        <v>12</v>
      </c>
      <c r="E27" s="12" t="s">
        <v>142</v>
      </c>
      <c r="F27" s="12" t="s">
        <v>56</v>
      </c>
      <c r="G27" s="15"/>
      <c r="H27" s="360" t="s">
        <v>1123</v>
      </c>
      <c r="I27" s="369"/>
      <c r="J27" s="378"/>
      <c r="K27" s="119"/>
      <c r="L27" s="119"/>
      <c r="M27" s="119"/>
      <c r="N27" s="387"/>
      <c r="O27" s="119"/>
      <c r="P27" s="119"/>
      <c r="Q27" s="119"/>
      <c r="R27" s="60">
        <f>COUNTA(MI[[#This Row],[G31 cp]],MI[[#This Row],[G25 cp]],MI[[#This Row],[G22 cp]],MI[[#This Row],[G16 cp]],MI[[#This Row],[G12 cp]],MI[[#This Row],[G5 cp]])</f>
        <v>0</v>
      </c>
      <c r="S27" s="262">
        <f>MAX(MI[[#This Row],[G31 cp]],MI[[#This Row],[G25 cp]],MI[[#This Row],[G22 cp]],MI[[#This Row],[G16 cp]],MI[[#This Row],[G12 cp]],MI[[#This Row],[G5 cp]])</f>
        <v>0</v>
      </c>
      <c r="T27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7" s="83">
        <f>MIN(MI[[#This Row],[G31 cp]],MI[[#This Row],[G25 cp]],MI[[#This Row],[G22 cp]],MI[[#This Row],[G16 cp]],MI[[#This Row],[G12 cp]],MI[[#This Row],[G5 cp]])</f>
        <v>0</v>
      </c>
      <c r="V27" s="72">
        <f>COUNTA(MI[[#This Row],[G25 cp]],MI[[#This Row],[G22 cp]],MI[[#This Row],[G12 cp]],MI[[#This Row],[G5 cp]])</f>
        <v>0</v>
      </c>
      <c r="W27" s="72">
        <f>MAX(MI[[#This Row],[G25 cp]],MI[[#This Row],[G22 cp]],MI[[#This Row],[G12 cp]],MI[[#This Row],[G5 cp]])</f>
        <v>0</v>
      </c>
      <c r="X27" s="262">
        <f>( SUM(MI[[#This Row],[G25 cp]],MI[[#This Row],[G22 cp]],MI[[#This Row],[G12 cp]],MI[[#This Row],[G5 cp]]) - MI[[#This Row],[B1  Max]]) / (MI[[#This Row],[B1 Inn]]-1)</f>
        <v>0</v>
      </c>
      <c r="Y27" s="72">
        <f>MIN(MI[[#This Row],[G25 cp]],MI[[#This Row],[G22 cp]],MI[[#This Row],[G12 cp]],MI[[#This Row],[G5 cp]])</f>
        <v>0</v>
      </c>
      <c r="Z27" s="60">
        <f>COUNTA(MI[[#This Row],[G31 cp]],MI[[#This Row],[G16 cp]])</f>
        <v>0</v>
      </c>
      <c r="AA27" s="72">
        <f>MAX(MI[[#This Row],[G31 cp]],MI[[#This Row],[G16 cp]])</f>
        <v>0</v>
      </c>
      <c r="AB27" s="72">
        <f>( SUM(MI[[#This Row],[G31 cp]],MI[[#This Row],[G16 cp]]) - MI[[#This Row],[CHS Max]]) / ( MI[[#This Row],[CHS Inn]] - 1 )</f>
        <v>0</v>
      </c>
      <c r="AC27" s="83">
        <f>MIN(MI[[#This Row],[G31 cp]],MI[[#This Row],[G16 cp]])</f>
        <v>0</v>
      </c>
      <c r="AD27" s="72"/>
      <c r="AE27" s="72"/>
      <c r="AF27" s="60">
        <f>MI[[#This Row],[G31 cp]]</f>
        <v>0</v>
      </c>
      <c r="AG27" s="72">
        <f>MI[[#This Row],[G25 cp]]</f>
        <v>0</v>
      </c>
      <c r="AH27" s="72">
        <f>MI[[#This Row],[G22 cp]]</f>
        <v>0</v>
      </c>
      <c r="AI27" s="72">
        <f>MI[[#This Row],[G16 cp]]</f>
        <v>0</v>
      </c>
      <c r="AJ27" s="72">
        <f>MI[[#This Row],[G12 cp]]</f>
        <v>0</v>
      </c>
      <c r="AK27" s="83">
        <f>MI[[#This Row],[G5 cp]]</f>
        <v>0</v>
      </c>
      <c r="AL27" s="60"/>
      <c r="AM27" s="72"/>
      <c r="AN27" s="72"/>
      <c r="AO27" s="72"/>
      <c r="AP27" s="72"/>
      <c r="AQ27" s="72"/>
      <c r="AR27" s="72"/>
      <c r="AS27" s="72"/>
      <c r="AT27" s="83"/>
      <c r="AU27" s="60"/>
      <c r="AV27" s="83"/>
      <c r="AW27" s="72"/>
      <c r="AX27" s="72"/>
      <c r="AY27" s="72"/>
      <c r="AZ27" s="72"/>
      <c r="BA27" s="72"/>
      <c r="BB27" s="72"/>
      <c r="BC27" s="60"/>
      <c r="BD27" s="84"/>
      <c r="BE27" s="72"/>
      <c r="BF27" s="72"/>
      <c r="BG27" s="72"/>
      <c r="BH27" s="83"/>
      <c r="BI27" s="14"/>
      <c r="BJ27" s="12"/>
      <c r="BK27" s="12"/>
      <c r="BL27" s="12"/>
      <c r="BM27" s="15"/>
      <c r="BN27" s="14"/>
      <c r="BO27" s="12"/>
      <c r="BP27" s="12"/>
      <c r="BQ27" s="12"/>
      <c r="BR27" s="13"/>
    </row>
    <row r="28" spans="2:70">
      <c r="B28" s="63" t="s">
        <v>134</v>
      </c>
      <c r="C28" s="12" t="s">
        <v>759</v>
      </c>
      <c r="D28" s="12">
        <v>1.5</v>
      </c>
      <c r="E28" s="12" t="s">
        <v>142</v>
      </c>
      <c r="F28" s="12" t="s">
        <v>56</v>
      </c>
      <c r="G28" s="15"/>
      <c r="H28" s="355" t="s">
        <v>1121</v>
      </c>
      <c r="I28" s="364"/>
      <c r="J28" s="373"/>
      <c r="K28" s="71"/>
      <c r="L28" s="71"/>
      <c r="M28" s="71"/>
      <c r="N28" s="382"/>
      <c r="O28" s="71"/>
      <c r="P28" s="71"/>
      <c r="Q28" s="71"/>
      <c r="R28" s="60">
        <f>COUNTA(MI[[#This Row],[G31 cp]],MI[[#This Row],[G25 cp]],MI[[#This Row],[G22 cp]],MI[[#This Row],[G16 cp]],MI[[#This Row],[G12 cp]],MI[[#This Row],[G5 cp]])</f>
        <v>0</v>
      </c>
      <c r="S28" s="262">
        <f>MAX(MI[[#This Row],[G31 cp]],MI[[#This Row],[G25 cp]],MI[[#This Row],[G22 cp]],MI[[#This Row],[G16 cp]],MI[[#This Row],[G12 cp]],MI[[#This Row],[G5 cp]])</f>
        <v>0</v>
      </c>
      <c r="T28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8" s="83">
        <f>MIN(MI[[#This Row],[G31 cp]],MI[[#This Row],[G25 cp]],MI[[#This Row],[G22 cp]],MI[[#This Row],[G16 cp]],MI[[#This Row],[G12 cp]],MI[[#This Row],[G5 cp]])</f>
        <v>0</v>
      </c>
      <c r="V28" s="72">
        <f>COUNTA(MI[[#This Row],[G25 cp]],MI[[#This Row],[G22 cp]],MI[[#This Row],[G12 cp]],MI[[#This Row],[G5 cp]])</f>
        <v>0</v>
      </c>
      <c r="W28" s="72">
        <f>MAX(MI[[#This Row],[G25 cp]],MI[[#This Row],[G22 cp]],MI[[#This Row],[G12 cp]],MI[[#This Row],[G5 cp]])</f>
        <v>0</v>
      </c>
      <c r="X28" s="262">
        <f>( SUM(MI[[#This Row],[G25 cp]],MI[[#This Row],[G22 cp]],MI[[#This Row],[G12 cp]],MI[[#This Row],[G5 cp]]) - MI[[#This Row],[B1  Max]]) / (MI[[#This Row],[B1 Inn]]-1)</f>
        <v>0</v>
      </c>
      <c r="Y28" s="72">
        <f>MIN(MI[[#This Row],[G25 cp]],MI[[#This Row],[G22 cp]],MI[[#This Row],[G12 cp]],MI[[#This Row],[G5 cp]])</f>
        <v>0</v>
      </c>
      <c r="Z28" s="60">
        <f>COUNTA(MI[[#This Row],[G31 cp]],MI[[#This Row],[G16 cp]])</f>
        <v>0</v>
      </c>
      <c r="AA28" s="72">
        <f>MAX(MI[[#This Row],[G31 cp]],MI[[#This Row],[G16 cp]])</f>
        <v>0</v>
      </c>
      <c r="AB28" s="72">
        <f>( SUM(MI[[#This Row],[G31 cp]],MI[[#This Row],[G16 cp]]) - MI[[#This Row],[CHS Max]]) / ( MI[[#This Row],[CHS Inn]] - 1 )</f>
        <v>0</v>
      </c>
      <c r="AC28" s="83">
        <f>MIN(MI[[#This Row],[G31 cp]],MI[[#This Row],[G16 cp]])</f>
        <v>0</v>
      </c>
      <c r="AD28" s="72"/>
      <c r="AE28" s="72"/>
      <c r="AF28" s="60">
        <f>MI[[#This Row],[G31 cp]]</f>
        <v>0</v>
      </c>
      <c r="AG28" s="72">
        <f>MI[[#This Row],[G25 cp]]</f>
        <v>0</v>
      </c>
      <c r="AH28" s="72">
        <f>MI[[#This Row],[G22 cp]]</f>
        <v>0</v>
      </c>
      <c r="AI28" s="72">
        <f>MI[[#This Row],[G16 cp]]</f>
        <v>0</v>
      </c>
      <c r="AJ28" s="72">
        <f>MI[[#This Row],[G12 cp]]</f>
        <v>0</v>
      </c>
      <c r="AK28" s="83">
        <f>MI[[#This Row],[G5 cp]]</f>
        <v>0</v>
      </c>
      <c r="AL28" s="60"/>
      <c r="AM28" s="72"/>
      <c r="AN28" s="72"/>
      <c r="AO28" s="72"/>
      <c r="AP28" s="72"/>
      <c r="AQ28" s="72"/>
      <c r="AR28" s="72"/>
      <c r="AS28" s="72"/>
      <c r="AT28" s="83"/>
      <c r="AU28" s="60"/>
      <c r="AV28" s="83"/>
      <c r="AW28" s="72"/>
      <c r="AX28" s="72"/>
      <c r="AY28" s="72"/>
      <c r="AZ28" s="72"/>
      <c r="BA28" s="72"/>
      <c r="BB28" s="72"/>
      <c r="BC28" s="60"/>
      <c r="BD28" s="84"/>
      <c r="BE28" s="72"/>
      <c r="BF28" s="72"/>
      <c r="BG28" s="72"/>
      <c r="BH28" s="83"/>
      <c r="BI28" s="14"/>
      <c r="BJ28" s="12"/>
      <c r="BK28" s="12"/>
      <c r="BL28" s="12"/>
      <c r="BM28" s="15"/>
      <c r="BN28" s="14"/>
      <c r="BO28" s="12"/>
      <c r="BP28" s="12"/>
      <c r="BQ28" s="12"/>
      <c r="BR28" s="13"/>
    </row>
    <row r="29" spans="2:70">
      <c r="B29" s="63" t="s">
        <v>134</v>
      </c>
      <c r="C29" s="12" t="s">
        <v>763</v>
      </c>
      <c r="D29" s="12">
        <v>0.5</v>
      </c>
      <c r="E29" s="12" t="s">
        <v>631</v>
      </c>
      <c r="F29" s="12"/>
      <c r="G29" s="15" t="s">
        <v>56</v>
      </c>
      <c r="H29" s="353"/>
      <c r="I29" s="362"/>
      <c r="J29" s="371"/>
      <c r="K29" s="118"/>
      <c r="L29" s="118"/>
      <c r="M29" s="118"/>
      <c r="N29" s="380"/>
      <c r="O29" s="118"/>
      <c r="P29" s="118"/>
      <c r="Q29" s="118"/>
      <c r="R29" s="60">
        <f>COUNTA(MI[[#This Row],[G31 cp]],MI[[#This Row],[G25 cp]],MI[[#This Row],[G22 cp]],MI[[#This Row],[G16 cp]],MI[[#This Row],[G12 cp]],MI[[#This Row],[G5 cp]])</f>
        <v>0</v>
      </c>
      <c r="S29" s="262">
        <f>MAX(MI[[#This Row],[G31 cp]],MI[[#This Row],[G25 cp]],MI[[#This Row],[G22 cp]],MI[[#This Row],[G16 cp]],MI[[#This Row],[G12 cp]],MI[[#This Row],[G5 cp]])</f>
        <v>0</v>
      </c>
      <c r="T29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9" s="83">
        <f>MIN(MI[[#This Row],[G31 cp]],MI[[#This Row],[G25 cp]],MI[[#This Row],[G22 cp]],MI[[#This Row],[G16 cp]],MI[[#This Row],[G12 cp]],MI[[#This Row],[G5 cp]])</f>
        <v>0</v>
      </c>
      <c r="V29" s="72">
        <f>COUNTA(MI[[#This Row],[G25 cp]],MI[[#This Row],[G22 cp]],MI[[#This Row],[G12 cp]],MI[[#This Row],[G5 cp]])</f>
        <v>0</v>
      </c>
      <c r="W29" s="72">
        <f>MAX(MI[[#This Row],[G25 cp]],MI[[#This Row],[G22 cp]],MI[[#This Row],[G12 cp]],MI[[#This Row],[G5 cp]])</f>
        <v>0</v>
      </c>
      <c r="X29" s="262">
        <f>( SUM(MI[[#This Row],[G25 cp]],MI[[#This Row],[G22 cp]],MI[[#This Row],[G12 cp]],MI[[#This Row],[G5 cp]]) - MI[[#This Row],[B1  Max]]) / (MI[[#This Row],[B1 Inn]]-1)</f>
        <v>0</v>
      </c>
      <c r="Y29" s="72">
        <f>MIN(MI[[#This Row],[G25 cp]],MI[[#This Row],[G22 cp]],MI[[#This Row],[G12 cp]],MI[[#This Row],[G5 cp]])</f>
        <v>0</v>
      </c>
      <c r="Z29" s="60">
        <f>COUNTA(MI[[#This Row],[G31 cp]],MI[[#This Row],[G16 cp]])</f>
        <v>0</v>
      </c>
      <c r="AA29" s="72">
        <f>MAX(MI[[#This Row],[G31 cp]],MI[[#This Row],[G16 cp]])</f>
        <v>0</v>
      </c>
      <c r="AB29" s="72">
        <f>( SUM(MI[[#This Row],[G31 cp]],MI[[#This Row],[G16 cp]]) - MI[[#This Row],[CHS Max]]) / ( MI[[#This Row],[CHS Inn]] - 1 )</f>
        <v>0</v>
      </c>
      <c r="AC29" s="83">
        <f>MIN(MI[[#This Row],[G31 cp]],MI[[#This Row],[G16 cp]])</f>
        <v>0</v>
      </c>
      <c r="AD29" s="72"/>
      <c r="AE29" s="72"/>
      <c r="AF29" s="60">
        <f>MI[[#This Row],[G31 cp]]</f>
        <v>0</v>
      </c>
      <c r="AG29" s="72">
        <f>MI[[#This Row],[G25 cp]]</f>
        <v>0</v>
      </c>
      <c r="AH29" s="72">
        <f>MI[[#This Row],[G22 cp]]</f>
        <v>0</v>
      </c>
      <c r="AI29" s="72">
        <f>MI[[#This Row],[G16 cp]]</f>
        <v>0</v>
      </c>
      <c r="AJ29" s="72">
        <f>MI[[#This Row],[G12 cp]]</f>
        <v>0</v>
      </c>
      <c r="AK29" s="83">
        <f>MI[[#This Row],[G5 cp]]</f>
        <v>0</v>
      </c>
      <c r="AL29" s="60"/>
      <c r="AM29" s="72"/>
      <c r="AN29" s="72"/>
      <c r="AO29" s="72"/>
      <c r="AP29" s="72"/>
      <c r="AQ29" s="72"/>
      <c r="AR29" s="72"/>
      <c r="AS29" s="72"/>
      <c r="AT29" s="83"/>
      <c r="AU29" s="60"/>
      <c r="AV29" s="83"/>
      <c r="AW29" s="72"/>
      <c r="AX29" s="72"/>
      <c r="AY29" s="72"/>
      <c r="AZ29" s="72"/>
      <c r="BA29" s="72"/>
      <c r="BB29" s="72"/>
      <c r="BC29" s="60"/>
      <c r="BD29" s="72"/>
      <c r="BE29" s="72"/>
      <c r="BF29" s="72"/>
      <c r="BG29" s="72"/>
      <c r="BH29" s="83"/>
      <c r="BI29" s="14"/>
      <c r="BJ29" s="12"/>
      <c r="BK29" s="12"/>
      <c r="BL29" s="12"/>
      <c r="BM29" s="15"/>
      <c r="BN29" s="16"/>
      <c r="BO29" s="17"/>
      <c r="BP29" s="17"/>
      <c r="BQ29" s="17"/>
      <c r="BR29" s="90"/>
    </row>
    <row r="30" spans="2:70">
      <c r="B30" s="63" t="s">
        <v>134</v>
      </c>
      <c r="C30" s="12" t="s">
        <v>762</v>
      </c>
      <c r="D30" s="12">
        <v>0.2</v>
      </c>
      <c r="E30" s="12" t="s">
        <v>349</v>
      </c>
      <c r="F30" s="12" t="s">
        <v>56</v>
      </c>
      <c r="G30" s="15" t="s">
        <v>56</v>
      </c>
      <c r="H30" s="353"/>
      <c r="I30" s="362"/>
      <c r="J30" s="371"/>
      <c r="K30" s="118"/>
      <c r="L30" s="118"/>
      <c r="M30" s="118"/>
      <c r="N30" s="380"/>
      <c r="O30" s="118"/>
      <c r="P30" s="118"/>
      <c r="Q30" s="118"/>
      <c r="R30" s="60">
        <f>COUNTA(MI[[#This Row],[G31 cp]],MI[[#This Row],[G25 cp]],MI[[#This Row],[G22 cp]],MI[[#This Row],[G16 cp]],MI[[#This Row],[G12 cp]],MI[[#This Row],[G5 cp]])</f>
        <v>0</v>
      </c>
      <c r="S30" s="262">
        <f>MAX(MI[[#This Row],[G31 cp]],MI[[#This Row],[G25 cp]],MI[[#This Row],[G22 cp]],MI[[#This Row],[G16 cp]],MI[[#This Row],[G12 cp]],MI[[#This Row],[G5 cp]])</f>
        <v>0</v>
      </c>
      <c r="T30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30" s="83">
        <f>MIN(MI[[#This Row],[G31 cp]],MI[[#This Row],[G25 cp]],MI[[#This Row],[G22 cp]],MI[[#This Row],[G16 cp]],MI[[#This Row],[G12 cp]],MI[[#This Row],[G5 cp]])</f>
        <v>0</v>
      </c>
      <c r="V30" s="72">
        <f>COUNTA(MI[[#This Row],[G25 cp]],MI[[#This Row],[G22 cp]],MI[[#This Row],[G12 cp]],MI[[#This Row],[G5 cp]])</f>
        <v>0</v>
      </c>
      <c r="W30" s="72">
        <f>MAX(MI[[#This Row],[G25 cp]],MI[[#This Row],[G22 cp]],MI[[#This Row],[G12 cp]],MI[[#This Row],[G5 cp]])</f>
        <v>0</v>
      </c>
      <c r="X30" s="262">
        <f>( SUM(MI[[#This Row],[G25 cp]],MI[[#This Row],[G22 cp]],MI[[#This Row],[G12 cp]],MI[[#This Row],[G5 cp]]) - MI[[#This Row],[B1  Max]]) / (MI[[#This Row],[B1 Inn]]-1)</f>
        <v>0</v>
      </c>
      <c r="Y30" s="72">
        <f>MIN(MI[[#This Row],[G25 cp]],MI[[#This Row],[G22 cp]],MI[[#This Row],[G12 cp]],MI[[#This Row],[G5 cp]])</f>
        <v>0</v>
      </c>
      <c r="Z30" s="60">
        <f>COUNTA(MI[[#This Row],[G31 cp]],MI[[#This Row],[G16 cp]])</f>
        <v>0</v>
      </c>
      <c r="AA30" s="72">
        <f>MAX(MI[[#This Row],[G31 cp]],MI[[#This Row],[G16 cp]])</f>
        <v>0</v>
      </c>
      <c r="AB30" s="72">
        <f>( SUM(MI[[#This Row],[G31 cp]],MI[[#This Row],[G16 cp]]) - MI[[#This Row],[CHS Max]]) / ( MI[[#This Row],[CHS Inn]] - 1 )</f>
        <v>0</v>
      </c>
      <c r="AC30" s="83">
        <f>MIN(MI[[#This Row],[G31 cp]],MI[[#This Row],[G16 cp]])</f>
        <v>0</v>
      </c>
      <c r="AD30" s="72"/>
      <c r="AE30" s="72"/>
      <c r="AF30" s="60">
        <f>MI[[#This Row],[G31 cp]]</f>
        <v>0</v>
      </c>
      <c r="AG30" s="72">
        <f>MI[[#This Row],[G25 cp]]</f>
        <v>0</v>
      </c>
      <c r="AH30" s="72">
        <f>MI[[#This Row],[G22 cp]]</f>
        <v>0</v>
      </c>
      <c r="AI30" s="72">
        <f>MI[[#This Row],[G16 cp]]</f>
        <v>0</v>
      </c>
      <c r="AJ30" s="72">
        <f>MI[[#This Row],[G12 cp]]</f>
        <v>0</v>
      </c>
      <c r="AK30" s="83">
        <f>MI[[#This Row],[G5 cp]]</f>
        <v>0</v>
      </c>
      <c r="AL30" s="60"/>
      <c r="AM30" s="72"/>
      <c r="AN30" s="72"/>
      <c r="AO30" s="72"/>
      <c r="AP30" s="72"/>
      <c r="AQ30" s="72"/>
      <c r="AR30" s="72"/>
      <c r="AS30" s="72"/>
      <c r="AT30" s="83"/>
      <c r="AU30" s="60"/>
      <c r="AV30" s="83"/>
      <c r="AW30" s="72"/>
      <c r="AX30" s="72"/>
      <c r="AY30" s="72"/>
      <c r="AZ30" s="72"/>
      <c r="BA30" s="72"/>
      <c r="BB30" s="72"/>
      <c r="BC30" s="60"/>
      <c r="BD30" s="84"/>
      <c r="BE30" s="72"/>
      <c r="BF30" s="72"/>
      <c r="BG30" s="72"/>
      <c r="BH30" s="83"/>
      <c r="BI30" s="14"/>
      <c r="BJ30" s="12"/>
      <c r="BK30" s="12"/>
      <c r="BL30" s="12"/>
      <c r="BM30" s="15"/>
      <c r="BN30" s="16"/>
      <c r="BO30" s="17"/>
      <c r="BP30" s="17"/>
      <c r="BQ30" s="17"/>
      <c r="BR30" s="90"/>
    </row>
    <row r="31" spans="2:70" ht="15" thickBot="1">
      <c r="B31" s="1067" t="s">
        <v>134</v>
      </c>
      <c r="C31" s="1068" t="s">
        <v>764</v>
      </c>
      <c r="D31" s="1068">
        <v>0.2</v>
      </c>
      <c r="E31" s="1068"/>
      <c r="F31" s="1068" t="s">
        <v>56</v>
      </c>
      <c r="G31" s="1069" t="s">
        <v>55</v>
      </c>
      <c r="H31" s="938"/>
      <c r="I31" s="939"/>
      <c r="J31" s="940"/>
      <c r="K31" s="941"/>
      <c r="L31" s="941"/>
      <c r="M31" s="941"/>
      <c r="N31" s="942"/>
      <c r="O31" s="941"/>
      <c r="P31" s="941"/>
      <c r="Q31" s="941"/>
      <c r="R31" s="1070">
        <f>COUNTA(MI[[#This Row],[G31 cp]],MI[[#This Row],[G25 cp]],MI[[#This Row],[G22 cp]],MI[[#This Row],[G16 cp]],MI[[#This Row],[G12 cp]],MI[[#This Row],[G5 cp]])</f>
        <v>0</v>
      </c>
      <c r="S31" s="1071">
        <f>MAX(MI[[#This Row],[G31 cp]],MI[[#This Row],[G25 cp]],MI[[#This Row],[G22 cp]],MI[[#This Row],[G16 cp]],MI[[#This Row],[G12 cp]],MI[[#This Row],[G5 cp]])</f>
        <v>0</v>
      </c>
      <c r="T31" s="1071">
        <f>( SUM(MI[[#This Row],[G31 cp]],MI[[#This Row],[G25 cp]],MI[[#This Row],[G22 cp]],MI[[#This Row],[G16 cp]],MI[[#This Row],[G12 cp]],MI[[#This Row],[G5 cp]]) - MI[[#This Row],[Max.]]) / (MI[[#This Row],[Innings]]-1)</f>
        <v>0</v>
      </c>
      <c r="U31" s="1072">
        <f>MIN(MI[[#This Row],[G31 cp]],MI[[#This Row],[G25 cp]],MI[[#This Row],[G22 cp]],MI[[#This Row],[G16 cp]],MI[[#This Row],[G12 cp]],MI[[#This Row],[G5 cp]])</f>
        <v>0</v>
      </c>
      <c r="V31" s="1073">
        <f>COUNTA(MI[[#This Row],[G25 cp]],MI[[#This Row],[G22 cp]],MI[[#This Row],[G12 cp]],MI[[#This Row],[G5 cp]])</f>
        <v>0</v>
      </c>
      <c r="W31" s="1073">
        <f>MAX(MI[[#This Row],[G25 cp]],MI[[#This Row],[G22 cp]],MI[[#This Row],[G12 cp]],MI[[#This Row],[G5 cp]])</f>
        <v>0</v>
      </c>
      <c r="X31" s="1071">
        <f>( SUM(MI[[#This Row],[G25 cp]],MI[[#This Row],[G22 cp]],MI[[#This Row],[G12 cp]],MI[[#This Row],[G5 cp]]) - MI[[#This Row],[B1  Max]]) / (MI[[#This Row],[B1 Inn]]-1)</f>
        <v>0</v>
      </c>
      <c r="Y31" s="1073">
        <f>MIN(MI[[#This Row],[G25 cp]],MI[[#This Row],[G22 cp]],MI[[#This Row],[G12 cp]],MI[[#This Row],[G5 cp]])</f>
        <v>0</v>
      </c>
      <c r="Z31" s="321">
        <f>COUNTA(MI[[#This Row],[G31 cp]],MI[[#This Row],[G16 cp]])</f>
        <v>0</v>
      </c>
      <c r="AA31" s="323">
        <f>MAX(MI[[#This Row],[G31 cp]],MI[[#This Row],[G16 cp]])</f>
        <v>0</v>
      </c>
      <c r="AB31" s="323">
        <f>( SUM(MI[[#This Row],[G31 cp]],MI[[#This Row],[G16 cp]]) - MI[[#This Row],[CHS Max]]) / ( MI[[#This Row],[CHS Inn]] - 1 )</f>
        <v>0</v>
      </c>
      <c r="AC31" s="322">
        <f>MIN(MI[[#This Row],[G31 cp]],MI[[#This Row],[G16 cp]])</f>
        <v>0</v>
      </c>
      <c r="AD31" s="323"/>
      <c r="AE31" s="323"/>
      <c r="AF31" s="321">
        <f>MI[[#This Row],[G31 cp]]</f>
        <v>0</v>
      </c>
      <c r="AG31" s="323">
        <f>MI[[#This Row],[G25 cp]]</f>
        <v>0</v>
      </c>
      <c r="AH31" s="323">
        <f>MI[[#This Row],[G22 cp]]</f>
        <v>0</v>
      </c>
      <c r="AI31" s="323">
        <f>MI[[#This Row],[G16 cp]]</f>
        <v>0</v>
      </c>
      <c r="AJ31" s="323">
        <f>MI[[#This Row],[G12 cp]]</f>
        <v>0</v>
      </c>
      <c r="AK31" s="322">
        <f>MI[[#This Row],[G5 cp]]</f>
        <v>0</v>
      </c>
      <c r="AL31" s="321"/>
      <c r="AM31" s="323"/>
      <c r="AN31" s="323"/>
      <c r="AO31" s="323"/>
      <c r="AP31" s="323"/>
      <c r="AQ31" s="323"/>
      <c r="AR31" s="323"/>
      <c r="AS31" s="323"/>
      <c r="AT31" s="322"/>
      <c r="AU31" s="321"/>
      <c r="AV31" s="322"/>
      <c r="AW31" s="1073"/>
      <c r="AX31" s="1073"/>
      <c r="AY31" s="1073"/>
      <c r="AZ31" s="1073"/>
      <c r="BA31" s="1073"/>
      <c r="BB31" s="1073"/>
      <c r="BC31" s="1070"/>
      <c r="BD31" s="1074"/>
      <c r="BE31" s="1073"/>
      <c r="BF31" s="1073"/>
      <c r="BG31" s="1073"/>
      <c r="BH31" s="1072"/>
      <c r="BI31" s="1075"/>
      <c r="BJ31" s="1068"/>
      <c r="BK31" s="1068"/>
      <c r="BL31" s="1068"/>
      <c r="BM31" s="1069"/>
      <c r="BN31" s="1076"/>
      <c r="BO31" s="1077"/>
      <c r="BP31" s="1077"/>
      <c r="BQ31" s="1077"/>
      <c r="BR31" s="1078"/>
    </row>
  </sheetData>
  <sortState xmlns:xlrd2="http://schemas.microsoft.com/office/spreadsheetml/2017/richdata2" ref="B6:BR31">
    <sortCondition ref="AU6:AU31"/>
    <sortCondition ref="AW6:AW31"/>
    <sortCondition ref="BC6:BC31"/>
    <sortCondition ref="BI6:BI31"/>
    <sortCondition ref="BN6:BN31"/>
    <sortCondition descending="1" ref="D6:D31"/>
    <sortCondition ref="F6:F31"/>
  </sortState>
  <phoneticPr fontId="26" type="noConversion"/>
  <conditionalFormatting sqref="S6:S31">
    <cfRule type="colorScale" priority="9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max"/>
        <color rgb="FFFFEF9C"/>
        <color rgb="FF63BE7B"/>
      </colorScale>
    </cfRule>
  </conditionalFormatting>
  <conditionalFormatting sqref="T6:T31">
    <cfRule type="colorScale" priority="8">
      <colorScale>
        <cfvo type="min"/>
        <cfvo type="max"/>
        <color rgb="FFFCFCFF"/>
        <color rgb="FF63BE7B"/>
      </colorScale>
    </cfRule>
  </conditionalFormatting>
  <conditionalFormatting sqref="U6:U31 AD6:AF3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U6:U31 AD6:AK31">
    <cfRule type="colorScale" priority="365">
      <colorScale>
        <cfvo type="min"/>
        <cfvo type="max"/>
        <color rgb="FFFFEF9C"/>
        <color rgb="FF63BE7B"/>
      </colorScale>
    </cfRule>
  </conditionalFormatting>
  <conditionalFormatting sqref="W6:W31">
    <cfRule type="colorScale" priority="6">
      <colorScale>
        <cfvo type="min"/>
        <cfvo type="max"/>
        <color rgb="FFFCFCFF"/>
        <color rgb="FF63BE7B"/>
      </colorScale>
    </cfRule>
  </conditionalFormatting>
  <conditionalFormatting sqref="X6:X31">
    <cfRule type="colorScale" priority="5">
      <colorScale>
        <cfvo type="min"/>
        <cfvo type="max"/>
        <color rgb="FFFCFCFF"/>
        <color rgb="FF63BE7B"/>
      </colorScale>
    </cfRule>
  </conditionalFormatting>
  <conditionalFormatting sqref="Y6:Y31">
    <cfRule type="colorScale" priority="4">
      <colorScale>
        <cfvo type="min"/>
        <cfvo type="max"/>
        <color rgb="FFFCFCFF"/>
        <color rgb="FF63BE7B"/>
      </colorScale>
    </cfRule>
  </conditionalFormatting>
  <conditionalFormatting sqref="AA6:AA31">
    <cfRule type="colorScale" priority="3">
      <colorScale>
        <cfvo type="min"/>
        <cfvo type="max"/>
        <color rgb="FFFCFCFF"/>
        <color rgb="FF63BE7B"/>
      </colorScale>
    </cfRule>
  </conditionalFormatting>
  <conditionalFormatting sqref="AB6:AB31">
    <cfRule type="colorScale" priority="2">
      <colorScale>
        <cfvo type="min"/>
        <cfvo type="max"/>
        <color rgb="FFFCFCFF"/>
        <color rgb="FF63BE7B"/>
      </colorScale>
    </cfRule>
  </conditionalFormatting>
  <conditionalFormatting sqref="AC6:AC31">
    <cfRule type="colorScale" priority="1">
      <colorScale>
        <cfvo type="min"/>
        <cfvo type="max"/>
        <color rgb="FFFCFCFF"/>
        <color rgb="FF63BE7B"/>
      </colorScale>
    </cfRule>
  </conditionalFormatting>
  <conditionalFormatting sqref="AF6:AH31">
    <cfRule type="colorScale" priority="15">
      <colorScale>
        <cfvo type="min"/>
        <cfvo type="max"/>
        <color rgb="FFFCFCFF"/>
        <color rgb="FF63BE7B"/>
      </colorScale>
    </cfRule>
  </conditionalFormatting>
  <conditionalFormatting sqref="AI6:AI31">
    <cfRule type="colorScale" priority="14">
      <colorScale>
        <cfvo type="min"/>
        <cfvo type="max"/>
        <color rgb="FFFCFCFF"/>
        <color rgb="FF63BE7B"/>
      </colorScale>
    </cfRule>
  </conditionalFormatting>
  <conditionalFormatting sqref="AJ6:AJ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AK6:AK31">
    <cfRule type="colorScale" priority="36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RCB</vt:lpstr>
      <vt:lpstr>KKR</vt:lpstr>
      <vt:lpstr>SRH</vt:lpstr>
      <vt:lpstr>DC</vt:lpstr>
      <vt:lpstr>RR</vt:lpstr>
      <vt:lpstr>LSG</vt:lpstr>
      <vt:lpstr>PBKS</vt:lpstr>
      <vt:lpstr>GT</vt:lpstr>
      <vt:lpstr>MI</vt:lpstr>
      <vt:lpstr>CSK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2023-03-26T13:42:30Z</dcterms:created>
  <dcterms:modified xsi:type="dcterms:W3CDTF">2023-05-06T07:20:55Z</dcterms:modified>
</cp:coreProperties>
</file>