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.skaleski\Documents\Homeoffice - Cecil\EM ANALISE_JULHO_2020\XX.XXX.XXX-X - SANEPAR - Alteração da Resolução 1-2021 VNR para CCV\"/>
    </mc:Choice>
  </mc:AlternateContent>
  <xr:revisionPtr revIDLastSave="0" documentId="13_ncr:1_{7EDC5ED1-CC97-449B-A34A-8E5987A142F6}" xr6:coauthVersionLast="36" xr6:coauthVersionMax="36" xr10:uidLastSave="{00000000-0000-0000-0000-000000000000}"/>
  <bookViews>
    <workbookView xWindow="0" yWindow="0" windowWidth="20490" windowHeight="8130" tabRatio="966" xr2:uid="{23EFB080-61FA-4DB9-87EA-EF4B2D534292}"/>
  </bookViews>
  <sheets>
    <sheet name="Exemplo_BRR_2024" sheetId="1" r:id="rId1"/>
    <sheet name="Imob_BRR_2021" sheetId="3" r:id="rId2"/>
    <sheet name="Imob_BRR_2022" sheetId="4" r:id="rId3"/>
    <sheet name="Imob_BRR_2023" sheetId="5" r:id="rId4"/>
    <sheet name="Imob_BRR_2024" sheetId="6" r:id="rId5"/>
    <sheet name="Mov_2025" sheetId="14" r:id="rId6"/>
    <sheet name="Mov_2026" sheetId="15" r:id="rId7"/>
    <sheet name="Mov_2027" sheetId="16" r:id="rId8"/>
    <sheet name="Mov_2028" sheetId="17" r:id="rId9"/>
    <sheet name="Resumo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3" l="1"/>
  <c r="AE5" i="3"/>
  <c r="AE4" i="3"/>
  <c r="AE3" i="3"/>
  <c r="AE2" i="3"/>
  <c r="I2" i="16"/>
  <c r="AC6" i="17"/>
  <c r="AB6" i="17"/>
  <c r="AA6" i="17"/>
  <c r="AC5" i="17"/>
  <c r="AB5" i="17"/>
  <c r="AA5" i="17"/>
  <c r="AC4" i="17"/>
  <c r="AB4" i="17"/>
  <c r="AA4" i="17"/>
  <c r="AC3" i="17"/>
  <c r="AB3" i="17"/>
  <c r="AA3" i="17"/>
  <c r="AC2" i="17"/>
  <c r="AB2" i="17"/>
  <c r="AA2" i="17"/>
  <c r="AC6" i="16"/>
  <c r="AB6" i="16"/>
  <c r="AA6" i="16"/>
  <c r="AC5" i="16"/>
  <c r="AB5" i="16"/>
  <c r="AA5" i="16"/>
  <c r="AC4" i="16"/>
  <c r="AB4" i="16"/>
  <c r="AA4" i="16"/>
  <c r="AC3" i="16"/>
  <c r="AB3" i="16"/>
  <c r="AA3" i="16"/>
  <c r="AC2" i="16"/>
  <c r="AB2" i="16"/>
  <c r="AA2" i="16"/>
  <c r="AC6" i="15"/>
  <c r="AB6" i="15"/>
  <c r="AA6" i="15"/>
  <c r="AC5" i="15"/>
  <c r="AB5" i="15"/>
  <c r="AA5" i="15"/>
  <c r="AC4" i="15"/>
  <c r="AB4" i="15"/>
  <c r="AA4" i="15"/>
  <c r="AC3" i="15"/>
  <c r="AB3" i="15"/>
  <c r="AA3" i="15"/>
  <c r="AC2" i="15"/>
  <c r="AB2" i="15"/>
  <c r="AA2" i="15"/>
  <c r="AC6" i="14"/>
  <c r="AB6" i="14"/>
  <c r="AA6" i="14"/>
  <c r="AC5" i="14"/>
  <c r="AB5" i="14"/>
  <c r="AA5" i="14"/>
  <c r="AC4" i="14"/>
  <c r="AB4" i="14"/>
  <c r="AA4" i="14"/>
  <c r="AC3" i="14"/>
  <c r="AB3" i="14"/>
  <c r="AA3" i="14"/>
  <c r="AC2" i="14"/>
  <c r="AB2" i="14"/>
  <c r="AA2" i="14"/>
  <c r="AB6" i="6"/>
  <c r="AB5" i="6"/>
  <c r="AB4" i="6"/>
  <c r="AB3" i="6"/>
  <c r="AB2" i="6"/>
  <c r="AB6" i="5"/>
  <c r="AB5" i="5"/>
  <c r="AB4" i="5"/>
  <c r="AB3" i="5"/>
  <c r="AB2" i="5"/>
  <c r="AB6" i="4"/>
  <c r="AB5" i="4"/>
  <c r="AB4" i="4"/>
  <c r="AB3" i="4"/>
  <c r="AB2" i="4"/>
  <c r="AB6" i="3"/>
  <c r="AB5" i="3"/>
  <c r="AB4" i="3"/>
  <c r="AB3" i="3"/>
  <c r="AB2" i="3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G6" i="17"/>
  <c r="F6" i="17"/>
  <c r="E6" i="17"/>
  <c r="D6" i="17"/>
  <c r="C6" i="17"/>
  <c r="B6" i="17"/>
  <c r="A6" i="17"/>
  <c r="G5" i="17"/>
  <c r="F5" i="17"/>
  <c r="E5" i="17"/>
  <c r="D5" i="17"/>
  <c r="C5" i="17"/>
  <c r="B5" i="17"/>
  <c r="A5" i="17"/>
  <c r="G4" i="17"/>
  <c r="F4" i="17"/>
  <c r="E4" i="17"/>
  <c r="D4" i="17"/>
  <c r="C4" i="17"/>
  <c r="B4" i="17"/>
  <c r="A4" i="17"/>
  <c r="G3" i="17"/>
  <c r="F3" i="17"/>
  <c r="E3" i="17"/>
  <c r="D3" i="17"/>
  <c r="C3" i="17"/>
  <c r="B3" i="17"/>
  <c r="A3" i="17"/>
  <c r="G2" i="17"/>
  <c r="F2" i="17"/>
  <c r="E2" i="17"/>
  <c r="D2" i="17"/>
  <c r="C2" i="17"/>
  <c r="B2" i="17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G6" i="16"/>
  <c r="F6" i="16"/>
  <c r="E6" i="16"/>
  <c r="D6" i="16"/>
  <c r="C6" i="16"/>
  <c r="B6" i="16"/>
  <c r="A6" i="16"/>
  <c r="G5" i="16"/>
  <c r="F5" i="16"/>
  <c r="E5" i="16"/>
  <c r="D5" i="16"/>
  <c r="C5" i="16"/>
  <c r="B5" i="16"/>
  <c r="A5" i="16"/>
  <c r="G4" i="16"/>
  <c r="F4" i="16"/>
  <c r="E4" i="16"/>
  <c r="D4" i="16"/>
  <c r="C4" i="16"/>
  <c r="B4" i="16"/>
  <c r="A4" i="16"/>
  <c r="G3" i="16"/>
  <c r="F3" i="16"/>
  <c r="E3" i="16"/>
  <c r="D3" i="16"/>
  <c r="C3" i="16"/>
  <c r="B3" i="16"/>
  <c r="A3" i="16"/>
  <c r="G2" i="16"/>
  <c r="F2" i="16"/>
  <c r="E2" i="16"/>
  <c r="D2" i="16"/>
  <c r="C2" i="16"/>
  <c r="B2" i="16"/>
  <c r="A2" i="16"/>
  <c r="A2" i="17" s="1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H6" i="15"/>
  <c r="H6" i="16" s="1"/>
  <c r="H6" i="17" s="1"/>
  <c r="G6" i="15"/>
  <c r="F6" i="15"/>
  <c r="E6" i="15"/>
  <c r="D6" i="15"/>
  <c r="C6" i="15"/>
  <c r="B6" i="15"/>
  <c r="A6" i="15"/>
  <c r="H5" i="15"/>
  <c r="H5" i="16" s="1"/>
  <c r="H5" i="17" s="1"/>
  <c r="G5" i="15"/>
  <c r="F5" i="15"/>
  <c r="E5" i="15"/>
  <c r="D5" i="15"/>
  <c r="C5" i="15"/>
  <c r="B5" i="15"/>
  <c r="A5" i="15"/>
  <c r="H4" i="15"/>
  <c r="H4" i="16" s="1"/>
  <c r="H4" i="17" s="1"/>
  <c r="G4" i="15"/>
  <c r="F4" i="15"/>
  <c r="E4" i="15"/>
  <c r="D4" i="15"/>
  <c r="C4" i="15"/>
  <c r="B4" i="15"/>
  <c r="A4" i="15"/>
  <c r="H3" i="15"/>
  <c r="H3" i="16" s="1"/>
  <c r="H3" i="17" s="1"/>
  <c r="G3" i="15"/>
  <c r="F3" i="15"/>
  <c r="E3" i="15"/>
  <c r="D3" i="15"/>
  <c r="C3" i="15"/>
  <c r="B3" i="15"/>
  <c r="A3" i="15"/>
  <c r="H2" i="15"/>
  <c r="H2" i="16" s="1"/>
  <c r="H2" i="17" s="1"/>
  <c r="G2" i="15"/>
  <c r="F2" i="15"/>
  <c r="E2" i="15"/>
  <c r="D2" i="15"/>
  <c r="C2" i="15"/>
  <c r="B2" i="15"/>
  <c r="A2" i="15"/>
  <c r="Y6" i="14" l="1"/>
  <c r="X6" i="14"/>
  <c r="W6" i="14"/>
  <c r="Y5" i="14"/>
  <c r="X5" i="14"/>
  <c r="W5" i="14"/>
  <c r="Y4" i="14"/>
  <c r="X4" i="14"/>
  <c r="W4" i="14"/>
  <c r="Y3" i="14"/>
  <c r="X3" i="14"/>
  <c r="W3" i="14"/>
  <c r="Y2" i="14"/>
  <c r="X2" i="14"/>
  <c r="W2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H6" i="14"/>
  <c r="G6" i="14"/>
  <c r="F6" i="14"/>
  <c r="E6" i="14"/>
  <c r="D6" i="14"/>
  <c r="C6" i="14"/>
  <c r="B6" i="14"/>
  <c r="A6" i="14"/>
  <c r="H5" i="14"/>
  <c r="G5" i="14"/>
  <c r="F5" i="14"/>
  <c r="E5" i="14"/>
  <c r="D5" i="14"/>
  <c r="C5" i="14"/>
  <c r="B5" i="14"/>
  <c r="A5" i="14"/>
  <c r="H4" i="14"/>
  <c r="G4" i="14"/>
  <c r="F4" i="14"/>
  <c r="E4" i="14"/>
  <c r="D4" i="14"/>
  <c r="C4" i="14"/>
  <c r="B4" i="14"/>
  <c r="A4" i="14"/>
  <c r="H3" i="14"/>
  <c r="G3" i="14"/>
  <c r="F3" i="14"/>
  <c r="E3" i="14"/>
  <c r="D3" i="14"/>
  <c r="C3" i="14"/>
  <c r="B3" i="14"/>
  <c r="A3" i="14"/>
  <c r="H2" i="14"/>
  <c r="G2" i="14"/>
  <c r="F2" i="14"/>
  <c r="E2" i="14"/>
  <c r="D2" i="14"/>
  <c r="C2" i="14"/>
  <c r="B2" i="14"/>
  <c r="A2" i="14"/>
  <c r="I6" i="14"/>
  <c r="I5" i="14"/>
  <c r="I4" i="14"/>
  <c r="I3" i="14"/>
  <c r="I5" i="15" l="1"/>
  <c r="I3" i="15"/>
  <c r="I6" i="15"/>
  <c r="I4" i="15"/>
  <c r="A7" i="7"/>
  <c r="A8" i="7" s="1"/>
  <c r="A9" i="7" s="1"/>
  <c r="A10" i="7" s="1"/>
  <c r="AD2" i="17"/>
  <c r="AJ2" i="17"/>
  <c r="AK2" i="17" s="1"/>
  <c r="AL2" i="17" s="1"/>
  <c r="AT2" i="17"/>
  <c r="AU2" i="17"/>
  <c r="Z3" i="17"/>
  <c r="AM3" i="17" s="1"/>
  <c r="AD3" i="17"/>
  <c r="AJ3" i="17"/>
  <c r="AK3" i="17" s="1"/>
  <c r="AL3" i="17" s="1"/>
  <c r="AT3" i="17"/>
  <c r="AU3" i="17"/>
  <c r="Z4" i="17"/>
  <c r="AM4" i="17" s="1"/>
  <c r="AD4" i="17"/>
  <c r="AJ4" i="17"/>
  <c r="AK4" i="17" s="1"/>
  <c r="AL4" i="17" s="1"/>
  <c r="AT4" i="17"/>
  <c r="AU4" i="17"/>
  <c r="AM5" i="17"/>
  <c r="Z5" i="17"/>
  <c r="AD5" i="17"/>
  <c r="AJ5" i="17"/>
  <c r="AK5" i="17" s="1"/>
  <c r="AL5" i="17" s="1"/>
  <c r="AT5" i="17"/>
  <c r="AU5" i="17"/>
  <c r="AW5" i="17"/>
  <c r="AY5" i="17"/>
  <c r="AM6" i="17"/>
  <c r="Z6" i="17"/>
  <c r="AD6" i="17"/>
  <c r="AJ6" i="17"/>
  <c r="AK6" i="17" s="1"/>
  <c r="AL6" i="17" s="1"/>
  <c r="AT6" i="17"/>
  <c r="AU6" i="17"/>
  <c r="AW6" i="17"/>
  <c r="AY6" i="17"/>
  <c r="AD2" i="16"/>
  <c r="AJ2" i="16"/>
  <c r="AK2" i="16"/>
  <c r="AL2" i="16" s="1"/>
  <c r="AM2" i="16"/>
  <c r="AT2" i="16"/>
  <c r="AU2" i="16"/>
  <c r="Z3" i="16"/>
  <c r="AD3" i="16"/>
  <c r="AJ3" i="16"/>
  <c r="AK3" i="16"/>
  <c r="AL3" i="16" s="1"/>
  <c r="AM3" i="16"/>
  <c r="AT3" i="16"/>
  <c r="AU3" i="16"/>
  <c r="Z4" i="16"/>
  <c r="AD4" i="16"/>
  <c r="AJ4" i="16"/>
  <c r="AK4" i="16"/>
  <c r="AL4" i="16" s="1"/>
  <c r="AM4" i="16"/>
  <c r="AT4" i="16"/>
  <c r="AU4" i="16"/>
  <c r="Z5" i="16"/>
  <c r="AD5" i="16"/>
  <c r="AJ5" i="16"/>
  <c r="AK5" i="16"/>
  <c r="AL5" i="16" s="1"/>
  <c r="AM5" i="16"/>
  <c r="AT5" i="16"/>
  <c r="AU5" i="16"/>
  <c r="AW5" i="16" s="1"/>
  <c r="AY5" i="16"/>
  <c r="Z6" i="16"/>
  <c r="AD6" i="16"/>
  <c r="AJ6" i="16"/>
  <c r="AK6" i="16"/>
  <c r="AL6" i="16" s="1"/>
  <c r="AM6" i="16"/>
  <c r="AT6" i="16"/>
  <c r="AU6" i="16"/>
  <c r="AW6" i="16" s="1"/>
  <c r="AY6" i="16"/>
  <c r="AD2" i="15"/>
  <c r="AJ2" i="15"/>
  <c r="AM2" i="15" s="1"/>
  <c r="AK2" i="15"/>
  <c r="AL2" i="15" s="1"/>
  <c r="AT2" i="15"/>
  <c r="AU2" i="15"/>
  <c r="Z3" i="15"/>
  <c r="AM3" i="15" s="1"/>
  <c r="AD3" i="15"/>
  <c r="AJ3" i="15"/>
  <c r="AK3" i="15"/>
  <c r="AL3" i="15" s="1"/>
  <c r="AU3" i="15"/>
  <c r="Z4" i="15"/>
  <c r="AM4" i="15" s="1"/>
  <c r="AD4" i="15"/>
  <c r="AJ4" i="15"/>
  <c r="AK4" i="15" s="1"/>
  <c r="AL4" i="15" s="1"/>
  <c r="AU4" i="15"/>
  <c r="Z5" i="15"/>
  <c r="AM5" i="15" s="1"/>
  <c r="AD5" i="15"/>
  <c r="AJ5" i="15"/>
  <c r="AK5" i="15" s="1"/>
  <c r="AL5" i="15" s="1"/>
  <c r="AU5" i="15"/>
  <c r="AW5" i="15"/>
  <c r="AY5" i="15"/>
  <c r="Z6" i="15"/>
  <c r="AM6" i="15" s="1"/>
  <c r="AD6" i="15"/>
  <c r="AJ6" i="15"/>
  <c r="AK6" i="15" s="1"/>
  <c r="AL6" i="15" s="1"/>
  <c r="AU6" i="15"/>
  <c r="AW6" i="15"/>
  <c r="AY6" i="15"/>
  <c r="AD2" i="14"/>
  <c r="AJ2" i="14"/>
  <c r="AK2" i="14"/>
  <c r="AL2" i="14" s="1"/>
  <c r="AM2" i="14"/>
  <c r="AT2" i="14"/>
  <c r="AU2" i="14"/>
  <c r="Z3" i="14"/>
  <c r="AT3" i="14" s="1"/>
  <c r="AD3" i="14"/>
  <c r="AJ3" i="14"/>
  <c r="AK3" i="14"/>
  <c r="AL3" i="14" s="1"/>
  <c r="AM3" i="14"/>
  <c r="AU3" i="14"/>
  <c r="Z4" i="14"/>
  <c r="AD4" i="14"/>
  <c r="AJ4" i="14"/>
  <c r="AK4" i="14"/>
  <c r="AL4" i="14" s="1"/>
  <c r="AM4" i="14"/>
  <c r="AT4" i="14"/>
  <c r="AU4" i="14"/>
  <c r="Z5" i="14"/>
  <c r="AD5" i="14"/>
  <c r="AJ5" i="14"/>
  <c r="AK5" i="14"/>
  <c r="AL5" i="14" s="1"/>
  <c r="AM5" i="14"/>
  <c r="AT5" i="14"/>
  <c r="AU5" i="14"/>
  <c r="AW5" i="14" s="1"/>
  <c r="Z6" i="14"/>
  <c r="AD6" i="14"/>
  <c r="AJ6" i="14"/>
  <c r="AK6" i="14"/>
  <c r="AL6" i="14" s="1"/>
  <c r="AM6" i="14"/>
  <c r="AT6" i="14"/>
  <c r="AU6" i="14"/>
  <c r="AW6" i="14" s="1"/>
  <c r="I3" i="16" l="1"/>
  <c r="I4" i="16"/>
  <c r="I6" i="16"/>
  <c r="I5" i="16"/>
  <c r="AM2" i="17"/>
  <c r="AY6" i="14"/>
  <c r="AY5" i="14"/>
  <c r="AT6" i="15"/>
  <c r="AT5" i="15"/>
  <c r="AT4" i="15"/>
  <c r="AT3" i="15"/>
  <c r="I6" i="17" l="1"/>
  <c r="I4" i="17"/>
  <c r="I3" i="17"/>
  <c r="I5" i="17"/>
  <c r="AW6" i="6" l="1"/>
  <c r="AW5" i="6"/>
  <c r="AX6" i="5"/>
  <c r="AW6" i="5"/>
  <c r="AX5" i="5"/>
  <c r="AW5" i="5"/>
  <c r="AX6" i="4"/>
  <c r="AW6" i="4"/>
  <c r="AX5" i="4"/>
  <c r="AW5" i="4"/>
  <c r="AX4" i="4"/>
  <c r="AW4" i="4"/>
  <c r="AW6" i="1"/>
  <c r="AW5" i="1"/>
  <c r="AX6" i="3"/>
  <c r="AX5" i="3"/>
  <c r="AX4" i="3"/>
  <c r="AX3" i="3"/>
  <c r="AW6" i="3"/>
  <c r="AW5" i="3"/>
  <c r="AW4" i="3"/>
  <c r="AW3" i="3"/>
  <c r="I6" i="6"/>
  <c r="I5" i="6"/>
  <c r="I4" i="6"/>
  <c r="I3" i="6"/>
  <c r="AT2" i="6"/>
  <c r="AT2" i="5"/>
  <c r="I6" i="5"/>
  <c r="I5" i="5"/>
  <c r="I4" i="5"/>
  <c r="I3" i="5"/>
  <c r="AU6" i="4"/>
  <c r="AY6" i="4" s="1"/>
  <c r="AY5" i="4"/>
  <c r="AU5" i="4"/>
  <c r="AU4" i="4"/>
  <c r="AU3" i="4"/>
  <c r="AU2" i="4"/>
  <c r="AT2" i="4"/>
  <c r="I6" i="4"/>
  <c r="I5" i="4"/>
  <c r="I4" i="4"/>
  <c r="I3" i="4"/>
  <c r="I6" i="3"/>
  <c r="I5" i="3"/>
  <c r="I4" i="3"/>
  <c r="I3" i="3"/>
  <c r="I2" i="3"/>
  <c r="I2" i="4" s="1"/>
  <c r="I2" i="5" s="1"/>
  <c r="AU6" i="3"/>
  <c r="AU5" i="3"/>
  <c r="AU4" i="3"/>
  <c r="AU3" i="3"/>
  <c r="AU2" i="3"/>
  <c r="AT2" i="3"/>
  <c r="AT6" i="1"/>
  <c r="AT5" i="1"/>
  <c r="AT4" i="1"/>
  <c r="AT3" i="1"/>
  <c r="AT2" i="1"/>
  <c r="AY6" i="1"/>
  <c r="AY5" i="1"/>
  <c r="AB6" i="1"/>
  <c r="AB5" i="1"/>
  <c r="AB4" i="1"/>
  <c r="AB3" i="1"/>
  <c r="AB2" i="1"/>
  <c r="I2" i="6" l="1"/>
  <c r="I2" i="14" s="1"/>
  <c r="AU3" i="6"/>
  <c r="AY6" i="6"/>
  <c r="AY5" i="6"/>
  <c r="AY6" i="3"/>
  <c r="AY5" i="3"/>
  <c r="Z4" i="1"/>
  <c r="Z5" i="1" s="1"/>
  <c r="Z6" i="1" s="1"/>
  <c r="Z3" i="1"/>
  <c r="Z4" i="3"/>
  <c r="Z3" i="3"/>
  <c r="AT3" i="3" s="1"/>
  <c r="Z4" i="4"/>
  <c r="AT4" i="4" s="1"/>
  <c r="Z3" i="4"/>
  <c r="AT3" i="4" s="1"/>
  <c r="Z3" i="5"/>
  <c r="AT3" i="5" s="1"/>
  <c r="Y6" i="6"/>
  <c r="Y5" i="6"/>
  <c r="Y4" i="6"/>
  <c r="Y3" i="6"/>
  <c r="Z3" i="6"/>
  <c r="AT3" i="6" s="1"/>
  <c r="A4" i="7"/>
  <c r="A5" i="7" s="1"/>
  <c r="A6" i="7" s="1"/>
  <c r="AU6" i="6"/>
  <c r="AK6" i="6"/>
  <c r="AL6" i="6" s="1"/>
  <c r="AJ6" i="6"/>
  <c r="AD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G6" i="6"/>
  <c r="F6" i="6"/>
  <c r="E6" i="6"/>
  <c r="D6" i="6"/>
  <c r="C6" i="6"/>
  <c r="B6" i="6"/>
  <c r="A6" i="6"/>
  <c r="AU5" i="6"/>
  <c r="AJ5" i="6"/>
  <c r="AK5" i="6" s="1"/>
  <c r="AL5" i="6" s="1"/>
  <c r="AD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G5" i="6"/>
  <c r="F5" i="6"/>
  <c r="E5" i="6"/>
  <c r="D5" i="6"/>
  <c r="C5" i="6"/>
  <c r="B5" i="6"/>
  <c r="A5" i="6"/>
  <c r="AU4" i="6"/>
  <c r="AK4" i="6"/>
  <c r="AL4" i="6" s="1"/>
  <c r="AJ4" i="6"/>
  <c r="AD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G4" i="6"/>
  <c r="F4" i="6"/>
  <c r="E4" i="6"/>
  <c r="D4" i="6"/>
  <c r="C4" i="6"/>
  <c r="B4" i="6"/>
  <c r="A4" i="6"/>
  <c r="AJ3" i="6"/>
  <c r="AK3" i="6" s="1"/>
  <c r="AL3" i="6" s="1"/>
  <c r="AD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G3" i="6"/>
  <c r="F3" i="6"/>
  <c r="E3" i="6"/>
  <c r="D3" i="6"/>
  <c r="C3" i="6"/>
  <c r="B3" i="6"/>
  <c r="A3" i="6"/>
  <c r="AU2" i="6"/>
  <c r="AK2" i="6"/>
  <c r="AL2" i="6" s="1"/>
  <c r="AJ2" i="6"/>
  <c r="AD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G2" i="6"/>
  <c r="F2" i="6"/>
  <c r="E2" i="6"/>
  <c r="D2" i="6"/>
  <c r="C2" i="6"/>
  <c r="B2" i="6"/>
  <c r="A2" i="6"/>
  <c r="AU6" i="5"/>
  <c r="AJ6" i="5"/>
  <c r="AK6" i="5" s="1"/>
  <c r="AL6" i="5" s="1"/>
  <c r="AD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G6" i="5"/>
  <c r="F6" i="5"/>
  <c r="E6" i="5"/>
  <c r="D6" i="5"/>
  <c r="C6" i="5"/>
  <c r="B6" i="5"/>
  <c r="A6" i="5"/>
  <c r="AU5" i="5"/>
  <c r="AJ5" i="5"/>
  <c r="AK5" i="5" s="1"/>
  <c r="AL5" i="5" s="1"/>
  <c r="AD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G5" i="5"/>
  <c r="F5" i="5"/>
  <c r="E5" i="5"/>
  <c r="D5" i="5"/>
  <c r="C5" i="5"/>
  <c r="B5" i="5"/>
  <c r="A5" i="5"/>
  <c r="AU4" i="5"/>
  <c r="AJ4" i="5"/>
  <c r="AK4" i="5" s="1"/>
  <c r="AL4" i="5" s="1"/>
  <c r="AD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G4" i="5"/>
  <c r="F4" i="5"/>
  <c r="E4" i="5"/>
  <c r="D4" i="5"/>
  <c r="C4" i="5"/>
  <c r="B4" i="5"/>
  <c r="A4" i="5"/>
  <c r="AU3" i="5"/>
  <c r="AJ3" i="5"/>
  <c r="AK3" i="5" s="1"/>
  <c r="AL3" i="5" s="1"/>
  <c r="AD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G3" i="5"/>
  <c r="F3" i="5"/>
  <c r="E3" i="5"/>
  <c r="D3" i="5"/>
  <c r="C3" i="5"/>
  <c r="B3" i="5"/>
  <c r="A3" i="5"/>
  <c r="AU2" i="5"/>
  <c r="AK2" i="5"/>
  <c r="AL2" i="5" s="1"/>
  <c r="AJ2" i="5"/>
  <c r="AD2" i="5"/>
  <c r="Y2" i="5"/>
  <c r="X2" i="5"/>
  <c r="AM2" i="5" s="1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G2" i="5"/>
  <c r="F2" i="5"/>
  <c r="E2" i="5"/>
  <c r="D2" i="5"/>
  <c r="C2" i="5"/>
  <c r="B2" i="5"/>
  <c r="A2" i="5"/>
  <c r="AJ6" i="4"/>
  <c r="AD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G6" i="4"/>
  <c r="F6" i="4"/>
  <c r="E6" i="4"/>
  <c r="D6" i="4"/>
  <c r="C6" i="4"/>
  <c r="B6" i="4"/>
  <c r="A6" i="4"/>
  <c r="AJ5" i="4"/>
  <c r="AK5" i="4" s="1"/>
  <c r="AL5" i="4" s="1"/>
  <c r="AD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G5" i="4"/>
  <c r="F5" i="4"/>
  <c r="E5" i="4"/>
  <c r="D5" i="4"/>
  <c r="C5" i="4"/>
  <c r="B5" i="4"/>
  <c r="A5" i="4"/>
  <c r="AJ4" i="4"/>
  <c r="AD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G4" i="4"/>
  <c r="F4" i="4"/>
  <c r="E4" i="4"/>
  <c r="D4" i="4"/>
  <c r="C4" i="4"/>
  <c r="B4" i="4"/>
  <c r="A4" i="4"/>
  <c r="AJ3" i="4"/>
  <c r="AK3" i="4" s="1"/>
  <c r="AL3" i="4" s="1"/>
  <c r="AD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G3" i="4"/>
  <c r="F3" i="4"/>
  <c r="E3" i="4"/>
  <c r="D3" i="4"/>
  <c r="C3" i="4"/>
  <c r="B3" i="4"/>
  <c r="A3" i="4"/>
  <c r="AJ2" i="4"/>
  <c r="AD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G2" i="4"/>
  <c r="F2" i="4"/>
  <c r="E2" i="4"/>
  <c r="D2" i="4"/>
  <c r="C2" i="4"/>
  <c r="B2" i="4"/>
  <c r="A2" i="4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G6" i="3"/>
  <c r="F6" i="3"/>
  <c r="E6" i="3"/>
  <c r="D6" i="3"/>
  <c r="C6" i="3"/>
  <c r="B6" i="3"/>
  <c r="A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G5" i="3"/>
  <c r="F5" i="3"/>
  <c r="E5" i="3"/>
  <c r="D5" i="3"/>
  <c r="C5" i="3"/>
  <c r="B5" i="3"/>
  <c r="A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G4" i="3"/>
  <c r="F4" i="3"/>
  <c r="E4" i="3"/>
  <c r="D4" i="3"/>
  <c r="C4" i="3"/>
  <c r="B4" i="3"/>
  <c r="A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G3" i="3"/>
  <c r="F3" i="3"/>
  <c r="E3" i="3"/>
  <c r="D3" i="3"/>
  <c r="C3" i="3"/>
  <c r="B3" i="3"/>
  <c r="A3" i="3"/>
  <c r="Y2" i="3"/>
  <c r="X2" i="3"/>
  <c r="AM2" i="3" s="1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G2" i="3"/>
  <c r="F2" i="3"/>
  <c r="E2" i="3"/>
  <c r="D2" i="3"/>
  <c r="C2" i="3"/>
  <c r="B2" i="3"/>
  <c r="A2" i="3"/>
  <c r="AK6" i="3"/>
  <c r="AL6" i="3" s="1"/>
  <c r="AJ6" i="3"/>
  <c r="AD6" i="3"/>
  <c r="AJ5" i="3"/>
  <c r="AD5" i="3"/>
  <c r="AJ4" i="3"/>
  <c r="AD4" i="3"/>
  <c r="AM3" i="3"/>
  <c r="AK3" i="3"/>
  <c r="AL3" i="3" s="1"/>
  <c r="AJ3" i="3"/>
  <c r="AD3" i="3"/>
  <c r="AK2" i="3"/>
  <c r="AL2" i="3" s="1"/>
  <c r="AJ2" i="3"/>
  <c r="AD2" i="3"/>
  <c r="A6" i="1"/>
  <c r="A5" i="1"/>
  <c r="A4" i="1"/>
  <c r="A3" i="1"/>
  <c r="A2" i="1"/>
  <c r="AU6" i="1"/>
  <c r="AU2" i="1"/>
  <c r="AU3" i="1"/>
  <c r="AU4" i="1"/>
  <c r="AU5" i="1"/>
  <c r="R3" i="1"/>
  <c r="T3" i="1" s="1"/>
  <c r="M4" i="1"/>
  <c r="M3" i="1"/>
  <c r="AJ4" i="1"/>
  <c r="AK4" i="1" s="1"/>
  <c r="AL4" i="1" s="1"/>
  <c r="AD4" i="1"/>
  <c r="K4" i="1"/>
  <c r="B3" i="1"/>
  <c r="B4" i="1" s="1"/>
  <c r="AJ3" i="1"/>
  <c r="AK3" i="1" s="1"/>
  <c r="AL3" i="1" s="1"/>
  <c r="AD3" i="1"/>
  <c r="AJ2" i="1"/>
  <c r="AK2" i="1" s="1"/>
  <c r="AL2" i="1" s="1"/>
  <c r="AJ5" i="1"/>
  <c r="AK5" i="1" s="1"/>
  <c r="AL5" i="1" s="1"/>
  <c r="AJ6" i="1"/>
  <c r="AK6" i="1" s="1"/>
  <c r="AL6" i="1" s="1"/>
  <c r="AD6" i="1"/>
  <c r="AD5" i="1"/>
  <c r="AD2" i="1"/>
  <c r="K5" i="1"/>
  <c r="M5" i="1"/>
  <c r="K6" i="1"/>
  <c r="M6" i="1"/>
  <c r="T2" i="1"/>
  <c r="M2" i="1"/>
  <c r="K2" i="1"/>
  <c r="I2" i="15" l="1"/>
  <c r="Z5" i="4"/>
  <c r="AM3" i="4"/>
  <c r="AM5" i="4"/>
  <c r="Z5" i="3"/>
  <c r="AT4" i="3"/>
  <c r="Z4" i="5"/>
  <c r="AM4" i="5" s="1"/>
  <c r="AM3" i="5"/>
  <c r="AY5" i="5"/>
  <c r="AY6" i="5"/>
  <c r="AM4" i="3"/>
  <c r="AM2" i="6"/>
  <c r="AM3" i="6"/>
  <c r="AM4" i="4"/>
  <c r="AM2" i="4"/>
  <c r="AM5" i="3"/>
  <c r="Z4" i="6"/>
  <c r="AK2" i="4"/>
  <c r="AL2" i="4" s="1"/>
  <c r="AK4" i="4"/>
  <c r="AL4" i="4" s="1"/>
  <c r="AK6" i="4"/>
  <c r="AL6" i="4" s="1"/>
  <c r="AK5" i="3"/>
  <c r="AL5" i="3" s="1"/>
  <c r="AK4" i="3"/>
  <c r="AL4" i="3" s="1"/>
  <c r="AM2" i="1"/>
  <c r="AM3" i="1"/>
  <c r="AM4" i="1"/>
  <c r="AM5" i="1"/>
  <c r="R4" i="1"/>
  <c r="AM6" i="1"/>
  <c r="B5" i="1"/>
  <c r="O4" i="1"/>
  <c r="O2" i="1"/>
  <c r="O3" i="1"/>
  <c r="O5" i="1"/>
  <c r="O6" i="1"/>
  <c r="I2" i="17" l="1"/>
  <c r="Z5" i="6"/>
  <c r="AT4" i="6"/>
  <c r="Z6" i="4"/>
  <c r="AT5" i="4"/>
  <c r="Z6" i="3"/>
  <c r="AT5" i="3"/>
  <c r="Z5" i="5"/>
  <c r="AT4" i="5"/>
  <c r="AM4" i="6"/>
  <c r="Q6" i="1"/>
  <c r="Q5" i="1"/>
  <c r="Q3" i="1"/>
  <c r="Q2" i="1"/>
  <c r="Q4" i="1"/>
  <c r="R5" i="1"/>
  <c r="T4" i="1"/>
  <c r="B6" i="1"/>
  <c r="U4" i="1"/>
  <c r="U3" i="1"/>
  <c r="U2" i="1"/>
  <c r="Z6" i="6" l="1"/>
  <c r="AT5" i="6"/>
  <c r="AM5" i="6"/>
  <c r="AT6" i="4"/>
  <c r="AM6" i="4"/>
  <c r="AT6" i="3"/>
  <c r="AM6" i="3"/>
  <c r="Z6" i="5"/>
  <c r="AT5" i="5"/>
  <c r="AM5" i="5"/>
  <c r="V2" i="1"/>
  <c r="V4" i="1"/>
  <c r="V3" i="1"/>
  <c r="R6" i="1"/>
  <c r="T5" i="1"/>
  <c r="AM6" i="6" l="1"/>
  <c r="AT6" i="6"/>
  <c r="AT6" i="5"/>
  <c r="AM6" i="5"/>
  <c r="AE3" i="1"/>
  <c r="T6" i="1"/>
  <c r="AE4" i="1"/>
  <c r="U5" i="1"/>
  <c r="AE2" i="1"/>
  <c r="V5" i="1" l="1"/>
  <c r="AN4" i="1"/>
  <c r="AO4" i="1" s="1"/>
  <c r="U6" i="1"/>
  <c r="AN2" i="1"/>
  <c r="AO2" i="1" s="1"/>
  <c r="AN3" i="1"/>
  <c r="AO3" i="1" s="1"/>
  <c r="AW4" i="1" l="1"/>
  <c r="AX4" i="1"/>
  <c r="AZ4" i="1" s="1"/>
  <c r="AW3" i="1"/>
  <c r="AX3" i="1"/>
  <c r="AZ3" i="1" s="1"/>
  <c r="AW2" i="1"/>
  <c r="AX2" i="1"/>
  <c r="AZ2" i="1" s="1"/>
  <c r="V6" i="1"/>
  <c r="AE5" i="1"/>
  <c r="AN5" i="1" l="1"/>
  <c r="AO5" i="1" s="1"/>
  <c r="AX5" i="1" s="1"/>
  <c r="AZ5" i="1" s="1"/>
  <c r="AY2" i="1"/>
  <c r="AY4" i="1"/>
  <c r="AY3" i="1"/>
  <c r="AW8" i="1"/>
  <c r="AE6" i="1"/>
  <c r="AY8" i="1" l="1"/>
  <c r="E2" i="7" s="1"/>
  <c r="AN6" i="1"/>
  <c r="AO6" i="1" s="1"/>
  <c r="AX6" i="1" s="1"/>
  <c r="AX8" i="1" s="1"/>
  <c r="C2" i="7" s="1"/>
  <c r="AW9" i="1"/>
  <c r="B2" i="7"/>
  <c r="AZ6" i="1" l="1"/>
  <c r="AZ8" i="1" s="1"/>
  <c r="F2" i="7" s="1"/>
  <c r="AW10" i="1"/>
  <c r="D2" i="7"/>
  <c r="AZ6" i="3" l="1"/>
  <c r="AY3" i="3"/>
  <c r="AZ5" i="3"/>
  <c r="AY4" i="3" l="1"/>
  <c r="AZ6" i="4"/>
  <c r="AZ4" i="3"/>
  <c r="AZ3" i="3"/>
  <c r="AZ5" i="4" l="1"/>
  <c r="AZ6" i="5"/>
  <c r="AZ5" i="5" l="1"/>
  <c r="AY4" i="4" l="1"/>
  <c r="AZ4" i="4"/>
  <c r="AN2" i="3" l="1"/>
  <c r="AO2" i="3" s="1"/>
  <c r="AE2" i="4"/>
  <c r="AN2" i="4" s="1"/>
  <c r="AE2" i="5" l="1"/>
  <c r="AE2" i="6" s="1"/>
  <c r="AX2" i="3"/>
  <c r="AW2" i="3"/>
  <c r="AO2" i="5"/>
  <c r="AO2" i="4"/>
  <c r="AN2" i="5"/>
  <c r="AN2" i="6" l="1"/>
  <c r="AO2" i="6" s="1"/>
  <c r="AE2" i="14"/>
  <c r="AX2" i="5"/>
  <c r="AW2" i="5"/>
  <c r="AW2" i="6"/>
  <c r="AX2" i="6"/>
  <c r="AZ2" i="3"/>
  <c r="AZ8" i="3" s="1"/>
  <c r="F3" i="7" s="1"/>
  <c r="AX8" i="3"/>
  <c r="C3" i="7" s="1"/>
  <c r="AY2" i="3"/>
  <c r="AY8" i="3" s="1"/>
  <c r="E3" i="7" s="1"/>
  <c r="AW8" i="3"/>
  <c r="AX2" i="4"/>
  <c r="AW2" i="4"/>
  <c r="AE2" i="15" l="1"/>
  <c r="AN2" i="14"/>
  <c r="AO2" i="14" s="1"/>
  <c r="AZ2" i="4"/>
  <c r="B3" i="7"/>
  <c r="AW9" i="3"/>
  <c r="AY2" i="6"/>
  <c r="AY2" i="5"/>
  <c r="AY2" i="4"/>
  <c r="AZ2" i="6"/>
  <c r="AZ2" i="5"/>
  <c r="AX2" i="14" l="1"/>
  <c r="AW2" i="14"/>
  <c r="AN2" i="15"/>
  <c r="AO2" i="15"/>
  <c r="AE2" i="16"/>
  <c r="AW10" i="3"/>
  <c r="D3" i="7"/>
  <c r="AW2" i="15" l="1"/>
  <c r="AX2" i="15"/>
  <c r="AZ2" i="14"/>
  <c r="AY2" i="14"/>
  <c r="AN2" i="16"/>
  <c r="AO2" i="16" s="1"/>
  <c r="AE2" i="17"/>
  <c r="AX2" i="16" l="1"/>
  <c r="AW2" i="16"/>
  <c r="AN2" i="17"/>
  <c r="AO2" i="17" s="1"/>
  <c r="AZ2" i="15"/>
  <c r="AY2" i="15"/>
  <c r="AW2" i="17" l="1"/>
  <c r="AX2" i="17"/>
  <c r="AY2" i="16"/>
  <c r="AZ2" i="16"/>
  <c r="AN3" i="3"/>
  <c r="AO3" i="3" s="1"/>
  <c r="AE3" i="4"/>
  <c r="AE3" i="5"/>
  <c r="AE3" i="6" s="1"/>
  <c r="AZ2" i="17" l="1"/>
  <c r="AY2" i="17"/>
  <c r="AE3" i="14"/>
  <c r="AN3" i="6"/>
  <c r="AO3" i="6" s="1"/>
  <c r="AN3" i="4"/>
  <c r="AO3" i="4" s="1"/>
  <c r="AN3" i="5"/>
  <c r="AO3" i="5" s="1"/>
  <c r="AW3" i="5" l="1"/>
  <c r="AY3" i="5" s="1"/>
  <c r="AX3" i="5"/>
  <c r="AZ3" i="5" s="1"/>
  <c r="AX3" i="4"/>
  <c r="AW3" i="4"/>
  <c r="AX3" i="6"/>
  <c r="AZ3" i="6" s="1"/>
  <c r="AW3" i="6"/>
  <c r="AY3" i="6" s="1"/>
  <c r="AO3" i="14"/>
  <c r="AE3" i="15"/>
  <c r="AN3" i="14"/>
  <c r="AY3" i="4" l="1"/>
  <c r="AY8" i="4" s="1"/>
  <c r="E4" i="7" s="1"/>
  <c r="AW8" i="4"/>
  <c r="AZ3" i="4"/>
  <c r="AZ8" i="4" s="1"/>
  <c r="F4" i="7" s="1"/>
  <c r="AX8" i="4"/>
  <c r="C4" i="7" s="1"/>
  <c r="AN3" i="15"/>
  <c r="AO3" i="15" s="1"/>
  <c r="AE3" i="16"/>
  <c r="AX3" i="14"/>
  <c r="AZ3" i="14" s="1"/>
  <c r="AW3" i="14"/>
  <c r="AY3" i="14" s="1"/>
  <c r="B4" i="7" l="1"/>
  <c r="AW9" i="4"/>
  <c r="AW3" i="15"/>
  <c r="AY3" i="15" s="1"/>
  <c r="AX3" i="15"/>
  <c r="AZ3" i="15" s="1"/>
  <c r="AE3" i="17"/>
  <c r="AN3" i="16"/>
  <c r="AO3" i="16" s="1"/>
  <c r="AW10" i="4" l="1"/>
  <c r="D4" i="7"/>
  <c r="AW3" i="16"/>
  <c r="AY3" i="16" s="1"/>
  <c r="AX3" i="16"/>
  <c r="AZ3" i="16" s="1"/>
  <c r="AN3" i="17"/>
  <c r="AO3" i="17"/>
  <c r="AX3" i="17" l="1"/>
  <c r="AZ3" i="17" s="1"/>
  <c r="AW3" i="17"/>
  <c r="AY3" i="17" s="1"/>
  <c r="AN4" i="5"/>
  <c r="AN6" i="4"/>
  <c r="AO6" i="4"/>
  <c r="AO5" i="3"/>
  <c r="AN5" i="3"/>
  <c r="AN6" i="3"/>
  <c r="AO6" i="3" s="1"/>
  <c r="AN4" i="3"/>
  <c r="AO4" i="3" s="1"/>
  <c r="AE4" i="4"/>
  <c r="AN4" i="4" s="1"/>
  <c r="AE4" i="5"/>
  <c r="AO4" i="5" s="1"/>
  <c r="AE4" i="6"/>
  <c r="AN4" i="6" s="1"/>
  <c r="AE6" i="4"/>
  <c r="AE6" i="5" s="1"/>
  <c r="AE5" i="4"/>
  <c r="AN5" i="4" s="1"/>
  <c r="AO5" i="4" s="1"/>
  <c r="AN6" i="5" l="1"/>
  <c r="AO6" i="5" s="1"/>
  <c r="AE6" i="6"/>
  <c r="AX4" i="5"/>
  <c r="AW4" i="5"/>
  <c r="AO4" i="6"/>
  <c r="AE5" i="5"/>
  <c r="AO4" i="4"/>
  <c r="AE4" i="14"/>
  <c r="AE5" i="6" l="1"/>
  <c r="AN5" i="5"/>
  <c r="AO5" i="5" s="1"/>
  <c r="AX4" i="6"/>
  <c r="AW4" i="6"/>
  <c r="AX8" i="5"/>
  <c r="C5" i="7" s="1"/>
  <c r="AZ4" i="5"/>
  <c r="AZ8" i="5" s="1"/>
  <c r="F5" i="7" s="1"/>
  <c r="AW8" i="5"/>
  <c r="AY4" i="5"/>
  <c r="AY8" i="5" s="1"/>
  <c r="E5" i="7" s="1"/>
  <c r="AE6" i="14"/>
  <c r="AN6" i="6"/>
  <c r="AO6" i="6" s="1"/>
  <c r="AX6" i="6" s="1"/>
  <c r="AZ6" i="6" s="1"/>
  <c r="AE4" i="15"/>
  <c r="AN4" i="14"/>
  <c r="AO4" i="14"/>
  <c r="AY4" i="6" l="1"/>
  <c r="AY8" i="6" s="1"/>
  <c r="E6" i="7" s="1"/>
  <c r="AW8" i="6"/>
  <c r="B5" i="7"/>
  <c r="AW9" i="5"/>
  <c r="AN4" i="15"/>
  <c r="AE4" i="16"/>
  <c r="AO4" i="15"/>
  <c r="AZ4" i="6"/>
  <c r="AN6" i="14"/>
  <c r="AE6" i="15"/>
  <c r="AO6" i="14"/>
  <c r="AX6" i="14" s="1"/>
  <c r="AZ6" i="14" s="1"/>
  <c r="AX4" i="14"/>
  <c r="AW4" i="14"/>
  <c r="AN5" i="6"/>
  <c r="AO5" i="6"/>
  <c r="AX5" i="6" s="1"/>
  <c r="AZ5" i="6" s="1"/>
  <c r="AE5" i="14"/>
  <c r="AW8" i="14" l="1"/>
  <c r="AY4" i="14"/>
  <c r="AY8" i="14" s="1"/>
  <c r="E7" i="7" s="1"/>
  <c r="AW10" i="5"/>
  <c r="D5" i="7"/>
  <c r="AZ4" i="14"/>
  <c r="AW9" i="6"/>
  <c r="B6" i="7"/>
  <c r="AX8" i="6"/>
  <c r="C6" i="7" s="1"/>
  <c r="AW4" i="15"/>
  <c r="AX4" i="15"/>
  <c r="AE4" i="17"/>
  <c r="AN4" i="16"/>
  <c r="AO4" i="16" s="1"/>
  <c r="AE6" i="16"/>
  <c r="AN6" i="15"/>
  <c r="AO6" i="15" s="1"/>
  <c r="AX6" i="15" s="1"/>
  <c r="AZ6" i="15" s="1"/>
  <c r="AN5" i="14"/>
  <c r="AO5" i="14" s="1"/>
  <c r="AX5" i="14" s="1"/>
  <c r="AE5" i="15"/>
  <c r="AZ8" i="6"/>
  <c r="F6" i="7" s="1"/>
  <c r="AZ5" i="14" l="1"/>
  <c r="AX8" i="14"/>
  <c r="C7" i="7" s="1"/>
  <c r="AX4" i="16"/>
  <c r="AW4" i="16"/>
  <c r="D6" i="7"/>
  <c r="AW10" i="6"/>
  <c r="AZ8" i="14"/>
  <c r="F7" i="7" s="1"/>
  <c r="AN4" i="17"/>
  <c r="AO4" i="17" s="1"/>
  <c r="AN5" i="15"/>
  <c r="AO5" i="15" s="1"/>
  <c r="AX5" i="15" s="1"/>
  <c r="AE5" i="16"/>
  <c r="AZ4" i="15"/>
  <c r="AO6" i="16"/>
  <c r="AX6" i="16" s="1"/>
  <c r="AZ6" i="16" s="1"/>
  <c r="AE6" i="17"/>
  <c r="AN6" i="16"/>
  <c r="AW8" i="15"/>
  <c r="AY4" i="15"/>
  <c r="AY8" i="15" s="1"/>
  <c r="E8" i="7" s="1"/>
  <c r="AW9" i="14"/>
  <c r="B7" i="7"/>
  <c r="AX4" i="17" l="1"/>
  <c r="AW4" i="17"/>
  <c r="AZ5" i="15"/>
  <c r="AX8" i="15"/>
  <c r="C8" i="7" s="1"/>
  <c r="AZ8" i="15"/>
  <c r="F8" i="7" s="1"/>
  <c r="AW10" i="14"/>
  <c r="D7" i="7"/>
  <c r="AE5" i="17"/>
  <c r="AN5" i="16"/>
  <c r="AO5" i="16" s="1"/>
  <c r="AX5" i="16" s="1"/>
  <c r="AW8" i="16"/>
  <c r="AY4" i="16"/>
  <c r="AY8" i="16" s="1"/>
  <c r="E9" i="7" s="1"/>
  <c r="AZ4" i="16"/>
  <c r="AN6" i="17"/>
  <c r="AO6" i="17" s="1"/>
  <c r="AX6" i="17" s="1"/>
  <c r="AZ6" i="17" s="1"/>
  <c r="B8" i="7"/>
  <c r="AW9" i="15"/>
  <c r="AZ5" i="16" l="1"/>
  <c r="AX8" i="16"/>
  <c r="C9" i="7" s="1"/>
  <c r="AW8" i="17"/>
  <c r="AY4" i="17"/>
  <c r="AY8" i="17" s="1"/>
  <c r="E10" i="7" s="1"/>
  <c r="AN5" i="17"/>
  <c r="AO5" i="17" s="1"/>
  <c r="AX5" i="17" s="1"/>
  <c r="AW10" i="15"/>
  <c r="D8" i="7"/>
  <c r="AZ8" i="16"/>
  <c r="F9" i="7" s="1"/>
  <c r="AZ4" i="17"/>
  <c r="B9" i="7"/>
  <c r="AW9" i="16"/>
  <c r="AZ5" i="17" l="1"/>
  <c r="AX8" i="17"/>
  <c r="C10" i="7" s="1"/>
  <c r="D9" i="7"/>
  <c r="AW10" i="16"/>
  <c r="AW9" i="17"/>
  <c r="B10" i="7"/>
  <c r="AZ8" i="17"/>
  <c r="F10" i="7" s="1"/>
  <c r="AW10" i="17" l="1"/>
  <c r="D10" i="7"/>
</calcChain>
</file>

<file path=xl/sharedStrings.xml><?xml version="1.0" encoding="utf-8"?>
<sst xmlns="http://schemas.openxmlformats.org/spreadsheetml/2006/main" count="726" uniqueCount="88">
  <si>
    <t>Plaqueta</t>
  </si>
  <si>
    <t>Conta contábil</t>
  </si>
  <si>
    <t>C_principal</t>
  </si>
  <si>
    <t>C_EA</t>
  </si>
  <si>
    <t>C_CA</t>
  </si>
  <si>
    <t>C_imob</t>
  </si>
  <si>
    <t>C_JOA</t>
  </si>
  <si>
    <t>WACC</t>
  </si>
  <si>
    <t>C_JOAR%</t>
  </si>
  <si>
    <t>C_JOAR</t>
  </si>
  <si>
    <t>Tubulações</t>
  </si>
  <si>
    <t>Terrenos</t>
  </si>
  <si>
    <t>Reserva Operacional</t>
  </si>
  <si>
    <t>C_EA%</t>
  </si>
  <si>
    <t>C_CA%</t>
  </si>
  <si>
    <t>Períodos_JOA [meses]</t>
  </si>
  <si>
    <t>C_JOA%</t>
  </si>
  <si>
    <t>CH</t>
  </si>
  <si>
    <t>Data imob</t>
  </si>
  <si>
    <t>Data oper</t>
  </si>
  <si>
    <t>IPCA_final</t>
  </si>
  <si>
    <t>IPCA_imob</t>
  </si>
  <si>
    <t>Delta_IPCA</t>
  </si>
  <si>
    <t>CHC</t>
  </si>
  <si>
    <t>Vida útil regulatória [anos]</t>
  </si>
  <si>
    <t>Prazo contrato [anos]</t>
  </si>
  <si>
    <t>Código contrato</t>
  </si>
  <si>
    <t>1000-01</t>
  </si>
  <si>
    <t>1000-02</t>
  </si>
  <si>
    <t>1000-03</t>
  </si>
  <si>
    <t>Vida útil física [anos]</t>
  </si>
  <si>
    <t>Vida útil regulatória [critério]</t>
  </si>
  <si>
    <t>Contrato</t>
  </si>
  <si>
    <t>Vida útil fisica</t>
  </si>
  <si>
    <t>Não deprecia</t>
  </si>
  <si>
    <t>DRA</t>
  </si>
  <si>
    <t>TDR [anual]</t>
  </si>
  <si>
    <t>TDR [mensal]</t>
  </si>
  <si>
    <t>Código PPA</t>
  </si>
  <si>
    <t>Código licitação</t>
  </si>
  <si>
    <t>8090-20</t>
  </si>
  <si>
    <t>8099-20</t>
  </si>
  <si>
    <t>9087-20</t>
  </si>
  <si>
    <t>DeltaT_oper [meses]</t>
  </si>
  <si>
    <t>BRR_bruta</t>
  </si>
  <si>
    <t>BRR_liquida</t>
  </si>
  <si>
    <t>CHC_liquido</t>
  </si>
  <si>
    <t>IA</t>
  </si>
  <si>
    <t>Elegível juros</t>
  </si>
  <si>
    <t>Sim</t>
  </si>
  <si>
    <t>Não</t>
  </si>
  <si>
    <t>QRR</t>
  </si>
  <si>
    <t>Juros</t>
  </si>
  <si>
    <t>QRR [anual]</t>
  </si>
  <si>
    <t>Juros [anual]</t>
  </si>
  <si>
    <t>Construções Civis</t>
  </si>
  <si>
    <t>Equipamentos</t>
  </si>
  <si>
    <t>Vida útil regulatória média [anos]</t>
  </si>
  <si>
    <t>BRR Total</t>
  </si>
  <si>
    <t>TDM [anual]</t>
  </si>
  <si>
    <t>Serviço</t>
  </si>
  <si>
    <t>AGUA</t>
  </si>
  <si>
    <t>ESGOTO</t>
  </si>
  <si>
    <t>Município</t>
  </si>
  <si>
    <t>Curitiba</t>
  </si>
  <si>
    <t>Londrina</t>
  </si>
  <si>
    <t>Maringá</t>
  </si>
  <si>
    <t>Cascavel</t>
  </si>
  <si>
    <t>Identificador
BRR</t>
  </si>
  <si>
    <t>Data-base
laudo</t>
  </si>
  <si>
    <t>Data-base BRR</t>
  </si>
  <si>
    <t>Ano</t>
  </si>
  <si>
    <t>BRR bruta</t>
  </si>
  <si>
    <t>BRR liquida</t>
  </si>
  <si>
    <t>TDM [a.a]</t>
  </si>
  <si>
    <t>Data_IPCA_final</t>
  </si>
  <si>
    <t>Baixa</t>
  </si>
  <si>
    <t>Descrição</t>
  </si>
  <si>
    <t>Quantitativo</t>
  </si>
  <si>
    <t>REDE DE ÁGUA 50MM</t>
  </si>
  <si>
    <t>BOMBA HIDRÁULICA</t>
  </si>
  <si>
    <t>TERRENO 120.000M²</t>
  </si>
  <si>
    <t>MOTOR ELÉTRICO 1000HP</t>
  </si>
  <si>
    <t>ETA LONDRINA II</t>
  </si>
  <si>
    <t>Qtde_baixa</t>
  </si>
  <si>
    <t>Data_baixa</t>
  </si>
  <si>
    <t>Elegível 
QRR</t>
  </si>
  <si>
    <t>Delta_baixa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</si>
</sst>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44" fontId="0" fillId="2" borderId="0" xfId="1" applyFont="1" applyFill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 wrapText="1"/>
    </xf>
    <xf numFmtId="9" fontId="0" fillId="2" borderId="0" xfId="2" applyFont="1" applyFill="1" applyAlignment="1">
      <alignment horizontal="center" vertical="center" wrapText="1"/>
    </xf>
    <xf numFmtId="9" fontId="0" fillId="2" borderId="0" xfId="0" applyNumberFormat="1" applyFill="1" applyAlignment="1">
      <alignment horizontal="center" vertical="center" wrapText="1"/>
    </xf>
    <xf numFmtId="1" fontId="0" fillId="2" borderId="0" xfId="0" applyNumberFormat="1" applyFill="1" applyAlignment="1">
      <alignment horizontal="center" vertical="center" wrapText="1"/>
    </xf>
    <xf numFmtId="44" fontId="0" fillId="2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0" fontId="0" fillId="2" borderId="0" xfId="2" applyNumberFormat="1" applyFont="1" applyFill="1" applyAlignment="1">
      <alignment horizontal="center" vertical="center" wrapText="1"/>
    </xf>
    <xf numFmtId="44" fontId="3" fillId="4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44" fontId="0" fillId="4" borderId="0" xfId="1" applyFont="1" applyFill="1" applyAlignment="1">
      <alignment horizontal="center" vertical="center" wrapText="1"/>
    </xf>
    <xf numFmtId="10" fontId="0" fillId="4" borderId="0" xfId="1" applyNumberFormat="1" applyFont="1" applyFill="1" applyAlignment="1">
      <alignment horizontal="center" vertical="center" wrapText="1"/>
    </xf>
    <xf numFmtId="9" fontId="0" fillId="4" borderId="0" xfId="2" applyFont="1" applyFill="1" applyAlignment="1">
      <alignment horizontal="center" vertical="center" wrapText="1"/>
    </xf>
    <xf numFmtId="9" fontId="0" fillId="4" borderId="0" xfId="0" applyNumberFormat="1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4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0" fontId="0" fillId="4" borderId="0" xfId="2" applyNumberFormat="1" applyFon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/>
    </xf>
    <xf numFmtId="44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left" vertical="center" wrapText="1"/>
    </xf>
    <xf numFmtId="1" fontId="2" fillId="7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horizontal="left" vertical="center" wrapText="1"/>
    </xf>
    <xf numFmtId="10" fontId="2" fillId="8" borderId="0" xfId="2" applyNumberFormat="1" applyFont="1" applyFill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1" fontId="0" fillId="2" borderId="0" xfId="2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10" fontId="3" fillId="4" borderId="0" xfId="0" applyNumberFormat="1" applyFont="1" applyFill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9" fontId="0" fillId="9" borderId="0" xfId="2" applyFont="1" applyFill="1" applyAlignment="1">
      <alignment horizontal="center" vertical="center" wrapText="1"/>
    </xf>
    <xf numFmtId="9" fontId="0" fillId="9" borderId="0" xfId="0" applyNumberFormat="1" applyFill="1" applyAlignment="1">
      <alignment horizontal="center" vertical="center" wrapText="1"/>
    </xf>
    <xf numFmtId="9" fontId="0" fillId="2" borderId="0" xfId="2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Resumo!$F$1</c:f>
              <c:strCache>
                <c:ptCount val="1"/>
                <c:pt idx="0">
                  <c:v>Juros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Resumo!$A$3:$A$10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</c:numCache>
            </c:numRef>
          </c:xVal>
          <c:yVal>
            <c:numRef>
              <c:f>Resumo!$F$3:$F$10</c:f>
              <c:numCache>
                <c:formatCode>_("R$"* #,##0.00_);_("R$"* \(#,##0.00\);_("R$"* "-"??_);_(@_)</c:formatCode>
                <c:ptCount val="8"/>
                <c:pt idx="0">
                  <c:v>215243.0815518274</c:v>
                </c:pt>
                <c:pt idx="1">
                  <c:v>449187.93127373152</c:v>
                </c:pt>
                <c:pt idx="2">
                  <c:v>532530.14309256175</c:v>
                </c:pt>
                <c:pt idx="3">
                  <c:v>556428.44369757548</c:v>
                </c:pt>
                <c:pt idx="4">
                  <c:v>540552.44020257541</c:v>
                </c:pt>
                <c:pt idx="5">
                  <c:v>476349.75778182823</c:v>
                </c:pt>
                <c:pt idx="6">
                  <c:v>414339.51061158092</c:v>
                </c:pt>
                <c:pt idx="7">
                  <c:v>400618.45313901379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1-4079-8DB7-78A7A20C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631"/>
        <c:axId val="181420447"/>
      </c:scatterChart>
      <c:scatterChart>
        <c:scatterStyle val="lineMarker"/>
        <c:varyColors val="0"/>
        <c:ser>
          <c:idx val="0"/>
          <c:order val="0"/>
          <c:tx>
            <c:strRef>
              <c:f>Resumo!$E$1</c:f>
              <c:strCache>
                <c:ptCount val="1"/>
                <c:pt idx="0">
                  <c:v>QRR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Resumo!$A$3:$A$10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</c:numCache>
            </c:numRef>
          </c:xVal>
          <c:yVal>
            <c:numRef>
              <c:f>Resumo!$E$3:$E$10</c:f>
              <c:numCache>
                <c:formatCode>_("R$"* #,##0.00_);_("R$"* \(#,##0.00\);_("R$"* "-"??_);_(@_)</c:formatCode>
                <c:ptCount val="8"/>
                <c:pt idx="0">
                  <c:v>39862.4591</c:v>
                </c:pt>
                <c:pt idx="1">
                  <c:v>114348.78710000002</c:v>
                </c:pt>
                <c:pt idx="2">
                  <c:v>144327.30450000003</c:v>
                </c:pt>
                <c:pt idx="3">
                  <c:v>144327.30450000003</c:v>
                </c:pt>
                <c:pt idx="4">
                  <c:v>144327.30450000003</c:v>
                </c:pt>
                <c:pt idx="5">
                  <c:v>134361.689725</c:v>
                </c:pt>
                <c:pt idx="6">
                  <c:v>124396.07495000001</c:v>
                </c:pt>
                <c:pt idx="7">
                  <c:v>124396.07495000001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1-4079-8DB7-78A7A20C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8736"/>
        <c:axId val="469817488"/>
      </c:scatterChart>
      <c:valAx>
        <c:axId val="3475163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20447"/>
        <c:crosses val="autoZero"/>
        <c:crossBetween val="midCat"/>
        <c:majorUnit val="1"/>
        <c:minorUnit val="1"/>
      </c:valAx>
      <c:valAx>
        <c:axId val="18142044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51631"/>
        <c:crosses val="autoZero"/>
        <c:crossBetween val="midCat"/>
      </c:valAx>
      <c:valAx>
        <c:axId val="469817488"/>
        <c:scaling>
          <c:orientation val="minMax"/>
          <c:max val="250000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818736"/>
        <c:crosses val="max"/>
        <c:crossBetween val="midCat"/>
      </c:valAx>
      <c:valAx>
        <c:axId val="46981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81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75196416011325"/>
          <c:y val="6.4814789592750943E-2"/>
          <c:w val="0.73247419072615927"/>
          <c:h val="0.73577136191309422"/>
        </c:manualLayout>
      </c:layout>
      <c:scatterChart>
        <c:scatterStyle val="lineMarker"/>
        <c:varyColors val="0"/>
        <c:ser>
          <c:idx val="2"/>
          <c:order val="0"/>
          <c:tx>
            <c:strRef>
              <c:f>Resumo!$B$1</c:f>
              <c:strCache>
                <c:ptCount val="1"/>
                <c:pt idx="0">
                  <c:v>BRR bruta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Resumo!$A$3:$A$10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</c:numCache>
            </c:numRef>
          </c:xVal>
          <c:yVal>
            <c:numRef>
              <c:f>Resumo!$B$3:$B$10</c:f>
              <c:numCache>
                <c:formatCode>_("R$"* #,##0.00_);_("R$"* \(#,##0.00\);_("R$"* "-"??_);_(@_)</c:formatCode>
                <c:ptCount val="8"/>
                <c:pt idx="0">
                  <c:v>1993122.9550000001</c:v>
                </c:pt>
                <c:pt idx="1">
                  <c:v>4227712.7949999999</c:v>
                </c:pt>
                <c:pt idx="2">
                  <c:v>5127068.3169999998</c:v>
                </c:pt>
                <c:pt idx="3">
                  <c:v>5127068.3169999998</c:v>
                </c:pt>
                <c:pt idx="4">
                  <c:v>5127068.3169999998</c:v>
                </c:pt>
                <c:pt idx="5">
                  <c:v>4628787.5782500003</c:v>
                </c:pt>
                <c:pt idx="6">
                  <c:v>4130506.8395000007</c:v>
                </c:pt>
                <c:pt idx="7">
                  <c:v>4130506.8395000007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0-4DF7-865C-EFFFFBE9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631"/>
        <c:axId val="181420447"/>
      </c:scatterChart>
      <c:scatterChart>
        <c:scatterStyle val="lineMarker"/>
        <c:varyColors val="0"/>
        <c:ser>
          <c:idx val="3"/>
          <c:order val="1"/>
          <c:tx>
            <c:strRef>
              <c:f>Resumo!$C$1</c:f>
              <c:strCache>
                <c:ptCount val="1"/>
                <c:pt idx="0">
                  <c:v>BRR liquida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Resumo!$A$3:$A$10</c:f>
              <c:numCache>
                <c:formatCode>General</c:formatCode>
                <c:ptCount val="8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</c:numCache>
            </c:numRef>
          </c:xVal>
          <c:yVal>
            <c:numRef>
              <c:f>Resumo!$C$3:$C$10</c:f>
              <c:numCache>
                <c:formatCode>_("R$"* #,##0.00_);_("R$"* \(#,##0.00\);_("R$"* "-"??_);_(@_)</c:formatCode>
                <c:ptCount val="8"/>
                <c:pt idx="0">
                  <c:v>1956755.2868347946</c:v>
                </c:pt>
                <c:pt idx="1">
                  <c:v>4083526.6479430143</c:v>
                </c:pt>
                <c:pt idx="2">
                  <c:v>4841183.1190232877</c:v>
                </c:pt>
                <c:pt idx="3">
                  <c:v>5058440.3972506858</c:v>
                </c:pt>
                <c:pt idx="4">
                  <c:v>4914113.0927506853</c:v>
                </c:pt>
                <c:pt idx="5">
                  <c:v>4330452.3434711648</c:v>
                </c:pt>
                <c:pt idx="6">
                  <c:v>3766722.8237416442</c:v>
                </c:pt>
                <c:pt idx="7">
                  <c:v>3641985.9376273975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0-4DF7-865C-EFFFFBE9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27120"/>
        <c:axId val="601125456"/>
      </c:scatterChart>
      <c:valAx>
        <c:axId val="3475163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20447"/>
        <c:crosses val="autoZero"/>
        <c:crossBetween val="midCat"/>
        <c:majorUnit val="1"/>
        <c:minorUnit val="1"/>
      </c:valAx>
      <c:valAx>
        <c:axId val="181420447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51631"/>
        <c:crosses val="autoZero"/>
        <c:crossBetween val="midCat"/>
      </c:valAx>
      <c:valAx>
        <c:axId val="601125456"/>
        <c:scaling>
          <c:orientation val="minMax"/>
          <c:max val="10000000"/>
          <c:min val="1000000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27120"/>
        <c:crosses val="max"/>
        <c:crossBetween val="midCat"/>
        <c:majorUnit val="2000000"/>
      </c:valAx>
      <c:valAx>
        <c:axId val="60112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1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539749</xdr:colOff>
      <xdr:row>4</xdr:row>
      <xdr:rowOff>93133</xdr:rowOff>
    </xdr:from>
    <xdr:to>
      <xdr:col>20</xdr:col>
      <xdr:colOff>264582</xdr:colOff>
      <xdr:row>19</xdr:row>
      <xdr:rowOff>179917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7B11E-3991-4678-A506-46EBBCC3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21170</xdr:colOff>
      <xdr:row>0</xdr:row>
      <xdr:rowOff>179917</xdr:rowOff>
    </xdr:from>
    <xdr:to>
      <xdr:col>13</xdr:col>
      <xdr:colOff>539754</xdr:colOff>
      <xdr:row>19</xdr:row>
      <xdr:rowOff>179917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0DB3276-4CD1-42D6-921E-4253041163CC}"/>
            </a:ext>
          </a:extLst>
        </xdr:cNvPr>
        <xdr:cNvGrpSpPr/>
      </xdr:nvGrpSpPr>
      <xdr:grpSpPr>
        <a:xfrm>
          <a:off x="5132920" y="179917"/>
          <a:ext cx="4815417" cy="3619500"/>
          <a:chOff x="5132920" y="179917"/>
          <a:chExt cx="4815417" cy="36195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AA28547-ABC8-49B1-A5E2-B8F3FB836C55}"/>
              </a:ext>
            </a:extLst>
          </xdr:cNvPr>
          <xdr:cNvGrpSpPr/>
        </xdr:nvGrpSpPr>
        <xdr:grpSpPr>
          <a:xfrm>
            <a:off x="5132920" y="179917"/>
            <a:ext cx="4815417" cy="3619500"/>
            <a:chOff x="5132920" y="179917"/>
            <a:chExt cx="4815417" cy="361950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AC4023B-B085-4577-9893-104B8201EF9D}"/>
                </a:ext>
              </a:extLst>
            </xdr:cNvPr>
            <xdr:cNvGraphicFramePr>
              <a:graphicFrameLocks/>
            </xdr:cNvGraphicFramePr>
          </xdr:nvGraphicFramePr>
          <xdr:xfrm>
            <a:off x="5132920" y="862541"/>
            <a:ext cx="4815417" cy="293687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B4B6FFA3-E86E-44C7-8E10-6E912EB0719D}"/>
                </a:ext>
              </a:extLst>
            </xdr:cNvPr>
            <xdr:cNvGrpSpPr/>
          </xdr:nvGrpSpPr>
          <xdr:grpSpPr>
            <a:xfrm>
              <a:off x="6963836" y="179917"/>
              <a:ext cx="2857499" cy="1322917"/>
              <a:chOff x="7429503" y="95250"/>
              <a:chExt cx="2857499" cy="1322917"/>
            </a:xfrm>
          </xdr:grpSpPr>
          <xdr:sp macro="" textlink="">
            <xdr:nvSpPr>
              <xdr:cNvPr id="4" name="Seta: para Baixo 3">
                <a:extLst>
                  <a:ext uri="{FF2B5EF4-FFF2-40B4-BE49-F238E27FC236}">
                    <a16:creationId xmlns:a16="http://schemas.microsoft.com/office/drawing/2014/main" id="{833B73C8-219D-4DC5-BC76-975D415F8378}"/>
                  </a:ext>
                </a:extLst>
              </xdr:cNvPr>
              <xdr:cNvSpPr/>
            </xdr:nvSpPr>
            <xdr:spPr>
              <a:xfrm>
                <a:off x="8350253" y="603250"/>
                <a:ext cx="243417" cy="814917"/>
              </a:xfrm>
              <a:prstGeom prst="down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37C5E6A8-24DA-4FFF-8243-193A79F6D720}"/>
                  </a:ext>
                </a:extLst>
              </xdr:cNvPr>
              <xdr:cNvSpPr txBox="1"/>
            </xdr:nvSpPr>
            <xdr:spPr>
              <a:xfrm>
                <a:off x="7429503" y="95250"/>
                <a:ext cx="2857499" cy="539750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>
                    <a:solidFill>
                      <a:schemeClr val="bg1"/>
                    </a:solidFill>
                  </a:rPr>
                  <a:t>Baixa parcial de 500 unidades de ativo</a:t>
                </a:r>
                <a:r>
                  <a:rPr lang="pt-BR" sz="1100" baseline="0">
                    <a:solidFill>
                      <a:schemeClr val="bg1"/>
                    </a:solidFill>
                  </a:rPr>
                  <a:t> de rede, no meio do exercício fnanceiro (01/07/2026)</a:t>
                </a:r>
                <a:endParaRPr lang="pt-BR" sz="1100">
                  <a:solidFill>
                    <a:schemeClr val="bg1"/>
                  </a:solidFill>
                </a:endParaRPr>
              </a:p>
            </xdr:txBody>
          </xdr:sp>
        </xdr:grpSp>
      </xdr:grp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3D5E3271-7DFF-4E16-92E5-FB7681251978}"/>
              </a:ext>
            </a:extLst>
          </xdr:cNvPr>
          <xdr:cNvSpPr/>
        </xdr:nvSpPr>
        <xdr:spPr>
          <a:xfrm>
            <a:off x="6339419" y="1164167"/>
            <a:ext cx="1016000" cy="2042584"/>
          </a:xfrm>
          <a:prstGeom prst="rect">
            <a:avLst/>
          </a:prstGeom>
          <a:solidFill>
            <a:schemeClr val="accent1">
              <a:alpha val="3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7</xdr:col>
      <xdr:colOff>560915</xdr:colOff>
      <xdr:row>5</xdr:row>
      <xdr:rowOff>10584</xdr:rowOff>
    </xdr:from>
    <xdr:to>
      <xdr:col>10</xdr:col>
      <xdr:colOff>148165</xdr:colOff>
      <xdr:row>6</xdr:row>
      <xdr:rowOff>95250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D65F589-6908-4212-B2AD-5A3BF93AD1AF}"/>
            </a:ext>
          </a:extLst>
        </xdr:cNvPr>
        <xdr:cNvSpPr txBox="1"/>
      </xdr:nvSpPr>
      <xdr:spPr>
        <a:xfrm>
          <a:off x="6286498" y="963084"/>
          <a:ext cx="1428750" cy="27516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tx2"/>
              </a:solidFill>
            </a:rPr>
            <a:t>Imobilizações</a:t>
          </a:r>
          <a:r>
            <a:rPr lang="pt-BR" sz="1000" baseline="0">
              <a:solidFill>
                <a:schemeClr val="tx2"/>
              </a:solidFill>
            </a:rPr>
            <a:t> do ciclo</a:t>
          </a:r>
          <a:endParaRPr lang="pt-BR" sz="1000">
            <a:solidFill>
              <a:schemeClr val="tx2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0.47053</cdr:x>
      <cdr:y>0.10352</cdr:y>
    </cdr:from>
    <cdr:to>
      <cdr:x>0.72316</cdr:x>
      <cdr:y>0.79727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3D5E3271-7DFF-4E16-92E5-FB7681251978}"/>
            </a:ext>
          </a:extLst>
        </cdr:cNvPr>
        <cdr:cNvSpPr/>
      </cdr:nvSpPr>
      <cdr:spPr>
        <a:xfrm xmlns:a="http://schemas.openxmlformats.org/drawingml/2006/main">
          <a:off x="1892302" y="304800"/>
          <a:ext cx="1016000" cy="204258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0.42842</cdr:x>
      <cdr:y>0.02804</cdr:y>
    </cdr:from>
    <cdr:to>
      <cdr:x>0.78368</cdr:x>
      <cdr:y>0.1215</cdr:y>
    </cdr:to>
    <cdr:sp macro="" textlink="">
      <cdr:nvSpPr>
        <cdr:cNvPr id="3" name="CaixaDeTexto 8">
          <a:extLst xmlns:a="http://schemas.openxmlformats.org/drawingml/2006/main">
            <a:ext uri="{FF2B5EF4-FFF2-40B4-BE49-F238E27FC236}">
              <a16:creationId xmlns:a16="http://schemas.microsoft.com/office/drawing/2014/main" id="{3D65F589-6908-4212-B2AD-5A3BF93AD1AF}"/>
            </a:ext>
          </a:extLst>
        </cdr:cNvPr>
        <cdr:cNvSpPr txBox="1"/>
      </cdr:nvSpPr>
      <cdr:spPr>
        <a:xfrm xmlns:a="http://schemas.openxmlformats.org/drawingml/2006/main">
          <a:off x="1722967" y="82550"/>
          <a:ext cx="1428750" cy="2751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000">
              <a:solidFill>
                <a:schemeClr val="tx2"/>
              </a:solidFill>
            </a:rPr>
            <a:t>Remunerações</a:t>
          </a:r>
          <a:r>
            <a:rPr lang="pt-BR" sz="1000" baseline="0">
              <a:solidFill>
                <a:schemeClr val="tx2"/>
              </a:solidFill>
            </a:rPr>
            <a:t> do ciclo</a:t>
          </a:r>
          <a:endParaRPr lang="pt-BR" sz="1000">
            <a:solidFill>
              <a:schemeClr val="tx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5396-CC00-42E2-B3A5-971D528516FA}">
  <dimension ref="A1:DF10"/>
  <sheetViews>
    <sheetView tabSelected="1" workbookViewId="0">
      <pane xSplit="9" ySplit="1" topLeftCell="AV2" activePane="bottomRight" state="frozen"/>
      <selection pane="topRight" activeCell="J1" sqref="J1"/>
      <selection pane="bottomLeft" activeCell="A2" sqref="A2"/>
      <selection pane="bottomRight" activeCell="AX13" sqref="AX13"/>
    </sheetView>
  </sheetViews>
  <sheetFormatPr defaultRowHeight="15" x14ac:dyDescent="0.25"/>
  <cols>
    <col min="1" max="1" width="13.140625" style="6" customWidth="1"/>
    <col min="2" max="2" width="8.85546875" style="6" bestFit="1" customWidth="1"/>
    <col min="3" max="3" width="10.140625" style="6" customWidth="1"/>
    <col min="4" max="4" width="8.85546875" style="6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4" width="11.140625" style="6" bestFit="1" customWidth="1"/>
    <col min="45" max="45" width="10.7109375" style="6" bestFit="1" customWidth="1"/>
    <col min="46" max="46" width="13" style="6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"1-2020"</f>
        <v>1-2020</v>
      </c>
      <c r="B2" s="6">
        <v>1001</v>
      </c>
      <c r="C2" s="6" t="s">
        <v>40</v>
      </c>
      <c r="D2" s="6">
        <v>12356</v>
      </c>
      <c r="E2" s="8" t="s">
        <v>10</v>
      </c>
      <c r="F2" s="6" t="s">
        <v>61</v>
      </c>
      <c r="G2" s="6" t="s">
        <v>64</v>
      </c>
      <c r="H2" s="6" t="s">
        <v>79</v>
      </c>
      <c r="I2" s="6">
        <v>1000</v>
      </c>
      <c r="J2" s="9">
        <v>1647890</v>
      </c>
      <c r="K2" s="9">
        <f>J2*L2</f>
        <v>0</v>
      </c>
      <c r="L2" s="10">
        <v>0</v>
      </c>
      <c r="M2" s="9">
        <f>J2*N2</f>
        <v>0</v>
      </c>
      <c r="N2" s="10">
        <v>0</v>
      </c>
      <c r="O2" s="9">
        <f>J2+K2+M2</f>
        <v>1647890</v>
      </c>
      <c r="P2" s="9">
        <v>0</v>
      </c>
      <c r="Q2" s="11">
        <f t="shared" ref="Q2:Q6" si="0">P2/O2</f>
        <v>0</v>
      </c>
      <c r="R2" s="12">
        <v>0.11</v>
      </c>
      <c r="S2" s="13">
        <v>0</v>
      </c>
      <c r="T2" s="11">
        <f>(1+R2)^(S2/12)-1</f>
        <v>0</v>
      </c>
      <c r="U2" s="9">
        <f>O2*T2</f>
        <v>0</v>
      </c>
      <c r="V2" s="14">
        <f>O2+U2</f>
        <v>1647890</v>
      </c>
      <c r="W2" s="15">
        <v>44197</v>
      </c>
      <c r="X2" s="15">
        <v>44228</v>
      </c>
      <c r="Y2" s="15">
        <v>45657</v>
      </c>
      <c r="Z2" s="15">
        <v>45657</v>
      </c>
      <c r="AA2" s="6">
        <v>5622.43</v>
      </c>
      <c r="AB2" s="15">
        <f>Y2</f>
        <v>45657</v>
      </c>
      <c r="AC2" s="6">
        <v>6800.22</v>
      </c>
      <c r="AD2" s="16">
        <f>ROUND(AC2/AA2-1,4)</f>
        <v>0.20949999999999999</v>
      </c>
      <c r="AE2" s="9">
        <f>V2*(1+AD2)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 t="shared" ref="AJ2:AJ5" si="1"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46.980821917808221</v>
      </c>
      <c r="AN2" s="14">
        <f>AL2*AM2*AE2</f>
        <v>156064.25768191784</v>
      </c>
      <c r="AO2" s="14">
        <f>AE2-AN2</f>
        <v>1837058.6973180822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 t="shared" ref="AU2:AU4" si="2">IF(AI2="Não deprecia","Não","Sim")</f>
        <v>Sim</v>
      </c>
      <c r="AV2" s="11" t="s">
        <v>49</v>
      </c>
      <c r="AW2" s="14">
        <f>IF(Z2&gt;X2,IF(AU2="Sim",IF(AO2&gt;0,IF(AQ2="Sim",IF(AR2&gt;I2,0,AE2*AP2*(AT2)+AE2*AP2*(1-AR2/I2)*(1-AT2)),AE2*AP2),0),0),0)</f>
        <v>1993122.9550000001</v>
      </c>
      <c r="AX2" s="9">
        <f>IF(Z2&gt;X2,IF(AV2="Sim",IF(AO2&gt;0,IF(AQ2="Sim",IF(AR2&gt;I2,0,AO2*AP2*(AT2)+AO2*AP2*(1-AR2/I2)*(1-AT2)),AO2*AP2),0),0),0)</f>
        <v>1837058.6973180822</v>
      </c>
      <c r="AY2" s="9">
        <f>IF(AU2="Sim",AW2*AK2,0)</f>
        <v>39862.4591</v>
      </c>
      <c r="AZ2" s="9">
        <f>IF(AV2="Sim",AX2*R2,0)</f>
        <v>202076.45670498905</v>
      </c>
    </row>
    <row r="3" spans="1:52" x14ac:dyDescent="0.25">
      <c r="A3" s="18" t="str">
        <f>"2-2020"</f>
        <v>2-2020</v>
      </c>
      <c r="B3" s="18">
        <f>B2+1</f>
        <v>1002</v>
      </c>
      <c r="C3" s="18" t="s">
        <v>41</v>
      </c>
      <c r="D3" s="18">
        <v>12356</v>
      </c>
      <c r="E3" s="19" t="s">
        <v>55</v>
      </c>
      <c r="F3" s="18" t="s">
        <v>62</v>
      </c>
      <c r="G3" s="18" t="s">
        <v>65</v>
      </c>
      <c r="H3" s="18" t="s">
        <v>83</v>
      </c>
      <c r="I3" s="18">
        <v>1</v>
      </c>
      <c r="J3" s="20">
        <v>2000000</v>
      </c>
      <c r="K3" s="20">
        <v>0</v>
      </c>
      <c r="L3" s="21">
        <v>0</v>
      </c>
      <c r="M3" s="20">
        <f t="shared" ref="M3" si="3">J3*N3</f>
        <v>300000</v>
      </c>
      <c r="N3" s="21">
        <v>0.15</v>
      </c>
      <c r="O3" s="20">
        <f t="shared" ref="O3" si="4">J3+K3+M3</f>
        <v>2300000</v>
      </c>
      <c r="P3" s="20">
        <v>250000</v>
      </c>
      <c r="Q3" s="22">
        <f>P3/O3</f>
        <v>0.10869565217391304</v>
      </c>
      <c r="R3" s="23">
        <f>R2</f>
        <v>0.11</v>
      </c>
      <c r="S3" s="24">
        <v>12</v>
      </c>
      <c r="T3" s="22">
        <f t="shared" ref="T3" si="5">(1+R3)^(S3/12)-1</f>
        <v>0.1100000000000001</v>
      </c>
      <c r="U3" s="20">
        <f t="shared" ref="U3" si="6">O3*T3</f>
        <v>253000.00000000023</v>
      </c>
      <c r="V3" s="25">
        <f t="shared" ref="V3" si="7">O3+U3</f>
        <v>2553000</v>
      </c>
      <c r="W3" s="26">
        <v>44562</v>
      </c>
      <c r="X3" s="26">
        <v>44593</v>
      </c>
      <c r="Y3" s="26">
        <v>45657</v>
      </c>
      <c r="Z3" s="26">
        <f>Z2</f>
        <v>45657</v>
      </c>
      <c r="AA3" s="18">
        <v>6215.24</v>
      </c>
      <c r="AB3" s="26">
        <f t="shared" ref="AB3:AB6" si="8">Y3</f>
        <v>45657</v>
      </c>
      <c r="AC3" s="18">
        <v>6800.22</v>
      </c>
      <c r="AD3" s="27">
        <f t="shared" ref="AD3" si="9">ROUND(AC3/AA3-1,4)</f>
        <v>9.4100000000000003E-2</v>
      </c>
      <c r="AE3" s="20">
        <f t="shared" ref="AE3" si="10">V3*(1+AD3)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 t="shared" ref="AJ3" si="11">IF(AI3="Contrato",AG3,IF(AI3="Não deprecia",0,AH3))</f>
        <v>30</v>
      </c>
      <c r="AK3" s="27">
        <f t="shared" ref="AK3:AK6" si="12">IF(AJ3&lt;&gt;0,1/AJ3,0)</f>
        <v>3.3333333333333333E-2</v>
      </c>
      <c r="AL3" s="27">
        <f t="shared" ref="AL3:AL6" si="13">AK3/12</f>
        <v>2.7777777777777779E-3</v>
      </c>
      <c r="AM3" s="24">
        <f>IF((Z3-X3)/365*12&gt;AJ3*12,AJ3*12,(Z3-X3)/365*12)</f>
        <v>34.980821917808221</v>
      </c>
      <c r="AN3" s="25">
        <f>AL3*AM3*AE3</f>
        <v>271415.93490410963</v>
      </c>
      <c r="AO3" s="25">
        <f>AE3-AN3</f>
        <v>2521821.3650958906</v>
      </c>
      <c r="AP3" s="23">
        <v>0.8</v>
      </c>
      <c r="AQ3" s="23" t="s">
        <v>50</v>
      </c>
      <c r="AR3" s="24">
        <v>0</v>
      </c>
      <c r="AS3" s="26"/>
      <c r="AT3" s="45">
        <f t="shared" ref="AT3:AT6" si="14">IF(YEAR(AS3)&lt;YEAR(Z3),0,(MONTH(AS3)-1)/12)</f>
        <v>0</v>
      </c>
      <c r="AU3" s="22" t="str">
        <f t="shared" si="2"/>
        <v>Sim</v>
      </c>
      <c r="AV3" s="22" t="s">
        <v>49</v>
      </c>
      <c r="AW3" s="25">
        <f t="shared" ref="AW3:AW6" si="15">IF(Z3&gt;X3,IF(AU3="Sim",IF(AO3&gt;0,IF(AQ3="Sim",IF(AR3&gt;I3,0,AE3*AP3*(AT3)+AE3*AP3*(1-AR3/I3)*(1-AT3)),AE3*AP3),0),0),0)</f>
        <v>2234589.8400000003</v>
      </c>
      <c r="AX3" s="20">
        <f t="shared" ref="AX3:AX6" si="16">IF(Z3&gt;X3,IF(AV3="Sim",IF(AO3&gt;0,IF(AQ3="Sim",IF(AR3&gt;I3,0,AO3*AP3*(AT3)+AO3*AP3*(1-AR3/I3)*(1-AT3)),AO3*AP3),0),0),0)</f>
        <v>2017457.0920767125</v>
      </c>
      <c r="AY3" s="20">
        <f t="shared" ref="AY3:AY6" si="17">IF(AU3="Sim",AW3*AK3,0)</f>
        <v>74486.328000000009</v>
      </c>
      <c r="AZ3" s="20">
        <f>IF(AV3="Sim",AX3*R3,0)</f>
        <v>221920.28012843837</v>
      </c>
    </row>
    <row r="4" spans="1:52" x14ac:dyDescent="0.25">
      <c r="A4" s="6" t="str">
        <f>"3-2020"</f>
        <v>3-2020</v>
      </c>
      <c r="B4" s="6">
        <f>B3+1</f>
        <v>1003</v>
      </c>
      <c r="C4" s="6" t="s">
        <v>41</v>
      </c>
      <c r="D4" s="6">
        <v>12356</v>
      </c>
      <c r="E4" s="8" t="s">
        <v>56</v>
      </c>
      <c r="F4" s="6" t="s">
        <v>61</v>
      </c>
      <c r="G4" s="6" t="s">
        <v>66</v>
      </c>
      <c r="H4" s="6" t="s">
        <v>82</v>
      </c>
      <c r="I4" s="6">
        <v>1</v>
      </c>
      <c r="J4" s="9">
        <v>850000</v>
      </c>
      <c r="K4" s="9">
        <f t="shared" ref="K4:K6" si="18">J4*L4</f>
        <v>63750</v>
      </c>
      <c r="L4" s="10">
        <v>7.4999999999999997E-2</v>
      </c>
      <c r="M4" s="9">
        <f t="shared" ref="M4" si="19">J4*N4</f>
        <v>63750</v>
      </c>
      <c r="N4" s="10">
        <v>7.4999999999999997E-2</v>
      </c>
      <c r="O4" s="9">
        <f t="shared" ref="O4" si="20">J4+K4+M4</f>
        <v>977500</v>
      </c>
      <c r="P4" s="9">
        <v>83000</v>
      </c>
      <c r="Q4" s="11">
        <f t="shared" ref="Q4" si="21">P4/O4</f>
        <v>8.4910485933503838E-2</v>
      </c>
      <c r="R4" s="12">
        <f t="shared" ref="R4:R6" si="22">R3</f>
        <v>0.11</v>
      </c>
      <c r="S4" s="13">
        <v>12</v>
      </c>
      <c r="T4" s="11">
        <f t="shared" ref="T4" si="23">(1+R4)^(S4/12)-1</f>
        <v>0.1100000000000001</v>
      </c>
      <c r="U4" s="9">
        <f t="shared" ref="U4" si="24">O4*T4</f>
        <v>107525.0000000001</v>
      </c>
      <c r="V4" s="14">
        <f t="shared" ref="V4" si="25">O4+U4</f>
        <v>1085025</v>
      </c>
      <c r="W4" s="15">
        <v>44927</v>
      </c>
      <c r="X4" s="15">
        <v>44958</v>
      </c>
      <c r="Y4" s="15">
        <v>45657</v>
      </c>
      <c r="Z4" s="15">
        <f t="shared" ref="Z4:Z6" si="26">Z3</f>
        <v>45657</v>
      </c>
      <c r="AA4" s="6">
        <v>6563.07</v>
      </c>
      <c r="AB4" s="15">
        <f t="shared" si="8"/>
        <v>45657</v>
      </c>
      <c r="AC4" s="6">
        <v>6800.22</v>
      </c>
      <c r="AD4" s="16">
        <f t="shared" ref="AD4" si="27">ROUND(AC4/AA4-1,4)</f>
        <v>3.61E-2</v>
      </c>
      <c r="AE4" s="9">
        <f t="shared" ref="AE4" si="28">V4*(1+AD4)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 t="shared" ref="AJ4" si="29">IF(AI4="Contrato",AG4,IF(AI4="Não deprecia",0,AH4))</f>
        <v>30</v>
      </c>
      <c r="AK4" s="16">
        <f t="shared" si="12"/>
        <v>3.3333333333333333E-2</v>
      </c>
      <c r="AL4" s="16">
        <f t="shared" si="13"/>
        <v>2.7777777777777779E-3</v>
      </c>
      <c r="AM4" s="13">
        <f>IF((Z4-X4)/365*12&gt;AJ4*12,AJ4*12,(Z4-X4)/365*12)</f>
        <v>22.980821917808221</v>
      </c>
      <c r="AN4" s="14">
        <f>AL4*AM4*AE4</f>
        <v>71763.642680136996</v>
      </c>
      <c r="AO4" s="14">
        <f>AE4-AN4</f>
        <v>1052430.7598198631</v>
      </c>
      <c r="AP4" s="11">
        <v>0.8</v>
      </c>
      <c r="AQ4" s="11" t="s">
        <v>50</v>
      </c>
      <c r="AR4" s="44">
        <v>0</v>
      </c>
      <c r="AS4" s="15"/>
      <c r="AT4" s="47">
        <f t="shared" si="14"/>
        <v>0</v>
      </c>
      <c r="AU4" s="11" t="str">
        <f t="shared" si="2"/>
        <v>Sim</v>
      </c>
      <c r="AV4" s="11" t="s">
        <v>49</v>
      </c>
      <c r="AW4" s="14">
        <f t="shared" si="15"/>
        <v>899355.52200000011</v>
      </c>
      <c r="AX4" s="9">
        <f t="shared" si="16"/>
        <v>841944.60785589053</v>
      </c>
      <c r="AY4" s="9">
        <f t="shared" si="17"/>
        <v>29978.517400000004</v>
      </c>
      <c r="AZ4" s="9">
        <f>IF(AV4="Sim",AX4*R4,0)</f>
        <v>92613.906864147953</v>
      </c>
    </row>
    <row r="5" spans="1:52" x14ac:dyDescent="0.25">
      <c r="A5" s="18" t="str">
        <f>"4-2020"</f>
        <v>4-2020</v>
      </c>
      <c r="B5" s="18">
        <f>B3+1</f>
        <v>1003</v>
      </c>
      <c r="C5" s="18" t="s">
        <v>41</v>
      </c>
      <c r="D5" s="18">
        <v>12356</v>
      </c>
      <c r="E5" s="19" t="s">
        <v>11</v>
      </c>
      <c r="F5" s="18" t="s">
        <v>61</v>
      </c>
      <c r="G5" s="18" t="s">
        <v>67</v>
      </c>
      <c r="H5" s="18" t="s">
        <v>81</v>
      </c>
      <c r="I5" s="18">
        <v>1</v>
      </c>
      <c r="J5" s="20">
        <v>350000</v>
      </c>
      <c r="K5" s="20">
        <f t="shared" si="18"/>
        <v>0</v>
      </c>
      <c r="L5" s="21">
        <v>0</v>
      </c>
      <c r="M5" s="20">
        <f t="shared" ref="M5:M6" si="30">J5*N5</f>
        <v>0</v>
      </c>
      <c r="N5" s="21">
        <v>0</v>
      </c>
      <c r="O5" s="20">
        <f t="shared" ref="O5:O6" si="31">J5+K5+M5</f>
        <v>350000</v>
      </c>
      <c r="P5" s="20">
        <v>0</v>
      </c>
      <c r="Q5" s="22">
        <f>P5/O5</f>
        <v>0</v>
      </c>
      <c r="R5" s="23">
        <f t="shared" si="22"/>
        <v>0.11</v>
      </c>
      <c r="S5" s="24">
        <v>0</v>
      </c>
      <c r="T5" s="22">
        <f t="shared" ref="T5:T6" si="32">(1+R5)^(S5/12)-1</f>
        <v>0</v>
      </c>
      <c r="U5" s="20">
        <f t="shared" ref="U5:U6" si="33">O5*T5</f>
        <v>0</v>
      </c>
      <c r="V5" s="25">
        <f t="shared" ref="V5:V6" si="34">O5+U5</f>
        <v>350000</v>
      </c>
      <c r="W5" s="26">
        <v>45292</v>
      </c>
      <c r="X5" s="26">
        <v>45323</v>
      </c>
      <c r="Y5" s="26">
        <v>45657</v>
      </c>
      <c r="Z5" s="26">
        <f t="shared" si="26"/>
        <v>45657</v>
      </c>
      <c r="AA5" s="18">
        <v>6763.07</v>
      </c>
      <c r="AB5" s="26">
        <f t="shared" si="8"/>
        <v>45657</v>
      </c>
      <c r="AC5" s="18">
        <v>6800.22</v>
      </c>
      <c r="AD5" s="27">
        <f t="shared" ref="AD5" si="35">ROUND(AC5/AA5-1,4)</f>
        <v>5.4999999999999997E-3</v>
      </c>
      <c r="AE5" s="20">
        <f t="shared" ref="AE5:AE6" si="36">V5*(1+AD5)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 t="shared" si="1"/>
        <v>0</v>
      </c>
      <c r="AK5" s="27">
        <f t="shared" si="12"/>
        <v>0</v>
      </c>
      <c r="AL5" s="27">
        <f t="shared" si="13"/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 t="shared" si="14"/>
        <v>0</v>
      </c>
      <c r="AU5" s="22" t="str">
        <f>IF(AI5="Não deprecia","Não","Sim")</f>
        <v>Não</v>
      </c>
      <c r="AV5" s="22" t="s">
        <v>49</v>
      </c>
      <c r="AW5" s="25">
        <f t="shared" si="15"/>
        <v>0</v>
      </c>
      <c r="AX5" s="20">
        <f t="shared" si="16"/>
        <v>281540</v>
      </c>
      <c r="AY5" s="20">
        <f t="shared" si="17"/>
        <v>0</v>
      </c>
      <c r="AZ5" s="20">
        <f>IF(AV5="Sim",AX5*R5,0)</f>
        <v>30969.4</v>
      </c>
    </row>
    <row r="6" spans="1:52" x14ac:dyDescent="0.25">
      <c r="A6" s="6" t="str">
        <f>"5-2020"</f>
        <v>5-2020</v>
      </c>
      <c r="B6" s="6">
        <f t="shared" ref="B6" si="37">B5+1</f>
        <v>1004</v>
      </c>
      <c r="C6" s="6" t="s">
        <v>42</v>
      </c>
      <c r="D6" s="6">
        <v>12357</v>
      </c>
      <c r="E6" s="8" t="s">
        <v>12</v>
      </c>
      <c r="F6" s="6" t="s">
        <v>61</v>
      </c>
      <c r="G6" s="6" t="s">
        <v>64</v>
      </c>
      <c r="H6" s="6" t="s">
        <v>80</v>
      </c>
      <c r="I6" s="6">
        <v>10</v>
      </c>
      <c r="J6" s="9">
        <v>80000</v>
      </c>
      <c r="K6" s="9">
        <f t="shared" si="18"/>
        <v>0</v>
      </c>
      <c r="L6" s="10">
        <v>0</v>
      </c>
      <c r="M6" s="9">
        <f t="shared" si="30"/>
        <v>0</v>
      </c>
      <c r="N6" s="10">
        <v>0</v>
      </c>
      <c r="O6" s="9">
        <f t="shared" si="31"/>
        <v>80000</v>
      </c>
      <c r="P6" s="9">
        <v>0</v>
      </c>
      <c r="Q6" s="11">
        <f t="shared" si="0"/>
        <v>0</v>
      </c>
      <c r="R6" s="12">
        <f t="shared" si="22"/>
        <v>0.11</v>
      </c>
      <c r="S6" s="13">
        <v>0</v>
      </c>
      <c r="T6" s="11">
        <f t="shared" si="32"/>
        <v>0</v>
      </c>
      <c r="U6" s="9">
        <f t="shared" si="33"/>
        <v>0</v>
      </c>
      <c r="V6" s="14">
        <f t="shared" si="34"/>
        <v>80000</v>
      </c>
      <c r="W6" s="15">
        <v>45292</v>
      </c>
      <c r="X6" s="15">
        <v>45323</v>
      </c>
      <c r="Y6" s="15">
        <v>45657</v>
      </c>
      <c r="Z6" s="15">
        <f t="shared" si="26"/>
        <v>45657</v>
      </c>
      <c r="AA6" s="6">
        <v>6763.07</v>
      </c>
      <c r="AB6" s="15">
        <f t="shared" si="8"/>
        <v>45657</v>
      </c>
      <c r="AC6" s="6">
        <v>6800.22</v>
      </c>
      <c r="AD6" s="16">
        <f>ROUND(AC6/AA6-1,4)</f>
        <v>5.4999999999999997E-3</v>
      </c>
      <c r="AE6" s="9">
        <f t="shared" si="36"/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 t="shared" si="12"/>
        <v>0</v>
      </c>
      <c r="AL6" s="16">
        <f t="shared" si="13"/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 t="shared" si="14"/>
        <v>0</v>
      </c>
      <c r="AU6" s="11" t="str">
        <f>IF(AI6="Não deprecia","Não","Sim")</f>
        <v>Não</v>
      </c>
      <c r="AV6" s="11" t="s">
        <v>49</v>
      </c>
      <c r="AW6" s="14">
        <f t="shared" si="15"/>
        <v>0</v>
      </c>
      <c r="AX6" s="9">
        <f t="shared" si="16"/>
        <v>80440</v>
      </c>
      <c r="AY6" s="9">
        <f t="shared" si="17"/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5127068.3169999998</v>
      </c>
      <c r="AX8" s="30">
        <f>SUM(AX2:AX6)</f>
        <v>5058440.3972506858</v>
      </c>
      <c r="AY8" s="17">
        <f>SUM(AY2:AY6)</f>
        <v>144327.30450000003</v>
      </c>
      <c r="AZ8" s="17">
        <f>SUM(AZ2:AZ6)</f>
        <v>556428.44369757548</v>
      </c>
    </row>
    <row r="9" spans="1:52" x14ac:dyDescent="0.25">
      <c r="E9" s="8"/>
      <c r="AV9" s="33" t="s">
        <v>59</v>
      </c>
      <c r="AW9" s="34">
        <f>IF(AW8&gt;0,AY8/AW8,0)</f>
        <v>2.8150064632735426E-2</v>
      </c>
    </row>
    <row r="10" spans="1:52" ht="30" x14ac:dyDescent="0.25">
      <c r="E10" s="8"/>
      <c r="AV10" s="31" t="s">
        <v>57</v>
      </c>
      <c r="AW10" s="32">
        <f>IF(AW9&gt;0,1/AW9,0)</f>
        <v>35.523897122321706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C9B9-5798-40A2-90B2-7085A197C440}">
  <dimension ref="A1:BA11"/>
  <sheetViews>
    <sheetView zoomScale="90" zoomScaleNormal="90" workbookViewId="0">
      <selection activeCell="D17" sqref="D17"/>
    </sheetView>
  </sheetViews>
  <sheetFormatPr defaultRowHeight="15" x14ac:dyDescent="0.25"/>
  <cols>
    <col min="1" max="1" width="5.5703125" style="2" bestFit="1" customWidth="1"/>
    <col min="2" max="3" width="16.140625" style="2" bestFit="1" customWidth="1"/>
    <col min="4" max="4" width="9.5703125" style="2" bestFit="1" customWidth="1"/>
    <col min="5" max="6" width="14.5703125" style="2" bestFit="1" customWidth="1"/>
    <col min="7" max="12" width="9.140625" style="2"/>
    <col min="13" max="53" width="9.140625" style="1"/>
  </cols>
  <sheetData>
    <row r="1" spans="1:7" x14ac:dyDescent="0.25">
      <c r="A1" s="5" t="s">
        <v>71</v>
      </c>
      <c r="B1" s="5" t="s">
        <v>72</v>
      </c>
      <c r="C1" s="5" t="s">
        <v>73</v>
      </c>
      <c r="D1" s="5" t="s">
        <v>74</v>
      </c>
      <c r="E1" s="5" t="s">
        <v>51</v>
      </c>
      <c r="F1" s="5" t="s">
        <v>52</v>
      </c>
    </row>
    <row r="2" spans="1:7" x14ac:dyDescent="0.25">
      <c r="A2" s="36">
        <v>2024</v>
      </c>
      <c r="B2" s="37">
        <f>Exemplo_BRR_2024!AW8</f>
        <v>5127068.3169999998</v>
      </c>
      <c r="C2" s="37">
        <f>Exemplo_BRR_2024!AX8</f>
        <v>5058440.3972506858</v>
      </c>
      <c r="D2" s="38">
        <f>Exemplo_BRR_2024!AW9</f>
        <v>2.8150064632735426E-2</v>
      </c>
      <c r="E2" s="39">
        <f>Exemplo_BRR_2024!AY8</f>
        <v>144327.30450000003</v>
      </c>
      <c r="F2" s="39">
        <f>Exemplo_BRR_2024!AZ8</f>
        <v>556428.44369757548</v>
      </c>
      <c r="G2" s="55"/>
    </row>
    <row r="3" spans="1:7" x14ac:dyDescent="0.25">
      <c r="A3" s="2">
        <v>2021</v>
      </c>
      <c r="B3" s="4">
        <f>Imob_BRR_2021!AW8</f>
        <v>1993122.9550000001</v>
      </c>
      <c r="C3" s="4">
        <f>Imob_BRR_2021!AX8</f>
        <v>1956755.2868347946</v>
      </c>
      <c r="D3" s="35">
        <f>Imob_BRR_2021!AW9</f>
        <v>0.02</v>
      </c>
      <c r="E3" s="3">
        <f>Imob_BRR_2021!AY8</f>
        <v>39862.4591</v>
      </c>
      <c r="F3" s="3">
        <f>Imob_BRR_2021!AZ8</f>
        <v>215243.0815518274</v>
      </c>
    </row>
    <row r="4" spans="1:7" x14ac:dyDescent="0.25">
      <c r="A4" s="40">
        <f t="shared" ref="A4:A10" si="0">A3+1</f>
        <v>2022</v>
      </c>
      <c r="B4" s="41">
        <f>Imob_BRR_2022!AW8</f>
        <v>4227712.7949999999</v>
      </c>
      <c r="C4" s="41">
        <f>Imob_BRR_2022!AX8</f>
        <v>4083526.6479430143</v>
      </c>
      <c r="D4" s="42">
        <f>Imob_BRR_2022!AW9</f>
        <v>2.7047435018584327E-2</v>
      </c>
      <c r="E4" s="43">
        <f>Imob_BRR_2022!AY8</f>
        <v>114348.78710000002</v>
      </c>
      <c r="F4" s="43">
        <f>Imob_BRR_2022!AZ8</f>
        <v>449187.93127373152</v>
      </c>
    </row>
    <row r="5" spans="1:7" x14ac:dyDescent="0.25">
      <c r="A5" s="2">
        <f t="shared" si="0"/>
        <v>2023</v>
      </c>
      <c r="B5" s="4">
        <f>Imob_BRR_2023!AW8</f>
        <v>5127068.3169999998</v>
      </c>
      <c r="C5" s="4">
        <f>Imob_BRR_2023!AX8</f>
        <v>4841183.1190232877</v>
      </c>
      <c r="D5" s="35">
        <f>Imob_BRR_2023!AW9</f>
        <v>2.8150064632735426E-2</v>
      </c>
      <c r="E5" s="3">
        <f>Imob_BRR_2023!AY8</f>
        <v>144327.30450000003</v>
      </c>
      <c r="F5" s="3">
        <f>Imob_BRR_2023!AZ8</f>
        <v>532530.14309256175</v>
      </c>
    </row>
    <row r="6" spans="1:7" x14ac:dyDescent="0.25">
      <c r="A6" s="48">
        <f t="shared" si="0"/>
        <v>2024</v>
      </c>
      <c r="B6" s="49">
        <f>Imob_BRR_2024!AW8</f>
        <v>5127068.3169999998</v>
      </c>
      <c r="C6" s="49">
        <f>Imob_BRR_2024!AX8</f>
        <v>5058440.3972506858</v>
      </c>
      <c r="D6" s="50">
        <f>Imob_BRR_2024!AW9</f>
        <v>2.8150064632735426E-2</v>
      </c>
      <c r="E6" s="51">
        <f>Imob_BRR_2024!AY8</f>
        <v>144327.30450000003</v>
      </c>
      <c r="F6" s="51">
        <f>Imob_BRR_2024!AZ8</f>
        <v>556428.44369757548</v>
      </c>
    </row>
    <row r="7" spans="1:7" x14ac:dyDescent="0.25">
      <c r="A7" s="2">
        <f t="shared" si="0"/>
        <v>2025</v>
      </c>
      <c r="B7" s="4">
        <f>Mov_2025!AW8</f>
        <v>5127068.3169999998</v>
      </c>
      <c r="C7" s="4">
        <f>Mov_2025!AX8</f>
        <v>4914113.0927506853</v>
      </c>
      <c r="D7" s="35">
        <f>Mov_2025!AW9</f>
        <v>2.8150064632735426E-2</v>
      </c>
      <c r="E7" s="3">
        <f>Mov_2025!AY8</f>
        <v>144327.30450000003</v>
      </c>
      <c r="F7" s="3">
        <f>Mov_2025!AZ8</f>
        <v>540552.44020257541</v>
      </c>
    </row>
    <row r="8" spans="1:7" x14ac:dyDescent="0.25">
      <c r="A8" s="40">
        <f t="shared" si="0"/>
        <v>2026</v>
      </c>
      <c r="B8" s="41">
        <f>Mov_2026!AW8</f>
        <v>4628787.5782500003</v>
      </c>
      <c r="C8" s="41">
        <f>Mov_2026!AX8</f>
        <v>4330452.3434711648</v>
      </c>
      <c r="D8" s="42">
        <f>Mov_2026!AW9</f>
        <v>2.9027404574870977E-2</v>
      </c>
      <c r="E8" s="43">
        <f>Mov_2026!AY8</f>
        <v>134361.689725</v>
      </c>
      <c r="F8" s="43">
        <f>Mov_2026!AZ8</f>
        <v>476349.75778182823</v>
      </c>
    </row>
    <row r="9" spans="1:7" x14ac:dyDescent="0.25">
      <c r="A9" s="2">
        <f t="shared" si="0"/>
        <v>2027</v>
      </c>
      <c r="B9" s="4">
        <f>Mov_2027!AW8</f>
        <v>4130506.8395000007</v>
      </c>
      <c r="C9" s="4">
        <f>Mov_2027!AX8</f>
        <v>3766722.8237416442</v>
      </c>
      <c r="D9" s="35">
        <f>Mov_2027!AW9</f>
        <v>3.0116419070028266E-2</v>
      </c>
      <c r="E9" s="3">
        <f>Mov_2027!AY8</f>
        <v>124396.07495000001</v>
      </c>
      <c r="F9" s="3">
        <f>Mov_2027!AZ8</f>
        <v>414339.51061158092</v>
      </c>
    </row>
    <row r="10" spans="1:7" x14ac:dyDescent="0.25">
      <c r="A10" s="40">
        <f t="shared" si="0"/>
        <v>2028</v>
      </c>
      <c r="B10" s="41">
        <f>Mov_2028!AW8</f>
        <v>4130506.8395000007</v>
      </c>
      <c r="C10" s="41">
        <f>Mov_2028!AX8</f>
        <v>3641985.9376273975</v>
      </c>
      <c r="D10" s="42">
        <f>Mov_2028!AW9</f>
        <v>3.0116419070028266E-2</v>
      </c>
      <c r="E10" s="43">
        <f>Mov_2028!AY8</f>
        <v>124396.07495000001</v>
      </c>
      <c r="F10" s="43">
        <f>Mov_2028!AZ8</f>
        <v>400618.45313901379</v>
      </c>
    </row>
    <row r="11" spans="1:7" x14ac:dyDescent="0.25">
      <c r="B11" s="4"/>
      <c r="C11" s="4"/>
      <c r="D11" s="35"/>
      <c r="E11" s="3"/>
      <c r="F11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9882-831D-4E7F-A490-4BAEE30B774E}">
  <dimension ref="A1:DF17"/>
  <sheetViews>
    <sheetView workbookViewId="0">
      <pane xSplit="9" ySplit="1" topLeftCell="AV2" activePane="bottomRight" state="frozen"/>
      <selection activeCell="C16" sqref="C16"/>
      <selection pane="topRight" activeCell="C16" sqref="C16"/>
      <selection pane="bottomLeft" activeCell="C16" sqref="C16"/>
      <selection pane="bottomRight" activeCell="AZ9" sqref="AZ9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customWidth="1"/>
    <col min="11" max="11" width="13.28515625" style="6" customWidth="1"/>
    <col min="12" max="12" width="8.140625" style="6" customWidth="1"/>
    <col min="13" max="13" width="13.28515625" style="6" customWidth="1"/>
    <col min="14" max="14" width="8.140625" style="6" customWidth="1"/>
    <col min="15" max="15" width="14.85546875" style="6" customWidth="1"/>
    <col min="16" max="16" width="13.28515625" style="6" customWidth="1"/>
    <col min="17" max="17" width="8.140625" style="6" customWidth="1"/>
    <col min="18" max="18" width="6.5703125" style="6" customWidth="1"/>
    <col min="19" max="19" width="13.42578125" style="6" customWidth="1"/>
    <col min="20" max="20" width="7.7109375" style="6" customWidth="1"/>
    <col min="21" max="22" width="14.85546875" style="6" customWidth="1"/>
    <col min="23" max="25" width="10.7109375" style="6" customWidth="1"/>
    <col min="26" max="26" width="10.7109375" style="6" bestFit="1" customWidth="1"/>
    <col min="27" max="27" width="11.140625" style="6" customWidth="1"/>
    <col min="28" max="28" width="10.7109375" style="6" bestFit="1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4" width="10.85546875" style="6" customWidth="1"/>
    <col min="45" max="45" width="10.7109375" style="6" bestFit="1" customWidth="1"/>
    <col min="46" max="46" width="11.42578125" style="6" bestFit="1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Exemplo_BRR_2024!A2</f>
        <v>1-2020</v>
      </c>
      <c r="B2" s="6">
        <f>Exemplo_BRR_2024!B2</f>
        <v>1001</v>
      </c>
      <c r="C2" s="6" t="str">
        <f>Exemplo_BRR_2024!C2</f>
        <v>8090-20</v>
      </c>
      <c r="D2" s="6">
        <f>Exemplo_BRR_2024!D2</f>
        <v>12356</v>
      </c>
      <c r="E2" s="8" t="str">
        <f>Exemplo_BRR_2024!E2</f>
        <v>Tubulações</v>
      </c>
      <c r="F2" s="6" t="str">
        <f>Exemplo_BRR_2024!F2</f>
        <v>AGUA</v>
      </c>
      <c r="G2" s="6" t="str">
        <f>Exemplo_BRR_2024!G2</f>
        <v>Curitiba</v>
      </c>
      <c r="H2" s="6" t="s">
        <v>79</v>
      </c>
      <c r="I2" s="6">
        <f>IF(Exemplo_BRR_2024!AQ2="Sim",Exemplo_BRR_2024!I2-Exemplo_BRR_2024!AR2,Exemplo_BRR_2024!I2)</f>
        <v>1000</v>
      </c>
      <c r="J2" s="9">
        <f>Exemplo_BRR_2024!J2</f>
        <v>1647890</v>
      </c>
      <c r="K2" s="9">
        <f>Exemplo_BRR_2024!K2</f>
        <v>0</v>
      </c>
      <c r="L2" s="10">
        <f>Exemplo_BRR_2024!L2</f>
        <v>0</v>
      </c>
      <c r="M2" s="9">
        <f>Exemplo_BRR_2024!M2</f>
        <v>0</v>
      </c>
      <c r="N2" s="10">
        <f>Exemplo_BRR_2024!N2</f>
        <v>0</v>
      </c>
      <c r="O2" s="9">
        <f>Exemplo_BRR_2024!O2</f>
        <v>1647890</v>
      </c>
      <c r="P2" s="9">
        <f>Exemplo_BRR_2024!P2</f>
        <v>0</v>
      </c>
      <c r="Q2" s="11">
        <f>Exemplo_BRR_2024!Q2</f>
        <v>0</v>
      </c>
      <c r="R2" s="12">
        <f>Exemplo_BRR_2024!R2</f>
        <v>0.11</v>
      </c>
      <c r="S2" s="13">
        <f>Exemplo_BRR_2024!S2</f>
        <v>0</v>
      </c>
      <c r="T2" s="11">
        <f>Exemplo_BRR_2024!T2</f>
        <v>0</v>
      </c>
      <c r="U2" s="9">
        <f>Exemplo_BRR_2024!U2</f>
        <v>0</v>
      </c>
      <c r="V2" s="14">
        <f>Exemplo_BRR_2024!V2</f>
        <v>1647890</v>
      </c>
      <c r="W2" s="15">
        <f>Exemplo_BRR_2024!W2</f>
        <v>44197</v>
      </c>
      <c r="X2" s="15">
        <f>Exemplo_BRR_2024!X2</f>
        <v>44228</v>
      </c>
      <c r="Y2" s="15">
        <f>Exemplo_BRR_2024!Y2</f>
        <v>45657</v>
      </c>
      <c r="Z2" s="15">
        <v>44561</v>
      </c>
      <c r="AA2" s="6">
        <v>5622.43</v>
      </c>
      <c r="AB2" s="15">
        <f>Y2</f>
        <v>45657</v>
      </c>
      <c r="AC2" s="6">
        <v>6800.22</v>
      </c>
      <c r="AD2" s="16">
        <f>ROUND(AC2/AA2-1,4)</f>
        <v>0.20949999999999999</v>
      </c>
      <c r="AE2" s="9">
        <f>Exemplo_BRR_2024!I2/Imob_BRR_2021!I2*Exemplo_BRR_2024!AE2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 t="shared" ref="AJ2:AJ5" si="0"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10.947945205479453</v>
      </c>
      <c r="AN2" s="14">
        <f>AL2*AM2*AE2</f>
        <v>36367.668165205483</v>
      </c>
      <c r="AO2" s="14">
        <f>AE2-AN2</f>
        <v>1956755.2868347946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 t="shared" ref="AU2:AU4" si="1">IF(AI2="Não deprecia","Não","Sim")</f>
        <v>Sim</v>
      </c>
      <c r="AV2" s="11" t="s">
        <v>49</v>
      </c>
      <c r="AW2" s="14">
        <f>IF(Z2&gt;X2,IF(AU2="Sim",IF(AO2&gt;0,IF(AQ2="Sim",IF(AR2&gt;I2,0,AE2*AP2*(AT2)+AE2*AP2*(1-AR2/I2)*(1-AT2)),AE2*AP2),0),0),0)</f>
        <v>1993122.9550000001</v>
      </c>
      <c r="AX2" s="9">
        <f>IF(Z2&gt;X2,IF(AV2="Sim",IF(AO2&gt;0,IF(AQ2="Sim",IF(AR2&gt;I2,0,AO2*AP2*(AT2)+AO2*AP2*(1-AR2/I2)*(1-AT2)),AO2*AP2),0),0),0)</f>
        <v>1956755.2868347946</v>
      </c>
      <c r="AY2" s="9">
        <f>IF(AU2="Sim",AW2*AK2,0)</f>
        <v>39862.4591</v>
      </c>
      <c r="AZ2" s="9">
        <f>IF(AV2="Sim",AX2*R2,0)</f>
        <v>215243.0815518274</v>
      </c>
    </row>
    <row r="3" spans="1:52" x14ac:dyDescent="0.25">
      <c r="A3" s="18" t="str">
        <f>Exemplo_BRR_2024!A3</f>
        <v>2-2020</v>
      </c>
      <c r="B3" s="18">
        <f>Exemplo_BRR_2024!B3</f>
        <v>1002</v>
      </c>
      <c r="C3" s="18" t="str">
        <f>Exemplo_BRR_2024!C3</f>
        <v>8099-20</v>
      </c>
      <c r="D3" s="18">
        <f>Exemplo_BRR_2024!D3</f>
        <v>12356</v>
      </c>
      <c r="E3" s="19" t="str">
        <f>Exemplo_BRR_2024!E3</f>
        <v>Construções Civis</v>
      </c>
      <c r="F3" s="18" t="str">
        <f>Exemplo_BRR_2024!F3</f>
        <v>ESGOTO</v>
      </c>
      <c r="G3" s="18" t="str">
        <f>Exemplo_BRR_2024!G3</f>
        <v>Londrina</v>
      </c>
      <c r="H3" s="18" t="s">
        <v>83</v>
      </c>
      <c r="I3" s="18">
        <f>IF(Exemplo_BRR_2024!AQ3="Sim",Exemplo_BRR_2024!I3-Exemplo_BRR_2024!AR3,Exemplo_BRR_2024!I3)</f>
        <v>1</v>
      </c>
      <c r="J3" s="20">
        <f>Exemplo_BRR_2024!J3</f>
        <v>2000000</v>
      </c>
      <c r="K3" s="20">
        <f>Exemplo_BRR_2024!K3</f>
        <v>0</v>
      </c>
      <c r="L3" s="21">
        <f>Exemplo_BRR_2024!L3</f>
        <v>0</v>
      </c>
      <c r="M3" s="20">
        <f>Exemplo_BRR_2024!M3</f>
        <v>300000</v>
      </c>
      <c r="N3" s="21">
        <f>Exemplo_BRR_2024!N3</f>
        <v>0.15</v>
      </c>
      <c r="O3" s="20">
        <f>Exemplo_BRR_2024!O3</f>
        <v>2300000</v>
      </c>
      <c r="P3" s="20">
        <f>Exemplo_BRR_2024!P3</f>
        <v>250000</v>
      </c>
      <c r="Q3" s="22">
        <f>Exemplo_BRR_2024!Q3</f>
        <v>0.10869565217391304</v>
      </c>
      <c r="R3" s="23">
        <f>Exemplo_BRR_2024!R3</f>
        <v>0.11</v>
      </c>
      <c r="S3" s="24">
        <f>Exemplo_BRR_2024!S3</f>
        <v>12</v>
      </c>
      <c r="T3" s="22">
        <f>Exemplo_BRR_2024!T3</f>
        <v>0.1100000000000001</v>
      </c>
      <c r="U3" s="20">
        <f>Exemplo_BRR_2024!U3</f>
        <v>253000.00000000023</v>
      </c>
      <c r="V3" s="25">
        <f>Exemplo_BRR_2024!V3</f>
        <v>2553000</v>
      </c>
      <c r="W3" s="26">
        <f>Exemplo_BRR_2024!W3</f>
        <v>44562</v>
      </c>
      <c r="X3" s="26">
        <f>Exemplo_BRR_2024!X3</f>
        <v>44593</v>
      </c>
      <c r="Y3" s="26">
        <f>Exemplo_BRR_2024!Y3</f>
        <v>45657</v>
      </c>
      <c r="Z3" s="26">
        <f>Z2</f>
        <v>44561</v>
      </c>
      <c r="AA3" s="18">
        <v>6215.24</v>
      </c>
      <c r="AB3" s="26">
        <f t="shared" ref="AB3:AB6" si="2">Y3</f>
        <v>45657</v>
      </c>
      <c r="AC3" s="18">
        <v>6800.22</v>
      </c>
      <c r="AD3" s="27">
        <f t="shared" ref="AD3:AD5" si="3">ROUND(AC3/AA3-1,4)</f>
        <v>9.4100000000000003E-2</v>
      </c>
      <c r="AE3" s="20">
        <f>Exemplo_BRR_2024!I3/Imob_BRR_2021!I3*Exemplo_BRR_2024!AE3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 t="shared" si="0"/>
        <v>30</v>
      </c>
      <c r="AK3" s="27">
        <f t="shared" ref="AK3:AK6" si="4">IF(AJ3&lt;&gt;0,1/AJ3,0)</f>
        <v>3.3333333333333333E-2</v>
      </c>
      <c r="AL3" s="27">
        <f t="shared" ref="AL3:AL6" si="5">AK3/12</f>
        <v>2.7777777777777779E-3</v>
      </c>
      <c r="AM3" s="24">
        <f>IF((Z3-X3)/365*12&gt;AJ3*12,AJ3*12,(Z3-X3)/365*12)</f>
        <v>-1.0520547945205481</v>
      </c>
      <c r="AN3" s="25">
        <f>AL3*AM3*AE3</f>
        <v>-8162.8852602739753</v>
      </c>
      <c r="AO3" s="25">
        <f>AE3-AN3</f>
        <v>2801400.1852602744</v>
      </c>
      <c r="AP3" s="23">
        <v>0.8</v>
      </c>
      <c r="AQ3" s="23" t="s">
        <v>50</v>
      </c>
      <c r="AR3" s="24">
        <v>0</v>
      </c>
      <c r="AS3" s="26"/>
      <c r="AT3" s="45">
        <f t="shared" ref="AT3:AT6" si="6">IF(YEAR(AS3)&lt;YEAR(Z3),0,(MONTH(AS3)-1)/12)</f>
        <v>0</v>
      </c>
      <c r="AU3" s="22" t="str">
        <f t="shared" si="1"/>
        <v>Sim</v>
      </c>
      <c r="AV3" s="22" t="s">
        <v>49</v>
      </c>
      <c r="AW3" s="25">
        <f t="shared" ref="AW3:AW6" si="7">IF(Z3&gt;X3,IF(AU3="Sim",IF(AO3&gt;0,IF(AQ3="Sim",IF(AR3&gt;I3,0,AE3*AP3*(AT3)+AE3*AP3*(1-AR3/I3)*(1-AT3)),AE3*AP3),0),0),0)</f>
        <v>0</v>
      </c>
      <c r="AX3" s="20">
        <f t="shared" ref="AX3:AX6" si="8">IF(Z3&gt;X3,IF(AV3="Sim",IF(AO3&gt;0,IF(AQ3="Sim",IF(AR3&gt;I3,0,AO3*AP3*(AT3)+AO3*AP3*(1-AR3/I3)*(1-AT3)),AO3*AP3),0),0),0)</f>
        <v>0</v>
      </c>
      <c r="AY3" s="20">
        <f t="shared" ref="AY3:AY6" si="9">IF(AU3="Sim",AW3*AK3,0)</f>
        <v>0</v>
      </c>
      <c r="AZ3" s="20">
        <f>IF(AV3="Sim",AX3*R3,0)</f>
        <v>0</v>
      </c>
    </row>
    <row r="4" spans="1:52" x14ac:dyDescent="0.25">
      <c r="A4" s="6" t="str">
        <f>Exemplo_BRR_2024!A4</f>
        <v>3-2020</v>
      </c>
      <c r="B4" s="6">
        <f>Exemplo_BRR_2024!B4</f>
        <v>1003</v>
      </c>
      <c r="C4" s="6" t="str">
        <f>Exemplo_BRR_2024!C4</f>
        <v>8099-20</v>
      </c>
      <c r="D4" s="6">
        <f>Exemplo_BRR_2024!D4</f>
        <v>12356</v>
      </c>
      <c r="E4" s="8" t="str">
        <f>Exemplo_BRR_2024!E4</f>
        <v>Equipamentos</v>
      </c>
      <c r="F4" s="6" t="str">
        <f>Exemplo_BRR_2024!F4</f>
        <v>AGUA</v>
      </c>
      <c r="G4" s="6" t="str">
        <f>Exemplo_BRR_2024!G4</f>
        <v>Maringá</v>
      </c>
      <c r="H4" s="6" t="s">
        <v>82</v>
      </c>
      <c r="I4" s="6">
        <f>IF(Exemplo_BRR_2024!AQ4="Sim",Exemplo_BRR_2024!I4-Exemplo_BRR_2024!AR4,Exemplo_BRR_2024!I4)</f>
        <v>1</v>
      </c>
      <c r="J4" s="9">
        <f>Exemplo_BRR_2024!J4</f>
        <v>850000</v>
      </c>
      <c r="K4" s="9">
        <f>Exemplo_BRR_2024!K4</f>
        <v>63750</v>
      </c>
      <c r="L4" s="10">
        <f>Exemplo_BRR_2024!L4</f>
        <v>7.4999999999999997E-2</v>
      </c>
      <c r="M4" s="9">
        <f>Exemplo_BRR_2024!M4</f>
        <v>63750</v>
      </c>
      <c r="N4" s="10">
        <f>Exemplo_BRR_2024!N4</f>
        <v>7.4999999999999997E-2</v>
      </c>
      <c r="O4" s="9">
        <f>Exemplo_BRR_2024!O4</f>
        <v>977500</v>
      </c>
      <c r="P4" s="9">
        <f>Exemplo_BRR_2024!P4</f>
        <v>83000</v>
      </c>
      <c r="Q4" s="11">
        <f>Exemplo_BRR_2024!Q4</f>
        <v>8.4910485933503838E-2</v>
      </c>
      <c r="R4" s="12">
        <f>Exemplo_BRR_2024!R4</f>
        <v>0.11</v>
      </c>
      <c r="S4" s="13">
        <f>Exemplo_BRR_2024!S4</f>
        <v>12</v>
      </c>
      <c r="T4" s="11">
        <f>Exemplo_BRR_2024!T4</f>
        <v>0.1100000000000001</v>
      </c>
      <c r="U4" s="9">
        <f>Exemplo_BRR_2024!U4</f>
        <v>107525.0000000001</v>
      </c>
      <c r="V4" s="14">
        <f>Exemplo_BRR_2024!V4</f>
        <v>1085025</v>
      </c>
      <c r="W4" s="15">
        <f>Exemplo_BRR_2024!W4</f>
        <v>44927</v>
      </c>
      <c r="X4" s="15">
        <f>Exemplo_BRR_2024!X4</f>
        <v>44958</v>
      </c>
      <c r="Y4" s="15">
        <f>Exemplo_BRR_2024!Y4</f>
        <v>45657</v>
      </c>
      <c r="Z4" s="15">
        <f t="shared" ref="Z4:Z6" si="10">Z3</f>
        <v>44561</v>
      </c>
      <c r="AA4" s="6">
        <v>6563.07</v>
      </c>
      <c r="AB4" s="15">
        <f t="shared" si="2"/>
        <v>45657</v>
      </c>
      <c r="AC4" s="6">
        <v>6800.22</v>
      </c>
      <c r="AD4" s="16">
        <f t="shared" si="3"/>
        <v>3.61E-2</v>
      </c>
      <c r="AE4" s="9">
        <f>Exemplo_BRR_2024!I4/Imob_BRR_2021!I4*Exemplo_BRR_2024!AE4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 t="shared" si="0"/>
        <v>30</v>
      </c>
      <c r="AK4" s="16">
        <f t="shared" si="4"/>
        <v>3.3333333333333333E-2</v>
      </c>
      <c r="AL4" s="16">
        <f t="shared" si="5"/>
        <v>2.7777777777777779E-3</v>
      </c>
      <c r="AM4" s="13">
        <f>IF((Z4-X4)/365*12&gt;AJ4*12,AJ4*12,(Z4-X4)/365*12)</f>
        <v>-13.052054794520549</v>
      </c>
      <c r="AN4" s="14">
        <f>AL4*AM4*AE4</f>
        <v>-40758.463725342481</v>
      </c>
      <c r="AO4" s="14">
        <f>AE4-AN4</f>
        <v>1164952.8662253425</v>
      </c>
      <c r="AP4" s="11">
        <v>0.8</v>
      </c>
      <c r="AQ4" s="11" t="s">
        <v>50</v>
      </c>
      <c r="AR4" s="44">
        <v>0</v>
      </c>
      <c r="AS4" s="15"/>
      <c r="AT4" s="47">
        <f t="shared" si="6"/>
        <v>0</v>
      </c>
      <c r="AU4" s="11" t="str">
        <f t="shared" si="1"/>
        <v>Sim</v>
      </c>
      <c r="AV4" s="11" t="s">
        <v>49</v>
      </c>
      <c r="AW4" s="14">
        <f t="shared" si="7"/>
        <v>0</v>
      </c>
      <c r="AX4" s="9">
        <f t="shared" si="8"/>
        <v>0</v>
      </c>
      <c r="AY4" s="9">
        <f t="shared" si="9"/>
        <v>0</v>
      </c>
      <c r="AZ4" s="9">
        <f>IF(AV4="Sim",AX4*R4,0)</f>
        <v>0</v>
      </c>
    </row>
    <row r="5" spans="1:52" x14ac:dyDescent="0.25">
      <c r="A5" s="18" t="str">
        <f>Exemplo_BRR_2024!A5</f>
        <v>4-2020</v>
      </c>
      <c r="B5" s="18">
        <f>Exemplo_BRR_2024!B5</f>
        <v>1003</v>
      </c>
      <c r="C5" s="18" t="str">
        <f>Exemplo_BRR_2024!C5</f>
        <v>8099-20</v>
      </c>
      <c r="D5" s="18">
        <f>Exemplo_BRR_2024!D5</f>
        <v>12356</v>
      </c>
      <c r="E5" s="19" t="str">
        <f>Exemplo_BRR_2024!E5</f>
        <v>Terrenos</v>
      </c>
      <c r="F5" s="18" t="str">
        <f>Exemplo_BRR_2024!F5</f>
        <v>AGUA</v>
      </c>
      <c r="G5" s="18" t="str">
        <f>Exemplo_BRR_2024!G5</f>
        <v>Cascavel</v>
      </c>
      <c r="H5" s="18" t="s">
        <v>81</v>
      </c>
      <c r="I5" s="18">
        <f>IF(Exemplo_BRR_2024!AQ5="Sim",Exemplo_BRR_2024!I5-Exemplo_BRR_2024!AR5,Exemplo_BRR_2024!I5)</f>
        <v>1</v>
      </c>
      <c r="J5" s="20">
        <f>Exemplo_BRR_2024!J5</f>
        <v>350000</v>
      </c>
      <c r="K5" s="20">
        <f>Exemplo_BRR_2024!K5</f>
        <v>0</v>
      </c>
      <c r="L5" s="21">
        <f>Exemplo_BRR_2024!L5</f>
        <v>0</v>
      </c>
      <c r="M5" s="20">
        <f>Exemplo_BRR_2024!M5</f>
        <v>0</v>
      </c>
      <c r="N5" s="21">
        <f>Exemplo_BRR_2024!N5</f>
        <v>0</v>
      </c>
      <c r="O5" s="20">
        <f>Exemplo_BRR_2024!O5</f>
        <v>350000</v>
      </c>
      <c r="P5" s="20">
        <f>Exemplo_BRR_2024!P5</f>
        <v>0</v>
      </c>
      <c r="Q5" s="22">
        <f>Exemplo_BRR_2024!Q5</f>
        <v>0</v>
      </c>
      <c r="R5" s="23">
        <f>Exemplo_BRR_2024!R5</f>
        <v>0.11</v>
      </c>
      <c r="S5" s="24">
        <f>Exemplo_BRR_2024!S5</f>
        <v>0</v>
      </c>
      <c r="T5" s="22">
        <f>Exemplo_BRR_2024!T5</f>
        <v>0</v>
      </c>
      <c r="U5" s="20">
        <f>Exemplo_BRR_2024!U5</f>
        <v>0</v>
      </c>
      <c r="V5" s="25">
        <f>Exemplo_BRR_2024!V5</f>
        <v>350000</v>
      </c>
      <c r="W5" s="26">
        <f>Exemplo_BRR_2024!W5</f>
        <v>45292</v>
      </c>
      <c r="X5" s="26">
        <f>Exemplo_BRR_2024!X5</f>
        <v>45323</v>
      </c>
      <c r="Y5" s="26">
        <f>Exemplo_BRR_2024!Y5</f>
        <v>45657</v>
      </c>
      <c r="Z5" s="26">
        <f t="shared" si="10"/>
        <v>44561</v>
      </c>
      <c r="AA5" s="18">
        <v>6763.07</v>
      </c>
      <c r="AB5" s="26">
        <f t="shared" si="2"/>
        <v>45657</v>
      </c>
      <c r="AC5" s="18">
        <v>6800.22</v>
      </c>
      <c r="AD5" s="27">
        <f t="shared" si="3"/>
        <v>5.4999999999999997E-3</v>
      </c>
      <c r="AE5" s="20">
        <f>Exemplo_BRR_2024!I5/Imob_BRR_2021!I5*Exemplo_BRR_2024!AE5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 t="shared" si="0"/>
        <v>0</v>
      </c>
      <c r="AK5" s="27">
        <f t="shared" si="4"/>
        <v>0</v>
      </c>
      <c r="AL5" s="27">
        <f t="shared" si="5"/>
        <v>0</v>
      </c>
      <c r="AM5" s="24">
        <f>IF((Z5-X5)/365*12&gt;AJ5*12,AJ5*12,(Z5-X5)/365*12)</f>
        <v>-25.052054794520551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 t="shared" si="6"/>
        <v>0</v>
      </c>
      <c r="AU5" s="22" t="str">
        <f>IF(AI5="Não deprecia","Não","Sim")</f>
        <v>Não</v>
      </c>
      <c r="AV5" s="22" t="s">
        <v>49</v>
      </c>
      <c r="AW5" s="25">
        <f t="shared" si="7"/>
        <v>0</v>
      </c>
      <c r="AX5" s="20">
        <f t="shared" si="8"/>
        <v>0</v>
      </c>
      <c r="AY5" s="20">
        <f t="shared" si="9"/>
        <v>0</v>
      </c>
      <c r="AZ5" s="20">
        <f>IF(AV5="Sim",AX5*R5,0)</f>
        <v>0</v>
      </c>
    </row>
    <row r="6" spans="1:52" x14ac:dyDescent="0.25">
      <c r="A6" s="6" t="str">
        <f>Exemplo_BRR_2024!A6</f>
        <v>5-2020</v>
      </c>
      <c r="B6" s="6">
        <f>Exemplo_BRR_2024!B6</f>
        <v>1004</v>
      </c>
      <c r="C6" s="6" t="str">
        <f>Exemplo_BRR_2024!C6</f>
        <v>9087-20</v>
      </c>
      <c r="D6" s="6">
        <f>Exemplo_BRR_2024!D6</f>
        <v>12357</v>
      </c>
      <c r="E6" s="8" t="str">
        <f>Exemplo_BRR_2024!E6</f>
        <v>Reserva Operacional</v>
      </c>
      <c r="F6" s="6" t="str">
        <f>Exemplo_BRR_2024!F6</f>
        <v>AGUA</v>
      </c>
      <c r="G6" s="6" t="str">
        <f>Exemplo_BRR_2024!G6</f>
        <v>Curitiba</v>
      </c>
      <c r="H6" s="6" t="s">
        <v>80</v>
      </c>
      <c r="I6" s="6">
        <f>IF(Exemplo_BRR_2024!AQ6="Sim",Exemplo_BRR_2024!I6-Exemplo_BRR_2024!AR6,Exemplo_BRR_2024!I6)</f>
        <v>10</v>
      </c>
      <c r="J6" s="9">
        <f>Exemplo_BRR_2024!J6</f>
        <v>80000</v>
      </c>
      <c r="K6" s="9">
        <f>Exemplo_BRR_2024!K6</f>
        <v>0</v>
      </c>
      <c r="L6" s="10">
        <f>Exemplo_BRR_2024!L6</f>
        <v>0</v>
      </c>
      <c r="M6" s="9">
        <f>Exemplo_BRR_2024!M6</f>
        <v>0</v>
      </c>
      <c r="N6" s="10">
        <f>Exemplo_BRR_2024!N6</f>
        <v>0</v>
      </c>
      <c r="O6" s="9">
        <f>Exemplo_BRR_2024!O6</f>
        <v>80000</v>
      </c>
      <c r="P6" s="9">
        <f>Exemplo_BRR_2024!P6</f>
        <v>0</v>
      </c>
      <c r="Q6" s="11">
        <f>Exemplo_BRR_2024!Q6</f>
        <v>0</v>
      </c>
      <c r="R6" s="12">
        <f>Exemplo_BRR_2024!R6</f>
        <v>0.11</v>
      </c>
      <c r="S6" s="13">
        <f>Exemplo_BRR_2024!S6</f>
        <v>0</v>
      </c>
      <c r="T6" s="11">
        <f>Exemplo_BRR_2024!T6</f>
        <v>0</v>
      </c>
      <c r="U6" s="9">
        <f>Exemplo_BRR_2024!U6</f>
        <v>0</v>
      </c>
      <c r="V6" s="14">
        <f>Exemplo_BRR_2024!V6</f>
        <v>80000</v>
      </c>
      <c r="W6" s="15">
        <f>Exemplo_BRR_2024!W6</f>
        <v>45292</v>
      </c>
      <c r="X6" s="15">
        <f>Exemplo_BRR_2024!X6</f>
        <v>45323</v>
      </c>
      <c r="Y6" s="15">
        <f>Exemplo_BRR_2024!Y6</f>
        <v>45657</v>
      </c>
      <c r="Z6" s="15">
        <f t="shared" si="10"/>
        <v>44561</v>
      </c>
      <c r="AA6" s="6">
        <v>6763.07</v>
      </c>
      <c r="AB6" s="15">
        <f t="shared" si="2"/>
        <v>45657</v>
      </c>
      <c r="AC6" s="6">
        <v>6800.22</v>
      </c>
      <c r="AD6" s="16">
        <f>ROUND(AC6/AA6-1,4)</f>
        <v>5.4999999999999997E-3</v>
      </c>
      <c r="AE6" s="9">
        <f>Exemplo_BRR_2024!I6/Imob_BRR_2021!I6*Exemplo_BRR_2024!AE6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 t="shared" si="4"/>
        <v>0</v>
      </c>
      <c r="AL6" s="16">
        <f t="shared" si="5"/>
        <v>0</v>
      </c>
      <c r="AM6" s="13">
        <f>IF((Z6-X6)/365*12&gt;AJ6*12,AJ6*12,(Z6-X6)/365*12)</f>
        <v>-25.052054794520551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 t="shared" si="6"/>
        <v>0</v>
      </c>
      <c r="AU6" s="11" t="str">
        <f>IF(AI6="Não deprecia","Não","Sim")</f>
        <v>Não</v>
      </c>
      <c r="AV6" s="11" t="s">
        <v>49</v>
      </c>
      <c r="AW6" s="14">
        <f t="shared" si="7"/>
        <v>0</v>
      </c>
      <c r="AX6" s="9">
        <f t="shared" si="8"/>
        <v>0</v>
      </c>
      <c r="AY6" s="9">
        <f t="shared" si="9"/>
        <v>0</v>
      </c>
      <c r="AZ6" s="9">
        <f>IF(AV6="Sim",AX6*R6,0)</f>
        <v>0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1993122.9550000001</v>
      </c>
      <c r="AX8" s="30">
        <f>SUM(AX2:AX6)</f>
        <v>1956755.2868347946</v>
      </c>
      <c r="AY8" s="17">
        <f>SUM(AY2:AY6)</f>
        <v>39862.4591</v>
      </c>
      <c r="AZ8" s="17">
        <f>SUM(AZ2:AZ6)</f>
        <v>215243.0815518274</v>
      </c>
    </row>
    <row r="9" spans="1:52" x14ac:dyDescent="0.25">
      <c r="E9" s="8"/>
      <c r="AV9" s="33" t="s">
        <v>59</v>
      </c>
      <c r="AW9" s="34">
        <f>IF(AW8&gt;0,AY8/AW8,0)</f>
        <v>0.02</v>
      </c>
    </row>
    <row r="10" spans="1:52" ht="30" x14ac:dyDescent="0.25">
      <c r="E10" s="8"/>
      <c r="AV10" s="31" t="s">
        <v>57</v>
      </c>
      <c r="AW10" s="32">
        <f>IF(AW9&gt;0,1/AW9,0)</f>
        <v>50</v>
      </c>
    </row>
    <row r="13" spans="1:52" x14ac:dyDescent="0.25">
      <c r="AO13" s="14"/>
    </row>
    <row r="14" spans="1:52" x14ac:dyDescent="0.25">
      <c r="AO14" s="9"/>
      <c r="AT14" s="46"/>
    </row>
    <row r="15" spans="1:52" x14ac:dyDescent="0.25">
      <c r="AO15" s="14"/>
    </row>
    <row r="16" spans="1:52" x14ac:dyDescent="0.25">
      <c r="AO16" s="14"/>
    </row>
    <row r="17" spans="41:41" x14ac:dyDescent="0.25">
      <c r="AO17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D1D-18CE-495D-A678-763E0D8D67BF}">
  <dimension ref="A1:DF10"/>
  <sheetViews>
    <sheetView workbookViewId="0">
      <pane xSplit="9" ySplit="1" topLeftCell="AV2" activePane="bottomRight" state="frozen"/>
      <selection activeCell="C16" sqref="C16"/>
      <selection pane="topRight" activeCell="C16" sqref="C16"/>
      <selection pane="bottomLeft" activeCell="C16" sqref="C16"/>
      <selection pane="bottomRight" activeCell="AZ9" sqref="AZ9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4" width="11.140625" style="6" bestFit="1" customWidth="1"/>
    <col min="45" max="45" width="10.7109375" style="6" bestFit="1" customWidth="1"/>
    <col min="46" max="46" width="11.42578125" style="6" bestFit="1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Exemplo_BRR_2024!A2</f>
        <v>1-2020</v>
      </c>
      <c r="B2" s="6">
        <f>Exemplo_BRR_2024!B2</f>
        <v>1001</v>
      </c>
      <c r="C2" s="6" t="str">
        <f>Exemplo_BRR_2024!C2</f>
        <v>8090-20</v>
      </c>
      <c r="D2" s="6">
        <f>Exemplo_BRR_2024!D2</f>
        <v>12356</v>
      </c>
      <c r="E2" s="8" t="str">
        <f>Exemplo_BRR_2024!E2</f>
        <v>Tubulações</v>
      </c>
      <c r="F2" s="6" t="str">
        <f>Exemplo_BRR_2024!F2</f>
        <v>AGUA</v>
      </c>
      <c r="G2" s="6" t="str">
        <f>Exemplo_BRR_2024!G2</f>
        <v>Curitiba</v>
      </c>
      <c r="H2" s="6" t="s">
        <v>79</v>
      </c>
      <c r="I2" s="6">
        <f>IF(Imob_BRR_2021!AQ2="Sim",Imob_BRR_2021!I2-Imob_BRR_2021!AR2,Imob_BRR_2021!I2)</f>
        <v>1000</v>
      </c>
      <c r="J2" s="9">
        <f>Exemplo_BRR_2024!J2</f>
        <v>1647890</v>
      </c>
      <c r="K2" s="9">
        <f>Exemplo_BRR_2024!K2</f>
        <v>0</v>
      </c>
      <c r="L2" s="10">
        <f>Exemplo_BRR_2024!L2</f>
        <v>0</v>
      </c>
      <c r="M2" s="9">
        <f>Exemplo_BRR_2024!M2</f>
        <v>0</v>
      </c>
      <c r="N2" s="10">
        <f>Exemplo_BRR_2024!N2</f>
        <v>0</v>
      </c>
      <c r="O2" s="9">
        <f>Exemplo_BRR_2024!O2</f>
        <v>1647890</v>
      </c>
      <c r="P2" s="9">
        <f>Exemplo_BRR_2024!P2</f>
        <v>0</v>
      </c>
      <c r="Q2" s="11">
        <f>Exemplo_BRR_2024!Q2</f>
        <v>0</v>
      </c>
      <c r="R2" s="12">
        <f>Exemplo_BRR_2024!R2</f>
        <v>0.11</v>
      </c>
      <c r="S2" s="13">
        <f>Exemplo_BRR_2024!S2</f>
        <v>0</v>
      </c>
      <c r="T2" s="11">
        <f>Exemplo_BRR_2024!T2</f>
        <v>0</v>
      </c>
      <c r="U2" s="9">
        <f>Exemplo_BRR_2024!U2</f>
        <v>0</v>
      </c>
      <c r="V2" s="14">
        <f>Exemplo_BRR_2024!V2</f>
        <v>1647890</v>
      </c>
      <c r="W2" s="15">
        <f>Exemplo_BRR_2024!W2</f>
        <v>44197</v>
      </c>
      <c r="X2" s="15">
        <f>Exemplo_BRR_2024!X2</f>
        <v>44228</v>
      </c>
      <c r="Y2" s="15">
        <f>Exemplo_BRR_2024!Y2</f>
        <v>45657</v>
      </c>
      <c r="Z2" s="15">
        <v>44926</v>
      </c>
      <c r="AA2" s="6">
        <v>5622.43</v>
      </c>
      <c r="AB2" s="15">
        <f>Y2</f>
        <v>45657</v>
      </c>
      <c r="AC2" s="6">
        <v>6800.22</v>
      </c>
      <c r="AD2" s="16">
        <f>ROUND(AC2/AA2-1,4)</f>
        <v>0.20949999999999999</v>
      </c>
      <c r="AE2" s="9">
        <f>Imob_BRR_2021!I2/Imob_BRR_2022!I2*Imob_BRR_2021!AE2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 t="shared" ref="AJ2:AJ5" si="0"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22.947945205479449</v>
      </c>
      <c r="AN2" s="14">
        <f>AL2*AM2*AE2</f>
        <v>76230.127265205476</v>
      </c>
      <c r="AO2" s="14">
        <f>AE2-AN2</f>
        <v>1916892.8277347947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 t="shared" ref="AU2:AU4" si="1">IF(AI2="Não deprecia","Não","Sim")</f>
        <v>Sim</v>
      </c>
      <c r="AV2" s="11" t="s">
        <v>49</v>
      </c>
      <c r="AW2" s="14">
        <f>IF(Z2&gt;X2,IF(AU2="Sim",IF(AO2&gt;0,IF(AQ2="Sim",IF(AR2&gt;I2,0,AE2*AP2*(AT2)+AE2*AP2*(1-AR2/I2)*(1-AT2)),AE2*AP2),0),0),0)</f>
        <v>1993122.9550000001</v>
      </c>
      <c r="AX2" s="9">
        <f>IF(Z2&gt;X2,IF(AV2="Sim",IF(AO2&gt;0,IF(AQ2="Sim",IF(AR2&gt;I2,0,AO2*AP2*(AT2)+AO2*AP2*(1-AR2/I2)*(1-AT2)),AO2*AP2),0),0),0)</f>
        <v>1916892.8277347947</v>
      </c>
      <c r="AY2" s="9">
        <f>IF(AU2="Sim",AW2*AK2,0)</f>
        <v>39862.4591</v>
      </c>
      <c r="AZ2" s="9">
        <f>IF(AV2="Sim",AX2*R2,0)</f>
        <v>210858.21105082741</v>
      </c>
    </row>
    <row r="3" spans="1:52" x14ac:dyDescent="0.25">
      <c r="A3" s="18" t="str">
        <f>Exemplo_BRR_2024!A3</f>
        <v>2-2020</v>
      </c>
      <c r="B3" s="18">
        <f>Exemplo_BRR_2024!B3</f>
        <v>1002</v>
      </c>
      <c r="C3" s="18" t="str">
        <f>Exemplo_BRR_2024!C3</f>
        <v>8099-20</v>
      </c>
      <c r="D3" s="18">
        <f>Exemplo_BRR_2024!D3</f>
        <v>12356</v>
      </c>
      <c r="E3" s="19" t="str">
        <f>Exemplo_BRR_2024!E3</f>
        <v>Construções Civis</v>
      </c>
      <c r="F3" s="18" t="str">
        <f>Exemplo_BRR_2024!F3</f>
        <v>ESGOTO</v>
      </c>
      <c r="G3" s="18" t="str">
        <f>Exemplo_BRR_2024!G3</f>
        <v>Londrina</v>
      </c>
      <c r="H3" s="18" t="s">
        <v>83</v>
      </c>
      <c r="I3" s="18">
        <f>IF(Imob_BRR_2021!AQ3="Sim",Imob_BRR_2021!I3-Imob_BRR_2021!AR3,Imob_BRR_2021!I3)</f>
        <v>1</v>
      </c>
      <c r="J3" s="20">
        <f>Exemplo_BRR_2024!J3</f>
        <v>2000000</v>
      </c>
      <c r="K3" s="20">
        <f>Exemplo_BRR_2024!K3</f>
        <v>0</v>
      </c>
      <c r="L3" s="21">
        <f>Exemplo_BRR_2024!L3</f>
        <v>0</v>
      </c>
      <c r="M3" s="20">
        <f>Exemplo_BRR_2024!M3</f>
        <v>300000</v>
      </c>
      <c r="N3" s="21">
        <f>Exemplo_BRR_2024!N3</f>
        <v>0.15</v>
      </c>
      <c r="O3" s="20">
        <f>Exemplo_BRR_2024!O3</f>
        <v>2300000</v>
      </c>
      <c r="P3" s="20">
        <f>Exemplo_BRR_2024!P3</f>
        <v>250000</v>
      </c>
      <c r="Q3" s="22">
        <f>Exemplo_BRR_2024!Q3</f>
        <v>0.10869565217391304</v>
      </c>
      <c r="R3" s="23">
        <f>Exemplo_BRR_2024!R3</f>
        <v>0.11</v>
      </c>
      <c r="S3" s="24">
        <f>Exemplo_BRR_2024!S3</f>
        <v>12</v>
      </c>
      <c r="T3" s="22">
        <f>Exemplo_BRR_2024!T3</f>
        <v>0.1100000000000001</v>
      </c>
      <c r="U3" s="20">
        <f>Exemplo_BRR_2024!U3</f>
        <v>253000.00000000023</v>
      </c>
      <c r="V3" s="25">
        <f>Exemplo_BRR_2024!V3</f>
        <v>2553000</v>
      </c>
      <c r="W3" s="26">
        <f>Exemplo_BRR_2024!W3</f>
        <v>44562</v>
      </c>
      <c r="X3" s="26">
        <f>Exemplo_BRR_2024!X3</f>
        <v>44593</v>
      </c>
      <c r="Y3" s="26">
        <f>Exemplo_BRR_2024!Y3</f>
        <v>45657</v>
      </c>
      <c r="Z3" s="26">
        <f>Z2</f>
        <v>44926</v>
      </c>
      <c r="AA3" s="18">
        <v>6215.24</v>
      </c>
      <c r="AB3" s="26">
        <f t="shared" ref="AB3:AB6" si="2">Y3</f>
        <v>45657</v>
      </c>
      <c r="AC3" s="18">
        <v>6800.22</v>
      </c>
      <c r="AD3" s="27">
        <f t="shared" ref="AD3:AD5" si="3">ROUND(AC3/AA3-1,4)</f>
        <v>9.4100000000000003E-2</v>
      </c>
      <c r="AE3" s="20">
        <f>Imob_BRR_2021!I3/Imob_BRR_2022!I3*Imob_BRR_2021!AE3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 t="shared" si="0"/>
        <v>30</v>
      </c>
      <c r="AK3" s="27">
        <f t="shared" ref="AK3:AK6" si="4">IF(AJ3&lt;&gt;0,1/AJ3,0)</f>
        <v>3.3333333333333333E-2</v>
      </c>
      <c r="AL3" s="27">
        <f t="shared" ref="AL3:AL6" si="5">AK3/12</f>
        <v>2.7777777777777779E-3</v>
      </c>
      <c r="AM3" s="24">
        <f>IF((Z3-X3)/365*12&gt;AJ3*12,AJ3*12,(Z3-X3)/365*12)</f>
        <v>10.947945205479453</v>
      </c>
      <c r="AN3" s="25">
        <f>AL3*AM3*AE3</f>
        <v>84945.024739726039</v>
      </c>
      <c r="AO3" s="25">
        <f>AE3-AN3</f>
        <v>2708292.2752602743</v>
      </c>
      <c r="AP3" s="23">
        <v>0.8</v>
      </c>
      <c r="AQ3" s="23" t="s">
        <v>50</v>
      </c>
      <c r="AR3" s="24">
        <v>0</v>
      </c>
      <c r="AS3" s="26"/>
      <c r="AT3" s="45">
        <f t="shared" ref="AT3:AT6" si="6">IF(YEAR(AS3)&lt;YEAR(Z3),0,(MONTH(AS3)-1)/12)</f>
        <v>0</v>
      </c>
      <c r="AU3" s="22" t="str">
        <f t="shared" si="1"/>
        <v>Sim</v>
      </c>
      <c r="AV3" s="22" t="s">
        <v>49</v>
      </c>
      <c r="AW3" s="25">
        <f t="shared" ref="AW3:AW6" si="7">IF(Z3&gt;X3,IF(AU3="Sim",IF(AO3&gt;0,IF(AQ3="Sim",IF(AR3&gt;I3,0,AE3*AP3*(AT3)+AE3*AP3*(1-AR3/I3)*(1-AT3)),AE3*AP3),0),0),0)</f>
        <v>2234589.8400000003</v>
      </c>
      <c r="AX3" s="20">
        <f t="shared" ref="AX3:AX6" si="8">IF(Z3&gt;X3,IF(AV3="Sim",IF(AO3&gt;0,IF(AQ3="Sim",IF(AR3&gt;I3,0,AO3*AP3*(AT3)+AO3*AP3*(1-AR3/I3)*(1-AT3)),AO3*AP3),0),0),0)</f>
        <v>2166633.8202082193</v>
      </c>
      <c r="AY3" s="20">
        <f t="shared" ref="AY3:AY6" si="9">IF(AU3="Sim",AW3*AK3,0)</f>
        <v>74486.328000000009</v>
      </c>
      <c r="AZ3" s="20">
        <f>IF(AV3="Sim",AX3*R3,0)</f>
        <v>238329.72022290414</v>
      </c>
    </row>
    <row r="4" spans="1:52" x14ac:dyDescent="0.25">
      <c r="A4" s="6" t="str">
        <f>Exemplo_BRR_2024!A4</f>
        <v>3-2020</v>
      </c>
      <c r="B4" s="6">
        <f>Exemplo_BRR_2024!B4</f>
        <v>1003</v>
      </c>
      <c r="C4" s="6" t="str">
        <f>Exemplo_BRR_2024!C4</f>
        <v>8099-20</v>
      </c>
      <c r="D4" s="6">
        <f>Exemplo_BRR_2024!D4</f>
        <v>12356</v>
      </c>
      <c r="E4" s="8" t="str">
        <f>Exemplo_BRR_2024!E4</f>
        <v>Equipamentos</v>
      </c>
      <c r="F4" s="6" t="str">
        <f>Exemplo_BRR_2024!F4</f>
        <v>AGUA</v>
      </c>
      <c r="G4" s="6" t="str">
        <f>Exemplo_BRR_2024!G4</f>
        <v>Maringá</v>
      </c>
      <c r="H4" s="6" t="s">
        <v>82</v>
      </c>
      <c r="I4" s="6">
        <f>IF(Imob_BRR_2021!AQ4="Sim",Imob_BRR_2021!I4-Imob_BRR_2021!AR4,Imob_BRR_2021!I4)</f>
        <v>1</v>
      </c>
      <c r="J4" s="9">
        <f>Exemplo_BRR_2024!J4</f>
        <v>850000</v>
      </c>
      <c r="K4" s="9">
        <f>Exemplo_BRR_2024!K4</f>
        <v>63750</v>
      </c>
      <c r="L4" s="10">
        <f>Exemplo_BRR_2024!L4</f>
        <v>7.4999999999999997E-2</v>
      </c>
      <c r="M4" s="9">
        <f>Exemplo_BRR_2024!M4</f>
        <v>63750</v>
      </c>
      <c r="N4" s="10">
        <f>Exemplo_BRR_2024!N4</f>
        <v>7.4999999999999997E-2</v>
      </c>
      <c r="O4" s="9">
        <f>Exemplo_BRR_2024!O4</f>
        <v>977500</v>
      </c>
      <c r="P4" s="9">
        <f>Exemplo_BRR_2024!P4</f>
        <v>83000</v>
      </c>
      <c r="Q4" s="11">
        <f>Exemplo_BRR_2024!Q4</f>
        <v>8.4910485933503838E-2</v>
      </c>
      <c r="R4" s="12">
        <f>Exemplo_BRR_2024!R4</f>
        <v>0.11</v>
      </c>
      <c r="S4" s="13">
        <f>Exemplo_BRR_2024!S4</f>
        <v>12</v>
      </c>
      <c r="T4" s="11">
        <f>Exemplo_BRR_2024!T4</f>
        <v>0.1100000000000001</v>
      </c>
      <c r="U4" s="9">
        <f>Exemplo_BRR_2024!U4</f>
        <v>107525.0000000001</v>
      </c>
      <c r="V4" s="14">
        <f>Exemplo_BRR_2024!V4</f>
        <v>1085025</v>
      </c>
      <c r="W4" s="15">
        <f>Exemplo_BRR_2024!W4</f>
        <v>44927</v>
      </c>
      <c r="X4" s="15">
        <f>Exemplo_BRR_2024!X4</f>
        <v>44958</v>
      </c>
      <c r="Y4" s="15">
        <f>Exemplo_BRR_2024!Y4</f>
        <v>45657</v>
      </c>
      <c r="Z4" s="15">
        <f t="shared" ref="Z4:Z6" si="10">Z3</f>
        <v>44926</v>
      </c>
      <c r="AA4" s="6">
        <v>6563.07</v>
      </c>
      <c r="AB4" s="15">
        <f t="shared" si="2"/>
        <v>45657</v>
      </c>
      <c r="AC4" s="6">
        <v>6800.22</v>
      </c>
      <c r="AD4" s="16">
        <f t="shared" si="3"/>
        <v>3.61E-2</v>
      </c>
      <c r="AE4" s="9">
        <f>Imob_BRR_2021!I4/Imob_BRR_2022!I4*Imob_BRR_2021!AE4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 t="shared" si="0"/>
        <v>30</v>
      </c>
      <c r="AK4" s="16">
        <f t="shared" si="4"/>
        <v>3.3333333333333333E-2</v>
      </c>
      <c r="AL4" s="16">
        <f t="shared" si="5"/>
        <v>2.7777777777777779E-3</v>
      </c>
      <c r="AM4" s="13">
        <f>IF((Z4-X4)/365*12&gt;AJ4*12,AJ4*12,(Z4-X4)/365*12)</f>
        <v>-1.0520547945205481</v>
      </c>
      <c r="AN4" s="14">
        <f>AL4*AM4*AE4</f>
        <v>-3285.3169753424668</v>
      </c>
      <c r="AO4" s="14">
        <f>AE4-AN4</f>
        <v>1127479.7194753427</v>
      </c>
      <c r="AP4" s="11">
        <v>0.8</v>
      </c>
      <c r="AQ4" s="11" t="s">
        <v>50</v>
      </c>
      <c r="AR4" s="44">
        <v>0</v>
      </c>
      <c r="AS4" s="15"/>
      <c r="AT4" s="47">
        <f t="shared" si="6"/>
        <v>0</v>
      </c>
      <c r="AU4" s="11" t="str">
        <f t="shared" si="1"/>
        <v>Sim</v>
      </c>
      <c r="AV4" s="11" t="s">
        <v>49</v>
      </c>
      <c r="AW4" s="14">
        <f t="shared" si="7"/>
        <v>0</v>
      </c>
      <c r="AX4" s="9">
        <f t="shared" si="8"/>
        <v>0</v>
      </c>
      <c r="AY4" s="9">
        <f t="shared" si="9"/>
        <v>0</v>
      </c>
      <c r="AZ4" s="9">
        <f>IF(AV4="Sim",AX4*R4,0)</f>
        <v>0</v>
      </c>
    </row>
    <row r="5" spans="1:52" x14ac:dyDescent="0.25">
      <c r="A5" s="18" t="str">
        <f>Exemplo_BRR_2024!A5</f>
        <v>4-2020</v>
      </c>
      <c r="B5" s="18">
        <f>Exemplo_BRR_2024!B5</f>
        <v>1003</v>
      </c>
      <c r="C5" s="18" t="str">
        <f>Exemplo_BRR_2024!C5</f>
        <v>8099-20</v>
      </c>
      <c r="D5" s="18">
        <f>Exemplo_BRR_2024!D5</f>
        <v>12356</v>
      </c>
      <c r="E5" s="19" t="str">
        <f>Exemplo_BRR_2024!E5</f>
        <v>Terrenos</v>
      </c>
      <c r="F5" s="18" t="str">
        <f>Exemplo_BRR_2024!F5</f>
        <v>AGUA</v>
      </c>
      <c r="G5" s="18" t="str">
        <f>Exemplo_BRR_2024!G5</f>
        <v>Cascavel</v>
      </c>
      <c r="H5" s="18" t="s">
        <v>81</v>
      </c>
      <c r="I5" s="18">
        <f>IF(Imob_BRR_2021!AQ5="Sim",Imob_BRR_2021!I5-Imob_BRR_2021!AR5,Imob_BRR_2021!I5)</f>
        <v>1</v>
      </c>
      <c r="J5" s="20">
        <f>Exemplo_BRR_2024!J5</f>
        <v>350000</v>
      </c>
      <c r="K5" s="20">
        <f>Exemplo_BRR_2024!K5</f>
        <v>0</v>
      </c>
      <c r="L5" s="21">
        <f>Exemplo_BRR_2024!L5</f>
        <v>0</v>
      </c>
      <c r="M5" s="20">
        <f>Exemplo_BRR_2024!M5</f>
        <v>0</v>
      </c>
      <c r="N5" s="21">
        <f>Exemplo_BRR_2024!N5</f>
        <v>0</v>
      </c>
      <c r="O5" s="20">
        <f>Exemplo_BRR_2024!O5</f>
        <v>350000</v>
      </c>
      <c r="P5" s="20">
        <f>Exemplo_BRR_2024!P5</f>
        <v>0</v>
      </c>
      <c r="Q5" s="22">
        <f>Exemplo_BRR_2024!Q5</f>
        <v>0</v>
      </c>
      <c r="R5" s="23">
        <f>Exemplo_BRR_2024!R5</f>
        <v>0.11</v>
      </c>
      <c r="S5" s="24">
        <f>Exemplo_BRR_2024!S5</f>
        <v>0</v>
      </c>
      <c r="T5" s="22">
        <f>Exemplo_BRR_2024!T5</f>
        <v>0</v>
      </c>
      <c r="U5" s="20">
        <f>Exemplo_BRR_2024!U5</f>
        <v>0</v>
      </c>
      <c r="V5" s="25">
        <f>Exemplo_BRR_2024!V5</f>
        <v>350000</v>
      </c>
      <c r="W5" s="26">
        <f>Exemplo_BRR_2024!W5</f>
        <v>45292</v>
      </c>
      <c r="X5" s="26">
        <f>Exemplo_BRR_2024!X5</f>
        <v>45323</v>
      </c>
      <c r="Y5" s="26">
        <f>Exemplo_BRR_2024!Y5</f>
        <v>45657</v>
      </c>
      <c r="Z5" s="26">
        <f t="shared" si="10"/>
        <v>44926</v>
      </c>
      <c r="AA5" s="18">
        <v>6763.07</v>
      </c>
      <c r="AB5" s="26">
        <f t="shared" si="2"/>
        <v>45657</v>
      </c>
      <c r="AC5" s="18">
        <v>6800.22</v>
      </c>
      <c r="AD5" s="27">
        <f t="shared" si="3"/>
        <v>5.4999999999999997E-3</v>
      </c>
      <c r="AE5" s="20">
        <f>Imob_BRR_2021!I5/Imob_BRR_2022!I5*Imob_BRR_2021!AE5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 t="shared" si="0"/>
        <v>0</v>
      </c>
      <c r="AK5" s="27">
        <f t="shared" si="4"/>
        <v>0</v>
      </c>
      <c r="AL5" s="27">
        <f t="shared" si="5"/>
        <v>0</v>
      </c>
      <c r="AM5" s="24">
        <f>IF((Z5-X5)/365*12&gt;AJ5*12,AJ5*12,(Z5-X5)/365*12)</f>
        <v>-13.052054794520549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 t="shared" si="6"/>
        <v>0</v>
      </c>
      <c r="AU5" s="22" t="str">
        <f>IF(AI5="Não deprecia","Não","Sim")</f>
        <v>Não</v>
      </c>
      <c r="AV5" s="22" t="s">
        <v>49</v>
      </c>
      <c r="AW5" s="25">
        <f t="shared" si="7"/>
        <v>0</v>
      </c>
      <c r="AX5" s="20">
        <f t="shared" si="8"/>
        <v>0</v>
      </c>
      <c r="AY5" s="20">
        <f t="shared" si="9"/>
        <v>0</v>
      </c>
      <c r="AZ5" s="20">
        <f>IF(AV5="Sim",AX5*R5,0)</f>
        <v>0</v>
      </c>
    </row>
    <row r="6" spans="1:52" x14ac:dyDescent="0.25">
      <c r="A6" s="6" t="str">
        <f>Exemplo_BRR_2024!A6</f>
        <v>5-2020</v>
      </c>
      <c r="B6" s="6">
        <f>Exemplo_BRR_2024!B6</f>
        <v>1004</v>
      </c>
      <c r="C6" s="6" t="str">
        <f>Exemplo_BRR_2024!C6</f>
        <v>9087-20</v>
      </c>
      <c r="D6" s="6">
        <f>Exemplo_BRR_2024!D6</f>
        <v>12357</v>
      </c>
      <c r="E6" s="8" t="str">
        <f>Exemplo_BRR_2024!E6</f>
        <v>Reserva Operacional</v>
      </c>
      <c r="F6" s="6" t="str">
        <f>Exemplo_BRR_2024!F6</f>
        <v>AGUA</v>
      </c>
      <c r="G6" s="6" t="str">
        <f>Exemplo_BRR_2024!G6</f>
        <v>Curitiba</v>
      </c>
      <c r="H6" s="6" t="s">
        <v>80</v>
      </c>
      <c r="I6" s="6">
        <f>IF(Imob_BRR_2021!AQ6="Sim",Imob_BRR_2021!I6-Imob_BRR_2021!AR6,Imob_BRR_2021!I6)</f>
        <v>10</v>
      </c>
      <c r="J6" s="9">
        <f>Exemplo_BRR_2024!J6</f>
        <v>80000</v>
      </c>
      <c r="K6" s="9">
        <f>Exemplo_BRR_2024!K6</f>
        <v>0</v>
      </c>
      <c r="L6" s="10">
        <f>Exemplo_BRR_2024!L6</f>
        <v>0</v>
      </c>
      <c r="M6" s="9">
        <f>Exemplo_BRR_2024!M6</f>
        <v>0</v>
      </c>
      <c r="N6" s="10">
        <f>Exemplo_BRR_2024!N6</f>
        <v>0</v>
      </c>
      <c r="O6" s="9">
        <f>Exemplo_BRR_2024!O6</f>
        <v>80000</v>
      </c>
      <c r="P6" s="9">
        <f>Exemplo_BRR_2024!P6</f>
        <v>0</v>
      </c>
      <c r="Q6" s="11">
        <f>Exemplo_BRR_2024!Q6</f>
        <v>0</v>
      </c>
      <c r="R6" s="12">
        <f>Exemplo_BRR_2024!R6</f>
        <v>0.11</v>
      </c>
      <c r="S6" s="13">
        <f>Exemplo_BRR_2024!S6</f>
        <v>0</v>
      </c>
      <c r="T6" s="11">
        <f>Exemplo_BRR_2024!T6</f>
        <v>0</v>
      </c>
      <c r="U6" s="9">
        <f>Exemplo_BRR_2024!U6</f>
        <v>0</v>
      </c>
      <c r="V6" s="14">
        <f>Exemplo_BRR_2024!V6</f>
        <v>80000</v>
      </c>
      <c r="W6" s="15">
        <f>Exemplo_BRR_2024!W6</f>
        <v>45292</v>
      </c>
      <c r="X6" s="15">
        <f>Exemplo_BRR_2024!X6</f>
        <v>45323</v>
      </c>
      <c r="Y6" s="15">
        <f>Exemplo_BRR_2024!Y6</f>
        <v>45657</v>
      </c>
      <c r="Z6" s="15">
        <f t="shared" si="10"/>
        <v>44926</v>
      </c>
      <c r="AA6" s="6">
        <v>6763.07</v>
      </c>
      <c r="AB6" s="15">
        <f t="shared" si="2"/>
        <v>45657</v>
      </c>
      <c r="AC6" s="6">
        <v>6800.22</v>
      </c>
      <c r="AD6" s="16">
        <f>ROUND(AC6/AA6-1,4)</f>
        <v>5.4999999999999997E-3</v>
      </c>
      <c r="AE6" s="9">
        <f>Imob_BRR_2021!I6/Imob_BRR_2022!I6*Imob_BRR_2021!AE6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 t="shared" si="4"/>
        <v>0</v>
      </c>
      <c r="AL6" s="16">
        <f t="shared" si="5"/>
        <v>0</v>
      </c>
      <c r="AM6" s="13">
        <f>IF((Z6-X6)/365*12&gt;AJ6*12,AJ6*12,(Z6-X6)/365*12)</f>
        <v>-13.052054794520549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 t="shared" si="6"/>
        <v>0</v>
      </c>
      <c r="AU6" s="11" t="str">
        <f>IF(AI6="Não deprecia","Não","Sim")</f>
        <v>Não</v>
      </c>
      <c r="AV6" s="11" t="s">
        <v>49</v>
      </c>
      <c r="AW6" s="14">
        <f t="shared" si="7"/>
        <v>0</v>
      </c>
      <c r="AX6" s="9">
        <f t="shared" si="8"/>
        <v>0</v>
      </c>
      <c r="AY6" s="9">
        <f t="shared" si="9"/>
        <v>0</v>
      </c>
      <c r="AZ6" s="9">
        <f>IF(AV6="Sim",AX6*R6,0)</f>
        <v>0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4227712.7949999999</v>
      </c>
      <c r="AX8" s="30">
        <f>SUM(AX2:AX6)</f>
        <v>4083526.6479430143</v>
      </c>
      <c r="AY8" s="17">
        <f>SUM(AY2:AY6)</f>
        <v>114348.78710000002</v>
      </c>
      <c r="AZ8" s="17">
        <f>SUM(AZ2:AZ6)</f>
        <v>449187.93127373152</v>
      </c>
    </row>
    <row r="9" spans="1:52" x14ac:dyDescent="0.25">
      <c r="E9" s="8"/>
      <c r="AV9" s="33" t="s">
        <v>59</v>
      </c>
      <c r="AW9" s="34">
        <f>IF(AW8&gt;0,AY8/AW8,0)</f>
        <v>2.7047435018584327E-2</v>
      </c>
    </row>
    <row r="10" spans="1:52" ht="30" x14ac:dyDescent="0.25">
      <c r="E10" s="8"/>
      <c r="AV10" s="31" t="s">
        <v>57</v>
      </c>
      <c r="AW10" s="32">
        <f>IF(AW9&gt;0,1/AW9,0)</f>
        <v>36.972082539911781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502E-17E9-4269-BF97-7CAB7DCD83C4}">
  <dimension ref="A1:DF10"/>
  <sheetViews>
    <sheetView workbookViewId="0">
      <pane xSplit="9" ySplit="1" topLeftCell="AV2" activePane="bottomRight" state="frozen"/>
      <selection activeCell="C16" sqref="C16"/>
      <selection pane="topRight" activeCell="C16" sqref="C16"/>
      <selection pane="bottomLeft" activeCell="C16" sqref="C16"/>
      <selection pane="bottomRight" activeCell="AZ9" sqref="AZ9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6" width="14" style="6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Exemplo_BRR_2024!A2</f>
        <v>1-2020</v>
      </c>
      <c r="B2" s="6">
        <f>Exemplo_BRR_2024!B2</f>
        <v>1001</v>
      </c>
      <c r="C2" s="6" t="str">
        <f>Exemplo_BRR_2024!C2</f>
        <v>8090-20</v>
      </c>
      <c r="D2" s="6">
        <f>Exemplo_BRR_2024!D2</f>
        <v>12356</v>
      </c>
      <c r="E2" s="8" t="str">
        <f>Exemplo_BRR_2024!E2</f>
        <v>Tubulações</v>
      </c>
      <c r="F2" s="6" t="str">
        <f>Exemplo_BRR_2024!F2</f>
        <v>AGUA</v>
      </c>
      <c r="G2" s="6" t="str">
        <f>Exemplo_BRR_2024!G2</f>
        <v>Curitiba</v>
      </c>
      <c r="H2" s="6" t="s">
        <v>79</v>
      </c>
      <c r="I2" s="6">
        <f>IF(Imob_BRR_2022!AQ2="Sim",Imob_BRR_2022!I2-Imob_BRR_2022!AR2,Imob_BRR_2022!I2)</f>
        <v>1000</v>
      </c>
      <c r="J2" s="9">
        <f>Exemplo_BRR_2024!J2</f>
        <v>1647890</v>
      </c>
      <c r="K2" s="9">
        <f>Exemplo_BRR_2024!K2</f>
        <v>0</v>
      </c>
      <c r="L2" s="10">
        <f>Exemplo_BRR_2024!L2</f>
        <v>0</v>
      </c>
      <c r="M2" s="9">
        <f>Exemplo_BRR_2024!M2</f>
        <v>0</v>
      </c>
      <c r="N2" s="10">
        <f>Exemplo_BRR_2024!N2</f>
        <v>0</v>
      </c>
      <c r="O2" s="9">
        <f>Exemplo_BRR_2024!O2</f>
        <v>1647890</v>
      </c>
      <c r="P2" s="9">
        <f>Exemplo_BRR_2024!P2</f>
        <v>0</v>
      </c>
      <c r="Q2" s="11">
        <f>Exemplo_BRR_2024!Q2</f>
        <v>0</v>
      </c>
      <c r="R2" s="12">
        <f>Exemplo_BRR_2024!R2</f>
        <v>0.11</v>
      </c>
      <c r="S2" s="13">
        <f>Exemplo_BRR_2024!S2</f>
        <v>0</v>
      </c>
      <c r="T2" s="11">
        <f>Exemplo_BRR_2024!T2</f>
        <v>0</v>
      </c>
      <c r="U2" s="9">
        <f>Exemplo_BRR_2024!U2</f>
        <v>0</v>
      </c>
      <c r="V2" s="14">
        <f>Exemplo_BRR_2024!V2</f>
        <v>1647890</v>
      </c>
      <c r="W2" s="15">
        <f>Exemplo_BRR_2024!W2</f>
        <v>44197</v>
      </c>
      <c r="X2" s="15">
        <f>Exemplo_BRR_2024!X2</f>
        <v>44228</v>
      </c>
      <c r="Y2" s="15">
        <f>Exemplo_BRR_2024!Y2</f>
        <v>45657</v>
      </c>
      <c r="Z2" s="15">
        <v>45291</v>
      </c>
      <c r="AA2" s="6">
        <v>5622.43</v>
      </c>
      <c r="AB2" s="15">
        <f>Y2</f>
        <v>45657</v>
      </c>
      <c r="AC2" s="6">
        <v>6800.22</v>
      </c>
      <c r="AD2" s="16">
        <f>ROUND(AC2/AA2-1,4)</f>
        <v>0.20949999999999999</v>
      </c>
      <c r="AE2" s="9">
        <f>Imob_BRR_2022!I2/Imob_BRR_2023!I2*Imob_BRR_2022!AE2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 t="shared" ref="AJ2:AJ5" si="0"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34.947945205479449</v>
      </c>
      <c r="AN2" s="14">
        <f>AL2*AM2*AE2</f>
        <v>116092.58636520548</v>
      </c>
      <c r="AO2" s="14">
        <f>AE2-AN2</f>
        <v>1877030.3686347946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>IF(AI2="Não deprecia","Não","Sim")</f>
        <v>Sim</v>
      </c>
      <c r="AV2" s="11" t="s">
        <v>49</v>
      </c>
      <c r="AW2" s="14">
        <f>IF(Z2&gt;X2,IF(AU2="Sim",IF(AO2&gt;0,IF(AQ2="Sim",IF(AR2&gt;I2,0,AE2*AP2*(AT2)+AE2*AP2*(1-AR2/I2)*(1-AT2)),AE2*AP2),0),0),0)</f>
        <v>1993122.9550000001</v>
      </c>
      <c r="AX2" s="9">
        <f>IF(Z2&gt;X2,IF(AV2="Sim",IF(AO2&gt;0,IF(AQ2="Sim",IF(AR2&gt;I2,0,AO2*AP2*(AT2)+AO2*AP2*(1-AR2/I2)*(1-AT2)),AO2*AP2),0),0),0)</f>
        <v>1877030.3686347946</v>
      </c>
      <c r="AY2" s="9">
        <f>IF(AU2="Sim",AW2*AK2,0)</f>
        <v>39862.4591</v>
      </c>
      <c r="AZ2" s="9">
        <f>IF(AV2="Sim",AX2*R2,0)</f>
        <v>206473.34054982741</v>
      </c>
    </row>
    <row r="3" spans="1:52" x14ac:dyDescent="0.25">
      <c r="A3" s="18" t="str">
        <f>Exemplo_BRR_2024!A3</f>
        <v>2-2020</v>
      </c>
      <c r="B3" s="18">
        <f>Exemplo_BRR_2024!B3</f>
        <v>1002</v>
      </c>
      <c r="C3" s="18" t="str">
        <f>Exemplo_BRR_2024!C3</f>
        <v>8099-20</v>
      </c>
      <c r="D3" s="18">
        <f>Exemplo_BRR_2024!D3</f>
        <v>12356</v>
      </c>
      <c r="E3" s="19" t="str">
        <f>Exemplo_BRR_2024!E3</f>
        <v>Construções Civis</v>
      </c>
      <c r="F3" s="18" t="str">
        <f>Exemplo_BRR_2024!F3</f>
        <v>ESGOTO</v>
      </c>
      <c r="G3" s="18" t="str">
        <f>Exemplo_BRR_2024!G3</f>
        <v>Londrina</v>
      </c>
      <c r="H3" s="18" t="s">
        <v>83</v>
      </c>
      <c r="I3" s="18">
        <f>IF(Imob_BRR_2022!AQ3="Sim",Imob_BRR_2022!I3-Imob_BRR_2022!AR3,Imob_BRR_2022!I3)</f>
        <v>1</v>
      </c>
      <c r="J3" s="20">
        <f>Exemplo_BRR_2024!J3</f>
        <v>2000000</v>
      </c>
      <c r="K3" s="20">
        <f>Exemplo_BRR_2024!K3</f>
        <v>0</v>
      </c>
      <c r="L3" s="21">
        <f>Exemplo_BRR_2024!L3</f>
        <v>0</v>
      </c>
      <c r="M3" s="20">
        <f>Exemplo_BRR_2024!M3</f>
        <v>300000</v>
      </c>
      <c r="N3" s="21">
        <f>Exemplo_BRR_2024!N3</f>
        <v>0.15</v>
      </c>
      <c r="O3" s="20">
        <f>Exemplo_BRR_2024!O3</f>
        <v>2300000</v>
      </c>
      <c r="P3" s="20">
        <f>Exemplo_BRR_2024!P3</f>
        <v>250000</v>
      </c>
      <c r="Q3" s="22">
        <f>Exemplo_BRR_2024!Q3</f>
        <v>0.10869565217391304</v>
      </c>
      <c r="R3" s="23">
        <f>Exemplo_BRR_2024!R3</f>
        <v>0.11</v>
      </c>
      <c r="S3" s="24">
        <f>Exemplo_BRR_2024!S3</f>
        <v>12</v>
      </c>
      <c r="T3" s="22">
        <f>Exemplo_BRR_2024!T3</f>
        <v>0.1100000000000001</v>
      </c>
      <c r="U3" s="20">
        <f>Exemplo_BRR_2024!U3</f>
        <v>253000.00000000023</v>
      </c>
      <c r="V3" s="25">
        <f>Exemplo_BRR_2024!V3</f>
        <v>2553000</v>
      </c>
      <c r="W3" s="26">
        <f>Exemplo_BRR_2024!W3</f>
        <v>44562</v>
      </c>
      <c r="X3" s="26">
        <f>Exemplo_BRR_2024!X3</f>
        <v>44593</v>
      </c>
      <c r="Y3" s="26">
        <f>Exemplo_BRR_2024!Y3</f>
        <v>45657</v>
      </c>
      <c r="Z3" s="26">
        <f>Z2</f>
        <v>45291</v>
      </c>
      <c r="AA3" s="18">
        <v>6215.24</v>
      </c>
      <c r="AB3" s="26">
        <f t="shared" ref="AB3:AB6" si="1">Y3</f>
        <v>45657</v>
      </c>
      <c r="AC3" s="18">
        <v>6800.22</v>
      </c>
      <c r="AD3" s="27">
        <f t="shared" ref="AD3:AD5" si="2">ROUND(AC3/AA3-1,4)</f>
        <v>9.4100000000000003E-2</v>
      </c>
      <c r="AE3" s="20">
        <f>Imob_BRR_2022!I3/Imob_BRR_2023!I3*Imob_BRR_2022!AE3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 t="shared" si="0"/>
        <v>30</v>
      </c>
      <c r="AK3" s="27">
        <f t="shared" ref="AK3:AK6" si="3">IF(AJ3&lt;&gt;0,1/AJ3,0)</f>
        <v>3.3333333333333333E-2</v>
      </c>
      <c r="AL3" s="27">
        <f t="shared" ref="AL3:AL6" si="4">AK3/12</f>
        <v>2.7777777777777779E-3</v>
      </c>
      <c r="AM3" s="24">
        <f>IF((Z3-X3)/365*12&gt;AJ3*12,AJ3*12,(Z3-X3)/365*12)</f>
        <v>22.947945205479449</v>
      </c>
      <c r="AN3" s="25">
        <f>AL3*AM3*AE3</f>
        <v>178052.93473972604</v>
      </c>
      <c r="AO3" s="25">
        <f>AE3-AN3</f>
        <v>2615184.3652602741</v>
      </c>
      <c r="AP3" s="23">
        <v>0.8</v>
      </c>
      <c r="AQ3" s="23" t="s">
        <v>50</v>
      </c>
      <c r="AR3" s="24">
        <v>0</v>
      </c>
      <c r="AS3" s="26"/>
      <c r="AT3" s="45">
        <f t="shared" ref="AT3:AT6" si="5">IF(YEAR(AS3)&lt;YEAR(Z3),0,(MONTH(AS3)-1)/12)</f>
        <v>0</v>
      </c>
      <c r="AU3" s="22" t="str">
        <f>IF(AI3="Não deprecia","Não","Sim")</f>
        <v>Sim</v>
      </c>
      <c r="AV3" s="22" t="s">
        <v>49</v>
      </c>
      <c r="AW3" s="25">
        <f t="shared" ref="AW3:AW6" si="6">IF(Z3&gt;X3,IF(AU3="Sim",IF(AO3&gt;0,IF(AQ3="Sim",IF(AR3&gt;I3,0,AE3*AP3*(AT3)+AE3*AP3*(1-AR3/I3)*(1-AT3)),AE3*AP3),0),0),0)</f>
        <v>2234589.8400000003</v>
      </c>
      <c r="AX3" s="20">
        <f t="shared" ref="AX3:AX6" si="7">IF(Z3&gt;X3,IF(AV3="Sim",IF(AO3&gt;0,IF(AQ3="Sim",IF(AR3&gt;I3,0,AO3*AP3*(AT3)+AO3*AP3*(1-AR3/I3)*(1-AT3)),AO3*AP3),0),0),0)</f>
        <v>2092147.4922082194</v>
      </c>
      <c r="AY3" s="20">
        <f>IF(AU3="Sim",AW3*AK3,0)</f>
        <v>74486.328000000009</v>
      </c>
      <c r="AZ3" s="20">
        <f>IF(AV3="Sim",AX3*R3,0)</f>
        <v>230136.22414290413</v>
      </c>
    </row>
    <row r="4" spans="1:52" x14ac:dyDescent="0.25">
      <c r="A4" s="6" t="str">
        <f>Exemplo_BRR_2024!A4</f>
        <v>3-2020</v>
      </c>
      <c r="B4" s="6">
        <f>Exemplo_BRR_2024!B4</f>
        <v>1003</v>
      </c>
      <c r="C4" s="6" t="str">
        <f>Exemplo_BRR_2024!C4</f>
        <v>8099-20</v>
      </c>
      <c r="D4" s="6">
        <f>Exemplo_BRR_2024!D4</f>
        <v>12356</v>
      </c>
      <c r="E4" s="8" t="str">
        <f>Exemplo_BRR_2024!E4</f>
        <v>Equipamentos</v>
      </c>
      <c r="F4" s="6" t="str">
        <f>Exemplo_BRR_2024!F4</f>
        <v>AGUA</v>
      </c>
      <c r="G4" s="6" t="str">
        <f>Exemplo_BRR_2024!G4</f>
        <v>Maringá</v>
      </c>
      <c r="H4" s="6" t="s">
        <v>82</v>
      </c>
      <c r="I4" s="6">
        <f>IF(Imob_BRR_2022!AQ4="Sim",Imob_BRR_2022!I4-Imob_BRR_2022!AR4,Imob_BRR_2022!I4)</f>
        <v>1</v>
      </c>
      <c r="J4" s="9">
        <f>Exemplo_BRR_2024!J4</f>
        <v>850000</v>
      </c>
      <c r="K4" s="9">
        <f>Exemplo_BRR_2024!K4</f>
        <v>63750</v>
      </c>
      <c r="L4" s="10">
        <f>Exemplo_BRR_2024!L4</f>
        <v>7.4999999999999997E-2</v>
      </c>
      <c r="M4" s="9">
        <f>Exemplo_BRR_2024!M4</f>
        <v>63750</v>
      </c>
      <c r="N4" s="10">
        <f>Exemplo_BRR_2024!N4</f>
        <v>7.4999999999999997E-2</v>
      </c>
      <c r="O4" s="9">
        <f>Exemplo_BRR_2024!O4</f>
        <v>977500</v>
      </c>
      <c r="P4" s="9">
        <f>Exemplo_BRR_2024!P4</f>
        <v>83000</v>
      </c>
      <c r="Q4" s="11">
        <f>Exemplo_BRR_2024!Q4</f>
        <v>8.4910485933503838E-2</v>
      </c>
      <c r="R4" s="12">
        <f>Exemplo_BRR_2024!R4</f>
        <v>0.11</v>
      </c>
      <c r="S4" s="13">
        <f>Exemplo_BRR_2024!S4</f>
        <v>12</v>
      </c>
      <c r="T4" s="11">
        <f>Exemplo_BRR_2024!T4</f>
        <v>0.1100000000000001</v>
      </c>
      <c r="U4" s="9">
        <f>Exemplo_BRR_2024!U4</f>
        <v>107525.0000000001</v>
      </c>
      <c r="V4" s="14">
        <f>Exemplo_BRR_2024!V4</f>
        <v>1085025</v>
      </c>
      <c r="W4" s="15">
        <f>Exemplo_BRR_2024!W4</f>
        <v>44927</v>
      </c>
      <c r="X4" s="15">
        <f>Exemplo_BRR_2024!X4</f>
        <v>44958</v>
      </c>
      <c r="Y4" s="15">
        <f>Exemplo_BRR_2024!Y4</f>
        <v>45657</v>
      </c>
      <c r="Z4" s="15">
        <f t="shared" ref="Z4:Z6" si="8">Z3</f>
        <v>45291</v>
      </c>
      <c r="AA4" s="6">
        <v>6563.07</v>
      </c>
      <c r="AB4" s="15">
        <f t="shared" si="1"/>
        <v>45657</v>
      </c>
      <c r="AC4" s="6">
        <v>6800.22</v>
      </c>
      <c r="AD4" s="16">
        <f t="shared" si="2"/>
        <v>3.61E-2</v>
      </c>
      <c r="AE4" s="9">
        <f>Imob_BRR_2022!I4/Imob_BRR_2023!I4*Imob_BRR_2022!AE4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 t="shared" si="0"/>
        <v>30</v>
      </c>
      <c r="AK4" s="16">
        <f t="shared" si="3"/>
        <v>3.3333333333333333E-2</v>
      </c>
      <c r="AL4" s="16">
        <f t="shared" si="4"/>
        <v>2.7777777777777779E-3</v>
      </c>
      <c r="AM4" s="13">
        <f>IF((Z4-X4)/365*12&gt;AJ4*12,AJ4*12,(Z4-X4)/365*12)</f>
        <v>10.947945205479453</v>
      </c>
      <c r="AN4" s="14">
        <f>AL4*AM4*AE4</f>
        <v>34187.829774657541</v>
      </c>
      <c r="AO4" s="14">
        <f>AE4-AN4</f>
        <v>1090006.5727253426</v>
      </c>
      <c r="AP4" s="11">
        <v>0.8</v>
      </c>
      <c r="AQ4" s="11" t="s">
        <v>50</v>
      </c>
      <c r="AR4" s="44">
        <v>0</v>
      </c>
      <c r="AS4" s="15"/>
      <c r="AT4" s="47">
        <f t="shared" si="5"/>
        <v>0</v>
      </c>
      <c r="AU4" s="11" t="str">
        <f>IF(AI4="Não deprecia","Não","Sim")</f>
        <v>Sim</v>
      </c>
      <c r="AV4" s="11" t="s">
        <v>49</v>
      </c>
      <c r="AW4" s="14">
        <f t="shared" si="6"/>
        <v>899355.52200000011</v>
      </c>
      <c r="AX4" s="9">
        <f t="shared" si="7"/>
        <v>872005.25818027416</v>
      </c>
      <c r="AY4" s="9">
        <f>IF(AU4="Sim",AW4*AK4,0)</f>
        <v>29978.517400000004</v>
      </c>
      <c r="AZ4" s="9">
        <f>IF(AV4="Sim",AX4*R4,0)</f>
        <v>95920.578399830163</v>
      </c>
    </row>
    <row r="5" spans="1:52" x14ac:dyDescent="0.25">
      <c r="A5" s="18" t="str">
        <f>Exemplo_BRR_2024!A5</f>
        <v>4-2020</v>
      </c>
      <c r="B5" s="18">
        <f>Exemplo_BRR_2024!B5</f>
        <v>1003</v>
      </c>
      <c r="C5" s="18" t="str">
        <f>Exemplo_BRR_2024!C5</f>
        <v>8099-20</v>
      </c>
      <c r="D5" s="18">
        <f>Exemplo_BRR_2024!D5</f>
        <v>12356</v>
      </c>
      <c r="E5" s="19" t="str">
        <f>Exemplo_BRR_2024!E5</f>
        <v>Terrenos</v>
      </c>
      <c r="F5" s="18" t="str">
        <f>Exemplo_BRR_2024!F5</f>
        <v>AGUA</v>
      </c>
      <c r="G5" s="18" t="str">
        <f>Exemplo_BRR_2024!G5</f>
        <v>Cascavel</v>
      </c>
      <c r="H5" s="18" t="s">
        <v>81</v>
      </c>
      <c r="I5" s="18">
        <f>IF(Imob_BRR_2022!AQ5="Sim",Imob_BRR_2022!I5-Imob_BRR_2022!AR5,Imob_BRR_2022!I5)</f>
        <v>1</v>
      </c>
      <c r="J5" s="20">
        <f>Exemplo_BRR_2024!J5</f>
        <v>350000</v>
      </c>
      <c r="K5" s="20">
        <f>Exemplo_BRR_2024!K5</f>
        <v>0</v>
      </c>
      <c r="L5" s="21">
        <f>Exemplo_BRR_2024!L5</f>
        <v>0</v>
      </c>
      <c r="M5" s="20">
        <f>Exemplo_BRR_2024!M5</f>
        <v>0</v>
      </c>
      <c r="N5" s="21">
        <f>Exemplo_BRR_2024!N5</f>
        <v>0</v>
      </c>
      <c r="O5" s="20">
        <f>Exemplo_BRR_2024!O5</f>
        <v>350000</v>
      </c>
      <c r="P5" s="20">
        <f>Exemplo_BRR_2024!P5</f>
        <v>0</v>
      </c>
      <c r="Q5" s="22">
        <f>Exemplo_BRR_2024!Q5</f>
        <v>0</v>
      </c>
      <c r="R5" s="23">
        <f>Exemplo_BRR_2024!R5</f>
        <v>0.11</v>
      </c>
      <c r="S5" s="24">
        <f>Exemplo_BRR_2024!S5</f>
        <v>0</v>
      </c>
      <c r="T5" s="22">
        <f>Exemplo_BRR_2024!T5</f>
        <v>0</v>
      </c>
      <c r="U5" s="20">
        <f>Exemplo_BRR_2024!U5</f>
        <v>0</v>
      </c>
      <c r="V5" s="25">
        <f>Exemplo_BRR_2024!V5</f>
        <v>350000</v>
      </c>
      <c r="W5" s="26">
        <f>Exemplo_BRR_2024!W5</f>
        <v>45292</v>
      </c>
      <c r="X5" s="26">
        <f>Exemplo_BRR_2024!X5</f>
        <v>45323</v>
      </c>
      <c r="Y5" s="26">
        <f>Exemplo_BRR_2024!Y5</f>
        <v>45657</v>
      </c>
      <c r="Z5" s="26">
        <f t="shared" si="8"/>
        <v>45291</v>
      </c>
      <c r="AA5" s="18">
        <v>6763.07</v>
      </c>
      <c r="AB5" s="26">
        <f t="shared" si="1"/>
        <v>45657</v>
      </c>
      <c r="AC5" s="18">
        <v>6800.22</v>
      </c>
      <c r="AD5" s="27">
        <f t="shared" si="2"/>
        <v>5.4999999999999997E-3</v>
      </c>
      <c r="AE5" s="20">
        <f>Imob_BRR_2022!I5/Imob_BRR_2023!I5*Imob_BRR_2022!AE5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 t="shared" si="0"/>
        <v>0</v>
      </c>
      <c r="AK5" s="27">
        <f t="shared" si="3"/>
        <v>0</v>
      </c>
      <c r="AL5" s="27">
        <f t="shared" si="4"/>
        <v>0</v>
      </c>
      <c r="AM5" s="24">
        <f>IF((Z5-X5)/365*12&gt;AJ5*12,AJ5*12,(Z5-X5)/365*12)</f>
        <v>-1.0520547945205481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 t="shared" si="5"/>
        <v>0</v>
      </c>
      <c r="AU5" s="22" t="str">
        <f>IF(AI5="Não deprecia","Não","Sim")</f>
        <v>Não</v>
      </c>
      <c r="AV5" s="22" t="s">
        <v>49</v>
      </c>
      <c r="AW5" s="25">
        <f t="shared" si="6"/>
        <v>0</v>
      </c>
      <c r="AX5" s="20">
        <f t="shared" si="7"/>
        <v>0</v>
      </c>
      <c r="AY5" s="20">
        <f>IF(AU5="Sim",AW5*AK5,0)</f>
        <v>0</v>
      </c>
      <c r="AZ5" s="20">
        <f>IF(AV5="Sim",AX5*R5,0)</f>
        <v>0</v>
      </c>
    </row>
    <row r="6" spans="1:52" x14ac:dyDescent="0.25">
      <c r="A6" s="6" t="str">
        <f>Exemplo_BRR_2024!A6</f>
        <v>5-2020</v>
      </c>
      <c r="B6" s="6">
        <f>Exemplo_BRR_2024!B6</f>
        <v>1004</v>
      </c>
      <c r="C6" s="6" t="str">
        <f>Exemplo_BRR_2024!C6</f>
        <v>9087-20</v>
      </c>
      <c r="D6" s="6">
        <f>Exemplo_BRR_2024!D6</f>
        <v>12357</v>
      </c>
      <c r="E6" s="8" t="str">
        <f>Exemplo_BRR_2024!E6</f>
        <v>Reserva Operacional</v>
      </c>
      <c r="F6" s="6" t="str">
        <f>Exemplo_BRR_2024!F6</f>
        <v>AGUA</v>
      </c>
      <c r="G6" s="6" t="str">
        <f>Exemplo_BRR_2024!G6</f>
        <v>Curitiba</v>
      </c>
      <c r="H6" s="6" t="s">
        <v>80</v>
      </c>
      <c r="I6" s="6">
        <f>IF(Imob_BRR_2022!AQ6="Sim",Imob_BRR_2022!I6-Imob_BRR_2022!AR6,Imob_BRR_2022!I6)</f>
        <v>10</v>
      </c>
      <c r="J6" s="9">
        <f>Exemplo_BRR_2024!J6</f>
        <v>80000</v>
      </c>
      <c r="K6" s="9">
        <f>Exemplo_BRR_2024!K6</f>
        <v>0</v>
      </c>
      <c r="L6" s="10">
        <f>Exemplo_BRR_2024!L6</f>
        <v>0</v>
      </c>
      <c r="M6" s="9">
        <f>Exemplo_BRR_2024!M6</f>
        <v>0</v>
      </c>
      <c r="N6" s="10">
        <f>Exemplo_BRR_2024!N6</f>
        <v>0</v>
      </c>
      <c r="O6" s="9">
        <f>Exemplo_BRR_2024!O6</f>
        <v>80000</v>
      </c>
      <c r="P6" s="9">
        <f>Exemplo_BRR_2024!P6</f>
        <v>0</v>
      </c>
      <c r="Q6" s="11">
        <f>Exemplo_BRR_2024!Q6</f>
        <v>0</v>
      </c>
      <c r="R6" s="12">
        <f>Exemplo_BRR_2024!R6</f>
        <v>0.11</v>
      </c>
      <c r="S6" s="13">
        <f>Exemplo_BRR_2024!S6</f>
        <v>0</v>
      </c>
      <c r="T6" s="11">
        <f>Exemplo_BRR_2024!T6</f>
        <v>0</v>
      </c>
      <c r="U6" s="9">
        <f>Exemplo_BRR_2024!U6</f>
        <v>0</v>
      </c>
      <c r="V6" s="14">
        <f>Exemplo_BRR_2024!V6</f>
        <v>80000</v>
      </c>
      <c r="W6" s="15">
        <f>Exemplo_BRR_2024!W6</f>
        <v>45292</v>
      </c>
      <c r="X6" s="15">
        <f>Exemplo_BRR_2024!X6</f>
        <v>45323</v>
      </c>
      <c r="Y6" s="15">
        <f>Exemplo_BRR_2024!Y6</f>
        <v>45657</v>
      </c>
      <c r="Z6" s="15">
        <f t="shared" si="8"/>
        <v>45291</v>
      </c>
      <c r="AA6" s="6">
        <v>6763.07</v>
      </c>
      <c r="AB6" s="15">
        <f t="shared" si="1"/>
        <v>45657</v>
      </c>
      <c r="AC6" s="6">
        <v>6800.22</v>
      </c>
      <c r="AD6" s="16">
        <f>ROUND(AC6/AA6-1,4)</f>
        <v>5.4999999999999997E-3</v>
      </c>
      <c r="AE6" s="9">
        <f>Imob_BRR_2022!I6/Imob_BRR_2023!I6*Imob_BRR_2022!AE6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 t="shared" si="3"/>
        <v>0</v>
      </c>
      <c r="AL6" s="16">
        <f t="shared" si="4"/>
        <v>0</v>
      </c>
      <c r="AM6" s="13">
        <f>IF((Z6-X6)/365*12&gt;AJ6*12,AJ6*12,(Z6-X6)/365*12)</f>
        <v>-1.0520547945205481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 t="shared" si="5"/>
        <v>0</v>
      </c>
      <c r="AU6" s="11" t="str">
        <f>IF(AI6="Não deprecia","Não","Sim")</f>
        <v>Não</v>
      </c>
      <c r="AV6" s="11" t="s">
        <v>49</v>
      </c>
      <c r="AW6" s="14">
        <f t="shared" si="6"/>
        <v>0</v>
      </c>
      <c r="AX6" s="9">
        <f t="shared" si="7"/>
        <v>0</v>
      </c>
      <c r="AY6" s="9">
        <f>IF(AU6="Sim",AW6*AK6,0)</f>
        <v>0</v>
      </c>
      <c r="AZ6" s="9">
        <f>IF(AV6="Sim",AX6*R6,0)</f>
        <v>0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5127068.3169999998</v>
      </c>
      <c r="AX8" s="30">
        <f>SUM(AX2:AX6)</f>
        <v>4841183.1190232877</v>
      </c>
      <c r="AY8" s="17">
        <f>SUM(AY2:AY6)</f>
        <v>144327.30450000003</v>
      </c>
      <c r="AZ8" s="17">
        <f>SUM(AZ2:AZ6)</f>
        <v>532530.14309256175</v>
      </c>
    </row>
    <row r="9" spans="1:52" x14ac:dyDescent="0.25">
      <c r="E9" s="8"/>
      <c r="AV9" s="33" t="s">
        <v>59</v>
      </c>
      <c r="AW9" s="34">
        <f>IF(AW8&gt;0,AY8/AW8,0)</f>
        <v>2.8150064632735426E-2</v>
      </c>
    </row>
    <row r="10" spans="1:52" ht="30" x14ac:dyDescent="0.25">
      <c r="E10" s="8"/>
      <c r="AV10" s="31" t="s">
        <v>57</v>
      </c>
      <c r="AW10" s="32">
        <f>IF(AW9&gt;0,1/AW9,0)</f>
        <v>35.523897122321706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7023-53B0-402A-A2EF-F3809B700140}">
  <dimension ref="A1:DF10"/>
  <sheetViews>
    <sheetView workbookViewId="0">
      <pane xSplit="9" ySplit="1" topLeftCell="AV2" activePane="bottomRight" state="frozen"/>
      <selection pane="topRight" activeCell="J1" sqref="J1"/>
      <selection pane="bottomLeft" activeCell="A2" sqref="A2"/>
      <selection pane="bottomRight" activeCell="AZ10" sqref="AZ10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6" width="12.42578125" style="6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Exemplo_BRR_2024!A2</f>
        <v>1-2020</v>
      </c>
      <c r="B2" s="6">
        <f>Exemplo_BRR_2024!B2</f>
        <v>1001</v>
      </c>
      <c r="C2" s="6" t="str">
        <f>Exemplo_BRR_2024!C2</f>
        <v>8090-20</v>
      </c>
      <c r="D2" s="6">
        <f>Exemplo_BRR_2024!D2</f>
        <v>12356</v>
      </c>
      <c r="E2" s="8" t="str">
        <f>Exemplo_BRR_2024!E2</f>
        <v>Tubulações</v>
      </c>
      <c r="F2" s="6" t="str">
        <f>Exemplo_BRR_2024!F2</f>
        <v>AGUA</v>
      </c>
      <c r="G2" s="6" t="str">
        <f>Exemplo_BRR_2024!G2</f>
        <v>Curitiba</v>
      </c>
      <c r="H2" s="6" t="s">
        <v>79</v>
      </c>
      <c r="I2" s="6">
        <f>IF(Imob_BRR_2023!AQ2="Sim",Imob_BRR_2023!I2-Imob_BRR_2023!AR2,Imob_BRR_2023!I2)</f>
        <v>1000</v>
      </c>
      <c r="J2" s="9">
        <f>Exemplo_BRR_2024!J2</f>
        <v>1647890</v>
      </c>
      <c r="K2" s="9">
        <f>Exemplo_BRR_2024!K2</f>
        <v>0</v>
      </c>
      <c r="L2" s="10">
        <f>Exemplo_BRR_2024!L2</f>
        <v>0</v>
      </c>
      <c r="M2" s="9">
        <f>Exemplo_BRR_2024!M2</f>
        <v>0</v>
      </c>
      <c r="N2" s="10">
        <f>Exemplo_BRR_2024!N2</f>
        <v>0</v>
      </c>
      <c r="O2" s="9">
        <f>Exemplo_BRR_2024!O2</f>
        <v>1647890</v>
      </c>
      <c r="P2" s="9">
        <f>Exemplo_BRR_2024!P2</f>
        <v>0</v>
      </c>
      <c r="Q2" s="11">
        <f>Exemplo_BRR_2024!Q2</f>
        <v>0</v>
      </c>
      <c r="R2" s="12">
        <f>Exemplo_BRR_2024!R2</f>
        <v>0.11</v>
      </c>
      <c r="S2" s="13">
        <f>Exemplo_BRR_2024!S2</f>
        <v>0</v>
      </c>
      <c r="T2" s="11">
        <f>Exemplo_BRR_2024!T2</f>
        <v>0</v>
      </c>
      <c r="U2" s="9">
        <f>Exemplo_BRR_2024!U2</f>
        <v>0</v>
      </c>
      <c r="V2" s="14">
        <f>Exemplo_BRR_2024!V2</f>
        <v>1647890</v>
      </c>
      <c r="W2" s="15">
        <f>Exemplo_BRR_2024!W2</f>
        <v>44197</v>
      </c>
      <c r="X2" s="15">
        <f>Exemplo_BRR_2024!X2</f>
        <v>44228</v>
      </c>
      <c r="Y2" s="15">
        <f>Exemplo_BRR_2024!Y2</f>
        <v>45657</v>
      </c>
      <c r="Z2" s="15">
        <v>45657</v>
      </c>
      <c r="AA2" s="6">
        <v>5622.43</v>
      </c>
      <c r="AB2" s="15">
        <f>Y2</f>
        <v>45657</v>
      </c>
      <c r="AC2" s="6">
        <v>6800.22</v>
      </c>
      <c r="AD2" s="16">
        <f>ROUND(AC2/AA2-1,4)</f>
        <v>0.20949999999999999</v>
      </c>
      <c r="AE2" s="9">
        <f>Imob_BRR_2023!I2/Imob_BRR_2024!I2*Imob_BRR_2023!AE2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 t="shared" ref="AJ2:AJ5" si="0"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46.980821917808221</v>
      </c>
      <c r="AN2" s="14">
        <f>AL2*AM2*AE2</f>
        <v>156064.25768191784</v>
      </c>
      <c r="AO2" s="14">
        <f>AE2-AN2</f>
        <v>1837058.6973180822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 t="shared" ref="AU2:AU4" si="1">IF(AI2="Não deprecia","Não","Sim")</f>
        <v>Sim</v>
      </c>
      <c r="AV2" s="11" t="s">
        <v>49</v>
      </c>
      <c r="AW2" s="14">
        <f>IF(Z2&gt;X2,IF(AU2="Sim",IF(AO2&gt;0,IF(AQ2="Sim",IF(AR2&gt;I2,0,AE2*AP2*(AT2)+AE2*AP2*(1-AR2/I2)*(1-AT2)),AE2*AP2),0),0),0)</f>
        <v>1993122.9550000001</v>
      </c>
      <c r="AX2" s="9">
        <f>IF(Z2&gt;X2,IF(AV2="Sim",IF(AO2&gt;0,IF(AQ2="Sim",IF(AR2&gt;I2,0,AO2*AP2*(AT2)+AO2*AP2*(1-AR2/I2)*(1-AT2)),AO2*AP2),0),0),0)</f>
        <v>1837058.6973180822</v>
      </c>
      <c r="AY2" s="9">
        <f>IF(AU2="Sim",AW2*AK2,0)</f>
        <v>39862.4591</v>
      </c>
      <c r="AZ2" s="9">
        <f>IF(AV2="Sim",AX2*R2,0)</f>
        <v>202076.45670498905</v>
      </c>
    </row>
    <row r="3" spans="1:52" x14ac:dyDescent="0.25">
      <c r="A3" s="18" t="str">
        <f>Exemplo_BRR_2024!A3</f>
        <v>2-2020</v>
      </c>
      <c r="B3" s="18">
        <f>Exemplo_BRR_2024!B3</f>
        <v>1002</v>
      </c>
      <c r="C3" s="18" t="str">
        <f>Exemplo_BRR_2024!C3</f>
        <v>8099-20</v>
      </c>
      <c r="D3" s="18">
        <f>Exemplo_BRR_2024!D3</f>
        <v>12356</v>
      </c>
      <c r="E3" s="19" t="str">
        <f>Exemplo_BRR_2024!E3</f>
        <v>Construções Civis</v>
      </c>
      <c r="F3" s="18" t="str">
        <f>Exemplo_BRR_2024!F3</f>
        <v>ESGOTO</v>
      </c>
      <c r="G3" s="18" t="str">
        <f>Exemplo_BRR_2024!G3</f>
        <v>Londrina</v>
      </c>
      <c r="H3" s="18" t="s">
        <v>83</v>
      </c>
      <c r="I3" s="18">
        <f>IF(Imob_BRR_2023!AQ3="Sim",Imob_BRR_2023!I3-Imob_BRR_2023!AR3,Imob_BRR_2023!I3)</f>
        <v>1</v>
      </c>
      <c r="J3" s="20">
        <f>Exemplo_BRR_2024!J3</f>
        <v>2000000</v>
      </c>
      <c r="K3" s="20">
        <f>Exemplo_BRR_2024!K3</f>
        <v>0</v>
      </c>
      <c r="L3" s="21">
        <f>Exemplo_BRR_2024!L3</f>
        <v>0</v>
      </c>
      <c r="M3" s="20">
        <f>Exemplo_BRR_2024!M3</f>
        <v>300000</v>
      </c>
      <c r="N3" s="21">
        <f>Exemplo_BRR_2024!N3</f>
        <v>0.15</v>
      </c>
      <c r="O3" s="20">
        <f>Exemplo_BRR_2024!O3</f>
        <v>2300000</v>
      </c>
      <c r="P3" s="20">
        <f>Exemplo_BRR_2024!P3</f>
        <v>250000</v>
      </c>
      <c r="Q3" s="22">
        <f>Exemplo_BRR_2024!Q3</f>
        <v>0.10869565217391304</v>
      </c>
      <c r="R3" s="23">
        <f>Exemplo_BRR_2024!R3</f>
        <v>0.11</v>
      </c>
      <c r="S3" s="24">
        <f>Exemplo_BRR_2024!S3</f>
        <v>12</v>
      </c>
      <c r="T3" s="22">
        <f>Exemplo_BRR_2024!T3</f>
        <v>0.1100000000000001</v>
      </c>
      <c r="U3" s="20">
        <f>Exemplo_BRR_2024!U3</f>
        <v>253000.00000000023</v>
      </c>
      <c r="V3" s="25">
        <f>Exemplo_BRR_2024!V3</f>
        <v>2553000</v>
      </c>
      <c r="W3" s="26">
        <f>Exemplo_BRR_2024!W3</f>
        <v>44562</v>
      </c>
      <c r="X3" s="26">
        <f>Exemplo_BRR_2024!X3</f>
        <v>44593</v>
      </c>
      <c r="Y3" s="26">
        <f>Exemplo_BRR_2024!Y3</f>
        <v>45657</v>
      </c>
      <c r="Z3" s="26">
        <f>Z2</f>
        <v>45657</v>
      </c>
      <c r="AA3" s="18">
        <v>6215.24</v>
      </c>
      <c r="AB3" s="26">
        <f t="shared" ref="AB3:AB6" si="2">Y3</f>
        <v>45657</v>
      </c>
      <c r="AC3" s="18">
        <v>6800.22</v>
      </c>
      <c r="AD3" s="27">
        <f t="shared" ref="AD3:AD5" si="3">ROUND(AC3/AA3-1,4)</f>
        <v>9.4100000000000003E-2</v>
      </c>
      <c r="AE3" s="20">
        <f>Imob_BRR_2023!I3/Imob_BRR_2024!I3*Imob_BRR_2023!AE3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 t="shared" si="0"/>
        <v>30</v>
      </c>
      <c r="AK3" s="27">
        <f t="shared" ref="AK3:AK6" si="4">IF(AJ3&lt;&gt;0,1/AJ3,0)</f>
        <v>3.3333333333333333E-2</v>
      </c>
      <c r="AL3" s="27">
        <f t="shared" ref="AL3:AL6" si="5">AK3/12</f>
        <v>2.7777777777777779E-3</v>
      </c>
      <c r="AM3" s="24">
        <f>IF((Z3-X3)/365*12&gt;AJ3*12,AJ3*12,(Z3-X3)/365*12)</f>
        <v>34.980821917808221</v>
      </c>
      <c r="AN3" s="25">
        <f>AL3*AM3*AE3</f>
        <v>271415.93490410963</v>
      </c>
      <c r="AO3" s="25">
        <f>AE3-AN3</f>
        <v>2521821.3650958906</v>
      </c>
      <c r="AP3" s="23">
        <v>0.8</v>
      </c>
      <c r="AQ3" s="23" t="s">
        <v>50</v>
      </c>
      <c r="AR3" s="24">
        <v>0</v>
      </c>
      <c r="AS3" s="26"/>
      <c r="AT3" s="45">
        <f t="shared" ref="AT3:AT6" si="6">IF(YEAR(AS3)&lt;YEAR(Z3),0,(MONTH(AS3)-1)/12)</f>
        <v>0</v>
      </c>
      <c r="AU3" s="22" t="str">
        <f t="shared" si="1"/>
        <v>Sim</v>
      </c>
      <c r="AV3" s="22" t="s">
        <v>49</v>
      </c>
      <c r="AW3" s="25">
        <f t="shared" ref="AW3:AW6" si="7">IF(Z3&gt;X3,IF(AU3="Sim",IF(AO3&gt;0,IF(AQ3="Sim",IF(AR3&gt;I3,0,AE3*AP3*(AT3)+AE3*AP3*(1-AR3/I3)*(1-AT3)),AE3*AP3),0),0),0)</f>
        <v>2234589.8400000003</v>
      </c>
      <c r="AX3" s="20">
        <f t="shared" ref="AX3:AX6" si="8">IF(Z3&gt;X3,IF(AV3="Sim",IF(AO3&gt;0,IF(AQ3="Sim",IF(AR3&gt;I3,0,AO3*AP3*(AT3)+AO3*AP3*(1-AR3/I3)*(1-AT3)),AO3*AP3),0),0),0)</f>
        <v>2017457.0920767125</v>
      </c>
      <c r="AY3" s="20">
        <f t="shared" ref="AY3:AY6" si="9">IF(AU3="Sim",AW3*AK3,0)</f>
        <v>74486.328000000009</v>
      </c>
      <c r="AZ3" s="20">
        <f>IF(AV3="Sim",AX3*R3,0)</f>
        <v>221920.28012843837</v>
      </c>
    </row>
    <row r="4" spans="1:52" x14ac:dyDescent="0.25">
      <c r="A4" s="6" t="str">
        <f>Exemplo_BRR_2024!A4</f>
        <v>3-2020</v>
      </c>
      <c r="B4" s="6">
        <f>Exemplo_BRR_2024!B4</f>
        <v>1003</v>
      </c>
      <c r="C4" s="6" t="str">
        <f>Exemplo_BRR_2024!C4</f>
        <v>8099-20</v>
      </c>
      <c r="D4" s="6">
        <f>Exemplo_BRR_2024!D4</f>
        <v>12356</v>
      </c>
      <c r="E4" s="8" t="str">
        <f>Exemplo_BRR_2024!E4</f>
        <v>Equipamentos</v>
      </c>
      <c r="F4" s="6" t="str">
        <f>Exemplo_BRR_2024!F4</f>
        <v>AGUA</v>
      </c>
      <c r="G4" s="6" t="str">
        <f>Exemplo_BRR_2024!G4</f>
        <v>Maringá</v>
      </c>
      <c r="H4" s="6" t="s">
        <v>82</v>
      </c>
      <c r="I4" s="6">
        <f>IF(Imob_BRR_2023!AQ4="Sim",Imob_BRR_2023!I4-Imob_BRR_2023!AR4,Imob_BRR_2023!I4)</f>
        <v>1</v>
      </c>
      <c r="J4" s="9">
        <f>Exemplo_BRR_2024!J4</f>
        <v>850000</v>
      </c>
      <c r="K4" s="9">
        <f>Exemplo_BRR_2024!K4</f>
        <v>63750</v>
      </c>
      <c r="L4" s="10">
        <f>Exemplo_BRR_2024!L4</f>
        <v>7.4999999999999997E-2</v>
      </c>
      <c r="M4" s="9">
        <f>Exemplo_BRR_2024!M4</f>
        <v>63750</v>
      </c>
      <c r="N4" s="10">
        <f>Exemplo_BRR_2024!N4</f>
        <v>7.4999999999999997E-2</v>
      </c>
      <c r="O4" s="9">
        <f>Exemplo_BRR_2024!O4</f>
        <v>977500</v>
      </c>
      <c r="P4" s="9">
        <f>Exemplo_BRR_2024!P4</f>
        <v>83000</v>
      </c>
      <c r="Q4" s="11">
        <f>Exemplo_BRR_2024!Q4</f>
        <v>8.4910485933503838E-2</v>
      </c>
      <c r="R4" s="12">
        <f>Exemplo_BRR_2024!R4</f>
        <v>0.11</v>
      </c>
      <c r="S4" s="13">
        <f>Exemplo_BRR_2024!S4</f>
        <v>12</v>
      </c>
      <c r="T4" s="11">
        <f>Exemplo_BRR_2024!T4</f>
        <v>0.1100000000000001</v>
      </c>
      <c r="U4" s="9">
        <f>Exemplo_BRR_2024!U4</f>
        <v>107525.0000000001</v>
      </c>
      <c r="V4" s="14">
        <f>Exemplo_BRR_2024!V4</f>
        <v>1085025</v>
      </c>
      <c r="W4" s="15">
        <f>Exemplo_BRR_2024!W4</f>
        <v>44927</v>
      </c>
      <c r="X4" s="15">
        <f>Exemplo_BRR_2024!X4</f>
        <v>44958</v>
      </c>
      <c r="Y4" s="15">
        <f>Exemplo_BRR_2024!Y4</f>
        <v>45657</v>
      </c>
      <c r="Z4" s="15">
        <f t="shared" ref="Z4:Z6" si="10">Z3</f>
        <v>45657</v>
      </c>
      <c r="AA4" s="6">
        <v>6563.07</v>
      </c>
      <c r="AB4" s="15">
        <f t="shared" si="2"/>
        <v>45657</v>
      </c>
      <c r="AC4" s="6">
        <v>6800.22</v>
      </c>
      <c r="AD4" s="16">
        <f t="shared" si="3"/>
        <v>3.61E-2</v>
      </c>
      <c r="AE4" s="9">
        <f>Imob_BRR_2023!I4/Imob_BRR_2024!I4*Imob_BRR_2023!AE4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 t="shared" si="0"/>
        <v>30</v>
      </c>
      <c r="AK4" s="16">
        <f t="shared" si="4"/>
        <v>3.3333333333333333E-2</v>
      </c>
      <c r="AL4" s="16">
        <f t="shared" si="5"/>
        <v>2.7777777777777779E-3</v>
      </c>
      <c r="AM4" s="13">
        <f>IF((Z4-X4)/365*12&gt;AJ4*12,AJ4*12,(Z4-X4)/365*12)</f>
        <v>22.980821917808221</v>
      </c>
      <c r="AN4" s="14">
        <f>AL4*AM4*AE4</f>
        <v>71763.642680136996</v>
      </c>
      <c r="AO4" s="14">
        <f>AE4-AN4</f>
        <v>1052430.7598198631</v>
      </c>
      <c r="AP4" s="11">
        <v>0.8</v>
      </c>
      <c r="AQ4" s="11" t="s">
        <v>50</v>
      </c>
      <c r="AR4" s="44">
        <v>0</v>
      </c>
      <c r="AS4" s="15"/>
      <c r="AT4" s="47">
        <f t="shared" si="6"/>
        <v>0</v>
      </c>
      <c r="AU4" s="11" t="str">
        <f t="shared" si="1"/>
        <v>Sim</v>
      </c>
      <c r="AV4" s="11" t="s">
        <v>49</v>
      </c>
      <c r="AW4" s="14">
        <f t="shared" si="7"/>
        <v>899355.52200000011</v>
      </c>
      <c r="AX4" s="9">
        <f t="shared" si="8"/>
        <v>841944.60785589053</v>
      </c>
      <c r="AY4" s="9">
        <f t="shared" si="9"/>
        <v>29978.517400000004</v>
      </c>
      <c r="AZ4" s="9">
        <f>IF(AV4="Sim",AX4*R4,0)</f>
        <v>92613.906864147953</v>
      </c>
    </row>
    <row r="5" spans="1:52" x14ac:dyDescent="0.25">
      <c r="A5" s="18" t="str">
        <f>Exemplo_BRR_2024!A5</f>
        <v>4-2020</v>
      </c>
      <c r="B5" s="18">
        <f>Exemplo_BRR_2024!B5</f>
        <v>1003</v>
      </c>
      <c r="C5" s="18" t="str">
        <f>Exemplo_BRR_2024!C5</f>
        <v>8099-20</v>
      </c>
      <c r="D5" s="18">
        <f>Exemplo_BRR_2024!D5</f>
        <v>12356</v>
      </c>
      <c r="E5" s="19" t="str">
        <f>Exemplo_BRR_2024!E5</f>
        <v>Terrenos</v>
      </c>
      <c r="F5" s="18" t="str">
        <f>Exemplo_BRR_2024!F5</f>
        <v>AGUA</v>
      </c>
      <c r="G5" s="18" t="str">
        <f>Exemplo_BRR_2024!G5</f>
        <v>Cascavel</v>
      </c>
      <c r="H5" s="18" t="s">
        <v>81</v>
      </c>
      <c r="I5" s="18">
        <f>IF(Imob_BRR_2023!AQ5="Sim",Imob_BRR_2023!I5-Imob_BRR_2023!AR5,Imob_BRR_2023!I5)</f>
        <v>1</v>
      </c>
      <c r="J5" s="20">
        <f>Exemplo_BRR_2024!J5</f>
        <v>350000</v>
      </c>
      <c r="K5" s="20">
        <f>Exemplo_BRR_2024!K5</f>
        <v>0</v>
      </c>
      <c r="L5" s="21">
        <f>Exemplo_BRR_2024!L5</f>
        <v>0</v>
      </c>
      <c r="M5" s="20">
        <f>Exemplo_BRR_2024!M5</f>
        <v>0</v>
      </c>
      <c r="N5" s="21">
        <f>Exemplo_BRR_2024!N5</f>
        <v>0</v>
      </c>
      <c r="O5" s="20">
        <f>Exemplo_BRR_2024!O5</f>
        <v>350000</v>
      </c>
      <c r="P5" s="20">
        <f>Exemplo_BRR_2024!P5</f>
        <v>0</v>
      </c>
      <c r="Q5" s="22">
        <f>Exemplo_BRR_2024!Q5</f>
        <v>0</v>
      </c>
      <c r="R5" s="23">
        <f>Exemplo_BRR_2024!R5</f>
        <v>0.11</v>
      </c>
      <c r="S5" s="24">
        <f>Exemplo_BRR_2024!S5</f>
        <v>0</v>
      </c>
      <c r="T5" s="22">
        <f>Exemplo_BRR_2024!T5</f>
        <v>0</v>
      </c>
      <c r="U5" s="20">
        <f>Exemplo_BRR_2024!U5</f>
        <v>0</v>
      </c>
      <c r="V5" s="25">
        <f>Exemplo_BRR_2024!V5</f>
        <v>350000</v>
      </c>
      <c r="W5" s="26">
        <f>Exemplo_BRR_2024!W5</f>
        <v>45292</v>
      </c>
      <c r="X5" s="26">
        <f>Exemplo_BRR_2024!X5</f>
        <v>45323</v>
      </c>
      <c r="Y5" s="26">
        <f>Exemplo_BRR_2024!Y5</f>
        <v>45657</v>
      </c>
      <c r="Z5" s="26">
        <f t="shared" si="10"/>
        <v>45657</v>
      </c>
      <c r="AA5" s="18">
        <v>6763.07</v>
      </c>
      <c r="AB5" s="26">
        <f t="shared" si="2"/>
        <v>45657</v>
      </c>
      <c r="AC5" s="18">
        <v>6800.22</v>
      </c>
      <c r="AD5" s="27">
        <f t="shared" si="3"/>
        <v>5.4999999999999997E-3</v>
      </c>
      <c r="AE5" s="20">
        <f>Imob_BRR_2023!I5/Imob_BRR_2024!I5*Imob_BRR_2023!AE5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 t="shared" si="0"/>
        <v>0</v>
      </c>
      <c r="AK5" s="27">
        <f t="shared" si="4"/>
        <v>0</v>
      </c>
      <c r="AL5" s="27">
        <f t="shared" si="5"/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 t="shared" si="6"/>
        <v>0</v>
      </c>
      <c r="AU5" s="22" t="str">
        <f>IF(AI5="Não deprecia","Não","Sim")</f>
        <v>Não</v>
      </c>
      <c r="AV5" s="22" t="s">
        <v>49</v>
      </c>
      <c r="AW5" s="25">
        <f t="shared" si="7"/>
        <v>0</v>
      </c>
      <c r="AX5" s="20">
        <f t="shared" si="8"/>
        <v>281540</v>
      </c>
      <c r="AY5" s="20">
        <f t="shared" si="9"/>
        <v>0</v>
      </c>
      <c r="AZ5" s="20">
        <f>IF(AV5="Sim",AX5*R5,0)</f>
        <v>30969.4</v>
      </c>
    </row>
    <row r="6" spans="1:52" x14ac:dyDescent="0.25">
      <c r="A6" s="6" t="str">
        <f>Exemplo_BRR_2024!A6</f>
        <v>5-2020</v>
      </c>
      <c r="B6" s="6">
        <f>Exemplo_BRR_2024!B6</f>
        <v>1004</v>
      </c>
      <c r="C6" s="6" t="str">
        <f>Exemplo_BRR_2024!C6</f>
        <v>9087-20</v>
      </c>
      <c r="D6" s="6">
        <f>Exemplo_BRR_2024!D6</f>
        <v>12357</v>
      </c>
      <c r="E6" s="8" t="str">
        <f>Exemplo_BRR_2024!E6</f>
        <v>Reserva Operacional</v>
      </c>
      <c r="F6" s="6" t="str">
        <f>Exemplo_BRR_2024!F6</f>
        <v>AGUA</v>
      </c>
      <c r="G6" s="6" t="str">
        <f>Exemplo_BRR_2024!G6</f>
        <v>Curitiba</v>
      </c>
      <c r="H6" s="6" t="s">
        <v>80</v>
      </c>
      <c r="I6" s="6">
        <f>IF(Imob_BRR_2023!AQ6="Sim",Imob_BRR_2023!I6-Imob_BRR_2023!AR6,Imob_BRR_2023!I6)</f>
        <v>10</v>
      </c>
      <c r="J6" s="9">
        <f>Exemplo_BRR_2024!J6</f>
        <v>80000</v>
      </c>
      <c r="K6" s="9">
        <f>Exemplo_BRR_2024!K6</f>
        <v>0</v>
      </c>
      <c r="L6" s="10">
        <f>Exemplo_BRR_2024!L6</f>
        <v>0</v>
      </c>
      <c r="M6" s="9">
        <f>Exemplo_BRR_2024!M6</f>
        <v>0</v>
      </c>
      <c r="N6" s="10">
        <f>Exemplo_BRR_2024!N6</f>
        <v>0</v>
      </c>
      <c r="O6" s="9">
        <f>Exemplo_BRR_2024!O6</f>
        <v>80000</v>
      </c>
      <c r="P6" s="9">
        <f>Exemplo_BRR_2024!P6</f>
        <v>0</v>
      </c>
      <c r="Q6" s="11">
        <f>Exemplo_BRR_2024!Q6</f>
        <v>0</v>
      </c>
      <c r="R6" s="12">
        <f>Exemplo_BRR_2024!R6</f>
        <v>0.11</v>
      </c>
      <c r="S6" s="13">
        <f>Exemplo_BRR_2024!S6</f>
        <v>0</v>
      </c>
      <c r="T6" s="11">
        <f>Exemplo_BRR_2024!T6</f>
        <v>0</v>
      </c>
      <c r="U6" s="9">
        <f>Exemplo_BRR_2024!U6</f>
        <v>0</v>
      </c>
      <c r="V6" s="14">
        <f>Exemplo_BRR_2024!V6</f>
        <v>80000</v>
      </c>
      <c r="W6" s="15">
        <f>Exemplo_BRR_2024!W6</f>
        <v>45292</v>
      </c>
      <c r="X6" s="15">
        <f>Exemplo_BRR_2024!X6</f>
        <v>45323</v>
      </c>
      <c r="Y6" s="15">
        <f>Exemplo_BRR_2024!Y6</f>
        <v>45657</v>
      </c>
      <c r="Z6" s="15">
        <f t="shared" si="10"/>
        <v>45657</v>
      </c>
      <c r="AA6" s="6">
        <v>6763.07</v>
      </c>
      <c r="AB6" s="15">
        <f t="shared" si="2"/>
        <v>45657</v>
      </c>
      <c r="AC6" s="6">
        <v>6800.22</v>
      </c>
      <c r="AD6" s="16">
        <f>ROUND(AC6/AA6-1,4)</f>
        <v>5.4999999999999997E-3</v>
      </c>
      <c r="AE6" s="9">
        <f>Imob_BRR_2023!I6/Imob_BRR_2024!I6*Imob_BRR_2023!AE6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 t="shared" si="4"/>
        <v>0</v>
      </c>
      <c r="AL6" s="16">
        <f t="shared" si="5"/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 t="shared" si="6"/>
        <v>0</v>
      </c>
      <c r="AU6" s="11" t="str">
        <f>IF(AI6="Não deprecia","Não","Sim")</f>
        <v>Não</v>
      </c>
      <c r="AV6" s="11" t="s">
        <v>49</v>
      </c>
      <c r="AW6" s="14">
        <f t="shared" si="7"/>
        <v>0</v>
      </c>
      <c r="AX6" s="9">
        <f t="shared" si="8"/>
        <v>80440</v>
      </c>
      <c r="AY6" s="9">
        <f t="shared" si="9"/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5127068.3169999998</v>
      </c>
      <c r="AX8" s="30">
        <f>SUM(AX2:AX6)</f>
        <v>5058440.3972506858</v>
      </c>
      <c r="AY8" s="17">
        <f>SUM(AY2:AY6)</f>
        <v>144327.30450000003</v>
      </c>
      <c r="AZ8" s="17">
        <f>SUM(AZ2:AZ6)</f>
        <v>556428.44369757548</v>
      </c>
    </row>
    <row r="9" spans="1:52" x14ac:dyDescent="0.25">
      <c r="E9" s="8"/>
      <c r="AV9" s="33" t="s">
        <v>59</v>
      </c>
      <c r="AW9" s="34">
        <f>IF(AW8&gt;0,AY8/AW8,0)</f>
        <v>2.8150064632735426E-2</v>
      </c>
    </row>
    <row r="10" spans="1:52" ht="30" x14ac:dyDescent="0.25">
      <c r="E10" s="8"/>
      <c r="AV10" s="31" t="s">
        <v>57</v>
      </c>
      <c r="AW10" s="32">
        <f>IF(AW9&gt;0,1/AW9,0)</f>
        <v>35.523897122321706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D452-E971-4FC3-8B88-FB4B5C863A8A}">
  <dimension ref="A1:DF17"/>
  <sheetViews>
    <sheetView workbookViewId="0">
      <pane xSplit="9" ySplit="1" topLeftCell="AV2" activePane="bottomRight" state="frozen"/>
      <selection activeCell="AW14" sqref="AW14"/>
      <selection pane="topRight" activeCell="AW14" sqref="AW14"/>
      <selection pane="bottomLeft" activeCell="AW14" sqref="AW14"/>
      <selection pane="bottomRight" activeCell="AZ9" sqref="AZ9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customWidth="1"/>
    <col min="11" max="11" width="13.28515625" style="6" customWidth="1"/>
    <col min="12" max="12" width="8.140625" style="6" customWidth="1"/>
    <col min="13" max="13" width="13.28515625" style="6" customWidth="1"/>
    <col min="14" max="14" width="8.140625" style="6" customWidth="1"/>
    <col min="15" max="15" width="14.85546875" style="6" customWidth="1"/>
    <col min="16" max="16" width="13.28515625" style="6" customWidth="1"/>
    <col min="17" max="17" width="8.140625" style="6" customWidth="1"/>
    <col min="18" max="18" width="6.5703125" style="6" customWidth="1"/>
    <col min="19" max="19" width="13.42578125" style="6" customWidth="1"/>
    <col min="20" max="20" width="7.7109375" style="6" customWidth="1"/>
    <col min="21" max="22" width="14.85546875" style="6" customWidth="1"/>
    <col min="23" max="25" width="10.7109375" style="6" customWidth="1"/>
    <col min="26" max="26" width="10.7109375" style="6" bestFit="1" customWidth="1"/>
    <col min="27" max="27" width="11.140625" style="6" customWidth="1"/>
    <col min="28" max="28" width="10.7109375" style="6" bestFit="1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4" width="10.85546875" style="6" customWidth="1"/>
    <col min="45" max="45" width="10.7109375" style="6" bestFit="1" customWidth="1"/>
    <col min="46" max="46" width="11.42578125" style="6" bestFit="1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Imob_BRR_2024!A2</f>
        <v>1-2020</v>
      </c>
      <c r="B2" s="6">
        <f>Imob_BRR_2024!B2</f>
        <v>1001</v>
      </c>
      <c r="C2" s="6" t="str">
        <f>Imob_BRR_2024!C2</f>
        <v>8090-20</v>
      </c>
      <c r="D2" s="6">
        <f>Imob_BRR_2024!D2</f>
        <v>12356</v>
      </c>
      <c r="E2" s="8" t="str">
        <f>Imob_BRR_2024!E2</f>
        <v>Tubulações</v>
      </c>
      <c r="F2" s="6" t="str">
        <f>Imob_BRR_2024!F2</f>
        <v>AGUA</v>
      </c>
      <c r="G2" s="6" t="str">
        <f>Imob_BRR_2024!G2</f>
        <v>Curitiba</v>
      </c>
      <c r="H2" s="6" t="str">
        <f>Imob_BRR_2024!H2</f>
        <v>REDE DE ÁGUA 50MM</v>
      </c>
      <c r="I2" s="6">
        <f>IF(Imob_BRR_2024!AQ2="Sim",Imob_BRR_2024!I2-#REF!,Imob_BRR_2024!I2)</f>
        <v>1000</v>
      </c>
      <c r="J2" s="9">
        <f>Imob_BRR_2024!J2</f>
        <v>1647890</v>
      </c>
      <c r="K2" s="9">
        <f>Imob_BRR_2024!K2</f>
        <v>0</v>
      </c>
      <c r="L2" s="10">
        <f>Imob_BRR_2024!L2</f>
        <v>0</v>
      </c>
      <c r="M2" s="9">
        <f>Imob_BRR_2024!M2</f>
        <v>0</v>
      </c>
      <c r="N2" s="10">
        <f>Imob_BRR_2024!N2</f>
        <v>0</v>
      </c>
      <c r="O2" s="9">
        <f>Imob_BRR_2024!O2</f>
        <v>1647890</v>
      </c>
      <c r="P2" s="9">
        <f>Imob_BRR_2024!P2</f>
        <v>0</v>
      </c>
      <c r="Q2" s="11">
        <f>Imob_BRR_2024!Q2</f>
        <v>0</v>
      </c>
      <c r="R2" s="12">
        <f>Imob_BRR_2024!R2</f>
        <v>0.11</v>
      </c>
      <c r="S2" s="13">
        <f>Imob_BRR_2024!S2</f>
        <v>0</v>
      </c>
      <c r="T2" s="11">
        <f>Imob_BRR_2024!T2</f>
        <v>0</v>
      </c>
      <c r="U2" s="9">
        <f>Imob_BRR_2024!U2</f>
        <v>0</v>
      </c>
      <c r="V2" s="14">
        <f>Imob_BRR_2024!V2</f>
        <v>1647890</v>
      </c>
      <c r="W2" s="15">
        <f>Imob_BRR_2024!W2</f>
        <v>44197</v>
      </c>
      <c r="X2" s="15">
        <f>Imob_BRR_2024!X2</f>
        <v>44228</v>
      </c>
      <c r="Y2" s="15">
        <f>Imob_BRR_2024!Y2</f>
        <v>45657</v>
      </c>
      <c r="Z2" s="15">
        <v>46022</v>
      </c>
      <c r="AA2" s="6">
        <f>Imob_BRR_2024!AA2</f>
        <v>5622.43</v>
      </c>
      <c r="AB2" s="15">
        <f>Imob_BRR_2024!AB2</f>
        <v>45657</v>
      </c>
      <c r="AC2" s="6">
        <f>Imob_BRR_2024!AC2</f>
        <v>6800.22</v>
      </c>
      <c r="AD2" s="16">
        <f>ROUND(AC2/AA2-1,4)</f>
        <v>0.20949999999999999</v>
      </c>
      <c r="AE2" s="9">
        <f>Mov_2025!I2/Imob_BRR_2024!I2*Imob_BRR_2024!AE2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58.980821917808214</v>
      </c>
      <c r="AN2" s="14">
        <f>AL2*AM2*AE2</f>
        <v>195926.71678191781</v>
      </c>
      <c r="AO2" s="14">
        <f>AE2-AN2</f>
        <v>1797196.2382180823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>IF(AI2="Não deprecia","Não","Sim")</f>
        <v>Sim</v>
      </c>
      <c r="AV2" s="11" t="s">
        <v>49</v>
      </c>
      <c r="AW2" s="14">
        <f>IF(AU2="Sim",IF(AO2&gt;0,IF(AQ2="Sim",IF(AR2&gt;I2,0,AE2*AP2*(AT2)+AE2*AP2*(1-AR2/I2)*(1-AT2)),AE2*AP2),0),0)</f>
        <v>1993122.9550000001</v>
      </c>
      <c r="AX2" s="9">
        <f>IF(AV2="Sim",IF(AO2&gt;0,IF(AQ2="Sim",IF(AR2&gt;I2,0,AO2*AP2*(AT2)+AO2*AP2*(1-AR2/I2)*(1-AT2)),AO2*AP2),0),0)</f>
        <v>1797196.2382180823</v>
      </c>
      <c r="AY2" s="9">
        <f>IF(AU2="Sim",AW2*AK2,0)</f>
        <v>39862.4591</v>
      </c>
      <c r="AZ2" s="9">
        <f>IF(AV2="Sim",AX2*R2,0)</f>
        <v>197691.58620398905</v>
      </c>
    </row>
    <row r="3" spans="1:52" x14ac:dyDescent="0.25">
      <c r="A3" s="18" t="str">
        <f>Imob_BRR_2024!A3</f>
        <v>2-2020</v>
      </c>
      <c r="B3" s="18">
        <f>Imob_BRR_2024!B3</f>
        <v>1002</v>
      </c>
      <c r="C3" s="18" t="str">
        <f>Imob_BRR_2024!C3</f>
        <v>8099-20</v>
      </c>
      <c r="D3" s="18">
        <f>Imob_BRR_2024!D3</f>
        <v>12356</v>
      </c>
      <c r="E3" s="19" t="str">
        <f>Imob_BRR_2024!E3</f>
        <v>Construções Civis</v>
      </c>
      <c r="F3" s="18" t="str">
        <f>Imob_BRR_2024!F3</f>
        <v>ESGOTO</v>
      </c>
      <c r="G3" s="18" t="str">
        <f>Imob_BRR_2024!G3</f>
        <v>Londrina</v>
      </c>
      <c r="H3" s="18" t="str">
        <f>Imob_BRR_2024!H3</f>
        <v>ETA LONDRINA II</v>
      </c>
      <c r="I3" s="18">
        <f>IF(Imob_BRR_2024!AQ3="Sim",Imob_BRR_2024!I3-#REF!,Imob_BRR_2024!I3)</f>
        <v>1</v>
      </c>
      <c r="J3" s="20">
        <f>Imob_BRR_2024!J3</f>
        <v>2000000</v>
      </c>
      <c r="K3" s="20">
        <f>Imob_BRR_2024!K3</f>
        <v>0</v>
      </c>
      <c r="L3" s="21">
        <f>Imob_BRR_2024!L3</f>
        <v>0</v>
      </c>
      <c r="M3" s="20">
        <f>Imob_BRR_2024!M3</f>
        <v>300000</v>
      </c>
      <c r="N3" s="21">
        <f>Imob_BRR_2024!N3</f>
        <v>0.15</v>
      </c>
      <c r="O3" s="20">
        <f>Imob_BRR_2024!O3</f>
        <v>2300000</v>
      </c>
      <c r="P3" s="20">
        <f>Imob_BRR_2024!P3</f>
        <v>250000</v>
      </c>
      <c r="Q3" s="22">
        <f>Imob_BRR_2024!Q3</f>
        <v>0.10869565217391304</v>
      </c>
      <c r="R3" s="23">
        <f>Imob_BRR_2024!R3</f>
        <v>0.11</v>
      </c>
      <c r="S3" s="24">
        <f>Imob_BRR_2024!S3</f>
        <v>12</v>
      </c>
      <c r="T3" s="22">
        <f>Imob_BRR_2024!T3</f>
        <v>0.1100000000000001</v>
      </c>
      <c r="U3" s="20">
        <f>Imob_BRR_2024!U3</f>
        <v>253000.00000000023</v>
      </c>
      <c r="V3" s="25">
        <f>Imob_BRR_2024!V3</f>
        <v>2553000</v>
      </c>
      <c r="W3" s="26">
        <f>Imob_BRR_2024!W3</f>
        <v>44562</v>
      </c>
      <c r="X3" s="26">
        <f>Imob_BRR_2024!X3</f>
        <v>44593</v>
      </c>
      <c r="Y3" s="26">
        <f>Imob_BRR_2024!Y3</f>
        <v>45657</v>
      </c>
      <c r="Z3" s="26">
        <f>Z2</f>
        <v>46022</v>
      </c>
      <c r="AA3" s="18">
        <f>Imob_BRR_2024!AA3</f>
        <v>6215.24</v>
      </c>
      <c r="AB3" s="26">
        <f>Imob_BRR_2024!AB3</f>
        <v>45657</v>
      </c>
      <c r="AC3" s="18">
        <f>Imob_BRR_2024!AC3</f>
        <v>6800.22</v>
      </c>
      <c r="AD3" s="27">
        <f>ROUND(AC3/AA3-1,4)</f>
        <v>9.4100000000000003E-2</v>
      </c>
      <c r="AE3" s="20">
        <f>Mov_2025!I3/Imob_BRR_2024!I3*Imob_BRR_2024!AE3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>IF(AI3="Contrato",AG3,IF(AI3="Não deprecia",0,AH3))</f>
        <v>30</v>
      </c>
      <c r="AK3" s="27">
        <f>IF(AJ3&lt;&gt;0,1/AJ3,0)</f>
        <v>3.3333333333333333E-2</v>
      </c>
      <c r="AL3" s="27">
        <f>AK3/12</f>
        <v>2.7777777777777779E-3</v>
      </c>
      <c r="AM3" s="24">
        <f>IF((Z3-X3)/365*12&gt;AJ3*12,AJ3*12,(Z3-X3)/365*12)</f>
        <v>46.980821917808221</v>
      </c>
      <c r="AN3" s="25">
        <f>AL3*AM3*AE3</f>
        <v>364523.84490410966</v>
      </c>
      <c r="AO3" s="25">
        <f>AE3-AN3</f>
        <v>2428713.4550958904</v>
      </c>
      <c r="AP3" s="23">
        <v>0.8</v>
      </c>
      <c r="AQ3" s="23" t="s">
        <v>50</v>
      </c>
      <c r="AR3" s="24">
        <v>0</v>
      </c>
      <c r="AS3" s="26"/>
      <c r="AT3" s="45">
        <f>IF(YEAR(AS3)&lt;YEAR(Z3),0,(MONTH(AS3)-1)/12)</f>
        <v>0</v>
      </c>
      <c r="AU3" s="22" t="str">
        <f>IF(AI3="Não deprecia","Não","Sim")</f>
        <v>Sim</v>
      </c>
      <c r="AV3" s="22" t="s">
        <v>49</v>
      </c>
      <c r="AW3" s="25">
        <f>IF(AU3="Sim",IF(AO3&gt;0,IF(AQ3="Sim",IF(AR3&gt;I3,0,AE3*AP3*(AT3)+AE3*AP3*(1-AR3/I3)*(1-AT3)),AE3*AP3),0),0)</f>
        <v>2234589.8400000003</v>
      </c>
      <c r="AX3" s="20">
        <f>IF(AV3="Sim",IF(AO3&gt;0,IF(AQ3="Sim",IF(AR3&gt;I3,0,AO3*AP3*(AT3)+AO3*AP3*(1-AR3/I3)*(1-AT3)),AO3*AP3),0),0)</f>
        <v>1942970.7640767125</v>
      </c>
      <c r="AY3" s="20">
        <f>IF(AU3="Sim",AW3*AK3,0)</f>
        <v>74486.328000000009</v>
      </c>
      <c r="AZ3" s="20">
        <f>IF(AV3="Sim",AX3*R3,0)</f>
        <v>213726.78404843839</v>
      </c>
    </row>
    <row r="4" spans="1:52" x14ac:dyDescent="0.25">
      <c r="A4" s="6" t="str">
        <f>Imob_BRR_2024!A4</f>
        <v>3-2020</v>
      </c>
      <c r="B4" s="6">
        <f>Imob_BRR_2024!B4</f>
        <v>1003</v>
      </c>
      <c r="C4" s="6" t="str">
        <f>Imob_BRR_2024!C4</f>
        <v>8099-20</v>
      </c>
      <c r="D4" s="6">
        <f>Imob_BRR_2024!D4</f>
        <v>12356</v>
      </c>
      <c r="E4" s="8" t="str">
        <f>Imob_BRR_2024!E4</f>
        <v>Equipamentos</v>
      </c>
      <c r="F4" s="6" t="str">
        <f>Imob_BRR_2024!F4</f>
        <v>AGUA</v>
      </c>
      <c r="G4" s="6" t="str">
        <f>Imob_BRR_2024!G4</f>
        <v>Maringá</v>
      </c>
      <c r="H4" s="6" t="str">
        <f>Imob_BRR_2024!H4</f>
        <v>MOTOR ELÉTRICO 1000HP</v>
      </c>
      <c r="I4" s="6">
        <f>IF(Imob_BRR_2024!AQ4="Sim",Imob_BRR_2024!I4-#REF!,Imob_BRR_2024!I4)</f>
        <v>1</v>
      </c>
      <c r="J4" s="9">
        <f>Imob_BRR_2024!J4</f>
        <v>850000</v>
      </c>
      <c r="K4" s="9">
        <f>Imob_BRR_2024!K4</f>
        <v>63750</v>
      </c>
      <c r="L4" s="10">
        <f>Imob_BRR_2024!L4</f>
        <v>7.4999999999999997E-2</v>
      </c>
      <c r="M4" s="9">
        <f>Imob_BRR_2024!M4</f>
        <v>63750</v>
      </c>
      <c r="N4" s="10">
        <f>Imob_BRR_2024!N4</f>
        <v>7.4999999999999997E-2</v>
      </c>
      <c r="O4" s="9">
        <f>Imob_BRR_2024!O4</f>
        <v>977500</v>
      </c>
      <c r="P4" s="9">
        <f>Imob_BRR_2024!P4</f>
        <v>83000</v>
      </c>
      <c r="Q4" s="11">
        <f>Imob_BRR_2024!Q4</f>
        <v>8.4910485933503838E-2</v>
      </c>
      <c r="R4" s="12">
        <f>Imob_BRR_2024!R4</f>
        <v>0.11</v>
      </c>
      <c r="S4" s="13">
        <f>Imob_BRR_2024!S4</f>
        <v>12</v>
      </c>
      <c r="T4" s="11">
        <f>Imob_BRR_2024!T4</f>
        <v>0.1100000000000001</v>
      </c>
      <c r="U4" s="9">
        <f>Imob_BRR_2024!U4</f>
        <v>107525.0000000001</v>
      </c>
      <c r="V4" s="14">
        <f>Imob_BRR_2024!V4</f>
        <v>1085025</v>
      </c>
      <c r="W4" s="15">
        <f>Imob_BRR_2024!W4</f>
        <v>44927</v>
      </c>
      <c r="X4" s="15">
        <f>Imob_BRR_2024!X4</f>
        <v>44958</v>
      </c>
      <c r="Y4" s="15">
        <f>Imob_BRR_2024!Y4</f>
        <v>45657</v>
      </c>
      <c r="Z4" s="15">
        <f>Z3</f>
        <v>46022</v>
      </c>
      <c r="AA4" s="6">
        <f>Imob_BRR_2024!AA4</f>
        <v>6563.07</v>
      </c>
      <c r="AB4" s="15">
        <f>Imob_BRR_2024!AB4</f>
        <v>45657</v>
      </c>
      <c r="AC4" s="6">
        <f>Imob_BRR_2024!AC4</f>
        <v>6800.22</v>
      </c>
      <c r="AD4" s="16">
        <f>ROUND(AC4/AA4-1,4)</f>
        <v>3.61E-2</v>
      </c>
      <c r="AE4" s="9">
        <f>Mov_2025!I4/Imob_BRR_2024!I4*Imob_BRR_2024!AE4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>IF(AI4="Contrato",AG4,IF(AI4="Não deprecia",0,AH4))</f>
        <v>30</v>
      </c>
      <c r="AK4" s="16">
        <f>IF(AJ4&lt;&gt;0,1/AJ4,0)</f>
        <v>3.3333333333333333E-2</v>
      </c>
      <c r="AL4" s="16">
        <f>AK4/12</f>
        <v>2.7777777777777779E-3</v>
      </c>
      <c r="AM4" s="13">
        <f>IF((Z4-X4)/365*12&gt;AJ4*12,AJ4*12,(Z4-X4)/365*12)</f>
        <v>34.980821917808221</v>
      </c>
      <c r="AN4" s="14">
        <f>AL4*AM4*AE4</f>
        <v>109236.78943013701</v>
      </c>
      <c r="AO4" s="14">
        <f>AE4-AN4</f>
        <v>1014957.6130698631</v>
      </c>
      <c r="AP4" s="11">
        <v>0.8</v>
      </c>
      <c r="AQ4" s="11" t="s">
        <v>50</v>
      </c>
      <c r="AR4" s="44">
        <v>0</v>
      </c>
      <c r="AS4" s="15"/>
      <c r="AT4" s="47">
        <f>IF(YEAR(AS4)&lt;YEAR(Z4),0,(MONTH(AS4)-1)/12)</f>
        <v>0</v>
      </c>
      <c r="AU4" s="11" t="str">
        <f>IF(AI4="Não deprecia","Não","Sim")</f>
        <v>Sim</v>
      </c>
      <c r="AV4" s="11" t="s">
        <v>49</v>
      </c>
      <c r="AW4" s="14">
        <f>IF(AU4="Sim",IF(AO4&gt;0,IF(AQ4="Sim",IF(AR4&gt;I4,0,AE4*AP4*(AT4)+AE4*AP4*(1-AR4/I4)*(1-AT4)),AE4*AP4),0),0)</f>
        <v>899355.52200000011</v>
      </c>
      <c r="AX4" s="9">
        <f>IF(AV4="Sim",IF(AO4&gt;0,IF(AQ4="Sim",IF(AR4&gt;I4,0,AO4*AP4*(AT4)+AO4*AP4*(1-AR4/I4)*(1-AT4)),AO4*AP4),0),0)</f>
        <v>811966.09045589052</v>
      </c>
      <c r="AY4" s="9">
        <f>IF(AU4="Sim",AW4*AK4,0)</f>
        <v>29978.517400000004</v>
      </c>
      <c r="AZ4" s="9">
        <f>IF(AV4="Sim",AX4*R4,0)</f>
        <v>89316.269950147951</v>
      </c>
    </row>
    <row r="5" spans="1:52" x14ac:dyDescent="0.25">
      <c r="A5" s="18" t="str">
        <f>Imob_BRR_2024!A5</f>
        <v>4-2020</v>
      </c>
      <c r="B5" s="18">
        <f>Imob_BRR_2024!B5</f>
        <v>1003</v>
      </c>
      <c r="C5" s="18" t="str">
        <f>Imob_BRR_2024!C5</f>
        <v>8099-20</v>
      </c>
      <c r="D5" s="18">
        <f>Imob_BRR_2024!D5</f>
        <v>12356</v>
      </c>
      <c r="E5" s="19" t="str">
        <f>Imob_BRR_2024!E5</f>
        <v>Terrenos</v>
      </c>
      <c r="F5" s="18" t="str">
        <f>Imob_BRR_2024!F5</f>
        <v>AGUA</v>
      </c>
      <c r="G5" s="18" t="str">
        <f>Imob_BRR_2024!G5</f>
        <v>Cascavel</v>
      </c>
      <c r="H5" s="18" t="str">
        <f>Imob_BRR_2024!H5</f>
        <v>TERRENO 120.000M²</v>
      </c>
      <c r="I5" s="18">
        <f>IF(Imob_BRR_2024!AQ5="Sim",Imob_BRR_2024!I5-#REF!,Imob_BRR_2024!I5)</f>
        <v>1</v>
      </c>
      <c r="J5" s="20">
        <f>Imob_BRR_2024!J5</f>
        <v>350000</v>
      </c>
      <c r="K5" s="20">
        <f>Imob_BRR_2024!K5</f>
        <v>0</v>
      </c>
      <c r="L5" s="21">
        <f>Imob_BRR_2024!L5</f>
        <v>0</v>
      </c>
      <c r="M5" s="20">
        <f>Imob_BRR_2024!M5</f>
        <v>0</v>
      </c>
      <c r="N5" s="21">
        <f>Imob_BRR_2024!N5</f>
        <v>0</v>
      </c>
      <c r="O5" s="20">
        <f>Imob_BRR_2024!O5</f>
        <v>350000</v>
      </c>
      <c r="P5" s="20">
        <f>Imob_BRR_2024!P5</f>
        <v>0</v>
      </c>
      <c r="Q5" s="22">
        <f>Imob_BRR_2024!Q5</f>
        <v>0</v>
      </c>
      <c r="R5" s="23">
        <f>Imob_BRR_2024!R5</f>
        <v>0.11</v>
      </c>
      <c r="S5" s="24">
        <f>Imob_BRR_2024!S5</f>
        <v>0</v>
      </c>
      <c r="T5" s="22">
        <f>Imob_BRR_2024!T5</f>
        <v>0</v>
      </c>
      <c r="U5" s="20">
        <f>Imob_BRR_2024!U5</f>
        <v>0</v>
      </c>
      <c r="V5" s="25">
        <f>Imob_BRR_2024!V5</f>
        <v>350000</v>
      </c>
      <c r="W5" s="26">
        <f>Imob_BRR_2024!W5</f>
        <v>45292</v>
      </c>
      <c r="X5" s="26">
        <f>Imob_BRR_2024!X5</f>
        <v>45323</v>
      </c>
      <c r="Y5" s="26">
        <f>Imob_BRR_2024!Y5</f>
        <v>45657</v>
      </c>
      <c r="Z5" s="26">
        <f>Z4</f>
        <v>46022</v>
      </c>
      <c r="AA5" s="18">
        <f>Imob_BRR_2024!AA5</f>
        <v>6763.07</v>
      </c>
      <c r="AB5" s="26">
        <f>Imob_BRR_2024!AB5</f>
        <v>45657</v>
      </c>
      <c r="AC5" s="18">
        <f>Imob_BRR_2024!AC5</f>
        <v>6800.22</v>
      </c>
      <c r="AD5" s="27">
        <f>ROUND(AC5/AA5-1,4)</f>
        <v>5.4999999999999997E-3</v>
      </c>
      <c r="AE5" s="20">
        <f>Mov_2025!I5/Imob_BRR_2024!I5*Imob_BRR_2024!AE5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>IF(AI5="Contrato",AG5,IF(AI5="Não deprecia",0,AH5))</f>
        <v>0</v>
      </c>
      <c r="AK5" s="27">
        <f>IF(AJ5&lt;&gt;0,1/AJ5,0)</f>
        <v>0</v>
      </c>
      <c r="AL5" s="27">
        <f>AK5/12</f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>IF(YEAR(AS5)&lt;YEAR(Z5),0,(MONTH(AS5)-1)/12)</f>
        <v>0</v>
      </c>
      <c r="AU5" s="22" t="str">
        <f>IF(AI5="Não deprecia","Não","Sim")</f>
        <v>Não</v>
      </c>
      <c r="AV5" s="22" t="s">
        <v>49</v>
      </c>
      <c r="AW5" s="25">
        <f>IF(AU5="Sim",IF(AO5&gt;0,IF(AQ5="Sim",IF(AR5&gt;I5,0,AE5*AP5*(AT5)+AE5*AP5*(1-AR5/I5)*(1-AT5)),AE5*AP5),0),0)</f>
        <v>0</v>
      </c>
      <c r="AX5" s="20">
        <f>IF(AV5="Sim",IF(AO5&gt;0,IF(AQ5="Sim",IF(AR5&gt;I5,0,AO5*AP5*(AT5)+AO5*AP5*(1-AR5/I5)*(1-AT5)),AO5*AP5),0),0)</f>
        <v>281540</v>
      </c>
      <c r="AY5" s="20">
        <f>IF(AU5="Sim",AW5*AK5,0)</f>
        <v>0</v>
      </c>
      <c r="AZ5" s="20">
        <f>IF(AV5="Sim",AX5*R5,0)</f>
        <v>30969.4</v>
      </c>
    </row>
    <row r="6" spans="1:52" x14ac:dyDescent="0.25">
      <c r="A6" s="6" t="str">
        <f>Imob_BRR_2024!A6</f>
        <v>5-2020</v>
      </c>
      <c r="B6" s="6">
        <f>Imob_BRR_2024!B6</f>
        <v>1004</v>
      </c>
      <c r="C6" s="6" t="str">
        <f>Imob_BRR_2024!C6</f>
        <v>9087-20</v>
      </c>
      <c r="D6" s="6">
        <f>Imob_BRR_2024!D6</f>
        <v>12357</v>
      </c>
      <c r="E6" s="8" t="str">
        <f>Imob_BRR_2024!E6</f>
        <v>Reserva Operacional</v>
      </c>
      <c r="F6" s="6" t="str">
        <f>Imob_BRR_2024!F6</f>
        <v>AGUA</v>
      </c>
      <c r="G6" s="6" t="str">
        <f>Imob_BRR_2024!G6</f>
        <v>Curitiba</v>
      </c>
      <c r="H6" s="6" t="str">
        <f>Imob_BRR_2024!H6</f>
        <v>BOMBA HIDRÁULICA</v>
      </c>
      <c r="I6" s="6">
        <f>IF(Imob_BRR_2024!AQ6="Sim",Imob_BRR_2024!I6-#REF!,Imob_BRR_2024!I6)</f>
        <v>10</v>
      </c>
      <c r="J6" s="9">
        <f>Imob_BRR_2024!J6</f>
        <v>80000</v>
      </c>
      <c r="K6" s="9">
        <f>Imob_BRR_2024!K6</f>
        <v>0</v>
      </c>
      <c r="L6" s="10">
        <f>Imob_BRR_2024!L6</f>
        <v>0</v>
      </c>
      <c r="M6" s="9">
        <f>Imob_BRR_2024!M6</f>
        <v>0</v>
      </c>
      <c r="N6" s="10">
        <f>Imob_BRR_2024!N6</f>
        <v>0</v>
      </c>
      <c r="O6" s="9">
        <f>Imob_BRR_2024!O6</f>
        <v>80000</v>
      </c>
      <c r="P6" s="9">
        <f>Imob_BRR_2024!P6</f>
        <v>0</v>
      </c>
      <c r="Q6" s="11">
        <f>Imob_BRR_2024!Q6</f>
        <v>0</v>
      </c>
      <c r="R6" s="12">
        <f>Imob_BRR_2024!R6</f>
        <v>0.11</v>
      </c>
      <c r="S6" s="13">
        <f>Imob_BRR_2024!S6</f>
        <v>0</v>
      </c>
      <c r="T6" s="11">
        <f>Imob_BRR_2024!T6</f>
        <v>0</v>
      </c>
      <c r="U6" s="9">
        <f>Imob_BRR_2024!U6</f>
        <v>0</v>
      </c>
      <c r="V6" s="14">
        <f>Imob_BRR_2024!V6</f>
        <v>80000</v>
      </c>
      <c r="W6" s="15">
        <f>Imob_BRR_2024!W6</f>
        <v>45292</v>
      </c>
      <c r="X6" s="15">
        <f>Imob_BRR_2024!X6</f>
        <v>45323</v>
      </c>
      <c r="Y6" s="15">
        <f>Imob_BRR_2024!Y6</f>
        <v>45657</v>
      </c>
      <c r="Z6" s="15">
        <f>Z5</f>
        <v>46022</v>
      </c>
      <c r="AA6" s="6">
        <f>Imob_BRR_2024!AA6</f>
        <v>6763.07</v>
      </c>
      <c r="AB6" s="15">
        <f>Imob_BRR_2024!AB6</f>
        <v>45657</v>
      </c>
      <c r="AC6" s="6">
        <f>Imob_BRR_2024!AC6</f>
        <v>6800.22</v>
      </c>
      <c r="AD6" s="16">
        <f>ROUND(AC6/AA6-1,4)</f>
        <v>5.4999999999999997E-3</v>
      </c>
      <c r="AE6" s="9">
        <f>Mov_2025!I6/Imob_BRR_2024!I6*Imob_BRR_2024!AE6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>IF(AJ6&lt;&gt;0,1/AJ6,0)</f>
        <v>0</v>
      </c>
      <c r="AL6" s="16">
        <f>AK6/12</f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>IF(YEAR(AS6)&lt;YEAR(Z6),0,(MONTH(AS6)-1)/12)</f>
        <v>0</v>
      </c>
      <c r="AU6" s="11" t="str">
        <f>IF(AI6="Não deprecia","Não","Sim")</f>
        <v>Não</v>
      </c>
      <c r="AV6" s="11" t="s">
        <v>49</v>
      </c>
      <c r="AW6" s="14">
        <f>IF(AU6="Sim",IF(AO6&gt;0,IF(AQ6="Sim",IF(AR6&gt;I6,0,AE6*AP6*(AT6)+AE6*AP6*(1-AR6/I6)*(1-AT6)),AE6*AP6),0),0)</f>
        <v>0</v>
      </c>
      <c r="AX6" s="9">
        <f>IF(AV6="Sim",IF(AO6&gt;0,IF(AQ6="Sim",IF(AR6&gt;I6,0,AO6*AP6*(AT6)+AO6*AP6*(1-AR6/I6)*(1-AT6)),AO6*AP6),0),0)</f>
        <v>80440</v>
      </c>
      <c r="AY6" s="9">
        <f>IF(AU6="Sim",AW6*AK6,0)</f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5127068.3169999998</v>
      </c>
      <c r="AX8" s="30">
        <f>SUM(AX2:AX6)</f>
        <v>4914113.0927506853</v>
      </c>
      <c r="AY8" s="17">
        <f>SUM(AY2:AY6)</f>
        <v>144327.30450000003</v>
      </c>
      <c r="AZ8" s="17">
        <f>SUM(AZ2:AZ6)</f>
        <v>540552.44020257541</v>
      </c>
    </row>
    <row r="9" spans="1:52" x14ac:dyDescent="0.25">
      <c r="E9" s="8"/>
      <c r="AV9" s="33" t="s">
        <v>59</v>
      </c>
      <c r="AW9" s="34">
        <f>IF(AW8&gt;0,AY8/AW8,0)</f>
        <v>2.8150064632735426E-2</v>
      </c>
    </row>
    <row r="10" spans="1:52" ht="30" x14ac:dyDescent="0.25">
      <c r="E10" s="8"/>
      <c r="AV10" s="31" t="s">
        <v>57</v>
      </c>
      <c r="AW10" s="32">
        <f>IF(AW9&gt;0,1/AW9,0)</f>
        <v>35.523897122321706</v>
      </c>
    </row>
    <row r="13" spans="1:52" x14ac:dyDescent="0.25">
      <c r="AO13" s="14"/>
    </row>
    <row r="14" spans="1:52" x14ac:dyDescent="0.25">
      <c r="AO14" s="9"/>
      <c r="AT14" s="46"/>
    </row>
    <row r="15" spans="1:52" x14ac:dyDescent="0.25">
      <c r="AO15" s="14"/>
    </row>
    <row r="16" spans="1:52" x14ac:dyDescent="0.25">
      <c r="AO16" s="14"/>
    </row>
    <row r="17" spans="41:41" x14ac:dyDescent="0.25">
      <c r="AO17" s="1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535A-460D-4FFA-BB1F-B6F36E369169}">
  <dimension ref="A1:DF10"/>
  <sheetViews>
    <sheetView workbookViewId="0">
      <pane xSplit="9" ySplit="1" topLeftCell="AQ2" activePane="bottomRight" state="frozen"/>
      <selection activeCell="AW14" sqref="AW14"/>
      <selection pane="topRight" activeCell="AW14" sqref="AW14"/>
      <selection pane="bottomLeft" activeCell="AW14" sqref="AW14"/>
      <selection pane="bottomRight" activeCell="AS3" sqref="AS3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4" width="11.140625" style="6" bestFit="1" customWidth="1"/>
    <col min="45" max="45" width="10.7109375" style="6" bestFit="1" customWidth="1"/>
    <col min="46" max="46" width="11.42578125" style="6" bestFit="1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52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Mov_2025!A2</f>
        <v>1-2020</v>
      </c>
      <c r="B2" s="6">
        <f>Mov_2025!B2</f>
        <v>1001</v>
      </c>
      <c r="C2" s="6" t="str">
        <f>Mov_2025!C2</f>
        <v>8090-20</v>
      </c>
      <c r="D2" s="6">
        <f>Mov_2025!D2</f>
        <v>12356</v>
      </c>
      <c r="E2" s="8" t="str">
        <f>Mov_2025!E2</f>
        <v>Tubulações</v>
      </c>
      <c r="F2" s="6" t="str">
        <f>Mov_2025!F2</f>
        <v>AGUA</v>
      </c>
      <c r="G2" s="6" t="str">
        <f>Mov_2025!G2</f>
        <v>Curitiba</v>
      </c>
      <c r="H2" s="6" t="str">
        <f>Mov_2025!H2</f>
        <v>REDE DE ÁGUA 50MM</v>
      </c>
      <c r="I2" s="6">
        <f>IF(Mov_2025!AQ2="Sim",Mov_2025!I2-Mov_2025!AR2,Mov_2025!I2)</f>
        <v>1000</v>
      </c>
      <c r="J2" s="9">
        <f>Mov_2025!J2</f>
        <v>1647890</v>
      </c>
      <c r="K2" s="9">
        <f>Mov_2025!K2</f>
        <v>0</v>
      </c>
      <c r="L2" s="10">
        <f>Mov_2025!L2</f>
        <v>0</v>
      </c>
      <c r="M2" s="9">
        <f>Mov_2025!M2</f>
        <v>0</v>
      </c>
      <c r="N2" s="10">
        <f>Mov_2025!N2</f>
        <v>0</v>
      </c>
      <c r="O2" s="9">
        <f>Mov_2025!O2</f>
        <v>1647890</v>
      </c>
      <c r="P2" s="9">
        <f>Mov_2025!P2</f>
        <v>0</v>
      </c>
      <c r="Q2" s="11">
        <f>Mov_2025!Q2</f>
        <v>0</v>
      </c>
      <c r="R2" s="12">
        <f>Mov_2025!R2</f>
        <v>0.11</v>
      </c>
      <c r="S2" s="13">
        <f>Mov_2025!S2</f>
        <v>0</v>
      </c>
      <c r="T2" s="11">
        <f>Mov_2025!T2</f>
        <v>0</v>
      </c>
      <c r="U2" s="9">
        <f>Mov_2025!U2</f>
        <v>0</v>
      </c>
      <c r="V2" s="14">
        <f>Mov_2025!V2</f>
        <v>1647890</v>
      </c>
      <c r="W2" s="15">
        <f>Mov_2025!W2</f>
        <v>44197</v>
      </c>
      <c r="X2" s="15">
        <f>Mov_2025!X2</f>
        <v>44228</v>
      </c>
      <c r="Y2" s="15">
        <f>Mov_2025!Y2</f>
        <v>45657</v>
      </c>
      <c r="Z2" s="15">
        <v>46387</v>
      </c>
      <c r="AA2" s="6">
        <f>Mov_2025!AA2</f>
        <v>5622.43</v>
      </c>
      <c r="AB2" s="15">
        <f>Mov_2025!AB2</f>
        <v>45657</v>
      </c>
      <c r="AC2" s="6">
        <f>Mov_2025!AC2</f>
        <v>6800.22</v>
      </c>
      <c r="AD2" s="16">
        <f>ROUND(AC2/AA2-1,4)</f>
        <v>0.20949999999999999</v>
      </c>
      <c r="AE2" s="9">
        <f>Mov_2026!I2/Mov_2025!I2*Mov_2025!AE2</f>
        <v>1993122.9550000001</v>
      </c>
      <c r="AF2" s="9" t="s">
        <v>27</v>
      </c>
      <c r="AG2" s="6">
        <v>40</v>
      </c>
      <c r="AH2" s="6">
        <v>50</v>
      </c>
      <c r="AI2" s="6" t="s">
        <v>33</v>
      </c>
      <c r="AJ2" s="6">
        <f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70.980821917808214</v>
      </c>
      <c r="AN2" s="14">
        <f>AL2*AM2*AE2</f>
        <v>235789.17588191779</v>
      </c>
      <c r="AO2" s="14">
        <f>AE2-AN2</f>
        <v>1757333.7791180823</v>
      </c>
      <c r="AP2" s="11">
        <v>1</v>
      </c>
      <c r="AQ2" s="53" t="s">
        <v>49</v>
      </c>
      <c r="AR2" s="44">
        <v>500</v>
      </c>
      <c r="AS2" s="15">
        <v>46204</v>
      </c>
      <c r="AT2" s="47">
        <f>IF(YEAR(AS2)&lt;YEAR(Z2),0,(MONTH(AS2)-1)/12)</f>
        <v>0.5</v>
      </c>
      <c r="AU2" s="11" t="str">
        <f>IF(AI2="Não deprecia","Não","Sim")</f>
        <v>Sim</v>
      </c>
      <c r="AV2" s="11" t="s">
        <v>49</v>
      </c>
      <c r="AW2" s="14">
        <f>IF(AU2="Sim",IF(AO2&gt;0,IF(AQ2="Sim",IF(AR2&gt;I2,0,AE2*AP2*(AT2)+AE2*AP2*(1-AR2/I2)*(1-AT2)),AE2*AP2),0),0)</f>
        <v>1494842.2162500001</v>
      </c>
      <c r="AX2" s="9">
        <f>IF(AV2="Sim",IF(AO2&gt;0,IF(AQ2="Sim",IF(AR2&gt;I2,0,AO2*AP2*(AT2)+AO2*AP2*(1-AR2/I2)*(1-AT2)),AO2*AP2),0),0)</f>
        <v>1318000.3343385616</v>
      </c>
      <c r="AY2" s="9">
        <f>IF(AU2="Sim",AW2*AK2,0)</f>
        <v>29896.844325000002</v>
      </c>
      <c r="AZ2" s="9">
        <f>IF(AV2="Sim",AX2*R2,0)</f>
        <v>144980.03677724177</v>
      </c>
    </row>
    <row r="3" spans="1:52" x14ac:dyDescent="0.25">
      <c r="A3" s="18" t="str">
        <f>Mov_2025!A3</f>
        <v>2-2020</v>
      </c>
      <c r="B3" s="18">
        <f>Mov_2025!B3</f>
        <v>1002</v>
      </c>
      <c r="C3" s="18" t="str">
        <f>Mov_2025!C3</f>
        <v>8099-20</v>
      </c>
      <c r="D3" s="18">
        <f>Mov_2025!D3</f>
        <v>12356</v>
      </c>
      <c r="E3" s="19" t="str">
        <f>Mov_2025!E3</f>
        <v>Construções Civis</v>
      </c>
      <c r="F3" s="18" t="str">
        <f>Mov_2025!F3</f>
        <v>ESGOTO</v>
      </c>
      <c r="G3" s="18" t="str">
        <f>Mov_2025!G3</f>
        <v>Londrina</v>
      </c>
      <c r="H3" s="18" t="str">
        <f>Mov_2025!H3</f>
        <v>ETA LONDRINA II</v>
      </c>
      <c r="I3" s="18">
        <f>IF(Mov_2025!AQ3="Sim",Mov_2025!I3-Mov_2025!AR3,Mov_2025!I3)</f>
        <v>1</v>
      </c>
      <c r="J3" s="20">
        <f>Mov_2025!J3</f>
        <v>2000000</v>
      </c>
      <c r="K3" s="20">
        <f>Mov_2025!K3</f>
        <v>0</v>
      </c>
      <c r="L3" s="21">
        <f>Mov_2025!L3</f>
        <v>0</v>
      </c>
      <c r="M3" s="20">
        <f>Mov_2025!M3</f>
        <v>300000</v>
      </c>
      <c r="N3" s="21">
        <f>Mov_2025!N3</f>
        <v>0.15</v>
      </c>
      <c r="O3" s="20">
        <f>Mov_2025!O3</f>
        <v>2300000</v>
      </c>
      <c r="P3" s="20">
        <f>Mov_2025!P3</f>
        <v>250000</v>
      </c>
      <c r="Q3" s="22">
        <f>Mov_2025!Q3</f>
        <v>0.10869565217391304</v>
      </c>
      <c r="R3" s="23">
        <f>Mov_2025!R3</f>
        <v>0.11</v>
      </c>
      <c r="S3" s="24">
        <f>Mov_2025!S3</f>
        <v>12</v>
      </c>
      <c r="T3" s="22">
        <f>Mov_2025!T3</f>
        <v>0.1100000000000001</v>
      </c>
      <c r="U3" s="20">
        <f>Mov_2025!U3</f>
        <v>253000.00000000023</v>
      </c>
      <c r="V3" s="25">
        <f>Mov_2025!V3</f>
        <v>2553000</v>
      </c>
      <c r="W3" s="26">
        <f>Mov_2025!W3</f>
        <v>44562</v>
      </c>
      <c r="X3" s="26">
        <f>Mov_2025!X3</f>
        <v>44593</v>
      </c>
      <c r="Y3" s="26">
        <f>Mov_2025!Y3</f>
        <v>45657</v>
      </c>
      <c r="Z3" s="26">
        <f>Z2</f>
        <v>46387</v>
      </c>
      <c r="AA3" s="18">
        <f>Mov_2025!AA3</f>
        <v>6215.24</v>
      </c>
      <c r="AB3" s="26">
        <f>Mov_2025!AB3</f>
        <v>45657</v>
      </c>
      <c r="AC3" s="18">
        <f>Mov_2025!AC3</f>
        <v>6800.22</v>
      </c>
      <c r="AD3" s="27">
        <f>ROUND(AC3/AA3-1,4)</f>
        <v>9.4100000000000003E-2</v>
      </c>
      <c r="AE3" s="20">
        <f>Mov_2026!I3/Mov_2025!I3*Mov_2025!AE3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>IF(AI3="Contrato",AG3,IF(AI3="Não deprecia",0,AH3))</f>
        <v>30</v>
      </c>
      <c r="AK3" s="27">
        <f>IF(AJ3&lt;&gt;0,1/AJ3,0)</f>
        <v>3.3333333333333333E-2</v>
      </c>
      <c r="AL3" s="27">
        <f>AK3/12</f>
        <v>2.7777777777777779E-3</v>
      </c>
      <c r="AM3" s="24">
        <f>IF((Z3-X3)/365*12&gt;AJ3*12,AJ3*12,(Z3-X3)/365*12)</f>
        <v>58.980821917808214</v>
      </c>
      <c r="AN3" s="25">
        <f>AL3*AM3*AE3</f>
        <v>457631.75490410958</v>
      </c>
      <c r="AO3" s="25">
        <f>AE3-AN3</f>
        <v>2335605.5450958908</v>
      </c>
      <c r="AP3" s="23">
        <v>0.8</v>
      </c>
      <c r="AQ3" s="54" t="s">
        <v>50</v>
      </c>
      <c r="AR3" s="24">
        <v>0</v>
      </c>
      <c r="AS3" s="26"/>
      <c r="AT3" s="45">
        <f>IF(YEAR(AS3)&lt;YEAR(Z3),0,(MONTH(AS3)-1)/12)</f>
        <v>0</v>
      </c>
      <c r="AU3" s="22" t="str">
        <f>IF(AI3="Não deprecia","Não","Sim")</f>
        <v>Sim</v>
      </c>
      <c r="AV3" s="22" t="s">
        <v>49</v>
      </c>
      <c r="AW3" s="25">
        <f>IF(AU3="Sim",IF(AO3&gt;0,IF(AQ3="Sim",IF(AR3&gt;I3,0,AE3*AP3*(AT3)+AE3*AP3*(1-AR3/I3)*(1-AT3)),AE3*AP3),0),0)</f>
        <v>2234589.8400000003</v>
      </c>
      <c r="AX3" s="20">
        <f>IF(AV3="Sim",IF(AO3&gt;0,IF(AQ3="Sim",IF(AR3&gt;I3,0,AO3*AP3*(AT3)+AO3*AP3*(1-AR3/I3)*(1-AT3)),AO3*AP3),0),0)</f>
        <v>1868484.4360767128</v>
      </c>
      <c r="AY3" s="20">
        <f>IF(AU3="Sim",AW3*AK3,0)</f>
        <v>74486.328000000009</v>
      </c>
      <c r="AZ3" s="20">
        <f>IF(AV3="Sim",AX3*R3,0)</f>
        <v>205533.28796843841</v>
      </c>
    </row>
    <row r="4" spans="1:52" x14ac:dyDescent="0.25">
      <c r="A4" s="6" t="str">
        <f>Mov_2025!A4</f>
        <v>3-2020</v>
      </c>
      <c r="B4" s="6">
        <f>Mov_2025!B4</f>
        <v>1003</v>
      </c>
      <c r="C4" s="6" t="str">
        <f>Mov_2025!C4</f>
        <v>8099-20</v>
      </c>
      <c r="D4" s="6">
        <f>Mov_2025!D4</f>
        <v>12356</v>
      </c>
      <c r="E4" s="8" t="str">
        <f>Mov_2025!E4</f>
        <v>Equipamentos</v>
      </c>
      <c r="F4" s="6" t="str">
        <f>Mov_2025!F4</f>
        <v>AGUA</v>
      </c>
      <c r="G4" s="6" t="str">
        <f>Mov_2025!G4</f>
        <v>Maringá</v>
      </c>
      <c r="H4" s="6" t="str">
        <f>Mov_2025!H4</f>
        <v>MOTOR ELÉTRICO 1000HP</v>
      </c>
      <c r="I4" s="6">
        <f>IF(Mov_2025!AQ4="Sim",Mov_2025!I4-Mov_2025!AR4,Mov_2025!I4)</f>
        <v>1</v>
      </c>
      <c r="J4" s="9">
        <f>Mov_2025!J4</f>
        <v>850000</v>
      </c>
      <c r="K4" s="9">
        <f>Mov_2025!K4</f>
        <v>63750</v>
      </c>
      <c r="L4" s="10">
        <f>Mov_2025!L4</f>
        <v>7.4999999999999997E-2</v>
      </c>
      <c r="M4" s="9">
        <f>Mov_2025!M4</f>
        <v>63750</v>
      </c>
      <c r="N4" s="10">
        <f>Mov_2025!N4</f>
        <v>7.4999999999999997E-2</v>
      </c>
      <c r="O4" s="9">
        <f>Mov_2025!O4</f>
        <v>977500</v>
      </c>
      <c r="P4" s="9">
        <f>Mov_2025!P4</f>
        <v>83000</v>
      </c>
      <c r="Q4" s="11">
        <f>Mov_2025!Q4</f>
        <v>8.4910485933503838E-2</v>
      </c>
      <c r="R4" s="12">
        <f>Mov_2025!R4</f>
        <v>0.11</v>
      </c>
      <c r="S4" s="13">
        <f>Mov_2025!S4</f>
        <v>12</v>
      </c>
      <c r="T4" s="11">
        <f>Mov_2025!T4</f>
        <v>0.1100000000000001</v>
      </c>
      <c r="U4" s="9">
        <f>Mov_2025!U4</f>
        <v>107525.0000000001</v>
      </c>
      <c r="V4" s="14">
        <f>Mov_2025!V4</f>
        <v>1085025</v>
      </c>
      <c r="W4" s="15">
        <f>Mov_2025!W4</f>
        <v>44927</v>
      </c>
      <c r="X4" s="15">
        <f>Mov_2025!X4</f>
        <v>44958</v>
      </c>
      <c r="Y4" s="15">
        <f>Mov_2025!Y4</f>
        <v>45657</v>
      </c>
      <c r="Z4" s="15">
        <f>Z3</f>
        <v>46387</v>
      </c>
      <c r="AA4" s="6">
        <f>Mov_2025!AA4</f>
        <v>6563.07</v>
      </c>
      <c r="AB4" s="15">
        <f>Mov_2025!AB4</f>
        <v>45657</v>
      </c>
      <c r="AC4" s="6">
        <f>Mov_2025!AC4</f>
        <v>6800.22</v>
      </c>
      <c r="AD4" s="16">
        <f>ROUND(AC4/AA4-1,4)</f>
        <v>3.61E-2</v>
      </c>
      <c r="AE4" s="9">
        <f>Mov_2026!I4/Mov_2025!I4*Mov_2025!AE4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>IF(AI4="Contrato",AG4,IF(AI4="Não deprecia",0,AH4))</f>
        <v>30</v>
      </c>
      <c r="AK4" s="16">
        <f>IF(AJ4&lt;&gt;0,1/AJ4,0)</f>
        <v>3.3333333333333333E-2</v>
      </c>
      <c r="AL4" s="16">
        <f>AK4/12</f>
        <v>2.7777777777777779E-3</v>
      </c>
      <c r="AM4" s="13">
        <f>IF((Z4-X4)/365*12&gt;AJ4*12,AJ4*12,(Z4-X4)/365*12)</f>
        <v>46.980821917808221</v>
      </c>
      <c r="AN4" s="14">
        <f>AL4*AM4*AE4</f>
        <v>146709.93618013701</v>
      </c>
      <c r="AO4" s="14">
        <f>AE4-AN4</f>
        <v>977484.4663198631</v>
      </c>
      <c r="AP4" s="11">
        <v>0.8</v>
      </c>
      <c r="AQ4" s="53" t="s">
        <v>50</v>
      </c>
      <c r="AR4" s="44">
        <v>0</v>
      </c>
      <c r="AS4" s="15"/>
      <c r="AT4" s="47">
        <f>IF(YEAR(AS4)&lt;YEAR(Z4),0,(MONTH(AS4)-1)/12)</f>
        <v>0</v>
      </c>
      <c r="AU4" s="11" t="str">
        <f>IF(AI4="Não deprecia","Não","Sim")</f>
        <v>Sim</v>
      </c>
      <c r="AV4" s="11" t="s">
        <v>49</v>
      </c>
      <c r="AW4" s="14">
        <f>IF(AU4="Sim",IF(AO4&gt;0,IF(AQ4="Sim",IF(AR4&gt;I4,0,AE4*AP4*(AT4)+AE4*AP4*(1-AR4/I4)*(1-AT4)),AE4*AP4),0),0)</f>
        <v>899355.52200000011</v>
      </c>
      <c r="AX4" s="9">
        <f>IF(AV4="Sim",IF(AO4&gt;0,IF(AQ4="Sim",IF(AR4&gt;I4,0,AO4*AP4*(AT4)+AO4*AP4*(1-AR4/I4)*(1-AT4)),AO4*AP4),0),0)</f>
        <v>781987.57305589051</v>
      </c>
      <c r="AY4" s="9">
        <f>IF(AU4="Sim",AW4*AK4,0)</f>
        <v>29978.517400000004</v>
      </c>
      <c r="AZ4" s="9">
        <f>IF(AV4="Sim",AX4*R4,0)</f>
        <v>86018.633036147963</v>
      </c>
    </row>
    <row r="5" spans="1:52" x14ac:dyDescent="0.25">
      <c r="A5" s="18" t="str">
        <f>Mov_2025!A5</f>
        <v>4-2020</v>
      </c>
      <c r="B5" s="18">
        <f>Mov_2025!B5</f>
        <v>1003</v>
      </c>
      <c r="C5" s="18" t="str">
        <f>Mov_2025!C5</f>
        <v>8099-20</v>
      </c>
      <c r="D5" s="18">
        <f>Mov_2025!D5</f>
        <v>12356</v>
      </c>
      <c r="E5" s="19" t="str">
        <f>Mov_2025!E5</f>
        <v>Terrenos</v>
      </c>
      <c r="F5" s="18" t="str">
        <f>Mov_2025!F5</f>
        <v>AGUA</v>
      </c>
      <c r="G5" s="18" t="str">
        <f>Mov_2025!G5</f>
        <v>Cascavel</v>
      </c>
      <c r="H5" s="18" t="str">
        <f>Mov_2025!H5</f>
        <v>TERRENO 120.000M²</v>
      </c>
      <c r="I5" s="18">
        <f>IF(Mov_2025!AQ5="Sim",Mov_2025!I5-Mov_2025!AR5,Mov_2025!I5)</f>
        <v>1</v>
      </c>
      <c r="J5" s="20">
        <f>Mov_2025!J5</f>
        <v>350000</v>
      </c>
      <c r="K5" s="20">
        <f>Mov_2025!K5</f>
        <v>0</v>
      </c>
      <c r="L5" s="21">
        <f>Mov_2025!L5</f>
        <v>0</v>
      </c>
      <c r="M5" s="20">
        <f>Mov_2025!M5</f>
        <v>0</v>
      </c>
      <c r="N5" s="21">
        <f>Mov_2025!N5</f>
        <v>0</v>
      </c>
      <c r="O5" s="20">
        <f>Mov_2025!O5</f>
        <v>350000</v>
      </c>
      <c r="P5" s="20">
        <f>Mov_2025!P5</f>
        <v>0</v>
      </c>
      <c r="Q5" s="22">
        <f>Mov_2025!Q5</f>
        <v>0</v>
      </c>
      <c r="R5" s="23">
        <f>Mov_2025!R5</f>
        <v>0.11</v>
      </c>
      <c r="S5" s="24">
        <f>Mov_2025!S5</f>
        <v>0</v>
      </c>
      <c r="T5" s="22">
        <f>Mov_2025!T5</f>
        <v>0</v>
      </c>
      <c r="U5" s="20">
        <f>Mov_2025!U5</f>
        <v>0</v>
      </c>
      <c r="V5" s="25">
        <f>Mov_2025!V5</f>
        <v>350000</v>
      </c>
      <c r="W5" s="26">
        <f>Mov_2025!W5</f>
        <v>45292</v>
      </c>
      <c r="X5" s="26">
        <f>Mov_2025!X5</f>
        <v>45323</v>
      </c>
      <c r="Y5" s="26">
        <f>Mov_2025!Y5</f>
        <v>45657</v>
      </c>
      <c r="Z5" s="26">
        <f>Z4</f>
        <v>46387</v>
      </c>
      <c r="AA5" s="18">
        <f>Mov_2025!AA5</f>
        <v>6763.07</v>
      </c>
      <c r="AB5" s="26">
        <f>Mov_2025!AB5</f>
        <v>45657</v>
      </c>
      <c r="AC5" s="18">
        <f>Mov_2025!AC5</f>
        <v>6800.22</v>
      </c>
      <c r="AD5" s="27">
        <f>ROUND(AC5/AA5-1,4)</f>
        <v>5.4999999999999997E-3</v>
      </c>
      <c r="AE5" s="20">
        <f>Mov_2026!I5/Mov_2025!I5*Mov_2025!AE5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>IF(AI5="Contrato",AG5,IF(AI5="Não deprecia",0,AH5))</f>
        <v>0</v>
      </c>
      <c r="AK5" s="27">
        <f>IF(AJ5&lt;&gt;0,1/AJ5,0)</f>
        <v>0</v>
      </c>
      <c r="AL5" s="27">
        <f>AK5/12</f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54" t="s">
        <v>50</v>
      </c>
      <c r="AR5" s="24">
        <v>0</v>
      </c>
      <c r="AS5" s="26"/>
      <c r="AT5" s="45">
        <f>IF(YEAR(AS5)&lt;YEAR(Z5),0,(MONTH(AS5)-1)/12)</f>
        <v>0</v>
      </c>
      <c r="AU5" s="22" t="str">
        <f>IF(AI5="Não deprecia","Não","Sim")</f>
        <v>Não</v>
      </c>
      <c r="AV5" s="22" t="s">
        <v>49</v>
      </c>
      <c r="AW5" s="25">
        <f>IF(AU5="Sim",IF(AO5&gt;0,IF(AQ5="Sim",IF(AR5&gt;I5,0,AE5*AP5*(AT5)+AE5*AP5*(1-AR5/I5)*(1-AT5)),AE5*AP5),0),0)</f>
        <v>0</v>
      </c>
      <c r="AX5" s="20">
        <f>IF(AV5="Sim",IF(AO5&gt;0,IF(AQ5="Sim",IF(AR5&gt;I5,0,AO5*AP5*(AT5)+AO5*AP5*(1-AR5/I5)*(1-AT5)),AO5*AP5),0),0)</f>
        <v>281540</v>
      </c>
      <c r="AY5" s="20">
        <f>IF(AU5="Sim",AW5*AK5,0)</f>
        <v>0</v>
      </c>
      <c r="AZ5" s="20">
        <f>IF(AV5="Sim",AX5*R5,0)</f>
        <v>30969.4</v>
      </c>
    </row>
    <row r="6" spans="1:52" x14ac:dyDescent="0.25">
      <c r="A6" s="6" t="str">
        <f>Mov_2025!A6</f>
        <v>5-2020</v>
      </c>
      <c r="B6" s="6">
        <f>Mov_2025!B6</f>
        <v>1004</v>
      </c>
      <c r="C6" s="6" t="str">
        <f>Mov_2025!C6</f>
        <v>9087-20</v>
      </c>
      <c r="D6" s="6">
        <f>Mov_2025!D6</f>
        <v>12357</v>
      </c>
      <c r="E6" s="8" t="str">
        <f>Mov_2025!E6</f>
        <v>Reserva Operacional</v>
      </c>
      <c r="F6" s="6" t="str">
        <f>Mov_2025!F6</f>
        <v>AGUA</v>
      </c>
      <c r="G6" s="6" t="str">
        <f>Mov_2025!G6</f>
        <v>Curitiba</v>
      </c>
      <c r="H6" s="6" t="str">
        <f>Mov_2025!H6</f>
        <v>BOMBA HIDRÁULICA</v>
      </c>
      <c r="I6" s="6">
        <f>IF(Mov_2025!AQ6="Sim",Mov_2025!I6-Mov_2025!AR6,Mov_2025!I6)</f>
        <v>10</v>
      </c>
      <c r="J6" s="9">
        <f>Mov_2025!J6</f>
        <v>80000</v>
      </c>
      <c r="K6" s="9">
        <f>Mov_2025!K6</f>
        <v>0</v>
      </c>
      <c r="L6" s="10">
        <f>Mov_2025!L6</f>
        <v>0</v>
      </c>
      <c r="M6" s="9">
        <f>Mov_2025!M6</f>
        <v>0</v>
      </c>
      <c r="N6" s="10">
        <f>Mov_2025!N6</f>
        <v>0</v>
      </c>
      <c r="O6" s="9">
        <f>Mov_2025!O6</f>
        <v>80000</v>
      </c>
      <c r="P6" s="9">
        <f>Mov_2025!P6</f>
        <v>0</v>
      </c>
      <c r="Q6" s="11">
        <f>Mov_2025!Q6</f>
        <v>0</v>
      </c>
      <c r="R6" s="12">
        <f>Mov_2025!R6</f>
        <v>0.11</v>
      </c>
      <c r="S6" s="13">
        <f>Mov_2025!S6</f>
        <v>0</v>
      </c>
      <c r="T6" s="11">
        <f>Mov_2025!T6</f>
        <v>0</v>
      </c>
      <c r="U6" s="9">
        <f>Mov_2025!U6</f>
        <v>0</v>
      </c>
      <c r="V6" s="14">
        <f>Mov_2025!V6</f>
        <v>80000</v>
      </c>
      <c r="W6" s="15">
        <f>Mov_2025!W6</f>
        <v>45292</v>
      </c>
      <c r="X6" s="15">
        <f>Mov_2025!X6</f>
        <v>45323</v>
      </c>
      <c r="Y6" s="15">
        <f>Mov_2025!Y6</f>
        <v>45657</v>
      </c>
      <c r="Z6" s="15">
        <f>Z5</f>
        <v>46387</v>
      </c>
      <c r="AA6" s="6">
        <f>Mov_2025!AA6</f>
        <v>6763.07</v>
      </c>
      <c r="AB6" s="15">
        <f>Mov_2025!AB6</f>
        <v>45657</v>
      </c>
      <c r="AC6" s="6">
        <f>Mov_2025!AC6</f>
        <v>6800.22</v>
      </c>
      <c r="AD6" s="16">
        <f>ROUND(AC6/AA6-1,4)</f>
        <v>5.4999999999999997E-3</v>
      </c>
      <c r="AE6" s="9">
        <f>Mov_2026!I6/Mov_2025!I6*Mov_2025!AE6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>IF(AJ6&lt;&gt;0,1/AJ6,0)</f>
        <v>0</v>
      </c>
      <c r="AL6" s="16">
        <f>AK6/12</f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53" t="s">
        <v>50</v>
      </c>
      <c r="AR6" s="44">
        <v>0</v>
      </c>
      <c r="AS6" s="15"/>
      <c r="AT6" s="47">
        <f>IF(YEAR(AS6)&lt;YEAR(Z6),0,(MONTH(AS6)-1)/12)</f>
        <v>0</v>
      </c>
      <c r="AU6" s="11" t="str">
        <f>IF(AI6="Não deprecia","Não","Sim")</f>
        <v>Não</v>
      </c>
      <c r="AV6" s="11" t="s">
        <v>49</v>
      </c>
      <c r="AW6" s="14">
        <f>IF(AU6="Sim",IF(AO6&gt;0,IF(AQ6="Sim",IF(AR6&gt;I6,0,AE6*AP6*(AT6)+AE6*AP6*(1-AR6/I6)*(1-AT6)),AE6*AP6),0),0)</f>
        <v>0</v>
      </c>
      <c r="AX6" s="9">
        <f>IF(AV6="Sim",IF(AO6&gt;0,IF(AQ6="Sim",IF(AR6&gt;I6,0,AO6*AP6*(AT6)+AO6*AP6*(1-AR6/I6)*(1-AT6)),AO6*AP6),0),0)</f>
        <v>80440</v>
      </c>
      <c r="AY6" s="9">
        <f>IF(AU6="Sim",AW6*AK6,0)</f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4628787.5782500003</v>
      </c>
      <c r="AX8" s="30">
        <f>SUM(AX2:AX6)</f>
        <v>4330452.3434711648</v>
      </c>
      <c r="AY8" s="17">
        <f>SUM(AY2:AY6)</f>
        <v>134361.689725</v>
      </c>
      <c r="AZ8" s="17">
        <f>SUM(AZ2:AZ6)</f>
        <v>476349.75778182823</v>
      </c>
    </row>
    <row r="9" spans="1:52" x14ac:dyDescent="0.25">
      <c r="E9" s="8"/>
      <c r="AV9" s="33" t="s">
        <v>59</v>
      </c>
      <c r="AW9" s="34">
        <f>IF(AW8&gt;0,AY8/AW8,0)</f>
        <v>2.9027404574870977E-2</v>
      </c>
    </row>
    <row r="10" spans="1:52" ht="30" x14ac:dyDescent="0.25">
      <c r="E10" s="8"/>
      <c r="AV10" s="31" t="s">
        <v>57</v>
      </c>
      <c r="AW10" s="32">
        <f>IF(AW9&gt;0,1/AW9,0)</f>
        <v>34.450203683235941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F5D7-161F-4B64-AA8C-0A135D3CF1A1}">
  <dimension ref="A1:DF10"/>
  <sheetViews>
    <sheetView workbookViewId="0">
      <pane xSplit="9" ySplit="1" topLeftCell="AV2" activePane="bottomRight" state="frozen"/>
      <selection pane="topRight" activeCell="J1" sqref="J1"/>
      <selection pane="bottomLeft" activeCell="A2" sqref="A2"/>
      <selection pane="bottomRight" activeCell="AZ8" sqref="AZ8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6" width="14" style="6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Mov_2026!A2</f>
        <v>1-2020</v>
      </c>
      <c r="B2" s="6">
        <f>Mov_2026!B2</f>
        <v>1001</v>
      </c>
      <c r="C2" s="6" t="str">
        <f>Mov_2026!C2</f>
        <v>8090-20</v>
      </c>
      <c r="D2" s="6">
        <f>Mov_2026!D2</f>
        <v>12356</v>
      </c>
      <c r="E2" s="8" t="str">
        <f>Mov_2026!E2</f>
        <v>Tubulações</v>
      </c>
      <c r="F2" s="6" t="str">
        <f>Mov_2026!F2</f>
        <v>AGUA</v>
      </c>
      <c r="G2" s="6" t="str">
        <f>Mov_2026!G2</f>
        <v>Curitiba</v>
      </c>
      <c r="H2" s="6" t="str">
        <f>Mov_2026!H2</f>
        <v>REDE DE ÁGUA 50MM</v>
      </c>
      <c r="I2" s="6">
        <f>IF(Mov_2026!AQ2="Sim",Mov_2026!I2-Mov_2026!AR2,Mov_2026!I2)</f>
        <v>500</v>
      </c>
      <c r="J2" s="9">
        <f>Mov_2026!J2</f>
        <v>1647890</v>
      </c>
      <c r="K2" s="9">
        <f>Mov_2026!K2</f>
        <v>0</v>
      </c>
      <c r="L2" s="10">
        <f>Mov_2026!L2</f>
        <v>0</v>
      </c>
      <c r="M2" s="9">
        <f>Mov_2026!M2</f>
        <v>0</v>
      </c>
      <c r="N2" s="10">
        <f>Mov_2026!N2</f>
        <v>0</v>
      </c>
      <c r="O2" s="9">
        <f>Mov_2026!O2</f>
        <v>1647890</v>
      </c>
      <c r="P2" s="9">
        <f>Mov_2026!P2</f>
        <v>0</v>
      </c>
      <c r="Q2" s="11">
        <f>Mov_2026!Q2</f>
        <v>0</v>
      </c>
      <c r="R2" s="12">
        <f>Mov_2026!R2</f>
        <v>0.11</v>
      </c>
      <c r="S2" s="13">
        <f>Mov_2026!S2</f>
        <v>0</v>
      </c>
      <c r="T2" s="11">
        <f>Mov_2026!T2</f>
        <v>0</v>
      </c>
      <c r="U2" s="9">
        <f>Mov_2026!U2</f>
        <v>0</v>
      </c>
      <c r="V2" s="14">
        <f>Mov_2026!V2</f>
        <v>1647890</v>
      </c>
      <c r="W2" s="15">
        <f>Mov_2026!W2</f>
        <v>44197</v>
      </c>
      <c r="X2" s="15">
        <f>Mov_2026!X2</f>
        <v>44228</v>
      </c>
      <c r="Y2" s="15">
        <f>Mov_2026!Y2</f>
        <v>45657</v>
      </c>
      <c r="Z2" s="15">
        <v>46752</v>
      </c>
      <c r="AA2" s="6">
        <f>Mov_2026!AA2</f>
        <v>5622.43</v>
      </c>
      <c r="AB2" s="15">
        <f>Mov_2026!AB2</f>
        <v>45657</v>
      </c>
      <c r="AC2" s="6">
        <f>Mov_2026!AC2</f>
        <v>6800.22</v>
      </c>
      <c r="AD2" s="16">
        <f>ROUND(AC2/AA2-1,4)</f>
        <v>0.20949999999999999</v>
      </c>
      <c r="AE2" s="9">
        <f>Mov_2027!I2/Mov_2026!I2*Mov_2026!AE2</f>
        <v>996561.47750000004</v>
      </c>
      <c r="AF2" s="9" t="s">
        <v>27</v>
      </c>
      <c r="AG2" s="6">
        <v>40</v>
      </c>
      <c r="AH2" s="6">
        <v>50</v>
      </c>
      <c r="AI2" s="6" t="s">
        <v>33</v>
      </c>
      <c r="AJ2" s="6">
        <f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82.980821917808214</v>
      </c>
      <c r="AN2" s="14">
        <f>AL2*AM2*AE2</f>
        <v>137825.8174909589</v>
      </c>
      <c r="AO2" s="14">
        <f>AE2-AN2</f>
        <v>858735.6600090412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>IF(AI2="Não deprecia","Não","Sim")</f>
        <v>Sim</v>
      </c>
      <c r="AV2" s="11" t="s">
        <v>49</v>
      </c>
      <c r="AW2" s="14">
        <f>IF(AU2="Sim",IF(AO2&gt;0,IF(AQ2="Sim",IF(AR2&gt;I2,0,AE2*AP2*(AT2)+AE2*AP2*(1-AR2/I2)*(1-AT2)),AE2*AP2),0),0)</f>
        <v>996561.47750000004</v>
      </c>
      <c r="AX2" s="9">
        <f>IF(AV2="Sim",IF(AO2&gt;0,IF(AQ2="Sim",IF(AR2&gt;I2,0,AO2*AP2*(AT2)+AO2*AP2*(1-AR2/I2)*(1-AT2)),AO2*AP2),0),0)</f>
        <v>858735.6600090412</v>
      </c>
      <c r="AY2" s="9">
        <f>IF(AU2="Sim",AW2*AK2,0)</f>
        <v>19931.22955</v>
      </c>
      <c r="AZ2" s="9">
        <f>IF(AV2="Sim",AX2*R2,0)</f>
        <v>94460.922600994527</v>
      </c>
    </row>
    <row r="3" spans="1:52" x14ac:dyDescent="0.25">
      <c r="A3" s="18" t="str">
        <f>Mov_2026!A3</f>
        <v>2-2020</v>
      </c>
      <c r="B3" s="18">
        <f>Mov_2026!B3</f>
        <v>1002</v>
      </c>
      <c r="C3" s="18" t="str">
        <f>Mov_2026!C3</f>
        <v>8099-20</v>
      </c>
      <c r="D3" s="18">
        <f>Mov_2026!D3</f>
        <v>12356</v>
      </c>
      <c r="E3" s="19" t="str">
        <f>Mov_2026!E3</f>
        <v>Construções Civis</v>
      </c>
      <c r="F3" s="18" t="str">
        <f>Mov_2026!F3</f>
        <v>ESGOTO</v>
      </c>
      <c r="G3" s="18" t="str">
        <f>Mov_2026!G3</f>
        <v>Londrina</v>
      </c>
      <c r="H3" s="18" t="str">
        <f>Mov_2026!H3</f>
        <v>ETA LONDRINA II</v>
      </c>
      <c r="I3" s="18">
        <f>IF(Mov_2026!AQ3="Sim",Mov_2026!I3-Mov_2026!AR3,Mov_2026!I3)</f>
        <v>1</v>
      </c>
      <c r="J3" s="20">
        <f>Mov_2026!J3</f>
        <v>2000000</v>
      </c>
      <c r="K3" s="20">
        <f>Mov_2026!K3</f>
        <v>0</v>
      </c>
      <c r="L3" s="21">
        <f>Mov_2026!L3</f>
        <v>0</v>
      </c>
      <c r="M3" s="20">
        <f>Mov_2026!M3</f>
        <v>300000</v>
      </c>
      <c r="N3" s="21">
        <f>Mov_2026!N3</f>
        <v>0.15</v>
      </c>
      <c r="O3" s="20">
        <f>Mov_2026!O3</f>
        <v>2300000</v>
      </c>
      <c r="P3" s="20">
        <f>Mov_2026!P3</f>
        <v>250000</v>
      </c>
      <c r="Q3" s="22">
        <f>Mov_2026!Q3</f>
        <v>0.10869565217391304</v>
      </c>
      <c r="R3" s="23">
        <f>Mov_2026!R3</f>
        <v>0.11</v>
      </c>
      <c r="S3" s="24">
        <f>Mov_2026!S3</f>
        <v>12</v>
      </c>
      <c r="T3" s="22">
        <f>Mov_2026!T3</f>
        <v>0.1100000000000001</v>
      </c>
      <c r="U3" s="20">
        <f>Mov_2026!U3</f>
        <v>253000.00000000023</v>
      </c>
      <c r="V3" s="25">
        <f>Mov_2026!V3</f>
        <v>2553000</v>
      </c>
      <c r="W3" s="26">
        <f>Mov_2026!W3</f>
        <v>44562</v>
      </c>
      <c r="X3" s="26">
        <f>Mov_2026!X3</f>
        <v>44593</v>
      </c>
      <c r="Y3" s="26">
        <f>Mov_2026!Y3</f>
        <v>45657</v>
      </c>
      <c r="Z3" s="26">
        <f>Z2</f>
        <v>46752</v>
      </c>
      <c r="AA3" s="18">
        <f>Mov_2026!AA3</f>
        <v>6215.24</v>
      </c>
      <c r="AB3" s="26">
        <f>Mov_2026!AB3</f>
        <v>45657</v>
      </c>
      <c r="AC3" s="18">
        <f>Mov_2026!AC3</f>
        <v>6800.22</v>
      </c>
      <c r="AD3" s="27">
        <f>ROUND(AC3/AA3-1,4)</f>
        <v>9.4100000000000003E-2</v>
      </c>
      <c r="AE3" s="20">
        <f>Mov_2027!I3/Mov_2026!I3*Mov_2026!AE3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>IF(AI3="Contrato",AG3,IF(AI3="Não deprecia",0,AH3))</f>
        <v>30</v>
      </c>
      <c r="AK3" s="27">
        <f>IF(AJ3&lt;&gt;0,1/AJ3,0)</f>
        <v>3.3333333333333333E-2</v>
      </c>
      <c r="AL3" s="27">
        <f>AK3/12</f>
        <v>2.7777777777777779E-3</v>
      </c>
      <c r="AM3" s="24">
        <f>IF((Z3-X3)/365*12&gt;AJ3*12,AJ3*12,(Z3-X3)/365*12)</f>
        <v>70.980821917808214</v>
      </c>
      <c r="AN3" s="25">
        <f>AL3*AM3*AE3</f>
        <v>550739.66490410967</v>
      </c>
      <c r="AO3" s="25">
        <f>AE3-AN3</f>
        <v>2242497.6350958906</v>
      </c>
      <c r="AP3" s="23">
        <v>0.8</v>
      </c>
      <c r="AQ3" s="23" t="s">
        <v>50</v>
      </c>
      <c r="AR3" s="24">
        <v>0</v>
      </c>
      <c r="AS3" s="26"/>
      <c r="AT3" s="45">
        <f>IF(YEAR(AS3)&lt;YEAR(Z3),0,(MONTH(AS3)-1)/12)</f>
        <v>0</v>
      </c>
      <c r="AU3" s="22" t="str">
        <f>IF(AI3="Não deprecia","Não","Sim")</f>
        <v>Sim</v>
      </c>
      <c r="AV3" s="22" t="s">
        <v>49</v>
      </c>
      <c r="AW3" s="25">
        <f>IF(AU3="Sim",IF(AO3&gt;0,IF(AQ3="Sim",IF(AR3&gt;I3,0,AE3*AP3*(AT3)+AE3*AP3*(1-AR3/I3)*(1-AT3)),AE3*AP3),0),0)</f>
        <v>2234589.8400000003</v>
      </c>
      <c r="AX3" s="20">
        <f>IF(AV3="Sim",IF(AO3&gt;0,IF(AQ3="Sim",IF(AR3&gt;I3,0,AO3*AP3*(AT3)+AO3*AP3*(1-AR3/I3)*(1-AT3)),AO3*AP3),0),0)</f>
        <v>1793998.1080767126</v>
      </c>
      <c r="AY3" s="20">
        <f>IF(AU3="Sim",AW3*AK3,0)</f>
        <v>74486.328000000009</v>
      </c>
      <c r="AZ3" s="20">
        <f>IF(AV3="Sim",AX3*R3,0)</f>
        <v>197339.7918884384</v>
      </c>
    </row>
    <row r="4" spans="1:52" x14ac:dyDescent="0.25">
      <c r="A4" s="6" t="str">
        <f>Mov_2026!A4</f>
        <v>3-2020</v>
      </c>
      <c r="B4" s="6">
        <f>Mov_2026!B4</f>
        <v>1003</v>
      </c>
      <c r="C4" s="6" t="str">
        <f>Mov_2026!C4</f>
        <v>8099-20</v>
      </c>
      <c r="D4" s="6">
        <f>Mov_2026!D4</f>
        <v>12356</v>
      </c>
      <c r="E4" s="8" t="str">
        <f>Mov_2026!E4</f>
        <v>Equipamentos</v>
      </c>
      <c r="F4" s="6" t="str">
        <f>Mov_2026!F4</f>
        <v>AGUA</v>
      </c>
      <c r="G4" s="6" t="str">
        <f>Mov_2026!G4</f>
        <v>Maringá</v>
      </c>
      <c r="H4" s="6" t="str">
        <f>Mov_2026!H4</f>
        <v>MOTOR ELÉTRICO 1000HP</v>
      </c>
      <c r="I4" s="6">
        <f>IF(Mov_2026!AQ4="Sim",Mov_2026!I4-Mov_2026!AR4,Mov_2026!I4)</f>
        <v>1</v>
      </c>
      <c r="J4" s="9">
        <f>Mov_2026!J4</f>
        <v>850000</v>
      </c>
      <c r="K4" s="9">
        <f>Mov_2026!K4</f>
        <v>63750</v>
      </c>
      <c r="L4" s="10">
        <f>Mov_2026!L4</f>
        <v>7.4999999999999997E-2</v>
      </c>
      <c r="M4" s="9">
        <f>Mov_2026!M4</f>
        <v>63750</v>
      </c>
      <c r="N4" s="10">
        <f>Mov_2026!N4</f>
        <v>7.4999999999999997E-2</v>
      </c>
      <c r="O4" s="9">
        <f>Mov_2026!O4</f>
        <v>977500</v>
      </c>
      <c r="P4" s="9">
        <f>Mov_2026!P4</f>
        <v>83000</v>
      </c>
      <c r="Q4" s="11">
        <f>Mov_2026!Q4</f>
        <v>8.4910485933503838E-2</v>
      </c>
      <c r="R4" s="12">
        <f>Mov_2026!R4</f>
        <v>0.11</v>
      </c>
      <c r="S4" s="13">
        <f>Mov_2026!S4</f>
        <v>12</v>
      </c>
      <c r="T4" s="11">
        <f>Mov_2026!T4</f>
        <v>0.1100000000000001</v>
      </c>
      <c r="U4" s="9">
        <f>Mov_2026!U4</f>
        <v>107525.0000000001</v>
      </c>
      <c r="V4" s="14">
        <f>Mov_2026!V4</f>
        <v>1085025</v>
      </c>
      <c r="W4" s="15">
        <f>Mov_2026!W4</f>
        <v>44927</v>
      </c>
      <c r="X4" s="15">
        <f>Mov_2026!X4</f>
        <v>44958</v>
      </c>
      <c r="Y4" s="15">
        <f>Mov_2026!Y4</f>
        <v>45657</v>
      </c>
      <c r="Z4" s="15">
        <f>Z3</f>
        <v>46752</v>
      </c>
      <c r="AA4" s="6">
        <f>Mov_2026!AA4</f>
        <v>6563.07</v>
      </c>
      <c r="AB4" s="15">
        <f>Mov_2026!AB4</f>
        <v>45657</v>
      </c>
      <c r="AC4" s="6">
        <f>Mov_2026!AC4</f>
        <v>6800.22</v>
      </c>
      <c r="AD4" s="16">
        <f>ROUND(AC4/AA4-1,4)</f>
        <v>3.61E-2</v>
      </c>
      <c r="AE4" s="9">
        <f>Mov_2027!I4/Mov_2026!I4*Mov_2026!AE4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>IF(AI4="Contrato",AG4,IF(AI4="Não deprecia",0,AH4))</f>
        <v>30</v>
      </c>
      <c r="AK4" s="16">
        <f>IF(AJ4&lt;&gt;0,1/AJ4,0)</f>
        <v>3.3333333333333333E-2</v>
      </c>
      <c r="AL4" s="16">
        <f>AK4/12</f>
        <v>2.7777777777777779E-3</v>
      </c>
      <c r="AM4" s="13">
        <f>IF((Z4-X4)/365*12&gt;AJ4*12,AJ4*12,(Z4-X4)/365*12)</f>
        <v>58.980821917808214</v>
      </c>
      <c r="AN4" s="14">
        <f>AL4*AM4*AE4</f>
        <v>184183.08293013697</v>
      </c>
      <c r="AO4" s="14">
        <f>AE4-AN4</f>
        <v>940011.31956986315</v>
      </c>
      <c r="AP4" s="11">
        <v>0.8</v>
      </c>
      <c r="AQ4" s="11" t="s">
        <v>50</v>
      </c>
      <c r="AR4" s="44">
        <v>0</v>
      </c>
      <c r="AS4" s="15"/>
      <c r="AT4" s="47">
        <f>IF(YEAR(AS4)&lt;YEAR(Z4),0,(MONTH(AS4)-1)/12)</f>
        <v>0</v>
      </c>
      <c r="AU4" s="11" t="str">
        <f>IF(AI4="Não deprecia","Não","Sim")</f>
        <v>Sim</v>
      </c>
      <c r="AV4" s="11" t="s">
        <v>49</v>
      </c>
      <c r="AW4" s="14">
        <f>IF(AU4="Sim",IF(AO4&gt;0,IF(AQ4="Sim",IF(AR4&gt;I4,0,AE4*AP4*(AT4)+AE4*AP4*(1-AR4/I4)*(1-AT4)),AE4*AP4),0),0)</f>
        <v>899355.52200000011</v>
      </c>
      <c r="AX4" s="9">
        <f>IF(AV4="Sim",IF(AO4&gt;0,IF(AQ4="Sim",IF(AR4&gt;I4,0,AO4*AP4*(AT4)+AO4*AP4*(1-AR4/I4)*(1-AT4)),AO4*AP4),0),0)</f>
        <v>752009.05565589061</v>
      </c>
      <c r="AY4" s="9">
        <f>IF(AU4="Sim",AW4*AK4,0)</f>
        <v>29978.517400000004</v>
      </c>
      <c r="AZ4" s="9">
        <f>IF(AV4="Sim",AX4*R4,0)</f>
        <v>82720.996122147961</v>
      </c>
    </row>
    <row r="5" spans="1:52" x14ac:dyDescent="0.25">
      <c r="A5" s="18" t="str">
        <f>Mov_2026!A5</f>
        <v>4-2020</v>
      </c>
      <c r="B5" s="18">
        <f>Mov_2026!B5</f>
        <v>1003</v>
      </c>
      <c r="C5" s="18" t="str">
        <f>Mov_2026!C5</f>
        <v>8099-20</v>
      </c>
      <c r="D5" s="18">
        <f>Mov_2026!D5</f>
        <v>12356</v>
      </c>
      <c r="E5" s="19" t="str">
        <f>Mov_2026!E5</f>
        <v>Terrenos</v>
      </c>
      <c r="F5" s="18" t="str">
        <f>Mov_2026!F5</f>
        <v>AGUA</v>
      </c>
      <c r="G5" s="18" t="str">
        <f>Mov_2026!G5</f>
        <v>Cascavel</v>
      </c>
      <c r="H5" s="18" t="str">
        <f>Mov_2026!H5</f>
        <v>TERRENO 120.000M²</v>
      </c>
      <c r="I5" s="18">
        <f>IF(Mov_2026!AQ5="Sim",Mov_2026!I5-Mov_2026!AR5,Mov_2026!I5)</f>
        <v>1</v>
      </c>
      <c r="J5" s="20">
        <f>Mov_2026!J5</f>
        <v>350000</v>
      </c>
      <c r="K5" s="20">
        <f>Mov_2026!K5</f>
        <v>0</v>
      </c>
      <c r="L5" s="21">
        <f>Mov_2026!L5</f>
        <v>0</v>
      </c>
      <c r="M5" s="20">
        <f>Mov_2026!M5</f>
        <v>0</v>
      </c>
      <c r="N5" s="21">
        <f>Mov_2026!N5</f>
        <v>0</v>
      </c>
      <c r="O5" s="20">
        <f>Mov_2026!O5</f>
        <v>350000</v>
      </c>
      <c r="P5" s="20">
        <f>Mov_2026!P5</f>
        <v>0</v>
      </c>
      <c r="Q5" s="22">
        <f>Mov_2026!Q5</f>
        <v>0</v>
      </c>
      <c r="R5" s="23">
        <f>Mov_2026!R5</f>
        <v>0.11</v>
      </c>
      <c r="S5" s="24">
        <f>Mov_2026!S5</f>
        <v>0</v>
      </c>
      <c r="T5" s="22">
        <f>Mov_2026!T5</f>
        <v>0</v>
      </c>
      <c r="U5" s="20">
        <f>Mov_2026!U5</f>
        <v>0</v>
      </c>
      <c r="V5" s="25">
        <f>Mov_2026!V5</f>
        <v>350000</v>
      </c>
      <c r="W5" s="26">
        <f>Mov_2026!W5</f>
        <v>45292</v>
      </c>
      <c r="X5" s="26">
        <f>Mov_2026!X5</f>
        <v>45323</v>
      </c>
      <c r="Y5" s="26">
        <f>Mov_2026!Y5</f>
        <v>45657</v>
      </c>
      <c r="Z5" s="26">
        <f>Z4</f>
        <v>46752</v>
      </c>
      <c r="AA5" s="18">
        <f>Mov_2026!AA5</f>
        <v>6763.07</v>
      </c>
      <c r="AB5" s="26">
        <f>Mov_2026!AB5</f>
        <v>45657</v>
      </c>
      <c r="AC5" s="18">
        <f>Mov_2026!AC5</f>
        <v>6800.22</v>
      </c>
      <c r="AD5" s="27">
        <f>ROUND(AC5/AA5-1,4)</f>
        <v>5.4999999999999997E-3</v>
      </c>
      <c r="AE5" s="20">
        <f>Mov_2027!I5/Mov_2026!I5*Mov_2026!AE5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>IF(AI5="Contrato",AG5,IF(AI5="Não deprecia",0,AH5))</f>
        <v>0</v>
      </c>
      <c r="AK5" s="27">
        <f>IF(AJ5&lt;&gt;0,1/AJ5,0)</f>
        <v>0</v>
      </c>
      <c r="AL5" s="27">
        <f>AK5/12</f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>IF(YEAR(AS5)&lt;YEAR(Z5),0,(MONTH(AS5)-1)/12)</f>
        <v>0</v>
      </c>
      <c r="AU5" s="22" t="str">
        <f>IF(AI5="Não deprecia","Não","Sim")</f>
        <v>Não</v>
      </c>
      <c r="AV5" s="22" t="s">
        <v>49</v>
      </c>
      <c r="AW5" s="25">
        <f>IF(AU5="Sim",IF(AO5&gt;0,IF(AQ5="Sim",IF(AR5&gt;I5,0,AE5*AP5*(AT5)+AE5*AP5*(1-AR5/I5)*(1-AT5)),AE5*AP5),0),0)</f>
        <v>0</v>
      </c>
      <c r="AX5" s="20">
        <f>IF(AV5="Sim",IF(AO5&gt;0,IF(AQ5="Sim",IF(AR5&gt;I5,0,AO5*AP5*(AT5)+AO5*AP5*(1-AR5/I5)*(1-AT5)),AO5*AP5),0),0)</f>
        <v>281540</v>
      </c>
      <c r="AY5" s="20">
        <f>IF(AU5="Sim",AW5*AK5,0)</f>
        <v>0</v>
      </c>
      <c r="AZ5" s="20">
        <f>IF(AV5="Sim",AX5*R5,0)</f>
        <v>30969.4</v>
      </c>
    </row>
    <row r="6" spans="1:52" x14ac:dyDescent="0.25">
      <c r="A6" s="6" t="str">
        <f>Mov_2026!A6</f>
        <v>5-2020</v>
      </c>
      <c r="B6" s="6">
        <f>Mov_2026!B6</f>
        <v>1004</v>
      </c>
      <c r="C6" s="6" t="str">
        <f>Mov_2026!C6</f>
        <v>9087-20</v>
      </c>
      <c r="D6" s="6">
        <f>Mov_2026!D6</f>
        <v>12357</v>
      </c>
      <c r="E6" s="8" t="str">
        <f>Mov_2026!E6</f>
        <v>Reserva Operacional</v>
      </c>
      <c r="F6" s="6" t="str">
        <f>Mov_2026!F6</f>
        <v>AGUA</v>
      </c>
      <c r="G6" s="6" t="str">
        <f>Mov_2026!G6</f>
        <v>Curitiba</v>
      </c>
      <c r="H6" s="6" t="str">
        <f>Mov_2026!H6</f>
        <v>BOMBA HIDRÁULICA</v>
      </c>
      <c r="I6" s="6">
        <f>IF(Mov_2026!AQ6="Sim",Mov_2026!I6-Mov_2026!AR6,Mov_2026!I6)</f>
        <v>10</v>
      </c>
      <c r="J6" s="9">
        <f>Mov_2026!J6</f>
        <v>80000</v>
      </c>
      <c r="K6" s="9">
        <f>Mov_2026!K6</f>
        <v>0</v>
      </c>
      <c r="L6" s="10">
        <f>Mov_2026!L6</f>
        <v>0</v>
      </c>
      <c r="M6" s="9">
        <f>Mov_2026!M6</f>
        <v>0</v>
      </c>
      <c r="N6" s="10">
        <f>Mov_2026!N6</f>
        <v>0</v>
      </c>
      <c r="O6" s="9">
        <f>Mov_2026!O6</f>
        <v>80000</v>
      </c>
      <c r="P6" s="9">
        <f>Mov_2026!P6</f>
        <v>0</v>
      </c>
      <c r="Q6" s="11">
        <f>Mov_2026!Q6</f>
        <v>0</v>
      </c>
      <c r="R6" s="12">
        <f>Mov_2026!R6</f>
        <v>0.11</v>
      </c>
      <c r="S6" s="13">
        <f>Mov_2026!S6</f>
        <v>0</v>
      </c>
      <c r="T6" s="11">
        <f>Mov_2026!T6</f>
        <v>0</v>
      </c>
      <c r="U6" s="9">
        <f>Mov_2026!U6</f>
        <v>0</v>
      </c>
      <c r="V6" s="14">
        <f>Mov_2026!V6</f>
        <v>80000</v>
      </c>
      <c r="W6" s="15">
        <f>Mov_2026!W6</f>
        <v>45292</v>
      </c>
      <c r="X6" s="15">
        <f>Mov_2026!X6</f>
        <v>45323</v>
      </c>
      <c r="Y6" s="15">
        <f>Mov_2026!Y6</f>
        <v>45657</v>
      </c>
      <c r="Z6" s="15">
        <f>Z5</f>
        <v>46752</v>
      </c>
      <c r="AA6" s="6">
        <f>Mov_2026!AA6</f>
        <v>6763.07</v>
      </c>
      <c r="AB6" s="15">
        <f>Mov_2026!AB6</f>
        <v>45657</v>
      </c>
      <c r="AC6" s="6">
        <f>Mov_2026!AC6</f>
        <v>6800.22</v>
      </c>
      <c r="AD6" s="16">
        <f>ROUND(AC6/AA6-1,4)</f>
        <v>5.4999999999999997E-3</v>
      </c>
      <c r="AE6" s="9">
        <f>Mov_2027!I6/Mov_2026!I6*Mov_2026!AE6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>IF(AJ6&lt;&gt;0,1/AJ6,0)</f>
        <v>0</v>
      </c>
      <c r="AL6" s="16">
        <f>AK6/12</f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>IF(YEAR(AS6)&lt;YEAR(Z6),0,(MONTH(AS6)-1)/12)</f>
        <v>0</v>
      </c>
      <c r="AU6" s="11" t="str">
        <f>IF(AI6="Não deprecia","Não","Sim")</f>
        <v>Não</v>
      </c>
      <c r="AV6" s="11" t="s">
        <v>49</v>
      </c>
      <c r="AW6" s="14">
        <f>IF(AU6="Sim",IF(AO6&gt;0,IF(AQ6="Sim",IF(AR6&gt;I6,0,AE6*AP6*(AT6)+AE6*AP6*(1-AR6/I6)*(1-AT6)),AE6*AP6),0),0)</f>
        <v>0</v>
      </c>
      <c r="AX6" s="9">
        <f>IF(AV6="Sim",IF(AO6&gt;0,IF(AQ6="Sim",IF(AR6&gt;I6,0,AO6*AP6*(AT6)+AO6*AP6*(1-AR6/I6)*(1-AT6)),AO6*AP6),0),0)</f>
        <v>80440</v>
      </c>
      <c r="AY6" s="9">
        <f>IF(AU6="Sim",AW6*AK6,0)</f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4130506.8395000007</v>
      </c>
      <c r="AX8" s="30">
        <f>SUM(AX2:AX6)</f>
        <v>3766722.8237416442</v>
      </c>
      <c r="AY8" s="17">
        <f>SUM(AY2:AY6)</f>
        <v>124396.07495000001</v>
      </c>
      <c r="AZ8" s="17">
        <f>SUM(AZ2:AZ6)</f>
        <v>414339.51061158092</v>
      </c>
    </row>
    <row r="9" spans="1:52" x14ac:dyDescent="0.25">
      <c r="E9" s="8"/>
      <c r="AV9" s="33" t="s">
        <v>59</v>
      </c>
      <c r="AW9" s="34">
        <f>IF(AW8&gt;0,AY8/AW8,0)</f>
        <v>3.0116419070028266E-2</v>
      </c>
    </row>
    <row r="10" spans="1:52" ht="30" x14ac:dyDescent="0.25">
      <c r="E10" s="8"/>
      <c r="AV10" s="31" t="s">
        <v>57</v>
      </c>
      <c r="AW10" s="32">
        <f>IF(AW9&gt;0,1/AW9,0)</f>
        <v>33.204478848389904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C1CD-B3A0-4D89-BC3D-204460C9CCD0}">
  <dimension ref="A1:DF10"/>
  <sheetViews>
    <sheetView workbookViewId="0">
      <pane xSplit="9" ySplit="1" topLeftCell="AV2" activePane="bottomRight" state="frozen"/>
      <selection activeCell="AW14" sqref="AW14"/>
      <selection pane="topRight" activeCell="AW14" sqref="AW14"/>
      <selection pane="bottomLeft" activeCell="AW14" sqref="AW14"/>
      <selection pane="bottomRight" activeCell="AZ9" sqref="AZ9"/>
    </sheetView>
  </sheetViews>
  <sheetFormatPr defaultRowHeight="15" x14ac:dyDescent="0.25"/>
  <cols>
    <col min="1" max="1" width="12.42578125" style="6" bestFit="1" customWidth="1"/>
    <col min="2" max="2" width="8.85546875" style="6" bestFit="1" customWidth="1"/>
    <col min="3" max="3" width="7.7109375" style="6" bestFit="1" customWidth="1"/>
    <col min="4" max="4" width="8.28515625" style="6" bestFit="1" customWidth="1"/>
    <col min="5" max="5" width="19.42578125" style="6" bestFit="1" customWidth="1"/>
    <col min="6" max="6" width="8.140625" style="6" bestFit="1" customWidth="1"/>
    <col min="7" max="7" width="10" style="6" bestFit="1" customWidth="1"/>
    <col min="8" max="8" width="23.5703125" style="6" bestFit="1" customWidth="1"/>
    <col min="9" max="9" width="12.140625" style="6" bestFit="1" customWidth="1"/>
    <col min="10" max="10" width="14.85546875" style="6" bestFit="1" customWidth="1"/>
    <col min="11" max="11" width="13.28515625" style="6" bestFit="1" customWidth="1"/>
    <col min="12" max="12" width="8.140625" style="6" bestFit="1" customWidth="1"/>
    <col min="13" max="13" width="13.28515625" style="6" bestFit="1" customWidth="1"/>
    <col min="14" max="14" width="8.140625" style="6" bestFit="1" customWidth="1"/>
    <col min="15" max="15" width="14.85546875" style="6" bestFit="1" customWidth="1"/>
    <col min="16" max="16" width="13.28515625" style="6" bestFit="1" customWidth="1"/>
    <col min="17" max="17" width="8.140625" style="6" bestFit="1" customWidth="1"/>
    <col min="18" max="18" width="6.5703125" style="6" bestFit="1" customWidth="1"/>
    <col min="19" max="19" width="13.42578125" style="6" bestFit="1" customWidth="1"/>
    <col min="20" max="20" width="7.7109375" style="6" bestFit="1" customWidth="1"/>
    <col min="21" max="22" width="14.85546875" style="6" bestFit="1" customWidth="1"/>
    <col min="23" max="24" width="10.7109375" style="6" bestFit="1" customWidth="1"/>
    <col min="25" max="25" width="10.7109375" style="6" customWidth="1"/>
    <col min="26" max="26" width="10.7109375" style="6" bestFit="1" customWidth="1"/>
    <col min="27" max="28" width="11.140625" style="6" customWidth="1"/>
    <col min="29" max="29" width="10.140625" style="6" customWidth="1"/>
    <col min="30" max="30" width="10.85546875" style="6" bestFit="1" customWidth="1"/>
    <col min="31" max="31" width="14.85546875" style="6" bestFit="1" customWidth="1"/>
    <col min="32" max="32" width="13.85546875" style="6" customWidth="1"/>
    <col min="33" max="33" width="13.85546875" style="6" bestFit="1" customWidth="1"/>
    <col min="34" max="34" width="13.5703125" style="6" bestFit="1" customWidth="1"/>
    <col min="35" max="35" width="14.7109375" style="6" customWidth="1"/>
    <col min="36" max="36" width="13.5703125" style="6" customWidth="1"/>
    <col min="37" max="37" width="9.140625" style="6"/>
    <col min="38" max="38" width="11.5703125" style="6" bestFit="1" customWidth="1"/>
    <col min="39" max="39" width="12.5703125" style="6" bestFit="1" customWidth="1"/>
    <col min="40" max="41" width="14.85546875" style="6" bestFit="1" customWidth="1"/>
    <col min="42" max="42" width="5.5703125" style="6" bestFit="1" customWidth="1"/>
    <col min="43" max="43" width="5.5703125" style="6" customWidth="1"/>
    <col min="44" max="46" width="12.42578125" style="6" customWidth="1"/>
    <col min="47" max="47" width="8" style="6" bestFit="1" customWidth="1"/>
    <col min="48" max="48" width="18.85546875" style="6" bestFit="1" customWidth="1"/>
    <col min="49" max="50" width="14.85546875" style="6" bestFit="1" customWidth="1"/>
    <col min="51" max="52" width="13.28515625" style="6" bestFit="1" customWidth="1"/>
    <col min="53" max="53" width="9.140625" style="6"/>
    <col min="54" max="110" width="9.140625" style="2"/>
  </cols>
  <sheetData>
    <row r="1" spans="1:52" ht="45" x14ac:dyDescent="0.25">
      <c r="A1" s="7" t="s">
        <v>68</v>
      </c>
      <c r="B1" s="7" t="s">
        <v>0</v>
      </c>
      <c r="C1" s="7" t="s">
        <v>38</v>
      </c>
      <c r="D1" s="7" t="s">
        <v>39</v>
      </c>
      <c r="E1" s="7" t="s">
        <v>1</v>
      </c>
      <c r="F1" s="7" t="s">
        <v>60</v>
      </c>
      <c r="G1" s="7" t="s">
        <v>63</v>
      </c>
      <c r="H1" s="7" t="s">
        <v>77</v>
      </c>
      <c r="I1" s="7" t="s">
        <v>78</v>
      </c>
      <c r="J1" s="7" t="s">
        <v>2</v>
      </c>
      <c r="K1" s="7" t="s">
        <v>3</v>
      </c>
      <c r="L1" s="7" t="s">
        <v>13</v>
      </c>
      <c r="M1" s="7" t="s">
        <v>4</v>
      </c>
      <c r="N1" s="7" t="s">
        <v>14</v>
      </c>
      <c r="O1" s="7" t="s">
        <v>5</v>
      </c>
      <c r="P1" s="7" t="s">
        <v>6</v>
      </c>
      <c r="Q1" s="7" t="s">
        <v>16</v>
      </c>
      <c r="R1" s="7" t="s">
        <v>7</v>
      </c>
      <c r="S1" s="7" t="s">
        <v>15</v>
      </c>
      <c r="T1" s="7" t="s">
        <v>8</v>
      </c>
      <c r="U1" s="7" t="s">
        <v>9</v>
      </c>
      <c r="V1" s="7" t="s">
        <v>17</v>
      </c>
      <c r="W1" s="7" t="s">
        <v>18</v>
      </c>
      <c r="X1" s="7" t="s">
        <v>19</v>
      </c>
      <c r="Y1" s="7" t="s">
        <v>69</v>
      </c>
      <c r="Z1" s="7" t="s">
        <v>70</v>
      </c>
      <c r="AA1" s="7" t="s">
        <v>21</v>
      </c>
      <c r="AB1" s="7" t="s">
        <v>75</v>
      </c>
      <c r="AC1" s="7" t="s">
        <v>20</v>
      </c>
      <c r="AD1" s="7" t="s">
        <v>22</v>
      </c>
      <c r="AE1" s="7" t="s">
        <v>23</v>
      </c>
      <c r="AF1" s="7" t="s">
        <v>26</v>
      </c>
      <c r="AG1" s="7" t="s">
        <v>25</v>
      </c>
      <c r="AH1" s="7" t="s">
        <v>30</v>
      </c>
      <c r="AI1" s="7" t="s">
        <v>31</v>
      </c>
      <c r="AJ1" s="7" t="s">
        <v>24</v>
      </c>
      <c r="AK1" s="7" t="s">
        <v>36</v>
      </c>
      <c r="AL1" s="7" t="s">
        <v>37</v>
      </c>
      <c r="AM1" s="7" t="s">
        <v>43</v>
      </c>
      <c r="AN1" s="7" t="s">
        <v>35</v>
      </c>
      <c r="AO1" s="7" t="s">
        <v>46</v>
      </c>
      <c r="AP1" s="7" t="s">
        <v>47</v>
      </c>
      <c r="AQ1" s="7" t="s">
        <v>76</v>
      </c>
      <c r="AR1" s="7" t="s">
        <v>84</v>
      </c>
      <c r="AS1" s="7" t="s">
        <v>85</v>
      </c>
      <c r="AT1" s="7" t="s">
        <v>87</v>
      </c>
      <c r="AU1" s="7" t="s">
        <v>86</v>
      </c>
      <c r="AV1" s="7" t="s">
        <v>48</v>
      </c>
      <c r="AW1" s="7" t="s">
        <v>44</v>
      </c>
      <c r="AX1" s="7" t="s">
        <v>45</v>
      </c>
      <c r="AY1" s="7" t="s">
        <v>53</v>
      </c>
      <c r="AZ1" s="7" t="s">
        <v>54</v>
      </c>
    </row>
    <row r="2" spans="1:52" x14ac:dyDescent="0.25">
      <c r="A2" s="28" t="str">
        <f>Mov_2027!A2</f>
        <v>1-2020</v>
      </c>
      <c r="B2" s="6">
        <f>Mov_2027!B2</f>
        <v>1001</v>
      </c>
      <c r="C2" s="6" t="str">
        <f>Mov_2027!C2</f>
        <v>8090-20</v>
      </c>
      <c r="D2" s="6">
        <f>Mov_2027!D2</f>
        <v>12356</v>
      </c>
      <c r="E2" s="8" t="str">
        <f>Mov_2027!E2</f>
        <v>Tubulações</v>
      </c>
      <c r="F2" s="6" t="str">
        <f>Mov_2027!F2</f>
        <v>AGUA</v>
      </c>
      <c r="G2" s="6" t="str">
        <f>Mov_2027!G2</f>
        <v>Curitiba</v>
      </c>
      <c r="H2" s="6" t="str">
        <f>Mov_2027!H2</f>
        <v>REDE DE ÁGUA 50MM</v>
      </c>
      <c r="I2" s="6">
        <f>IF(Mov_2027!AQ2="Sim",Mov_2027!I2-Mov_2027!AR2,Mov_2027!I2)</f>
        <v>500</v>
      </c>
      <c r="J2" s="9">
        <f>Mov_2027!J2</f>
        <v>1647890</v>
      </c>
      <c r="K2" s="9">
        <f>Mov_2027!K2</f>
        <v>0</v>
      </c>
      <c r="L2" s="10">
        <f>Mov_2027!L2</f>
        <v>0</v>
      </c>
      <c r="M2" s="9">
        <f>Mov_2027!M2</f>
        <v>0</v>
      </c>
      <c r="N2" s="10">
        <f>Mov_2027!N2</f>
        <v>0</v>
      </c>
      <c r="O2" s="9">
        <f>Mov_2027!O2</f>
        <v>1647890</v>
      </c>
      <c r="P2" s="9">
        <f>Mov_2027!P2</f>
        <v>0</v>
      </c>
      <c r="Q2" s="11">
        <f>Mov_2027!Q2</f>
        <v>0</v>
      </c>
      <c r="R2" s="12">
        <f>Mov_2027!R2</f>
        <v>0.11</v>
      </c>
      <c r="S2" s="13">
        <f>Mov_2027!S2</f>
        <v>0</v>
      </c>
      <c r="T2" s="11">
        <f>Mov_2027!T2</f>
        <v>0</v>
      </c>
      <c r="U2" s="9">
        <f>Mov_2027!U2</f>
        <v>0</v>
      </c>
      <c r="V2" s="14">
        <f>Mov_2027!V2</f>
        <v>1647890</v>
      </c>
      <c r="W2" s="15">
        <f>Mov_2027!W2</f>
        <v>44197</v>
      </c>
      <c r="X2" s="15">
        <f>Mov_2027!X2</f>
        <v>44228</v>
      </c>
      <c r="Y2" s="15">
        <f>Mov_2027!Y2</f>
        <v>45657</v>
      </c>
      <c r="Z2" s="15">
        <v>47118</v>
      </c>
      <c r="AA2" s="6">
        <f>Mov_2027!AA2</f>
        <v>5622.43</v>
      </c>
      <c r="AB2" s="15">
        <f>Mov_2027!AB2</f>
        <v>45657</v>
      </c>
      <c r="AC2" s="6">
        <f>Mov_2027!AC2</f>
        <v>6800.22</v>
      </c>
      <c r="AD2" s="16">
        <f>ROUND(AC2/AA2-1,4)</f>
        <v>0.20949999999999999</v>
      </c>
      <c r="AE2" s="9">
        <f>Mov_2028!I2/Mov_2027!I2*Mov_2027!AE2</f>
        <v>996561.47750000004</v>
      </c>
      <c r="AF2" s="9" t="s">
        <v>27</v>
      </c>
      <c r="AG2" s="6">
        <v>40</v>
      </c>
      <c r="AH2" s="6">
        <v>50</v>
      </c>
      <c r="AI2" s="6" t="s">
        <v>33</v>
      </c>
      <c r="AJ2" s="6">
        <f>IF(AI2="Contrato",AG2,IF(AI2="Não deprecia",0,AH2))</f>
        <v>50</v>
      </c>
      <c r="AK2" s="16">
        <f>IF(AJ2&lt;&gt;0,1/AJ2,0)</f>
        <v>0.02</v>
      </c>
      <c r="AL2" s="16">
        <f>AK2/12</f>
        <v>1.6666666666666668E-3</v>
      </c>
      <c r="AM2" s="13">
        <f>IF((Z2-X2)/365*12&gt;AJ2*12,AJ2*12,(Z2-X2)/365*12)</f>
        <v>95.013698630136986</v>
      </c>
      <c r="AN2" s="14">
        <f>AL2*AM2*AE2</f>
        <v>157811.65314931507</v>
      </c>
      <c r="AO2" s="14">
        <f>AE2-AN2</f>
        <v>838749.824350685</v>
      </c>
      <c r="AP2" s="11">
        <v>1</v>
      </c>
      <c r="AQ2" s="11" t="s">
        <v>50</v>
      </c>
      <c r="AR2" s="44">
        <v>0</v>
      </c>
      <c r="AS2" s="15"/>
      <c r="AT2" s="47">
        <f>IF(YEAR(AS2)&lt;YEAR(Z2),0,(MONTH(AS2)-1)/12)</f>
        <v>0</v>
      </c>
      <c r="AU2" s="11" t="str">
        <f>IF(AI2="Não deprecia","Não","Sim")</f>
        <v>Sim</v>
      </c>
      <c r="AV2" s="11" t="s">
        <v>49</v>
      </c>
      <c r="AW2" s="14">
        <f>IF(AU2="Sim",IF(AO2&gt;0,IF(AQ2="Sim",IF(AR2&gt;I2,0,AE2*AP2*(AT2)+AE2*AP2*(1-AR2/I2)*(1-AT2)),AE2*AP2),0),0)</f>
        <v>996561.47750000004</v>
      </c>
      <c r="AX2" s="9">
        <f>IF(AV2="Sim",IF(AO2&gt;0,IF(AQ2="Sim",IF(AR2&gt;I2,0,AO2*AP2*(AT2)+AO2*AP2*(1-AR2/I2)*(1-AT2)),AO2*AP2),0),0)</f>
        <v>838749.824350685</v>
      </c>
      <c r="AY2" s="9">
        <f>IF(AU2="Sim",AW2*AK2,0)</f>
        <v>19931.22955</v>
      </c>
      <c r="AZ2" s="9">
        <f>IF(AV2="Sim",AX2*R2,0)</f>
        <v>92262.480678575346</v>
      </c>
    </row>
    <row r="3" spans="1:52" x14ac:dyDescent="0.25">
      <c r="A3" s="18" t="str">
        <f>Mov_2027!A3</f>
        <v>2-2020</v>
      </c>
      <c r="B3" s="18">
        <f>Mov_2027!B3</f>
        <v>1002</v>
      </c>
      <c r="C3" s="18" t="str">
        <f>Mov_2027!C3</f>
        <v>8099-20</v>
      </c>
      <c r="D3" s="18">
        <f>Mov_2027!D3</f>
        <v>12356</v>
      </c>
      <c r="E3" s="19" t="str">
        <f>Mov_2027!E3</f>
        <v>Construções Civis</v>
      </c>
      <c r="F3" s="18" t="str">
        <f>Mov_2027!F3</f>
        <v>ESGOTO</v>
      </c>
      <c r="G3" s="18" t="str">
        <f>Mov_2027!G3</f>
        <v>Londrina</v>
      </c>
      <c r="H3" s="18" t="str">
        <f>Mov_2027!H3</f>
        <v>ETA LONDRINA II</v>
      </c>
      <c r="I3" s="18">
        <f>IF(Mov_2027!AQ3="Sim",Mov_2027!I3-Mov_2027!AR3,Mov_2027!I3)</f>
        <v>1</v>
      </c>
      <c r="J3" s="20">
        <f>Mov_2027!J3</f>
        <v>2000000</v>
      </c>
      <c r="K3" s="20">
        <f>Mov_2027!K3</f>
        <v>0</v>
      </c>
      <c r="L3" s="21">
        <f>Mov_2027!L3</f>
        <v>0</v>
      </c>
      <c r="M3" s="20">
        <f>Mov_2027!M3</f>
        <v>300000</v>
      </c>
      <c r="N3" s="21">
        <f>Mov_2027!N3</f>
        <v>0.15</v>
      </c>
      <c r="O3" s="20">
        <f>Mov_2027!O3</f>
        <v>2300000</v>
      </c>
      <c r="P3" s="20">
        <f>Mov_2027!P3</f>
        <v>250000</v>
      </c>
      <c r="Q3" s="22">
        <f>Mov_2027!Q3</f>
        <v>0.10869565217391304</v>
      </c>
      <c r="R3" s="23">
        <f>Mov_2027!R3</f>
        <v>0.11</v>
      </c>
      <c r="S3" s="24">
        <f>Mov_2027!S3</f>
        <v>12</v>
      </c>
      <c r="T3" s="22">
        <f>Mov_2027!T3</f>
        <v>0.1100000000000001</v>
      </c>
      <c r="U3" s="20">
        <f>Mov_2027!U3</f>
        <v>253000.00000000023</v>
      </c>
      <c r="V3" s="25">
        <f>Mov_2027!V3</f>
        <v>2553000</v>
      </c>
      <c r="W3" s="26">
        <f>Mov_2027!W3</f>
        <v>44562</v>
      </c>
      <c r="X3" s="26">
        <f>Mov_2027!X3</f>
        <v>44593</v>
      </c>
      <c r="Y3" s="26">
        <f>Mov_2027!Y3</f>
        <v>45657</v>
      </c>
      <c r="Z3" s="26">
        <f>Z2</f>
        <v>47118</v>
      </c>
      <c r="AA3" s="18">
        <f>Mov_2027!AA3</f>
        <v>6215.24</v>
      </c>
      <c r="AB3" s="26">
        <f>Mov_2027!AB3</f>
        <v>45657</v>
      </c>
      <c r="AC3" s="18">
        <f>Mov_2027!AC3</f>
        <v>6800.22</v>
      </c>
      <c r="AD3" s="27">
        <f>ROUND(AC3/AA3-1,4)</f>
        <v>9.4100000000000003E-2</v>
      </c>
      <c r="AE3" s="20">
        <f>Mov_2028!I3/Mov_2027!I3*Mov_2027!AE3</f>
        <v>2793237.3000000003</v>
      </c>
      <c r="AF3" s="20" t="s">
        <v>28</v>
      </c>
      <c r="AG3" s="18">
        <v>30</v>
      </c>
      <c r="AH3" s="18">
        <v>35</v>
      </c>
      <c r="AI3" s="18" t="s">
        <v>32</v>
      </c>
      <c r="AJ3" s="18">
        <f>IF(AI3="Contrato",AG3,IF(AI3="Não deprecia",0,AH3))</f>
        <v>30</v>
      </c>
      <c r="AK3" s="27">
        <f>IF(AJ3&lt;&gt;0,1/AJ3,0)</f>
        <v>3.3333333333333333E-2</v>
      </c>
      <c r="AL3" s="27">
        <f>AK3/12</f>
        <v>2.7777777777777779E-3</v>
      </c>
      <c r="AM3" s="24">
        <f>IF((Z3-X3)/365*12&gt;AJ3*12,AJ3*12,(Z3-X3)/365*12)</f>
        <v>83.013698630136986</v>
      </c>
      <c r="AN3" s="25">
        <f>AL3*AM3*AE3</f>
        <v>644102.66506849322</v>
      </c>
      <c r="AO3" s="25">
        <f>AE3-AN3</f>
        <v>2149134.6349315071</v>
      </c>
      <c r="AP3" s="23">
        <v>0.8</v>
      </c>
      <c r="AQ3" s="23" t="s">
        <v>50</v>
      </c>
      <c r="AR3" s="24">
        <v>0</v>
      </c>
      <c r="AS3" s="26"/>
      <c r="AT3" s="45">
        <f>IF(YEAR(AS3)&lt;YEAR(Z3),0,(MONTH(AS3)-1)/12)</f>
        <v>0</v>
      </c>
      <c r="AU3" s="22" t="str">
        <f>IF(AI3="Não deprecia","Não","Sim")</f>
        <v>Sim</v>
      </c>
      <c r="AV3" s="22" t="s">
        <v>49</v>
      </c>
      <c r="AW3" s="25">
        <f>IF(AU3="Sim",IF(AO3&gt;0,IF(AQ3="Sim",IF(AR3&gt;I3,0,AE3*AP3*(AT3)+AE3*AP3*(1-AR3/I3)*(1-AT3)),AE3*AP3),0),0)</f>
        <v>2234589.8400000003</v>
      </c>
      <c r="AX3" s="20">
        <f>IF(AV3="Sim",IF(AO3&gt;0,IF(AQ3="Sim",IF(AR3&gt;I3,0,AO3*AP3*(AT3)+AO3*AP3*(1-AR3/I3)*(1-AT3)),AO3*AP3),0),0)</f>
        <v>1719307.7079452057</v>
      </c>
      <c r="AY3" s="20">
        <f>IF(AU3="Sim",AW3*AK3,0)</f>
        <v>74486.328000000009</v>
      </c>
      <c r="AZ3" s="20">
        <f>IF(AV3="Sim",AX3*R3,0)</f>
        <v>189123.84787397264</v>
      </c>
    </row>
    <row r="4" spans="1:52" x14ac:dyDescent="0.25">
      <c r="A4" s="6" t="str">
        <f>Mov_2027!A4</f>
        <v>3-2020</v>
      </c>
      <c r="B4" s="6">
        <f>Mov_2027!B4</f>
        <v>1003</v>
      </c>
      <c r="C4" s="6" t="str">
        <f>Mov_2027!C4</f>
        <v>8099-20</v>
      </c>
      <c r="D4" s="6">
        <f>Mov_2027!D4</f>
        <v>12356</v>
      </c>
      <c r="E4" s="8" t="str">
        <f>Mov_2027!E4</f>
        <v>Equipamentos</v>
      </c>
      <c r="F4" s="6" t="str">
        <f>Mov_2027!F4</f>
        <v>AGUA</v>
      </c>
      <c r="G4" s="6" t="str">
        <f>Mov_2027!G4</f>
        <v>Maringá</v>
      </c>
      <c r="H4" s="6" t="str">
        <f>Mov_2027!H4</f>
        <v>MOTOR ELÉTRICO 1000HP</v>
      </c>
      <c r="I4" s="6">
        <f>IF(Mov_2027!AQ4="Sim",Mov_2027!I4-Mov_2027!AR4,Mov_2027!I4)</f>
        <v>1</v>
      </c>
      <c r="J4" s="9">
        <f>Mov_2027!J4</f>
        <v>850000</v>
      </c>
      <c r="K4" s="9">
        <f>Mov_2027!K4</f>
        <v>63750</v>
      </c>
      <c r="L4" s="10">
        <f>Mov_2027!L4</f>
        <v>7.4999999999999997E-2</v>
      </c>
      <c r="M4" s="9">
        <f>Mov_2027!M4</f>
        <v>63750</v>
      </c>
      <c r="N4" s="10">
        <f>Mov_2027!N4</f>
        <v>7.4999999999999997E-2</v>
      </c>
      <c r="O4" s="9">
        <f>Mov_2027!O4</f>
        <v>977500</v>
      </c>
      <c r="P4" s="9">
        <f>Mov_2027!P4</f>
        <v>83000</v>
      </c>
      <c r="Q4" s="11">
        <f>Mov_2027!Q4</f>
        <v>8.4910485933503838E-2</v>
      </c>
      <c r="R4" s="12">
        <f>Mov_2027!R4</f>
        <v>0.11</v>
      </c>
      <c r="S4" s="13">
        <f>Mov_2027!S4</f>
        <v>12</v>
      </c>
      <c r="T4" s="11">
        <f>Mov_2027!T4</f>
        <v>0.1100000000000001</v>
      </c>
      <c r="U4" s="9">
        <f>Mov_2027!U4</f>
        <v>107525.0000000001</v>
      </c>
      <c r="V4" s="14">
        <f>Mov_2027!V4</f>
        <v>1085025</v>
      </c>
      <c r="W4" s="15">
        <f>Mov_2027!W4</f>
        <v>44927</v>
      </c>
      <c r="X4" s="15">
        <f>Mov_2027!X4</f>
        <v>44958</v>
      </c>
      <c r="Y4" s="15">
        <f>Mov_2027!Y4</f>
        <v>45657</v>
      </c>
      <c r="Z4" s="15">
        <f>Z3</f>
        <v>47118</v>
      </c>
      <c r="AA4" s="6">
        <f>Mov_2027!AA4</f>
        <v>6563.07</v>
      </c>
      <c r="AB4" s="15">
        <f>Mov_2027!AB4</f>
        <v>45657</v>
      </c>
      <c r="AC4" s="6">
        <f>Mov_2027!AC4</f>
        <v>6800.22</v>
      </c>
      <c r="AD4" s="16">
        <f>ROUND(AC4/AA4-1,4)</f>
        <v>3.61E-2</v>
      </c>
      <c r="AE4" s="9">
        <f>Mov_2028!I4/Mov_2027!I4*Mov_2027!AE4</f>
        <v>1124194.4025000001</v>
      </c>
      <c r="AF4" s="9" t="s">
        <v>28</v>
      </c>
      <c r="AG4" s="6">
        <v>30</v>
      </c>
      <c r="AH4" s="6">
        <v>15</v>
      </c>
      <c r="AI4" s="6" t="s">
        <v>32</v>
      </c>
      <c r="AJ4" s="6">
        <f>IF(AI4="Contrato",AG4,IF(AI4="Não deprecia",0,AH4))</f>
        <v>30</v>
      </c>
      <c r="AK4" s="16">
        <f>IF(AJ4&lt;&gt;0,1/AJ4,0)</f>
        <v>3.3333333333333333E-2</v>
      </c>
      <c r="AL4" s="16">
        <f>AK4/12</f>
        <v>2.7777777777777779E-3</v>
      </c>
      <c r="AM4" s="13">
        <f>IF((Z4-X4)/365*12&gt;AJ4*12,AJ4*12,(Z4-X4)/365*12)</f>
        <v>71.013698630136986</v>
      </c>
      <c r="AN4" s="14">
        <f>AL4*AM4*AE4</f>
        <v>221758.89583561645</v>
      </c>
      <c r="AO4" s="14">
        <f>AE4-AN4</f>
        <v>902435.50666438369</v>
      </c>
      <c r="AP4" s="11">
        <v>0.8</v>
      </c>
      <c r="AQ4" s="11" t="s">
        <v>50</v>
      </c>
      <c r="AR4" s="44">
        <v>0</v>
      </c>
      <c r="AS4" s="15"/>
      <c r="AT4" s="47">
        <f>IF(YEAR(AS4)&lt;YEAR(Z4),0,(MONTH(AS4)-1)/12)</f>
        <v>0</v>
      </c>
      <c r="AU4" s="11" t="str">
        <f>IF(AI4="Não deprecia","Não","Sim")</f>
        <v>Sim</v>
      </c>
      <c r="AV4" s="11" t="s">
        <v>49</v>
      </c>
      <c r="AW4" s="14">
        <f>IF(AU4="Sim",IF(AO4&gt;0,IF(AQ4="Sim",IF(AR4&gt;I4,0,AE4*AP4*(AT4)+AE4*AP4*(1-AR4/I4)*(1-AT4)),AE4*AP4),0),0)</f>
        <v>899355.52200000011</v>
      </c>
      <c r="AX4" s="9">
        <f>IF(AV4="Sim",IF(AO4&gt;0,IF(AQ4="Sim",IF(AR4&gt;I4,0,AO4*AP4*(AT4)+AO4*AP4*(1-AR4/I4)*(1-AT4)),AO4*AP4),0),0)</f>
        <v>721948.40533150698</v>
      </c>
      <c r="AY4" s="9">
        <f>IF(AU4="Sim",AW4*AK4,0)</f>
        <v>29978.517400000004</v>
      </c>
      <c r="AZ4" s="9">
        <f>IF(AV4="Sim",AX4*R4,0)</f>
        <v>79414.324586465766</v>
      </c>
    </row>
    <row r="5" spans="1:52" x14ac:dyDescent="0.25">
      <c r="A5" s="18" t="str">
        <f>Mov_2027!A5</f>
        <v>4-2020</v>
      </c>
      <c r="B5" s="18">
        <f>Mov_2027!B5</f>
        <v>1003</v>
      </c>
      <c r="C5" s="18" t="str">
        <f>Mov_2027!C5</f>
        <v>8099-20</v>
      </c>
      <c r="D5" s="18">
        <f>Mov_2027!D5</f>
        <v>12356</v>
      </c>
      <c r="E5" s="19" t="str">
        <f>Mov_2027!E5</f>
        <v>Terrenos</v>
      </c>
      <c r="F5" s="18" t="str">
        <f>Mov_2027!F5</f>
        <v>AGUA</v>
      </c>
      <c r="G5" s="18" t="str">
        <f>Mov_2027!G5</f>
        <v>Cascavel</v>
      </c>
      <c r="H5" s="18" t="str">
        <f>Mov_2027!H5</f>
        <v>TERRENO 120.000M²</v>
      </c>
      <c r="I5" s="18">
        <f>IF(Mov_2027!AQ5="Sim",Mov_2027!I5-Mov_2027!AR5,Mov_2027!I5)</f>
        <v>1</v>
      </c>
      <c r="J5" s="20">
        <f>Mov_2027!J5</f>
        <v>350000</v>
      </c>
      <c r="K5" s="20">
        <f>Mov_2027!K5</f>
        <v>0</v>
      </c>
      <c r="L5" s="21">
        <f>Mov_2027!L5</f>
        <v>0</v>
      </c>
      <c r="M5" s="20">
        <f>Mov_2027!M5</f>
        <v>0</v>
      </c>
      <c r="N5" s="21">
        <f>Mov_2027!N5</f>
        <v>0</v>
      </c>
      <c r="O5" s="20">
        <f>Mov_2027!O5</f>
        <v>350000</v>
      </c>
      <c r="P5" s="20">
        <f>Mov_2027!P5</f>
        <v>0</v>
      </c>
      <c r="Q5" s="22">
        <f>Mov_2027!Q5</f>
        <v>0</v>
      </c>
      <c r="R5" s="23">
        <f>Mov_2027!R5</f>
        <v>0.11</v>
      </c>
      <c r="S5" s="24">
        <f>Mov_2027!S5</f>
        <v>0</v>
      </c>
      <c r="T5" s="22">
        <f>Mov_2027!T5</f>
        <v>0</v>
      </c>
      <c r="U5" s="20">
        <f>Mov_2027!U5</f>
        <v>0</v>
      </c>
      <c r="V5" s="25">
        <f>Mov_2027!V5</f>
        <v>350000</v>
      </c>
      <c r="W5" s="26">
        <f>Mov_2027!W5</f>
        <v>45292</v>
      </c>
      <c r="X5" s="26">
        <f>Mov_2027!X5</f>
        <v>45323</v>
      </c>
      <c r="Y5" s="26">
        <f>Mov_2027!Y5</f>
        <v>45657</v>
      </c>
      <c r="Z5" s="26">
        <f>Z4</f>
        <v>47118</v>
      </c>
      <c r="AA5" s="18">
        <f>Mov_2027!AA5</f>
        <v>6763.07</v>
      </c>
      <c r="AB5" s="26">
        <f>Mov_2027!AB5</f>
        <v>45657</v>
      </c>
      <c r="AC5" s="18">
        <f>Mov_2027!AC5</f>
        <v>6800.22</v>
      </c>
      <c r="AD5" s="27">
        <f>ROUND(AC5/AA5-1,4)</f>
        <v>5.4999999999999997E-3</v>
      </c>
      <c r="AE5" s="20">
        <f>Mov_2028!I5/Mov_2027!I5*Mov_2027!AE5</f>
        <v>351925</v>
      </c>
      <c r="AF5" s="20" t="s">
        <v>28</v>
      </c>
      <c r="AG5" s="18">
        <v>30</v>
      </c>
      <c r="AH5" s="18">
        <v>0</v>
      </c>
      <c r="AI5" s="18" t="s">
        <v>34</v>
      </c>
      <c r="AJ5" s="18">
        <f>IF(AI5="Contrato",AG5,IF(AI5="Não deprecia",0,AH5))</f>
        <v>0</v>
      </c>
      <c r="AK5" s="27">
        <f>IF(AJ5&lt;&gt;0,1/AJ5,0)</f>
        <v>0</v>
      </c>
      <c r="AL5" s="27">
        <f>AK5/12</f>
        <v>0</v>
      </c>
      <c r="AM5" s="24">
        <f>IF((Z5-X5)/365*12&gt;AJ5*12,AJ5*12,(Z5-X5)/365*12)</f>
        <v>0</v>
      </c>
      <c r="AN5" s="25">
        <f>AL5*AM5*AE5</f>
        <v>0</v>
      </c>
      <c r="AO5" s="25">
        <f>AE5-AN5</f>
        <v>351925</v>
      </c>
      <c r="AP5" s="23">
        <v>0.8</v>
      </c>
      <c r="AQ5" s="23" t="s">
        <v>50</v>
      </c>
      <c r="AR5" s="24">
        <v>0</v>
      </c>
      <c r="AS5" s="26"/>
      <c r="AT5" s="45">
        <f>IF(YEAR(AS5)&lt;YEAR(Z5),0,(MONTH(AS5)-1)/12)</f>
        <v>0</v>
      </c>
      <c r="AU5" s="22" t="str">
        <f>IF(AI5="Não deprecia","Não","Sim")</f>
        <v>Não</v>
      </c>
      <c r="AV5" s="22" t="s">
        <v>49</v>
      </c>
      <c r="AW5" s="25">
        <f>IF(AU5="Sim",IF(AO5&gt;0,IF(AQ5="Sim",IF(AR5&gt;I5,0,AE5*AP5*(AT5)+AE5*AP5*(1-AR5/I5)*(1-AT5)),AE5*AP5),0),0)</f>
        <v>0</v>
      </c>
      <c r="AX5" s="20">
        <f>IF(AV5="Sim",IF(AO5&gt;0,IF(AQ5="Sim",IF(AR5&gt;I5,0,AO5*AP5*(AT5)+AO5*AP5*(1-AR5/I5)*(1-AT5)),AO5*AP5),0),0)</f>
        <v>281540</v>
      </c>
      <c r="AY5" s="20">
        <f>IF(AU5="Sim",AW5*AK5,0)</f>
        <v>0</v>
      </c>
      <c r="AZ5" s="20">
        <f>IF(AV5="Sim",AX5*R5,0)</f>
        <v>30969.4</v>
      </c>
    </row>
    <row r="6" spans="1:52" x14ac:dyDescent="0.25">
      <c r="A6" s="6" t="str">
        <f>Mov_2027!A6</f>
        <v>5-2020</v>
      </c>
      <c r="B6" s="6">
        <f>Mov_2027!B6</f>
        <v>1004</v>
      </c>
      <c r="C6" s="6" t="str">
        <f>Mov_2027!C6</f>
        <v>9087-20</v>
      </c>
      <c r="D6" s="6">
        <f>Mov_2027!D6</f>
        <v>12357</v>
      </c>
      <c r="E6" s="8" t="str">
        <f>Mov_2027!E6</f>
        <v>Reserva Operacional</v>
      </c>
      <c r="F6" s="6" t="str">
        <f>Mov_2027!F6</f>
        <v>AGUA</v>
      </c>
      <c r="G6" s="6" t="str">
        <f>Mov_2027!G6</f>
        <v>Curitiba</v>
      </c>
      <c r="H6" s="6" t="str">
        <f>Mov_2027!H6</f>
        <v>BOMBA HIDRÁULICA</v>
      </c>
      <c r="I6" s="6">
        <f>IF(Mov_2027!AQ6="Sim",Mov_2027!I6-Mov_2027!AR6,Mov_2027!I6)</f>
        <v>10</v>
      </c>
      <c r="J6" s="9">
        <f>Mov_2027!J6</f>
        <v>80000</v>
      </c>
      <c r="K6" s="9">
        <f>Mov_2027!K6</f>
        <v>0</v>
      </c>
      <c r="L6" s="10">
        <f>Mov_2027!L6</f>
        <v>0</v>
      </c>
      <c r="M6" s="9">
        <f>Mov_2027!M6</f>
        <v>0</v>
      </c>
      <c r="N6" s="10">
        <f>Mov_2027!N6</f>
        <v>0</v>
      </c>
      <c r="O6" s="9">
        <f>Mov_2027!O6</f>
        <v>80000</v>
      </c>
      <c r="P6" s="9">
        <f>Mov_2027!P6</f>
        <v>0</v>
      </c>
      <c r="Q6" s="11">
        <f>Mov_2027!Q6</f>
        <v>0</v>
      </c>
      <c r="R6" s="12">
        <f>Mov_2027!R6</f>
        <v>0.11</v>
      </c>
      <c r="S6" s="13">
        <f>Mov_2027!S6</f>
        <v>0</v>
      </c>
      <c r="T6" s="11">
        <f>Mov_2027!T6</f>
        <v>0</v>
      </c>
      <c r="U6" s="9">
        <f>Mov_2027!U6</f>
        <v>0</v>
      </c>
      <c r="V6" s="14">
        <f>Mov_2027!V6</f>
        <v>80000</v>
      </c>
      <c r="W6" s="15">
        <f>Mov_2027!W6</f>
        <v>45292</v>
      </c>
      <c r="X6" s="15">
        <f>Mov_2027!X6</f>
        <v>45323</v>
      </c>
      <c r="Y6" s="15">
        <f>Mov_2027!Y6</f>
        <v>45657</v>
      </c>
      <c r="Z6" s="15">
        <f>Z5</f>
        <v>47118</v>
      </c>
      <c r="AA6" s="6">
        <f>Mov_2027!AA6</f>
        <v>6763.07</v>
      </c>
      <c r="AB6" s="15">
        <f>Mov_2027!AB6</f>
        <v>45657</v>
      </c>
      <c r="AC6" s="6">
        <f>Mov_2027!AC6</f>
        <v>6800.22</v>
      </c>
      <c r="AD6" s="16">
        <f>ROUND(AC6/AA6-1,4)</f>
        <v>5.4999999999999997E-3</v>
      </c>
      <c r="AE6" s="9">
        <f>Mov_2028!I6/Mov_2027!I6*Mov_2027!AE6</f>
        <v>80440</v>
      </c>
      <c r="AF6" s="9" t="s">
        <v>29</v>
      </c>
      <c r="AG6" s="6">
        <v>25</v>
      </c>
      <c r="AH6" s="6">
        <v>0</v>
      </c>
      <c r="AI6" s="6" t="s">
        <v>34</v>
      </c>
      <c r="AJ6" s="6">
        <f>IF(AI6="Contrato",AG6,IF(AI6="Não deprecia",0,AH6))</f>
        <v>0</v>
      </c>
      <c r="AK6" s="16">
        <f>IF(AJ6&lt;&gt;0,1/AJ6,0)</f>
        <v>0</v>
      </c>
      <c r="AL6" s="16">
        <f>AK6/12</f>
        <v>0</v>
      </c>
      <c r="AM6" s="13">
        <f>IF((Z6-X6)/365*12&gt;AJ6*12,AJ6*12,(Z6-X6)/365*12)</f>
        <v>0</v>
      </c>
      <c r="AN6" s="14">
        <f>AL6*AM6*AE6</f>
        <v>0</v>
      </c>
      <c r="AO6" s="14">
        <f>AE6-AN6</f>
        <v>80440</v>
      </c>
      <c r="AP6" s="11">
        <v>1</v>
      </c>
      <c r="AQ6" s="11" t="s">
        <v>50</v>
      </c>
      <c r="AR6" s="44">
        <v>0</v>
      </c>
      <c r="AS6" s="15"/>
      <c r="AT6" s="47">
        <f>IF(YEAR(AS6)&lt;YEAR(Z6),0,(MONTH(AS6)-1)/12)</f>
        <v>0</v>
      </c>
      <c r="AU6" s="11" t="str">
        <f>IF(AI6="Não deprecia","Não","Sim")</f>
        <v>Não</v>
      </c>
      <c r="AV6" s="11" t="s">
        <v>49</v>
      </c>
      <c r="AW6" s="14">
        <f>IF(AU6="Sim",IF(AO6&gt;0,IF(AQ6="Sim",IF(AR6&gt;I6,0,AE6*AP6*(AT6)+AE6*AP6*(1-AR6/I6)*(1-AT6)),AE6*AP6),0),0)</f>
        <v>0</v>
      </c>
      <c r="AX6" s="9">
        <f>IF(AV6="Sim",IF(AO6&gt;0,IF(AQ6="Sim",IF(AR6&gt;I6,0,AO6*AP6*(AT6)+AO6*AP6*(1-AR6/I6)*(1-AT6)),AO6*AP6),0),0)</f>
        <v>80440</v>
      </c>
      <c r="AY6" s="9">
        <f>IF(AU6="Sim",AW6*AK6,0)</f>
        <v>0</v>
      </c>
      <c r="AZ6" s="9">
        <f>IF(AV6="Sim",AX6*R6,0)</f>
        <v>8848.4</v>
      </c>
    </row>
    <row r="7" spans="1:52" x14ac:dyDescent="0.25">
      <c r="E7" s="8"/>
    </row>
    <row r="8" spans="1:52" x14ac:dyDescent="0.25">
      <c r="E8" s="8"/>
      <c r="AV8" s="29" t="s">
        <v>58</v>
      </c>
      <c r="AW8" s="30">
        <f>SUM(AW2:AW6)</f>
        <v>4130506.8395000007</v>
      </c>
      <c r="AX8" s="30">
        <f>SUM(AX2:AX6)</f>
        <v>3641985.9376273975</v>
      </c>
      <c r="AY8" s="17">
        <f>SUM(AY2:AY6)</f>
        <v>124396.07495000001</v>
      </c>
      <c r="AZ8" s="17">
        <f>SUM(AZ2:AZ6)</f>
        <v>400618.45313901379</v>
      </c>
    </row>
    <row r="9" spans="1:52" x14ac:dyDescent="0.25">
      <c r="E9" s="8"/>
      <c r="AV9" s="33" t="s">
        <v>59</v>
      </c>
      <c r="AW9" s="34">
        <f>IF(AW8&gt;0,AY8/AW8,0)</f>
        <v>3.0116419070028266E-2</v>
      </c>
    </row>
    <row r="10" spans="1:52" ht="30" x14ac:dyDescent="0.25">
      <c r="E10" s="8"/>
      <c r="AV10" s="31" t="s">
        <v>57</v>
      </c>
      <c r="AW10" s="32">
        <f>IF(AW9&gt;0,1/AW9,0)</f>
        <v>33.204478848389904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Exemplo_BRR_2024</vt:lpstr>
      <vt:lpstr>Imob_BRR_2021</vt:lpstr>
      <vt:lpstr>Imob_BRR_2022</vt:lpstr>
      <vt:lpstr>Imob_BRR_2023</vt:lpstr>
      <vt:lpstr>Imob_BRR_2024</vt:lpstr>
      <vt:lpstr>Mov_2025</vt:lpstr>
      <vt:lpstr>Mov_2026</vt:lpstr>
      <vt:lpstr>Mov_2027</vt:lpstr>
      <vt:lpstr>Mov_2028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2023-10-02T17:21:33Z</dcterms:created>
  <dcterms:modified xsi:type="dcterms:W3CDTF">2023-10-06T16:34:29Z</dcterms:modified>
</cp:coreProperties>
</file>